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showInkAnnotation="0" codeName="ThisWorkbook" autoCompressPictures="0"/>
  <mc:AlternateContent xmlns:mc="http://schemas.openxmlformats.org/markup-compatibility/2006">
    <mc:Choice Requires="x15">
      <x15ac:absPath xmlns:x15ac="http://schemas.microsoft.com/office/spreadsheetml/2010/11/ac" url="D:\Paul\documents\ALASKA_SEAL\FINAL\Latest on Website\"/>
    </mc:Choice>
  </mc:AlternateContent>
  <xr:revisionPtr revIDLastSave="0" documentId="13_ncr:1_{FB1E2F4C-3895-4E5B-82FD-4DD0FA87A4A6}" xr6:coauthVersionLast="47" xr6:coauthVersionMax="47" xr10:uidLastSave="{00000000-0000-0000-0000-000000000000}"/>
  <bookViews>
    <workbookView xWindow="-120" yWindow="-120" windowWidth="29040" windowHeight="15840" tabRatio="942" activeTab="17" xr2:uid="{00000000-000D-0000-FFFF-FFFF00000000}"/>
  </bookViews>
  <sheets>
    <sheet name="OF" sheetId="2" r:id="rId1"/>
    <sheet name="T" sheetId="3" r:id="rId2"/>
    <sheet name="S" sheetId="53" r:id="rId3"/>
    <sheet name="Scores" sheetId="5" r:id="rId4"/>
    <sheet name="SR" sheetId="31" r:id="rId5"/>
    <sheet name="CS" sheetId="37" r:id="rId6"/>
    <sheet name="OE" sheetId="35" r:id="rId7"/>
    <sheet name="FA" sheetId="36" r:id="rId8"/>
    <sheet name="WBF" sheetId="33" r:id="rId9"/>
    <sheet name="SBM" sheetId="34" r:id="rId10"/>
    <sheet name="PH" sheetId="41" r:id="rId11"/>
    <sheet name="PU" sheetId="43" r:id="rId12"/>
    <sheet name="Subsis" sheetId="44" r:id="rId13"/>
    <sheet name="Sens" sheetId="39" r:id="rId14"/>
    <sheet name="STR" sheetId="40" r:id="rId15"/>
    <sheet name="NonNtvPlants" sheetId="54" r:id="rId16"/>
    <sheet name="PlantList" sheetId="55" r:id="rId17"/>
    <sheet name="How Scored" sheetId="56" r:id="rId18"/>
  </sheets>
  <externalReferences>
    <externalReference r:id="rId19"/>
    <externalReference r:id="rId20"/>
  </externalReferences>
  <definedNames>
    <definedName name="__AMT7">#REF!</definedName>
    <definedName name="__FHR3" localSheetId="12">#REF!</definedName>
    <definedName name="__FHR3">#REF!</definedName>
    <definedName name="__IBA12" localSheetId="12">#REF!</definedName>
    <definedName name="__IBA12">#REF!</definedName>
    <definedName name="__WBF5" localSheetId="12">#REF!</definedName>
    <definedName name="__WBF5">#REF!</definedName>
    <definedName name="_ABpct9" localSheetId="12">#REF!</definedName>
    <definedName name="_ABpct9">#REF!</definedName>
    <definedName name="_Alk3" localSheetId="12">#REF!</definedName>
    <definedName name="_Alk3">#REF!</definedName>
    <definedName name="_AMT1">#REF!</definedName>
    <definedName name="_AMT2">#REF!</definedName>
    <definedName name="_AMT3">#REF!</definedName>
    <definedName name="_AMT4" localSheetId="12">#REF!</definedName>
    <definedName name="_AMT4">#REF!</definedName>
    <definedName name="_AMT5">#REF!</definedName>
    <definedName name="_AMT6">#REF!</definedName>
    <definedName name="_AMT7" localSheetId="12">#REF!</definedName>
    <definedName name="_AMT7">#REF!</definedName>
    <definedName name="_AMT8" localSheetId="12">#REF!</definedName>
    <definedName name="_AMT8">#REF!</definedName>
    <definedName name="_BMP18">[1]Sens!$G$26</definedName>
    <definedName name="_BMP6">[1]SBM!$G$37</definedName>
    <definedName name="_Bog4" localSheetId="12">#REF!</definedName>
    <definedName name="_Bog4">#REF!</definedName>
    <definedName name="_Bog5" localSheetId="12">#REF!</definedName>
    <definedName name="_Bog5">#REF!</definedName>
    <definedName name="_Bog6" localSheetId="12">#REF!</definedName>
    <definedName name="_Bog6">#REF!</definedName>
    <definedName name="_CSQ1" localSheetId="12">#REF!</definedName>
    <definedName name="_CSQ1">#REF!</definedName>
    <definedName name="_CSQ2" localSheetId="12">#REF!</definedName>
    <definedName name="_CSQ2">#REF!</definedName>
    <definedName name="_CSQ3" localSheetId="12">#REF!</definedName>
    <definedName name="_CSQ3">#REF!</definedName>
    <definedName name="_CSQ4" localSheetId="12">#REF!</definedName>
    <definedName name="_CSQ4">#REF!</definedName>
    <definedName name="_Fen5" localSheetId="12">#REF!</definedName>
    <definedName name="_Fen5">#REF!</definedName>
    <definedName name="_Fen7">#REF!</definedName>
    <definedName name="_FHA1" localSheetId="12">#REF!</definedName>
    <definedName name="_FHA1">#REF!</definedName>
    <definedName name="_FHA2" localSheetId="12">#REF!</definedName>
    <definedName name="_FHA2">#REF!</definedName>
    <definedName name="_FHA3" localSheetId="12">#REF!</definedName>
    <definedName name="_FHA3">#REF!</definedName>
    <definedName name="_FHA4" localSheetId="12">#REF!</definedName>
    <definedName name="_FHA4">#REF!</definedName>
    <definedName name="_FHA5" localSheetId="12">#REF!</definedName>
    <definedName name="_FHA5">#REF!</definedName>
    <definedName name="_FHA6" localSheetId="12">#REF!</definedName>
    <definedName name="_FHA6">#REF!</definedName>
    <definedName name="_FHR1" localSheetId="12">#REF!</definedName>
    <definedName name="_FHR1">#REF!</definedName>
    <definedName name="_FHR2" localSheetId="12">#REF!</definedName>
    <definedName name="_FHR2">#REF!</definedName>
    <definedName name="_FHR3" localSheetId="12">#REF!</definedName>
    <definedName name="_FHR3">#REF!</definedName>
    <definedName name="_FHR4" localSheetId="12">#REF!</definedName>
    <definedName name="_FHR4">#REF!</definedName>
    <definedName name="_FHR5" localSheetId="12">#REF!</definedName>
    <definedName name="_FHR5">#REF!</definedName>
    <definedName name="_GDD1">#REF!</definedName>
    <definedName name="_GDD10" localSheetId="12">#REF!</definedName>
    <definedName name="_GDD10">#REF!</definedName>
    <definedName name="_GDD11">#REF!</definedName>
    <definedName name="_GDD12" localSheetId="12">#REF!</definedName>
    <definedName name="_GDD12">#REF!</definedName>
    <definedName name="_GDD3" localSheetId="12">#REF!</definedName>
    <definedName name="_GDD3">#REF!</definedName>
    <definedName name="_GDD4" localSheetId="12">#REF!</definedName>
    <definedName name="_GDD4">#REF!</definedName>
    <definedName name="_GDD5" localSheetId="12">#REF!</definedName>
    <definedName name="_GDD5">#REF!</definedName>
    <definedName name="_HUC6" localSheetId="12">#REF!</definedName>
    <definedName name="_HUC6">#REF!</definedName>
    <definedName name="_IBA12" localSheetId="12">#REF!</definedName>
    <definedName name="_IBA12">#REF!</definedName>
    <definedName name="_IBA13" localSheetId="12">#REF!</definedName>
    <definedName name="_IBA13">#REF!</definedName>
    <definedName name="_IBA14" localSheetId="12">#REF!</definedName>
    <definedName name="_IBA14">#REF!</definedName>
    <definedName name="_IBA5">WBF!$G$121</definedName>
    <definedName name="_IBA6">SBM!$G$103</definedName>
    <definedName name="_Ice11">#REF!</definedName>
    <definedName name="_Ice12">WBF!$G$31</definedName>
    <definedName name="_INV1" localSheetId="12">#REF!</definedName>
    <definedName name="_INV1">#REF!</definedName>
    <definedName name="_INV2" localSheetId="12">#REF!</definedName>
    <definedName name="_INV2">#REF!</definedName>
    <definedName name="_INV3" localSheetId="12">#REF!</definedName>
    <definedName name="_INV3">#REF!</definedName>
    <definedName name="_INV4" localSheetId="12">#REF!</definedName>
    <definedName name="_INV4">#REF!</definedName>
    <definedName name="_INV5" localSheetId="12">#REF!</definedName>
    <definedName name="_INV5">#REF!</definedName>
    <definedName name="_INV6" localSheetId="12">#REF!</definedName>
    <definedName name="_INV6">#REF!</definedName>
    <definedName name="_INV7" localSheetId="12">#REF!</definedName>
    <definedName name="_INV7">#REF!</definedName>
    <definedName name="_INV8" localSheetId="12">#REF!</definedName>
    <definedName name="_INV8">#REF!</definedName>
    <definedName name="_Iso2" localSheetId="12">#REF!</definedName>
    <definedName name="_Iso2">#REF!</definedName>
    <definedName name="_ISO3" localSheetId="12">#REF!</definedName>
    <definedName name="_ISO3">#REF!</definedName>
    <definedName name="_LWD7">SBM!$G$17</definedName>
    <definedName name="_NRE1" localSheetId="12">#REF!</definedName>
    <definedName name="_NRE1">#REF!</definedName>
    <definedName name="_NRE2" localSheetId="12">#REF!</definedName>
    <definedName name="_NRE2">#REF!</definedName>
    <definedName name="_NRE3" localSheetId="12">#REF!</definedName>
    <definedName name="_NRE3">#REF!</definedName>
    <definedName name="_NRE4" localSheetId="12">#REF!</definedName>
    <definedName name="_NRE4">#REF!</definedName>
    <definedName name="_NRE5" localSheetId="12">#REF!</definedName>
    <definedName name="_NRE5">#REF!</definedName>
    <definedName name="_OMX1" localSheetId="12">#REF!</definedName>
    <definedName name="_OMX1">#REF!</definedName>
    <definedName name="_OMX2" localSheetId="12">#REF!</definedName>
    <definedName name="_OMX2">#REF!</definedName>
    <definedName name="_OMX3" localSheetId="12">#REF!</definedName>
    <definedName name="_OMX3">#REF!</definedName>
    <definedName name="_OMX4" localSheetId="12">#REF!</definedName>
    <definedName name="_OMX4">#REF!</definedName>
    <definedName name="_OMX5" localSheetId="12">#REF!</definedName>
    <definedName name="_OMX5">#REF!</definedName>
    <definedName name="_pcp13" localSheetId="12">#REF!</definedName>
    <definedName name="_pcp13">#REF!</definedName>
    <definedName name="_pcp14" localSheetId="12">#REF!</definedName>
    <definedName name="_pcp14">#REF!</definedName>
    <definedName name="_pcp8" localSheetId="12">#REF!</definedName>
    <definedName name="_pcp8">#REF!</definedName>
    <definedName name="_PLD1" localSheetId="12">#REF!</definedName>
    <definedName name="_PLD1">#REF!</definedName>
    <definedName name="_PLD2" localSheetId="12">#REF!</definedName>
    <definedName name="_PLD2">#REF!</definedName>
    <definedName name="_PLD3" localSheetId="12">#REF!</definedName>
    <definedName name="_PLD3">#REF!</definedName>
    <definedName name="_PR1" localSheetId="12">#REF!</definedName>
    <definedName name="_PR1">#REF!</definedName>
    <definedName name="_PR2" localSheetId="12">#REF!</definedName>
    <definedName name="_PR2">#REF!</definedName>
    <definedName name="_PR3" localSheetId="12">#REF!</definedName>
    <definedName name="_PR3">#REF!</definedName>
    <definedName name="_PR4" localSheetId="12">#REF!</definedName>
    <definedName name="_PR4">#REF!</definedName>
    <definedName name="_PR5" localSheetId="12">#REF!</definedName>
    <definedName name="_PR5">#REF!</definedName>
    <definedName name="_PR6" localSheetId="12">#REF!</definedName>
    <definedName name="_PR6">#REF!</definedName>
    <definedName name="_Pt2">#REF!</definedName>
    <definedName name="_Pt3">#REF!</definedName>
    <definedName name="_pt4">#REF!</definedName>
    <definedName name="_SED1" localSheetId="12">#REF!</definedName>
    <definedName name="_SED1">#REF!</definedName>
    <definedName name="_SM1" localSheetId="12">#REF!</definedName>
    <definedName name="_SM1">#REF!</definedName>
    <definedName name="_SM2" localSheetId="12">#REF!</definedName>
    <definedName name="_SM2">#REF!</definedName>
    <definedName name="_SM3" localSheetId="12">#REF!</definedName>
    <definedName name="_SM3">#REF!</definedName>
    <definedName name="_SM4" localSheetId="12">#REF!</definedName>
    <definedName name="_SM4">#REF!</definedName>
    <definedName name="_SM5" localSheetId="12">#REF!</definedName>
    <definedName name="_SM5">#REF!</definedName>
    <definedName name="_SWO10" localSheetId="12">#REF!</definedName>
    <definedName name="_SWO10">#REF!</definedName>
    <definedName name="_SWO12" localSheetId="12">#REF!</definedName>
    <definedName name="_SWO12">#REF!</definedName>
    <definedName name="_SWO13" localSheetId="12">#REF!</definedName>
    <definedName name="_SWO13">#REF!</definedName>
    <definedName name="_SWO2" localSheetId="12">#REF!</definedName>
    <definedName name="_SWO2">#REF!</definedName>
    <definedName name="_SWO3" localSheetId="12">#REF!</definedName>
    <definedName name="_SWO3">#REF!</definedName>
    <definedName name="_SWO4" localSheetId="12">#REF!</definedName>
    <definedName name="_SWO4">#REF!</definedName>
    <definedName name="_SWO5" localSheetId="12">#REF!</definedName>
    <definedName name="_SWO5">#REF!</definedName>
    <definedName name="_SWO6" localSheetId="12">#REF!</definedName>
    <definedName name="_SWO6">#REF!</definedName>
    <definedName name="_SWO7" localSheetId="12">#REF!</definedName>
    <definedName name="_SWO7">#REF!</definedName>
    <definedName name="_SWO9" localSheetId="12">#REF!</definedName>
    <definedName name="_SWO9">#REF!</definedName>
    <definedName name="_TMO1" localSheetId="12">#REF!</definedName>
    <definedName name="_TMO1">#REF!</definedName>
    <definedName name="_TMO2" localSheetId="12">#REF!</definedName>
    <definedName name="_TMO2">#REF!</definedName>
    <definedName name="_Tox12" localSheetId="12">#REF!</definedName>
    <definedName name="_Tox12">#REF!</definedName>
    <definedName name="_WBF10" localSheetId="12">#REF!</definedName>
    <definedName name="_WBF10">#REF!</definedName>
    <definedName name="_WBF2" localSheetId="12">#REF!</definedName>
    <definedName name="_WBF2">#REF!</definedName>
    <definedName name="_WBF3" localSheetId="12">#REF!</definedName>
    <definedName name="_WBF3">#REF!</definedName>
    <definedName name="_WBF4" localSheetId="12">#REF!</definedName>
    <definedName name="_WBF4">#REF!</definedName>
    <definedName name="_WBF5" localSheetId="12">#REF!</definedName>
    <definedName name="_WBF5">#REF!</definedName>
    <definedName name="_WBF6" localSheetId="12">#REF!</definedName>
    <definedName name="_WBF6">#REF!</definedName>
    <definedName name="_WBF7" localSheetId="12">#REF!</definedName>
    <definedName name="_WBF7">#REF!</definedName>
    <definedName name="_WBF8" localSheetId="12">#REF!</definedName>
    <definedName name="_WBF8">#REF!</definedName>
    <definedName name="_WBN1" localSheetId="12">#REF!</definedName>
    <definedName name="_WBN1">#REF!</definedName>
    <definedName name="_WBN2" localSheetId="12">#REF!</definedName>
    <definedName name="_WBN2">#REF!</definedName>
    <definedName name="_WBN3" localSheetId="12">#REF!</definedName>
    <definedName name="_WBN3">#REF!</definedName>
    <definedName name="_WBN4" localSheetId="12">#REF!</definedName>
    <definedName name="_WBN4">#REF!</definedName>
    <definedName name="_WBN5" localSheetId="12">#REF!</definedName>
    <definedName name="_WBN5">#REF!</definedName>
    <definedName name="_WBN6" localSheetId="12">#REF!</definedName>
    <definedName name="_WBN6">#REF!</definedName>
    <definedName name="_WBN7" localSheetId="12">#REF!</definedName>
    <definedName name="_WBN7">#REF!</definedName>
    <definedName name="_WBN8" localSheetId="12">#REF!</definedName>
    <definedName name="_WBN8">#REF!</definedName>
    <definedName name="_WBN9" localSheetId="12">#REF!</definedName>
    <definedName name="_WBN9">#REF!</definedName>
    <definedName name="_WST1" localSheetId="12">#REF!</definedName>
    <definedName name="_WST1">#REF!</definedName>
    <definedName name="_WST2" localSheetId="12">#REF!</definedName>
    <definedName name="_WST2">#REF!</definedName>
    <definedName name="_WST3" localSheetId="12">#REF!</definedName>
    <definedName name="_WST3">#REF!</definedName>
    <definedName name="aa">SR!$D$88</definedName>
    <definedName name="ABpct10" localSheetId="12">#REF!</definedName>
    <definedName name="ABpct10">#REF!</definedName>
    <definedName name="ABpct11">#REF!</definedName>
    <definedName name="ABpct12" localSheetId="12">#REF!</definedName>
    <definedName name="ABpct12">#REF!</definedName>
    <definedName name="ABpct8" localSheetId="12">#REF!</definedName>
    <definedName name="ABpct8">#REF!</definedName>
    <definedName name="ABpct9" localSheetId="12">#REF!</definedName>
    <definedName name="ABpct9">#REF!</definedName>
    <definedName name="Access10" localSheetId="12">#REF!</definedName>
    <definedName name="Access10">#REF!</definedName>
    <definedName name="Access11" localSheetId="12">#REF!</definedName>
    <definedName name="Access11">#REF!</definedName>
    <definedName name="Access12" localSheetId="12">#REF!</definedName>
    <definedName name="Access12">#REF!</definedName>
    <definedName name="Access4">FA!$G$119</definedName>
    <definedName name="Access8" localSheetId="12">#REF!</definedName>
    <definedName name="Access8">#REF!</definedName>
    <definedName name="Access9" localSheetId="12">#REF!</definedName>
    <definedName name="Access9">#REF!</definedName>
    <definedName name="AccessFR10" localSheetId="12">#REF!</definedName>
    <definedName name="AccessFR10">#REF!</definedName>
    <definedName name="AccessPU" localSheetId="12">Subsis!#REF!</definedName>
    <definedName name="AccessPU">PU!#REF!</definedName>
    <definedName name="Accum2">CS!$G$64</definedName>
    <definedName name="Accum3">OE!$G$47</definedName>
    <definedName name="AfishAccess9" localSheetId="12">#REF!</definedName>
    <definedName name="AfishAccess9">#REF!</definedName>
    <definedName name="AfishShed" localSheetId="12">#REF!</definedName>
    <definedName name="AfishShed">#REF!</definedName>
    <definedName name="AfishShed9" localSheetId="12">#REF!</definedName>
    <definedName name="AfishShed9">#REF!</definedName>
    <definedName name="AFshed" localSheetId="12">#REF!</definedName>
    <definedName name="AFshed">#REF!</definedName>
    <definedName name="agland0">#REF!</definedName>
    <definedName name="aglandprox">#REF!</definedName>
    <definedName name="AlkPlaya" localSheetId="12">#REF!</definedName>
    <definedName name="AlkPlaya">#REF!</definedName>
    <definedName name="AllDry10" localSheetId="12">#REF!</definedName>
    <definedName name="AllDry10">#REF!</definedName>
    <definedName name="AllDry11">#REF!</definedName>
    <definedName name="AllDry12" localSheetId="12">#REF!</definedName>
    <definedName name="AllDry12">#REF!</definedName>
    <definedName name="AllDry13" localSheetId="12">#REF!</definedName>
    <definedName name="AllDry13">#REF!</definedName>
    <definedName name="AllDry2" localSheetId="12">#REF!</definedName>
    <definedName name="AllDry2">#REF!</definedName>
    <definedName name="AllDry5" localSheetId="12">#REF!</definedName>
    <definedName name="AllDry5">#REF!</definedName>
    <definedName name="AllDry5a" localSheetId="12">#REF!</definedName>
    <definedName name="AllDry5a">#REF!</definedName>
    <definedName name="AllDry6" localSheetId="12">#REF!</definedName>
    <definedName name="AllDry6">#REF!</definedName>
    <definedName name="AllDry6a" localSheetId="12">#REF!</definedName>
    <definedName name="AllDry6a">#REF!</definedName>
    <definedName name="Alldry7" localSheetId="12">#REF!</definedName>
    <definedName name="Alldry7">#REF!</definedName>
    <definedName name="AllDry7a" localSheetId="12">#REF!</definedName>
    <definedName name="AllDry7a">#REF!</definedName>
    <definedName name="AllDry8" localSheetId="12">#REF!</definedName>
    <definedName name="AllDry8">#REF!</definedName>
    <definedName name="AllDry8a" localSheetId="12">#REF!</definedName>
    <definedName name="AllDry8a">#REF!</definedName>
    <definedName name="AllDry9" localSheetId="12">#REF!</definedName>
    <definedName name="AllDry9">#REF!</definedName>
    <definedName name="AllLowMarsh9">PH!$D$10</definedName>
    <definedName name="AltTime10" localSheetId="12">#REF!</definedName>
    <definedName name="AltTime10">#REF!</definedName>
    <definedName name="AltTime11">#REF!</definedName>
    <definedName name="AltTime20" localSheetId="12">#REF!</definedName>
    <definedName name="AltTime20">#REF!</definedName>
    <definedName name="AltTime8" localSheetId="12">#REF!</definedName>
    <definedName name="AltTime8">#REF!</definedName>
    <definedName name="AltTime9" localSheetId="12">#REF!</definedName>
    <definedName name="AltTime9">#REF!</definedName>
    <definedName name="AltTiming">STR!$D$76</definedName>
    <definedName name="AltTimingIN">#REF!</definedName>
    <definedName name="AltTimingOut" localSheetId="12">#REF!</definedName>
    <definedName name="AltTimingOut">#REF!</definedName>
    <definedName name="Amphib" localSheetId="12">#REF!</definedName>
    <definedName name="Amphib">#REF!</definedName>
    <definedName name="AmPres11">#REF!</definedName>
    <definedName name="AnadAccess">FA!$G$82</definedName>
    <definedName name="AnadFish" localSheetId="12">#REF!</definedName>
    <definedName name="AnadFish">#REF!</definedName>
    <definedName name="AnadHUC7" localSheetId="12">#REF!</definedName>
    <definedName name="AnadHUC7">#REF!</definedName>
    <definedName name="AnadPrio7" localSheetId="12">#REF!</definedName>
    <definedName name="AnadPrio7">#REF!</definedName>
    <definedName name="AnadPrioShed" localSheetId="12">#REF!</definedName>
    <definedName name="AnadPrioShed">#REF!</definedName>
    <definedName name="AnimSens_S" localSheetId="12">#REF!</definedName>
    <definedName name="AnimSens_S">#REF!</definedName>
    <definedName name="AqCov4">FA!$G$22</definedName>
    <definedName name="AqPest8" localSheetId="12">#REF!</definedName>
    <definedName name="AqPest8">#REF!</definedName>
    <definedName name="AquaAlt">STR!#REF!</definedName>
    <definedName name="Aquif1" localSheetId="12">#REF!</definedName>
    <definedName name="Aquif1">#REF!</definedName>
    <definedName name="Aquifer" localSheetId="12">#REF!</definedName>
    <definedName name="Aquifer">#REF!</definedName>
    <definedName name="Aquifer4" localSheetId="12">#REF!</definedName>
    <definedName name="Aquifer4">#REF!</definedName>
    <definedName name="AreaTrend1">SR!$G$34</definedName>
    <definedName name="AreaTrend2">CS!$G$50</definedName>
    <definedName name="Aspect2" localSheetId="12">CS!#REF!</definedName>
    <definedName name="Aspect2">CS!#REF!</definedName>
    <definedName name="Aspect6">SBM!$G$98</definedName>
    <definedName name="Bare7">PH!$G$17</definedName>
    <definedName name="Barrier6">SBM!$G$63</definedName>
    <definedName name="BarriersAlt">STR!$D$25</definedName>
    <definedName name="BayRiver3">OE!$G$28</definedName>
    <definedName name="BayRiver6">SBM!$G$51</definedName>
    <definedName name="BearShed" localSheetId="12">#REF!</definedName>
    <definedName name="BearShed">#REF!</definedName>
    <definedName name="BearShed14" localSheetId="12">#REF!</definedName>
    <definedName name="BearShed14">#REF!</definedName>
    <definedName name="BearShed4">FA!$G$113</definedName>
    <definedName name="Bearshed6">SBM!$G$91</definedName>
    <definedName name="Bearshed7">PH!$G$103</definedName>
    <definedName name="BearShed9" localSheetId="12">#REF!</definedName>
    <definedName name="BearShed9">#REF!</definedName>
    <definedName name="Beaver12">WBF!$G$79</definedName>
    <definedName name="BestInScape" localSheetId="12">#REF!</definedName>
    <definedName name="BestInScape">#REF!</definedName>
    <definedName name="BestInShed" localSheetId="12">#REF!</definedName>
    <definedName name="BestInShed">#REF!</definedName>
    <definedName name="BigPondProx12" localSheetId="12">#REF!</definedName>
    <definedName name="BigPondProx12">#REF!</definedName>
    <definedName name="Biological">#REF!</definedName>
    <definedName name="BlindChan1">SR!#REF!</definedName>
    <definedName name="BlindChan2" localSheetId="12">CS!#REF!</definedName>
    <definedName name="BlindChan2">CS!#REF!</definedName>
    <definedName name="BlindChan3">OE!$G$18</definedName>
    <definedName name="BlindChan4">FA!$G$39</definedName>
    <definedName name="BlindChan5">WBF!$G$36</definedName>
    <definedName name="BMP18s">Sens!$G$26</definedName>
    <definedName name="BMP6w">SBM!$G$37</definedName>
    <definedName name="BMPwild">WBF!$G$35</definedName>
    <definedName name="BoatsPD" localSheetId="12">#REF!</definedName>
    <definedName name="BoatsPD">#REF!</definedName>
    <definedName name="BoatVector" localSheetId="12">#REF!</definedName>
    <definedName name="BoatVector">#REF!</definedName>
    <definedName name="Bog" localSheetId="12">#REF!</definedName>
    <definedName name="Bog">#REF!</definedName>
    <definedName name="Bog_S" localSheetId="12">#REF!</definedName>
    <definedName name="Bog_S">#REF!</definedName>
    <definedName name="Bogs6" localSheetId="12">#REF!</definedName>
    <definedName name="Bogs6">#REF!</definedName>
    <definedName name="BogW" localSheetId="12">#REF!</definedName>
    <definedName name="BogW">#REF!</definedName>
    <definedName name="Browsed14" localSheetId="12">#REF!</definedName>
    <definedName name="Browsed14">#REF!</definedName>
    <definedName name="BrowsedS">#REF!</definedName>
    <definedName name="BuffCovPct1">SR!$G$40</definedName>
    <definedName name="BuffCUnatPct9" localSheetId="12">#REF!</definedName>
    <definedName name="BuffCUnatPct9">#REF!</definedName>
    <definedName name="BuffDisturbTyp">#REF!</definedName>
    <definedName name="BufferWeeds" localSheetId="12">#REF!</definedName>
    <definedName name="BufferWeeds">#REF!</definedName>
    <definedName name="BuffLC6">SBM!$G$27</definedName>
    <definedName name="BuffLCpct4">FA!$G$30</definedName>
    <definedName name="BuffLCtype1">SR!#REF!</definedName>
    <definedName name="BuffLCtype4">FA!$G$36</definedName>
    <definedName name="BuffLCtype6">SBM!$G$33</definedName>
    <definedName name="BuffLU10" localSheetId="12">#REF!</definedName>
    <definedName name="BuffLU10">#REF!</definedName>
    <definedName name="BuffLU11">#REF!</definedName>
    <definedName name="BuffLU14" localSheetId="12">#REF!</definedName>
    <definedName name="BuffLU14">#REF!</definedName>
    <definedName name="BuffLU8" localSheetId="12">#REF!</definedName>
    <definedName name="BuffLU8">#REF!</definedName>
    <definedName name="BuffLU9" localSheetId="12">#REF!</definedName>
    <definedName name="BuffLU9">#REF!</definedName>
    <definedName name="BuffLUpd" localSheetId="12">#REF!</definedName>
    <definedName name="BuffLUpd">#REF!</definedName>
    <definedName name="BuffLUtyp7">PH!$G$48</definedName>
    <definedName name="BuffLUtype13" localSheetId="12">#REF!</definedName>
    <definedName name="BuffLUtype13">#REF!</definedName>
    <definedName name="BuffNatPct13" localSheetId="12">#REF!</definedName>
    <definedName name="BuffNatPct13">#REF!</definedName>
    <definedName name="BuffNatPct18">Sens!$G$15</definedName>
    <definedName name="BuffNatPct7">PH!$G$42</definedName>
    <definedName name="BuffPctCU10" localSheetId="12">#REF!</definedName>
    <definedName name="BuffPctCU10">#REF!</definedName>
    <definedName name="BuffSlope_S" localSheetId="12">#REF!</definedName>
    <definedName name="BuffSlope_S">#REF!</definedName>
    <definedName name="BuffSlope1">SR!$G$46</definedName>
    <definedName name="BuffSlope18">Sens!$G$21</definedName>
    <definedName name="BuffSlope2">SR!$G$142</definedName>
    <definedName name="BuffSlope3">OE!#REF!</definedName>
    <definedName name="BuffVdens" localSheetId="12">#REF!</definedName>
    <definedName name="BuffVdens">#REF!</definedName>
    <definedName name="BuffVeg2" localSheetId="12">#REF!</definedName>
    <definedName name="BuffVeg2">#REF!</definedName>
    <definedName name="BuffVpct3" localSheetId="12">#REF!</definedName>
    <definedName name="BuffVpct3">#REF!</definedName>
    <definedName name="BuffVpct4" localSheetId="12">#REF!</definedName>
    <definedName name="BuffVpct4">#REF!</definedName>
    <definedName name="ByFreshWet6">SBM!#REF!</definedName>
    <definedName name="CAcover1">SR!$G$79</definedName>
    <definedName name="calcarPD" localSheetId="12">#REF!</definedName>
    <definedName name="calcarPD">#REF!</definedName>
    <definedName name="Calcium3" localSheetId="12">#REF!</definedName>
    <definedName name="Calcium3">#REF!</definedName>
    <definedName name="Calcium5" localSheetId="12">#REF!</definedName>
    <definedName name="Calcium5">#REF!</definedName>
    <definedName name="CAnatPct2" localSheetId="12">#REF!</definedName>
    <definedName name="CAnatPct2">#REF!</definedName>
    <definedName name="CAnatPct4" localSheetId="12">#REF!</definedName>
    <definedName name="CAnatPct4">#REF!</definedName>
    <definedName name="CApct1">#REF!</definedName>
    <definedName name="CApct2" localSheetId="12">#REF!</definedName>
    <definedName name="CApct2">#REF!</definedName>
    <definedName name="CApct2F" localSheetId="12">#REF!</definedName>
    <definedName name="CApct2F">#REF!</definedName>
    <definedName name="CApct3" localSheetId="12">#REF!</definedName>
    <definedName name="CApct3">#REF!</definedName>
    <definedName name="CApct4" localSheetId="12">#REF!</definedName>
    <definedName name="CApct4">#REF!</definedName>
    <definedName name="CApctB3" localSheetId="12">#REF!</definedName>
    <definedName name="CApctB3">#REF!</definedName>
    <definedName name="CAunveg1">#REF!</definedName>
    <definedName name="ChanComplex3">OE!$G$19</definedName>
    <definedName name="ChanComplex4">FA!$G$40</definedName>
    <definedName name="ChanComplex5">WBF!$G$37</definedName>
    <definedName name="Class" localSheetId="12">#REF!</definedName>
    <definedName name="Class">#REF!</definedName>
    <definedName name="cliff0">#REF!</definedName>
    <definedName name="Cliff14" localSheetId="12">#REF!</definedName>
    <definedName name="Cliff14">#REF!</definedName>
    <definedName name="Cliffs14" localSheetId="12">#REF!</definedName>
    <definedName name="Cliffs14">#REF!</definedName>
    <definedName name="Cliffs6">SBM!$G$36</definedName>
    <definedName name="Climate12">WBF!$G$173</definedName>
    <definedName name="COA">#REF!</definedName>
    <definedName name="Complex1">SR!#REF!</definedName>
    <definedName name="Complex2" localSheetId="12">CS!#REF!</definedName>
    <definedName name="Complex2">CS!#REF!</definedName>
    <definedName name="ConservSite" localSheetId="12">Subsis!#REF!</definedName>
    <definedName name="ConservSite">PU!$G$40</definedName>
    <definedName name="ConsInvest">#REF!</definedName>
    <definedName name="Constric_C" localSheetId="12">#REF!</definedName>
    <definedName name="Constric_C">#REF!</definedName>
    <definedName name="Constric_S" localSheetId="12">#REF!</definedName>
    <definedName name="Constric_S">#REF!</definedName>
    <definedName name="Constric1">#REF!</definedName>
    <definedName name="Constric10" localSheetId="12">#REF!</definedName>
    <definedName name="Constric10">#REF!</definedName>
    <definedName name="Constric2" localSheetId="12">CS!#REF!</definedName>
    <definedName name="Constric2">CS!#REF!</definedName>
    <definedName name="Constric3">OE!#REF!</definedName>
    <definedName name="Constric4">FA!$G$3</definedName>
    <definedName name="Constric5" localSheetId="12">#REF!</definedName>
    <definedName name="Constric5">#REF!</definedName>
    <definedName name="Constric6" localSheetId="12">#REF!</definedName>
    <definedName name="Constric6">#REF!</definedName>
    <definedName name="ConsumpUse">Subsis!$G$8</definedName>
    <definedName name="ContribUp" localSheetId="12">#REF!</definedName>
    <definedName name="ContribUp">#REF!</definedName>
    <definedName name="Convenience">PU!$G$43</definedName>
    <definedName name="Core1">#REF!</definedName>
    <definedName name="Core1_11">#REF!</definedName>
    <definedName name="Core1_13" localSheetId="12">#REF!</definedName>
    <definedName name="Core1_13">#REF!</definedName>
    <definedName name="Core1_5">WBF!$G$23</definedName>
    <definedName name="Core1_7">PH!$G$51</definedName>
    <definedName name="Core12a" localSheetId="12">#REF!</definedName>
    <definedName name="Core12a">#REF!</definedName>
    <definedName name="Core12b" localSheetId="12">#REF!</definedName>
    <definedName name="Core12b">#REF!</definedName>
    <definedName name="Core13a" localSheetId="12">#REF!</definedName>
    <definedName name="Core13a">#REF!</definedName>
    <definedName name="Core14a" localSheetId="12">#REF!</definedName>
    <definedName name="Core14a">#REF!</definedName>
    <definedName name="Core14b" localSheetId="12">#REF!</definedName>
    <definedName name="Core14b">#REF!</definedName>
    <definedName name="Core1alt">STR!$G$3</definedName>
    <definedName name="Core1pd" localSheetId="12">#REF!</definedName>
    <definedName name="Core1pd">#REF!</definedName>
    <definedName name="Core1PU" localSheetId="12">Subsis!#REF!</definedName>
    <definedName name="Core1PU">PU!$G$3</definedName>
    <definedName name="Core2">#REF!</definedName>
    <definedName name="Core2_11">#REF!</definedName>
    <definedName name="Core2_13" localSheetId="12">#REF!</definedName>
    <definedName name="Core2_13">#REF!</definedName>
    <definedName name="Core2_5">WBF!$G$30</definedName>
    <definedName name="Core2_7">PH!$G$58</definedName>
    <definedName name="Core2alt">STR!$G$10</definedName>
    <definedName name="Core2pd" localSheetId="12">#REF!</definedName>
    <definedName name="Core2pd">#REF!</definedName>
    <definedName name="Core2PU" localSheetId="12">Subsis!#REF!</definedName>
    <definedName name="Core2PU">PU!$G$10</definedName>
    <definedName name="County" localSheetId="12">#REF!</definedName>
    <definedName name="County">#REF!</definedName>
    <definedName name="CountyNPrank" localSheetId="12">#REF!</definedName>
    <definedName name="CountyNPrank">#REF!</definedName>
    <definedName name="CoverAppro_C" localSheetId="12">#REF!</definedName>
    <definedName name="CoverAppro_C">#REF!</definedName>
    <definedName name="CoverAppro2" localSheetId="12">#REF!</definedName>
    <definedName name="CoverAppro2">#REF!</definedName>
    <definedName name="Cowardin" localSheetId="12">#REF!</definedName>
    <definedName name="Cowardin">#REF!</definedName>
    <definedName name="crops0" localSheetId="12">#REF!</definedName>
    <definedName name="crops0">#REF!</definedName>
    <definedName name="Crowds" localSheetId="12">#REF!</definedName>
    <definedName name="Crowds">#REF!</definedName>
    <definedName name="Crowds2" localSheetId="12">#REF!</definedName>
    <definedName name="Crowds2">#REF!</definedName>
    <definedName name="CSshed" localSheetId="12">#REF!</definedName>
    <definedName name="CSshed">#REF!</definedName>
    <definedName name="CtyRankNP" localSheetId="12">#REF!</definedName>
    <definedName name="CtyRankNP">#REF!</definedName>
    <definedName name="CUbuffLUtype8" localSheetId="12">#REF!</definedName>
    <definedName name="CUbuffLUtype8">#REF!</definedName>
    <definedName name="CUbuffNatPct14" localSheetId="12">#REF!</definedName>
    <definedName name="CUbuffNatPct14">#REF!</definedName>
    <definedName name="CUbuffPctNat_S" localSheetId="12">#REF!</definedName>
    <definedName name="CUbuffPctNat_S">#REF!</definedName>
    <definedName name="CUbuffPctNat8" localSheetId="12">#REF!</definedName>
    <definedName name="CUbuffPctNat8">#REF!</definedName>
    <definedName name="CUratio_S" localSheetId="12">#REF!</definedName>
    <definedName name="CUratio_S">#REF!</definedName>
    <definedName name="CUratioSS" localSheetId="12">#REF!</definedName>
    <definedName name="CUratioSS">#REF!</definedName>
    <definedName name="CUtypeLU14" localSheetId="12">#REF!</definedName>
    <definedName name="CUtypeLU14">#REF!</definedName>
    <definedName name="DeadZone" localSheetId="12">#REF!</definedName>
    <definedName name="DeadZone">#REF!</definedName>
    <definedName name="DeepSpot11">#REF!</definedName>
    <definedName name="DeepSpot12" localSheetId="12">#REF!</definedName>
    <definedName name="DeepSpot12">#REF!</definedName>
    <definedName name="DeerShed14" localSheetId="12">#REF!</definedName>
    <definedName name="DeerShed14">#REF!</definedName>
    <definedName name="Depth_S" localSheetId="12">#REF!</definedName>
    <definedName name="Depth_S">#REF!</definedName>
    <definedName name="Depth10" localSheetId="12">#REF!</definedName>
    <definedName name="Depth10">#REF!</definedName>
    <definedName name="Depth12" localSheetId="12">#REF!</definedName>
    <definedName name="Depth12">#REF!</definedName>
    <definedName name="Depth13" localSheetId="12">#REF!</definedName>
    <definedName name="Depth13">#REF!</definedName>
    <definedName name="Depth15" localSheetId="12">#REF!</definedName>
    <definedName name="Depth15">#REF!</definedName>
    <definedName name="Depth5" localSheetId="12">#REF!</definedName>
    <definedName name="Depth5">#REF!</definedName>
    <definedName name="Depth6" localSheetId="12">#REF!</definedName>
    <definedName name="Depth6">#REF!</definedName>
    <definedName name="Depth7">#REF!</definedName>
    <definedName name="Depth8" localSheetId="12">#REF!</definedName>
    <definedName name="Depth8">#REF!</definedName>
    <definedName name="Depth9" localSheetId="12">#REF!</definedName>
    <definedName name="Depth9">#REF!</definedName>
    <definedName name="DepthC2" localSheetId="12">#REF!</definedName>
    <definedName name="DepthC2">#REF!</definedName>
    <definedName name="DepthDom5" localSheetId="12">#REF!</definedName>
    <definedName name="DepthDom5">#REF!</definedName>
    <definedName name="DepthEven10" localSheetId="12">#REF!</definedName>
    <definedName name="DepthEven10">#REF!</definedName>
    <definedName name="DepthEven11" localSheetId="12">#REF!</definedName>
    <definedName name="DepthEven11">#REF!</definedName>
    <definedName name="DepthEven12" localSheetId="12">#REF!</definedName>
    <definedName name="DepthEven12">#REF!</definedName>
    <definedName name="DepthEven13" localSheetId="12">#REF!</definedName>
    <definedName name="DepthEven13">#REF!</definedName>
    <definedName name="DepthEven8" localSheetId="12">#REF!</definedName>
    <definedName name="DepthEven8">#REF!</definedName>
    <definedName name="Designated" localSheetId="12">#REF!</definedName>
    <definedName name="Designated">#REF!</definedName>
    <definedName name="Deveg_C">#REF!</definedName>
    <definedName name="Deveg11">#REF!</definedName>
    <definedName name="Deveg13" localSheetId="12">#REF!</definedName>
    <definedName name="Deveg13">#REF!</definedName>
    <definedName name="Deveg14" localSheetId="12">#REF!</definedName>
    <definedName name="Deveg14">#REF!</definedName>
    <definedName name="Deveg2" localSheetId="12">#REF!</definedName>
    <definedName name="Deveg2">#REF!</definedName>
    <definedName name="Deveg5" localSheetId="12">#REF!</definedName>
    <definedName name="Deveg5">#REF!</definedName>
    <definedName name="Deveg6" localSheetId="12">#REF!</definedName>
    <definedName name="Deveg6">#REF!</definedName>
    <definedName name="Deveg8" localSheetId="12">#REF!</definedName>
    <definedName name="Deveg8">#REF!</definedName>
    <definedName name="devegPD" localSheetId="12">#REF!</definedName>
    <definedName name="devegPD">#REF!</definedName>
    <definedName name="DisRd14" localSheetId="12">#REF!</definedName>
    <definedName name="DisRd14">#REF!</definedName>
    <definedName name="Dist2Nat7">PH!$G$82</definedName>
    <definedName name="DistAqCult4">FA!#REF!</definedName>
    <definedName name="DistEelg4">FA!$G$77</definedName>
    <definedName name="DistExceedSS" localSheetId="12">#REF!</definedName>
    <definedName name="DistExceedSS">#REF!</definedName>
    <definedName name="DistNatur6">SBM!$G$64</definedName>
    <definedName name="DistRd">#REF!</definedName>
    <definedName name="DistRdPD" localSheetId="12">#REF!</definedName>
    <definedName name="DistRdPD">#REF!</definedName>
    <definedName name="DistTidal4v">FA!$G$108</definedName>
    <definedName name="DistTidal5v">WBF!$G$116</definedName>
    <definedName name="DistTidal7v">PH!$G$111</definedName>
    <definedName name="DistTidalM4">FA!$G$72</definedName>
    <definedName name="DistTidalPU">PU!$G$34</definedName>
    <definedName name="Disturb" localSheetId="12">#REF!</definedName>
    <definedName name="Disturb">#REF!</definedName>
    <definedName name="Ditching1" localSheetId="12">#REF!</definedName>
    <definedName name="Ditching1">#REF!</definedName>
    <definedName name="DomDepth3" localSheetId="12">#REF!</definedName>
    <definedName name="DomDepth3">#REF!</definedName>
    <definedName name="DownDistExceedSS" localSheetId="12">#REF!</definedName>
    <definedName name="DownDistExceedSS">#REF!</definedName>
    <definedName name="DownEroding" localSheetId="12">#REF!</definedName>
    <definedName name="DownEroding">#REF!</definedName>
    <definedName name="DownExceed" localSheetId="12">#REF!</definedName>
    <definedName name="DownExceed">#REF!</definedName>
    <definedName name="DownExceed2" localSheetId="12">#REF!</definedName>
    <definedName name="DownExceed2">#REF!</definedName>
    <definedName name="DownExceedDist" localSheetId="12">#REF!</definedName>
    <definedName name="DownExceedDist">#REF!</definedName>
    <definedName name="DownExceedSS" localSheetId="12">#REF!</definedName>
    <definedName name="DownExceedSS">#REF!</definedName>
    <definedName name="DownNitrate" localSheetId="12">#REF!</definedName>
    <definedName name="DownNitrate">#REF!</definedName>
    <definedName name="DownPhos" localSheetId="12">#REF!</definedName>
    <definedName name="DownPhos">#REF!</definedName>
    <definedName name="DownStorage" localSheetId="12">#REF!</definedName>
    <definedName name="DownStorage">#REF!</definedName>
    <definedName name="DownStore1">#REF!</definedName>
    <definedName name="DownThermo" localSheetId="12">#REF!</definedName>
    <definedName name="DownThermo">#REF!</definedName>
    <definedName name="DownTurb" localSheetId="12">#REF!</definedName>
    <definedName name="DownTurb">#REF!</definedName>
    <definedName name="downwood0">#REF!</definedName>
    <definedName name="DownWQdis2" localSheetId="12">#REF!</definedName>
    <definedName name="DownWQdis2">#REF!</definedName>
    <definedName name="Drawdown3" localSheetId="12">#REF!</definedName>
    <definedName name="Drawdown3">#REF!</definedName>
    <definedName name="Drier">#REF!</definedName>
    <definedName name="drier1">#REF!</definedName>
    <definedName name="drier1a">#REF!</definedName>
    <definedName name="Drier3" localSheetId="12">#REF!</definedName>
    <definedName name="Drier3">#REF!</definedName>
    <definedName name="Drier4" localSheetId="12">#REF!</definedName>
    <definedName name="Drier4">#REF!</definedName>
    <definedName name="Drier5" localSheetId="12">#REF!</definedName>
    <definedName name="Drier5">#REF!</definedName>
    <definedName name="DrierCA">STR!$D$75</definedName>
    <definedName name="DrierEx">#REF!</definedName>
    <definedName name="DrierIn">STR!$D$74</definedName>
    <definedName name="DrierIn2">CS!$G$61</definedName>
    <definedName name="DrierUp2">CS!$G$62</definedName>
    <definedName name="Driftwd7">SBM!$G$21</definedName>
    <definedName name="Drink4" localSheetId="12">#REF!</definedName>
    <definedName name="Drink4">#REF!</definedName>
    <definedName name="DryAtHi18">Sens!#REF!</definedName>
    <definedName name="DryAtHigh4" localSheetId="12">FA!#REF!</definedName>
    <definedName name="DryAtHigh4">FA!#REF!</definedName>
    <definedName name="Dryland6">SBM!#REF!</definedName>
    <definedName name="DryLand7">PH!#REF!</definedName>
    <definedName name="DuckFood12" localSheetId="12">#REF!</definedName>
    <definedName name="DuckFood12">#REF!</definedName>
    <definedName name="DuckFood13" localSheetId="12">#REF!</definedName>
    <definedName name="DuckFood13">#REF!</definedName>
    <definedName name="DuckHunt" localSheetId="12">#REF!</definedName>
    <definedName name="DuckHunt">#REF!</definedName>
    <definedName name="DWsource3" localSheetId="12">#REF!</definedName>
    <definedName name="DWsource3">#REF!</definedName>
    <definedName name="EdgeShape2" localSheetId="12">CS!#REF!</definedName>
    <definedName name="EdgeShape2">CS!#REF!</definedName>
    <definedName name="EdgeShape6">SBM!$G$38</definedName>
    <definedName name="EelgDis5">WBF!$G$84</definedName>
    <definedName name="Eelgrass1">SR!$G$51</definedName>
    <definedName name="Elev">SR!$G$163</definedName>
    <definedName name="Elev1">#REF!</definedName>
    <definedName name="Elev10" localSheetId="12">#REF!</definedName>
    <definedName name="Elev10">#REF!</definedName>
    <definedName name="Elev11">#REF!</definedName>
    <definedName name="Elev12" localSheetId="12">#REF!</definedName>
    <definedName name="Elev12">#REF!</definedName>
    <definedName name="Elev3" localSheetId="12">#REF!</definedName>
    <definedName name="Elev3">#REF!</definedName>
    <definedName name="Elev4" localSheetId="12">#REF!</definedName>
    <definedName name="Elev4">#REF!</definedName>
    <definedName name="Elev5" localSheetId="12">#REF!</definedName>
    <definedName name="Elev5">#REF!</definedName>
    <definedName name="Elev6" localSheetId="12">#REF!</definedName>
    <definedName name="Elev6">#REF!</definedName>
    <definedName name="EmPct12" localSheetId="12">#REF!</definedName>
    <definedName name="EmPct12">#REF!</definedName>
    <definedName name="EmPct13" localSheetId="12">#REF!</definedName>
    <definedName name="EmPct13">#REF!</definedName>
    <definedName name="EmPct8" localSheetId="12">#REF!</definedName>
    <definedName name="EmPct8">#REF!</definedName>
    <definedName name="EmSens1_C">#REF!</definedName>
    <definedName name="EmSens1_S" localSheetId="12">#REF!</definedName>
    <definedName name="EmSens1_S">#REF!</definedName>
    <definedName name="EmSens2_C">#REF!</definedName>
    <definedName name="EmSens2_S" localSheetId="12">#REF!</definedName>
    <definedName name="EmSens2_S">#REF!</definedName>
    <definedName name="ErodAlt">STR!$G$59</definedName>
    <definedName name="Erode1">SR!$G$74</definedName>
    <definedName name="Erodib_S" localSheetId="12">#REF!</definedName>
    <definedName name="Erodib_S">#REF!</definedName>
    <definedName name="Erodible2" localSheetId="12">#REF!</definedName>
    <definedName name="Erodible2">#REF!</definedName>
    <definedName name="ErodibleSS" localSheetId="12">#REF!</definedName>
    <definedName name="ErodibleSS">#REF!</definedName>
    <definedName name="Eroding_C" localSheetId="12">#REF!</definedName>
    <definedName name="Eroding_C">#REF!</definedName>
    <definedName name="Eroding2" localSheetId="12">#REF!</definedName>
    <definedName name="Eroding2">#REF!</definedName>
    <definedName name="ErodScore3" localSheetId="12">#REF!</definedName>
    <definedName name="ErodScore3">#REF!</definedName>
    <definedName name="EstuPos1" localSheetId="12">#REF!</definedName>
    <definedName name="EstuPos1">#REF!</definedName>
    <definedName name="EstuPos1low" localSheetId="12">#REF!</definedName>
    <definedName name="EstuPos1low">#REF!</definedName>
    <definedName name="EstuPos1mid" localSheetId="12">#REF!</definedName>
    <definedName name="EstuPos1mid">#REF!</definedName>
    <definedName name="EstuPos1up" localSheetId="12">#REF!</definedName>
    <definedName name="EstuPos1up">#REF!</definedName>
    <definedName name="EstuPos3" localSheetId="12">#REF!</definedName>
    <definedName name="EstuPos3">#REF!</definedName>
    <definedName name="EstuPos5" localSheetId="12">#REF!</definedName>
    <definedName name="EstuPos5">#REF!</definedName>
    <definedName name="EstuPos9" localSheetId="12">#REF!</definedName>
    <definedName name="EstuPos9">#REF!</definedName>
    <definedName name="EstuPosLo9" localSheetId="12">#REF!</definedName>
    <definedName name="EstuPosLo9">#REF!</definedName>
    <definedName name="EstuPosMid9" localSheetId="12">#REF!</definedName>
    <definedName name="EstuPosMid9">#REF!</definedName>
    <definedName name="EstuPosPD" localSheetId="12">#REF!</definedName>
    <definedName name="EstuPosPD">#REF!</definedName>
    <definedName name="EstuPosUp9" localSheetId="12">#REF!</definedName>
    <definedName name="EstuPosUp9">#REF!</definedName>
    <definedName name="EstuScape5">WBF!$G$103</definedName>
    <definedName name="EstuScape7">PH!#REF!</definedName>
    <definedName name="EstuShed18">Sens!#REF!</definedName>
    <definedName name="EstuShed5">WBF!#REF!</definedName>
    <definedName name="EstuShedPU" localSheetId="12">Subsis!#REF!</definedName>
    <definedName name="EstuShedPU">PU!#REF!</definedName>
    <definedName name="exoticmivs8" localSheetId="12">#REF!</definedName>
    <definedName name="exoticmivs8">#REF!</definedName>
    <definedName name="Exotics" localSheetId="12">#REF!</definedName>
    <definedName name="Exotics">#REF!</definedName>
    <definedName name="Exporting3">OE!$G$49</definedName>
    <definedName name="Fetch1">SR!$G$22</definedName>
    <definedName name="Fetch18">Sens!$G$27</definedName>
    <definedName name="Fetch2">CS!$G$44</definedName>
    <definedName name="Fetch3">OE!$G$34</definedName>
    <definedName name="Fetch5">WBF!$G$73</definedName>
    <definedName name="Fetch6">SBM!$G$85</definedName>
    <definedName name="FHA4a" localSheetId="12">#REF!</definedName>
    <definedName name="FHA4a">#REF!</definedName>
    <definedName name="Fire4" localSheetId="12">#REF!</definedName>
    <definedName name="Fire4">#REF!</definedName>
    <definedName name="firehay0" localSheetId="12">#REF!</definedName>
    <definedName name="firehay0">#REF!</definedName>
    <definedName name="FireHay12" localSheetId="12">#REF!</definedName>
    <definedName name="FireHay12">#REF!</definedName>
    <definedName name="FireHay13" localSheetId="12">#REF!</definedName>
    <definedName name="FireHay13">#REF!</definedName>
    <definedName name="FireHay3" localSheetId="12">#REF!</definedName>
    <definedName name="FireHay3">#REF!</definedName>
    <definedName name="FireHay5" localSheetId="12">#REF!</definedName>
    <definedName name="FireHay5">#REF!</definedName>
    <definedName name="FireHay6" localSheetId="12">#REF!</definedName>
    <definedName name="FireHay6">#REF!</definedName>
    <definedName name="FireHayPD" localSheetId="12">#REF!</definedName>
    <definedName name="FireHayPD">#REF!</definedName>
    <definedName name="Fish12a" localSheetId="12">#REF!</definedName>
    <definedName name="Fish12a">#REF!</definedName>
    <definedName name="FishAcc11">#REF!</definedName>
    <definedName name="FishAcc12" localSheetId="12">#REF!</definedName>
    <definedName name="FishAcc12">#REF!</definedName>
    <definedName name="FishAccess">Subsis!$G$20</definedName>
    <definedName name="Fishblock">T!$D$5</definedName>
    <definedName name="Fishblock4">FA!$G$3</definedName>
    <definedName name="Fishing" localSheetId="12">#REF!</definedName>
    <definedName name="Fishing">#REF!</definedName>
    <definedName name="Floodable" localSheetId="12">#REF!</definedName>
    <definedName name="Floodable">#REF!</definedName>
    <definedName name="FloodBdg1">#REF!</definedName>
    <definedName name="FloodPct3">OE!$G$3</definedName>
    <definedName name="FloodPct4">FA!$G$7</definedName>
    <definedName name="FlowThruFringe" localSheetId="12">T!#REF!</definedName>
    <definedName name="FlowThruFringe">T!#REF!</definedName>
    <definedName name="FlucMax1" localSheetId="12">#REF!</definedName>
    <definedName name="FlucMax1">#REF!</definedName>
    <definedName name="FlucMax11" localSheetId="12">#REF!</definedName>
    <definedName name="FlucMax11">#REF!</definedName>
    <definedName name="FlucMax13" localSheetId="12">#REF!</definedName>
    <definedName name="FlucMax13">#REF!</definedName>
    <definedName name="FlucMax2" localSheetId="12">#REF!</definedName>
    <definedName name="FlucMax2">#REF!</definedName>
    <definedName name="FlucMax3" localSheetId="12">#REF!</definedName>
    <definedName name="FlucMax3">#REF!</definedName>
    <definedName name="FlucMax4" localSheetId="12">#REF!</definedName>
    <definedName name="FlucMax4">#REF!</definedName>
    <definedName name="FlucMax5" localSheetId="12">#REF!</definedName>
    <definedName name="FlucMax5">#REF!</definedName>
    <definedName name="FlucMax6" localSheetId="12">#REF!</definedName>
    <definedName name="FlucMax6">#REF!</definedName>
    <definedName name="FlucMost2" localSheetId="12">#REF!</definedName>
    <definedName name="FlucMost2">#REF!</definedName>
    <definedName name="Fluctu11">#REF!</definedName>
    <definedName name="Fluctu13" localSheetId="12">#REF!</definedName>
    <definedName name="Fluctu13">#REF!</definedName>
    <definedName name="Fluctu3" localSheetId="12">#REF!</definedName>
    <definedName name="Fluctu3">#REF!</definedName>
    <definedName name="Fluctu4" localSheetId="12">#REF!</definedName>
    <definedName name="Fluctu4">#REF!</definedName>
    <definedName name="Fluctu5" localSheetId="12">#REF!</definedName>
    <definedName name="Fluctu5">#REF!</definedName>
    <definedName name="Fluctu6" localSheetId="12">#REF!</definedName>
    <definedName name="Fluctu6">#REF!</definedName>
    <definedName name="Fluctu8" localSheetId="12">#REF!</definedName>
    <definedName name="Fluctu8">#REF!</definedName>
    <definedName name="Fluctua1">#REF!</definedName>
    <definedName name="ForestPctScape11" localSheetId="12">#REF!</definedName>
    <definedName name="ForestPctScape11">#REF!</definedName>
    <definedName name="ForestPctScape14" localSheetId="12">#REF!</definedName>
    <definedName name="ForestPctScape14">#REF!</definedName>
    <definedName name="ForestProx11" localSheetId="12">#REF!</definedName>
    <definedName name="ForestProx11">#REF!</definedName>
    <definedName name="ForestProx14" localSheetId="12">#REF!</definedName>
    <definedName name="ForestProx14">#REF!</definedName>
    <definedName name="ForestSize11" localSheetId="12">#REF!</definedName>
    <definedName name="ForestSize11">#REF!</definedName>
    <definedName name="ForestSize14" localSheetId="12">#REF!</definedName>
    <definedName name="ForestSize14">#REF!</definedName>
    <definedName name="Freeze_S" localSheetId="12">#REF!</definedName>
    <definedName name="Freeze_S">#REF!</definedName>
    <definedName name="Freeze1">#REF!</definedName>
    <definedName name="Freeze10" localSheetId="12">#REF!</definedName>
    <definedName name="Freeze10">#REF!</definedName>
    <definedName name="Freeze12" localSheetId="12">#REF!</definedName>
    <definedName name="Freeze12">#REF!</definedName>
    <definedName name="Freeze2" localSheetId="12">#REF!</definedName>
    <definedName name="Freeze2">#REF!</definedName>
    <definedName name="Freeze3" localSheetId="12">#REF!</definedName>
    <definedName name="Freeze3">#REF!</definedName>
    <definedName name="Freeze4" localSheetId="12">#REF!</definedName>
    <definedName name="Freeze4">#REF!</definedName>
    <definedName name="Freeze5" localSheetId="12">#REF!</definedName>
    <definedName name="Freeze5">#REF!</definedName>
    <definedName name="Freeze6" localSheetId="12">#REF!</definedName>
    <definedName name="Freeze6">#REF!</definedName>
    <definedName name="Freeze9" localSheetId="12">#REF!</definedName>
    <definedName name="Freeze9">#REF!</definedName>
    <definedName name="FreezeProne" localSheetId="12">#REF!</definedName>
    <definedName name="FreezeProne">#REF!</definedName>
    <definedName name="Fresh11" localSheetId="12">#REF!</definedName>
    <definedName name="Fresh11">#REF!</definedName>
    <definedName name="Fringe1">#REF!</definedName>
    <definedName name="Fringe10" localSheetId="12">#REF!</definedName>
    <definedName name="Fringe10">#REF!</definedName>
    <definedName name="Fringe12" localSheetId="12">#REF!</definedName>
    <definedName name="Fringe12">#REF!</definedName>
    <definedName name="Fringe12a" localSheetId="12">#REF!</definedName>
    <definedName name="Fringe12a">#REF!</definedName>
    <definedName name="Fringe13" localSheetId="12">#REF!</definedName>
    <definedName name="Fringe13">#REF!</definedName>
    <definedName name="Fringe2" localSheetId="12">#REF!</definedName>
    <definedName name="Fringe2">#REF!</definedName>
    <definedName name="Fringe7a">#REF!</definedName>
    <definedName name="Fringe7b">#REF!</definedName>
    <definedName name="Fringe9" localSheetId="12">#REF!</definedName>
    <definedName name="Fringe9">#REF!</definedName>
    <definedName name="FscoreSRM" localSheetId="12">#REF!</definedName>
    <definedName name="FscoreSRM">#REF!</definedName>
    <definedName name="FscoreWBF" localSheetId="12">#REF!</definedName>
    <definedName name="FscoreWBF">#REF!</definedName>
    <definedName name="FscoreWBN" localSheetId="12">#REF!</definedName>
    <definedName name="FscoreWBN">#REF!</definedName>
    <definedName name="Gcover_S" localSheetId="12">#REF!</definedName>
    <definedName name="Gcover_S">#REF!</definedName>
    <definedName name="gcover0">#REF!</definedName>
    <definedName name="Gcover1">SR!$G$17</definedName>
    <definedName name="Gcover11">#REF!</definedName>
    <definedName name="Gcover14" localSheetId="12">#REF!</definedName>
    <definedName name="Gcover14">#REF!</definedName>
    <definedName name="Gcover2">CS!$G$23</definedName>
    <definedName name="Gcover3" localSheetId="12">#REF!</definedName>
    <definedName name="Gcover3">#REF!</definedName>
    <definedName name="Gcover4" localSheetId="12">#REF!</definedName>
    <definedName name="Gcover4">#REF!</definedName>
    <definedName name="Gcover5" localSheetId="12">#REF!</definedName>
    <definedName name="Gcover5">#REF!</definedName>
    <definedName name="Gcover6" localSheetId="12">#REF!</definedName>
    <definedName name="Gcover6">#REF!</definedName>
    <definedName name="Gcover8" localSheetId="12">#REF!</definedName>
    <definedName name="Gcover8">#REF!</definedName>
    <definedName name="GDD_S" localSheetId="12">#REF!</definedName>
    <definedName name="GDD_S">#REF!</definedName>
    <definedName name="Geog2">CS!$G$34</definedName>
    <definedName name="Geog3">OE!$G$24</definedName>
    <definedName name="Geog4">FA!$G$58</definedName>
    <definedName name="Geog5">WBF!$G$51</definedName>
    <definedName name="Geog6">SBM!$G$47</definedName>
    <definedName name="Geograph5">WBF!$G$47</definedName>
    <definedName name="Geography12">WBF!#REF!</definedName>
    <definedName name="girreg0">#REF!</definedName>
    <definedName name="Girreg1">#REF!</definedName>
    <definedName name="Girreg11">#REF!</definedName>
    <definedName name="Girreg14" localSheetId="12">#REF!</definedName>
    <definedName name="Girreg14">#REF!</definedName>
    <definedName name="Girreg2" localSheetId="12">#REF!</definedName>
    <definedName name="Girreg2">#REF!</definedName>
    <definedName name="Girreg3" localSheetId="12">#REF!</definedName>
    <definedName name="Girreg3">#REF!</definedName>
    <definedName name="Girreg4" localSheetId="12">#REF!</definedName>
    <definedName name="Girreg4">#REF!</definedName>
    <definedName name="Girreg5" localSheetId="12">#REF!</definedName>
    <definedName name="Girreg5">#REF!</definedName>
    <definedName name="Girreg6" localSheetId="12">#REF!</definedName>
    <definedName name="Girreg6">#REF!</definedName>
    <definedName name="Girreg8" localSheetId="12">#REF!</definedName>
    <definedName name="Girreg8">#REF!</definedName>
    <definedName name="GirregPD" localSheetId="12">#REF!</definedName>
    <definedName name="GirregPD">#REF!</definedName>
    <definedName name="Glacier1">SR!$G$66</definedName>
    <definedName name="Glacier2">SR!$G$147</definedName>
    <definedName name="Glacier4">FA!#REF!</definedName>
    <definedName name="Glacier5">WBF!$G$95</definedName>
    <definedName name="GlacierFed2" localSheetId="12">CS!#REF!</definedName>
    <definedName name="GlacierFed2">CS!#REF!</definedName>
    <definedName name="Gradient1">#REF!</definedName>
    <definedName name="Gradient11">#REF!</definedName>
    <definedName name="Gradient12" localSheetId="12">#REF!</definedName>
    <definedName name="Gradient12">#REF!</definedName>
    <definedName name="Gradient13" localSheetId="12">#REF!</definedName>
    <definedName name="Gradient13">#REF!</definedName>
    <definedName name="Gradient2" localSheetId="12">#REF!</definedName>
    <definedName name="Gradient2">#REF!</definedName>
    <definedName name="Gradient3" localSheetId="12">#REF!</definedName>
    <definedName name="Gradient3">#REF!</definedName>
    <definedName name="Gradient4" localSheetId="12">#REF!</definedName>
    <definedName name="Gradient4">#REF!</definedName>
    <definedName name="Gradient5" localSheetId="12">#REF!</definedName>
    <definedName name="Gradient5">#REF!</definedName>
    <definedName name="Gradient6" localSheetId="12">#REF!</definedName>
    <definedName name="Gradient6">#REF!</definedName>
    <definedName name="GramForb7">PH!$G$26</definedName>
    <definedName name="gramin0">#REF!</definedName>
    <definedName name="groundw0" localSheetId="12">#REF!</definedName>
    <definedName name="groundw0">#REF!</definedName>
    <definedName name="GroundW11">#REF!</definedName>
    <definedName name="Groundw13" localSheetId="12">#REF!</definedName>
    <definedName name="Groundw13">#REF!</definedName>
    <definedName name="Groundw2" localSheetId="12">CS!#REF!</definedName>
    <definedName name="Groundw2">CS!#REF!</definedName>
    <definedName name="Groundw4">FA!$G$26</definedName>
    <definedName name="Groundw5">WBF!#REF!</definedName>
    <definedName name="Groundw6">SBM!#REF!</definedName>
    <definedName name="Groundw7">PH!$G$22</definedName>
    <definedName name="GroundW8" localSheetId="12">#REF!</definedName>
    <definedName name="GroundW8">#REF!</definedName>
    <definedName name="GroundW9" localSheetId="12">#REF!</definedName>
    <definedName name="GroundW9">#REF!</definedName>
    <definedName name="Gwater7">#REF!</definedName>
    <definedName name="GWrisk4" localSheetId="12">#REF!</definedName>
    <definedName name="GWrisk4">#REF!</definedName>
    <definedName name="GWval7" localSheetId="12">#REF!</definedName>
    <definedName name="GWval7">#REF!</definedName>
    <definedName name="Harvested" localSheetId="12">#REF!</definedName>
    <definedName name="Harvested">#REF!</definedName>
    <definedName name="herb1pd" localSheetId="12">#REF!</definedName>
    <definedName name="herb1pd">#REF!</definedName>
    <definedName name="herb2pd" localSheetId="12">#REF!</definedName>
    <definedName name="herb2pd">#REF!</definedName>
    <definedName name="HerbDom1">#REF!</definedName>
    <definedName name="HerbDom2" localSheetId="12">#REF!</definedName>
    <definedName name="HerbDom2">#REF!</definedName>
    <definedName name="HerbDomin7">PH!$G$31</definedName>
    <definedName name="herblt50">#REF!</definedName>
    <definedName name="herbpct0">#REF!</definedName>
    <definedName name="herbrare0">#REF!</definedName>
    <definedName name="herbsens0">#REF!</definedName>
    <definedName name="HerbSens2_S" localSheetId="12">#REF!</definedName>
    <definedName name="HerbSens2_S">#REF!</definedName>
    <definedName name="HerbUbiq1">#REF!</definedName>
    <definedName name="HighMarsh1">SR!#REF!</definedName>
    <definedName name="HighMarsh2">CS!$D$3</definedName>
    <definedName name="HistDry12" localSheetId="12">#REF!</definedName>
    <definedName name="HistDry12">#REF!</definedName>
    <definedName name="HistDry13" localSheetId="12">#REF!</definedName>
    <definedName name="HistDry13">#REF!</definedName>
    <definedName name="HistDry3" localSheetId="12">#REF!</definedName>
    <definedName name="HistDry3">#REF!</definedName>
    <definedName name="HistDry4" localSheetId="12">#REF!</definedName>
    <definedName name="HistDry4">#REF!</definedName>
    <definedName name="HistDry5" localSheetId="12">#REF!</definedName>
    <definedName name="HistDry5">#REF!</definedName>
    <definedName name="HistWet11" localSheetId="12">#REF!</definedName>
    <definedName name="HistWet11">#REF!</definedName>
    <definedName name="HistWet12" localSheetId="12">#REF!</definedName>
    <definedName name="HistWet12">#REF!</definedName>
    <definedName name="HistWet13" localSheetId="12">#REF!</definedName>
    <definedName name="HistWet13">#REF!</definedName>
    <definedName name="HistWet3" localSheetId="12">#REF!</definedName>
    <definedName name="HistWet3">#REF!</definedName>
    <definedName name="HistWet4" localSheetId="12">#REF!</definedName>
    <definedName name="HistWet4">#REF!</definedName>
    <definedName name="HistWet5" localSheetId="12">#REF!</definedName>
    <definedName name="HistWet5">#REF!</definedName>
    <definedName name="HotSpring7" localSheetId="12">#REF!</definedName>
    <definedName name="HotSpring7">#REF!</definedName>
    <definedName name="Hotspring9" localSheetId="12">#REF!</definedName>
    <definedName name="Hotspring9">#REF!</definedName>
    <definedName name="HtDiv12" localSheetId="12">#REF!</definedName>
    <definedName name="HtDiv12">#REF!</definedName>
    <definedName name="HtDiv13" localSheetId="12">#REF!</definedName>
    <definedName name="HtDiv13">#REF!</definedName>
    <definedName name="HtDivPD" localSheetId="12">#REF!</definedName>
    <definedName name="HtDivPD">#REF!</definedName>
    <definedName name="htunif0">#REF!</definedName>
    <definedName name="HtUnif14" localSheetId="12">#REF!</definedName>
    <definedName name="HtUnif14">#REF!</definedName>
    <definedName name="HUCbigW12" localSheetId="12">#REF!</definedName>
    <definedName name="HUCbigW12">#REF!</definedName>
    <definedName name="HUCbigW13" localSheetId="12">#REF!</definedName>
    <definedName name="HUCbigW13">#REF!</definedName>
    <definedName name="HUCbigW14" localSheetId="12">#REF!</definedName>
    <definedName name="HUCbigW14">#REF!</definedName>
    <definedName name="HUCdiv11" localSheetId="12">#REF!</definedName>
    <definedName name="HUCdiv11">#REF!</definedName>
    <definedName name="HUCdiv12" localSheetId="12">#REF!</definedName>
    <definedName name="HUCdiv12">#REF!</definedName>
    <definedName name="HUCdiv13" localSheetId="12">#REF!</definedName>
    <definedName name="HUCdiv13">#REF!</definedName>
    <definedName name="HUCdiv14" localSheetId="12">#REF!</definedName>
    <definedName name="HUCdiv14">#REF!</definedName>
    <definedName name="Hydro12">WBF!$G$170</definedName>
    <definedName name="HydroConn_C">#REF!</definedName>
    <definedName name="HydroConn2" localSheetId="12">#REF!</definedName>
    <definedName name="HydroConn2">#REF!</definedName>
    <definedName name="IBA" localSheetId="12">#REF!</definedName>
    <definedName name="IBA">#REF!</definedName>
    <definedName name="IFDRY2">SR!$G$195</definedName>
    <definedName name="IFNOOUT2">SR!$G$196</definedName>
    <definedName name="IFOUT2">SR!$G$197</definedName>
    <definedName name="Imperv4" localSheetId="12">#REF!</definedName>
    <definedName name="Imperv4">#REF!</definedName>
    <definedName name="ImpervAlt">STR!$G$64</definedName>
    <definedName name="ImpervCA3" localSheetId="12">#REF!</definedName>
    <definedName name="ImpervCA3">#REF!</definedName>
    <definedName name="ImpervPct" localSheetId="12">#REF!</definedName>
    <definedName name="ImpervPct">#REF!</definedName>
    <definedName name="ImpervPctSS" localSheetId="12">#REF!</definedName>
    <definedName name="ImpervPctSS">#REF!</definedName>
    <definedName name="Inclus11">#REF!</definedName>
    <definedName name="Inclus14" localSheetId="12">#REF!</definedName>
    <definedName name="Inclus14">#REF!</definedName>
    <definedName name="Inclus4" localSheetId="12">#REF!</definedName>
    <definedName name="Inclus4">#REF!</definedName>
    <definedName name="inflo" localSheetId="12">#REF!</definedName>
    <definedName name="inflo">#REF!</definedName>
    <definedName name="Inflo2">SR!$D$130</definedName>
    <definedName name="Inflow">#REF!</definedName>
    <definedName name="Interann10" localSheetId="12">#REF!</definedName>
    <definedName name="Interann10">#REF!</definedName>
    <definedName name="Interann6" localSheetId="12">#REF!</definedName>
    <definedName name="Interann6">#REF!</definedName>
    <definedName name="Interann8" localSheetId="12">#REF!</definedName>
    <definedName name="Interann8">#REF!</definedName>
    <definedName name="interannPD" localSheetId="12">#REF!</definedName>
    <definedName name="interannPD">#REF!</definedName>
    <definedName name="Interannual4" localSheetId="12">#REF!</definedName>
    <definedName name="Interannual4">#REF!</definedName>
    <definedName name="Interspers10" localSheetId="12">#REF!</definedName>
    <definedName name="Interspers10">#REF!</definedName>
    <definedName name="Interspers11">#REF!</definedName>
    <definedName name="Interspers12" localSheetId="12">#REF!</definedName>
    <definedName name="Interspers12">#REF!</definedName>
    <definedName name="Interspers13" localSheetId="12">#REF!</definedName>
    <definedName name="Interspers13">#REF!</definedName>
    <definedName name="Interspers2" localSheetId="12">#REF!</definedName>
    <definedName name="Interspers2">#REF!</definedName>
    <definedName name="Interspers3" localSheetId="12">#REF!</definedName>
    <definedName name="Interspers3">#REF!</definedName>
    <definedName name="Interspers4" localSheetId="12">#REF!</definedName>
    <definedName name="Interspers4">#REF!</definedName>
    <definedName name="Interspers5" localSheetId="12">#REF!</definedName>
    <definedName name="Interspers5">#REF!</definedName>
    <definedName name="Interspers6" localSheetId="12">#REF!</definedName>
    <definedName name="Interspers6">#REF!</definedName>
    <definedName name="Interspers8" localSheetId="12">#REF!</definedName>
    <definedName name="Interspers8">#REF!</definedName>
    <definedName name="Interspers9" localSheetId="12">#REF!</definedName>
    <definedName name="Interspers9">#REF!</definedName>
    <definedName name="InvasPot7">PH!$G$121</definedName>
    <definedName name="Investment">PU!$G$44</definedName>
    <definedName name="Islands11" localSheetId="12">#REF!</definedName>
    <definedName name="Islands11">#REF!</definedName>
    <definedName name="Islands12" localSheetId="12">#REF!</definedName>
    <definedName name="Islands12">#REF!</definedName>
    <definedName name="Islands13" localSheetId="12">#REF!</definedName>
    <definedName name="Islands13">#REF!</definedName>
    <definedName name="IsoDry_S" localSheetId="12">#REF!</definedName>
    <definedName name="IsoDry_S">#REF!</definedName>
    <definedName name="IsoDry1">#REF!</definedName>
    <definedName name="ISOdry10" localSheetId="12">#REF!</definedName>
    <definedName name="ISOdry10">#REF!</definedName>
    <definedName name="ISOdry11">#REF!</definedName>
    <definedName name="IsoDry12" localSheetId="12">#REF!</definedName>
    <definedName name="IsoDry12">#REF!</definedName>
    <definedName name="ISOdry13" localSheetId="12">#REF!</definedName>
    <definedName name="ISOdry13">#REF!</definedName>
    <definedName name="IsoDry2" localSheetId="12">#REF!</definedName>
    <definedName name="IsoDry2">#REF!</definedName>
    <definedName name="ISOdry3" localSheetId="12">#REF!</definedName>
    <definedName name="ISOdry3">#REF!</definedName>
    <definedName name="ISOdry4" localSheetId="12">#REF!</definedName>
    <definedName name="ISOdry4">#REF!</definedName>
    <definedName name="ISOdry6" localSheetId="12">#REF!</definedName>
    <definedName name="ISOdry6">#REF!</definedName>
    <definedName name="ISOdry7">#REF!</definedName>
    <definedName name="IsoDry8" localSheetId="12">#REF!</definedName>
    <definedName name="IsoDry8">#REF!</definedName>
    <definedName name="IsoWet1">#REF!</definedName>
    <definedName name="ISOwet10" localSheetId="12">#REF!</definedName>
    <definedName name="ISOwet10">#REF!</definedName>
    <definedName name="ISOwet11">#REF!</definedName>
    <definedName name="ISOwet12" localSheetId="12">#REF!</definedName>
    <definedName name="ISOwet12">#REF!</definedName>
    <definedName name="ISOwet13" localSheetId="12">#REF!</definedName>
    <definedName name="ISOwet13">#REF!</definedName>
    <definedName name="ISOwet4" localSheetId="12">#REF!</definedName>
    <definedName name="ISOwet4">#REF!</definedName>
    <definedName name="ISOwet5" localSheetId="12">#REF!</definedName>
    <definedName name="ISOwet5">#REF!</definedName>
    <definedName name="ISOwet6" localSheetId="12">#REF!</definedName>
    <definedName name="ISOwet6">#REF!</definedName>
    <definedName name="IsoWet8" localSheetId="12">#REF!</definedName>
    <definedName name="IsoWet8">#REF!</definedName>
    <definedName name="ISOwet9" localSheetId="12">#REF!</definedName>
    <definedName name="ISOwet9">#REF!</definedName>
    <definedName name="Karst16" localSheetId="12">#REF!</definedName>
    <definedName name="Karst16">#REF!</definedName>
    <definedName name="Lacus" localSheetId="12">#REF!</definedName>
    <definedName name="Lacus">#REF!</definedName>
    <definedName name="Lacus13a" localSheetId="12">#REF!</definedName>
    <definedName name="Lacus13a">#REF!</definedName>
    <definedName name="Lacus7">#REF!</definedName>
    <definedName name="Lacust10" localSheetId="12">#REF!</definedName>
    <definedName name="Lacust10">#REF!</definedName>
    <definedName name="Lacust13" localSheetId="12">#REF!</definedName>
    <definedName name="Lacust13">#REF!</definedName>
    <definedName name="Lake" localSheetId="12">#REF!</definedName>
    <definedName name="Lake">#REF!</definedName>
    <definedName name="Lake12">WBF!$D$38</definedName>
    <definedName name="LakeDist5">WBF!$G$64</definedName>
    <definedName name="LakeNear13" localSheetId="12">#REF!</definedName>
    <definedName name="LakeNear13">#REF!</definedName>
    <definedName name="LakeProx_S" localSheetId="12">#REF!</definedName>
    <definedName name="LakeProx_S">#REF!</definedName>
    <definedName name="LakeProx13" localSheetId="12">#REF!</definedName>
    <definedName name="LakeProx13">#REF!</definedName>
    <definedName name="LandHigh1">SR!#REF!</definedName>
    <definedName name="LandHigh2" localSheetId="12">CS!#REF!</definedName>
    <definedName name="LandHigh2">CS!#REF!</definedName>
    <definedName name="LCaltTyp7">PH!$G$94</definedName>
    <definedName name="LCaltType6">SBM!$G$76</definedName>
    <definedName name="lomarsh0" localSheetId="12">#REF!</definedName>
    <definedName name="lomarsh0">#REF!</definedName>
    <definedName name="LoMarsh2" localSheetId="12">#REF!</definedName>
    <definedName name="LoMarsh2">#REF!</definedName>
    <definedName name="LoMarsh6" localSheetId="12">#REF!</definedName>
    <definedName name="LoMarsh6">#REF!</definedName>
    <definedName name="LoMarsh8" localSheetId="12">#REF!</definedName>
    <definedName name="LoMarsh8">#REF!</definedName>
    <definedName name="LowMarsh1" localSheetId="12">#REF!</definedName>
    <definedName name="LowMarsh1">#REF!</definedName>
    <definedName name="LowMarsh10" localSheetId="12">#REF!</definedName>
    <definedName name="LowMarsh10">#REF!</definedName>
    <definedName name="LowMarsh12" localSheetId="12">#REF!</definedName>
    <definedName name="LowMarsh12">#REF!</definedName>
    <definedName name="LowMarsh1all" localSheetId="12">#REF!</definedName>
    <definedName name="LowMarsh1all">#REF!</definedName>
    <definedName name="LowMarsh1gt50" localSheetId="12">#REF!</definedName>
    <definedName name="LowMarsh1gt50">#REF!</definedName>
    <definedName name="LowMarsh9" localSheetId="12">#REF!</definedName>
    <definedName name="LowMarsh9">#REF!</definedName>
    <definedName name="LowMarshAll14" localSheetId="12">#REF!</definedName>
    <definedName name="LowMarshAll14">#REF!</definedName>
    <definedName name="LowMarshPct14" localSheetId="12">#REF!</definedName>
    <definedName name="LowMarshPct14">#REF!</definedName>
    <definedName name="LowMarshPD" localSheetId="12">#REF!</definedName>
    <definedName name="LowMarshPD">#REF!</definedName>
    <definedName name="LowMarshT1">SR!$G$3</definedName>
    <definedName name="LowMarshT2">CS!$G$3</definedName>
    <definedName name="LowMarshT3">OE!$G$4</definedName>
    <definedName name="LowMarshT4">FA!$G$8</definedName>
    <definedName name="LowMarshT5">WBF!$G$3</definedName>
    <definedName name="LowMarshT6">SBM!$G$3</definedName>
    <definedName name="LowMarshT7">PH!$G$3</definedName>
    <definedName name="Lscape12">WBF!$G$174</definedName>
    <definedName name="Lscape4">FA!$G$122</definedName>
    <definedName name="Lscape5">WBF!$G$131</definedName>
    <definedName name="Lscape6">SBM!$G$108</definedName>
    <definedName name="Lscape7">PH!$G$122</definedName>
    <definedName name="MarshAge18">Sens!$G$43</definedName>
    <definedName name="MarshAge2">CS!$G$55</definedName>
    <definedName name="MarshAge5">WBF!#REF!</definedName>
    <definedName name="MarshAge6">SBM!$G$92</definedName>
    <definedName name="MarshDis5">WBF!$G$79</definedName>
    <definedName name="MarshDist18">Sens!$G$33</definedName>
    <definedName name="MatureF" localSheetId="12">#REF!</definedName>
    <definedName name="MatureF">#REF!</definedName>
    <definedName name="MaxFluc2" localSheetId="12">#REF!</definedName>
    <definedName name="MaxFluc2">#REF!</definedName>
    <definedName name="Mesosaline11" localSheetId="12">#REF!</definedName>
    <definedName name="Mesosaline11">#REF!</definedName>
    <definedName name="Meth2">CS!$G$66</definedName>
    <definedName name="MethLimit2">CS!$G$66</definedName>
    <definedName name="MinSIze13" localSheetId="12">#REF!</definedName>
    <definedName name="MinSIze13">#REF!</definedName>
    <definedName name="MitigaSite">#REF!</definedName>
    <definedName name="MitigSite" localSheetId="12">Subsis!#REF!</definedName>
    <definedName name="MitigSite">PU!$G$39</definedName>
    <definedName name="MitSite" localSheetId="12">#REF!</definedName>
    <definedName name="MitSite">#REF!</definedName>
    <definedName name="Mtrend18">Sens!$G$38</definedName>
    <definedName name="Mudflat1">SR!$G$28</definedName>
    <definedName name="Mudflat12" localSheetId="12">#REF!</definedName>
    <definedName name="Mudflat12">#REF!</definedName>
    <definedName name="Mudflat5">WBF!$G$88</definedName>
    <definedName name="NatCApct3" localSheetId="12">#REF!</definedName>
    <definedName name="NatCApct3">#REF!</definedName>
    <definedName name="NatDistAlt">STR!$G$33</definedName>
    <definedName name="NatPct6">SBM!$G$70</definedName>
    <definedName name="NatPct7">PH!$G$88</definedName>
    <definedName name="NatPctAlt">STR!$G$39</definedName>
    <definedName name="NatPctScape8" localSheetId="12">#REF!</definedName>
    <definedName name="NatPctScape8">#REF!</definedName>
    <definedName name="NatTypeAlt">STR!$G$45</definedName>
    <definedName name="natvacres0">#REF!</definedName>
    <definedName name="natveg0">#REF!</definedName>
    <definedName name="NatVegBuffPD" localSheetId="12">#REF!</definedName>
    <definedName name="NatVegBuffPD">#REF!</definedName>
    <definedName name="NatVegCA">#REF!</definedName>
    <definedName name="NatVegCApd" localSheetId="12">#REF!</definedName>
    <definedName name="NatVegCApd">#REF!</definedName>
    <definedName name="NatVegCUpct_S" localSheetId="12">#REF!</definedName>
    <definedName name="NatVegCUpct_S">#REF!</definedName>
    <definedName name="NatVegCUpct10" localSheetId="12">#REF!</definedName>
    <definedName name="NatVegCUpct10">#REF!</definedName>
    <definedName name="NatVegCUpct9" localSheetId="12">#REF!</definedName>
    <definedName name="NatVegCUpct9">#REF!</definedName>
    <definedName name="NatVegPct11">#REF!</definedName>
    <definedName name="NatVegPctCU8" localSheetId="12">#REF!</definedName>
    <definedName name="NatVegPctCU8">#REF!</definedName>
    <definedName name="NatVegPctScape_S" localSheetId="12">#REF!</definedName>
    <definedName name="NatVegPctScape_S">#REF!</definedName>
    <definedName name="NatVegPctScape14" localSheetId="12">#REF!</definedName>
    <definedName name="NatVegPctScape14">#REF!</definedName>
    <definedName name="NatVegProx_S" localSheetId="12">#REF!</definedName>
    <definedName name="NatVegProx_S">#REF!</definedName>
    <definedName name="NatVegProx11">#REF!</definedName>
    <definedName name="NatVegProx14" localSheetId="12">#REF!</definedName>
    <definedName name="NatVegProx14">#REF!</definedName>
    <definedName name="NatVegProx8" localSheetId="12">#REF!</definedName>
    <definedName name="NatVegProx8">#REF!</definedName>
    <definedName name="NatVegSize_S" localSheetId="12">#REF!</definedName>
    <definedName name="NatVegSize_S">#REF!</definedName>
    <definedName name="NatVegSize11">#REF!</definedName>
    <definedName name="NatVegSize14" localSheetId="12">#REF!</definedName>
    <definedName name="NatVegSize14">#REF!</definedName>
    <definedName name="NatVegTractSize" localSheetId="12">#REF!</definedName>
    <definedName name="NatVegTractSize">#REF!</definedName>
    <definedName name="natvprox0">#REF!</definedName>
    <definedName name="Navigable" localSheetId="12">#REF!</definedName>
    <definedName name="Navigable">#REF!</definedName>
    <definedName name="NearLakeWet4">FA!$G$45</definedName>
    <definedName name="NearNontidal4">FA!$D$45</definedName>
    <definedName name="NearPond">T!$D$135</definedName>
    <definedName name="NewWet" localSheetId="12">#REF!</definedName>
    <definedName name="NewWet">#REF!</definedName>
    <definedName name="NewWet10" localSheetId="12">#REF!</definedName>
    <definedName name="NewWet10">#REF!</definedName>
    <definedName name="NewWet11">#REF!</definedName>
    <definedName name="NewWet12" localSheetId="12">#REF!</definedName>
    <definedName name="NewWet12">#REF!</definedName>
    <definedName name="NewWet5" localSheetId="12">#REF!</definedName>
    <definedName name="NewWet5">#REF!</definedName>
    <definedName name="NewWet6" localSheetId="12">#REF!</definedName>
    <definedName name="NewWet6">#REF!</definedName>
    <definedName name="NewWet8" localSheetId="12">#REF!</definedName>
    <definedName name="NewWet8">#REF!</definedName>
    <definedName name="Nfix18">Sens!$G$9</definedName>
    <definedName name="Nfix2">CS!#REF!</definedName>
    <definedName name="Nfixer4" localSheetId="12">#REF!</definedName>
    <definedName name="Nfixer4">#REF!</definedName>
    <definedName name="Nfixer5" localSheetId="12">#REF!</definedName>
    <definedName name="Nfixer5">#REF!</definedName>
    <definedName name="Nfixer6" localSheetId="12">#REF!</definedName>
    <definedName name="Nfixer6">#REF!</definedName>
    <definedName name="Nfixers8" localSheetId="12">#REF!</definedName>
    <definedName name="Nfixers8">#REF!</definedName>
    <definedName name="Nload4" localSheetId="12">#REF!</definedName>
    <definedName name="Nload4">#REF!</definedName>
    <definedName name="nnativ11" localSheetId="12">#REF!</definedName>
    <definedName name="nnativ11">#REF!</definedName>
    <definedName name="NNfish" localSheetId="12">#REF!</definedName>
    <definedName name="NNfish">#REF!</definedName>
    <definedName name="NNfish9" localSheetId="12">#REF!</definedName>
    <definedName name="NNfish9">#REF!</definedName>
    <definedName name="NoAccess9" localSheetId="12">#REF!</definedName>
    <definedName name="NoAccess9">#REF!</definedName>
    <definedName name="NoDisturb">T!$D$100</definedName>
    <definedName name="NoDrainage" localSheetId="12">#REF!</definedName>
    <definedName name="NoDrainage">#REF!</definedName>
    <definedName name="NoFreezeFR" localSheetId="12">#REF!</definedName>
    <definedName name="NoFreezeFR">#REF!</definedName>
    <definedName name="NoHerb_S" localSheetId="12">#REF!</definedName>
    <definedName name="NoHerb_S">#REF!</definedName>
    <definedName name="NoInflo" localSheetId="12">#REF!</definedName>
    <definedName name="NoInflo">#REF!</definedName>
    <definedName name="NonHydric6" localSheetId="12">#REF!</definedName>
    <definedName name="NonHydric6">#REF!</definedName>
    <definedName name="NonNatvAnim" localSheetId="12">#REF!</definedName>
    <definedName name="NonNatvAnim">#REF!</definedName>
    <definedName name="NontidalNear5">WBF!$G$42</definedName>
    <definedName name="NoOut_S" localSheetId="12">#REF!</definedName>
    <definedName name="NoOut_S">#REF!</definedName>
    <definedName name="NoOutlet1">#REF!</definedName>
    <definedName name="NoOutlet10" localSheetId="12">#REF!</definedName>
    <definedName name="NoOutlet10">#REF!</definedName>
    <definedName name="NoOutlet2" localSheetId="12">#REF!</definedName>
    <definedName name="NoOutlet2">#REF!</definedName>
    <definedName name="NoOutlet3" localSheetId="12">#REF!</definedName>
    <definedName name="NoOutlet3">#REF!</definedName>
    <definedName name="NoOutlet4" localSheetId="12">#REF!</definedName>
    <definedName name="NoOutlet4">#REF!</definedName>
    <definedName name="NoOutlet5" localSheetId="12">#REF!</definedName>
    <definedName name="NoOutlet5">#REF!</definedName>
    <definedName name="NoOutlet6" localSheetId="12">#REF!</definedName>
    <definedName name="NoOutlet6">#REF!</definedName>
    <definedName name="NoOutlet7" localSheetId="12">#REF!</definedName>
    <definedName name="NoOutlet7">#REF!</definedName>
    <definedName name="NoPerm10" localSheetId="12">#REF!</definedName>
    <definedName name="NoPerm10">#REF!</definedName>
    <definedName name="NoPermW10" localSheetId="12">#REF!</definedName>
    <definedName name="NoPermW10">#REF!</definedName>
    <definedName name="NormalSeasW" localSheetId="12">#REF!</definedName>
    <definedName name="NormalSeasW">#REF!</definedName>
    <definedName name="NoSAV" localSheetId="12">#REF!</definedName>
    <definedName name="NoSAV">#REF!</definedName>
    <definedName name="NoScum_C">#REF!</definedName>
    <definedName name="NoScum15" localSheetId="12">#REF!</definedName>
    <definedName name="NoScum15">#REF!</definedName>
    <definedName name="NoScumPD" localSheetId="12">#REF!</definedName>
    <definedName name="NoScumPD">#REF!</definedName>
    <definedName name="NoSubsist">Subsis!$D$28</definedName>
    <definedName name="NotCreated" localSheetId="12">#REF!</definedName>
    <definedName name="NotCreated">#REF!</definedName>
    <definedName name="NoWater1">#REF!</definedName>
    <definedName name="NoWater3" localSheetId="12">#REF!</definedName>
    <definedName name="NoWater3">#REF!</definedName>
    <definedName name="NoWater4" localSheetId="12">#REF!</definedName>
    <definedName name="NoWater4">#REF!</definedName>
    <definedName name="NoWater4a" localSheetId="12">#REF!</definedName>
    <definedName name="NoWater4a">#REF!</definedName>
    <definedName name="NoWoody" localSheetId="12">#REF!</definedName>
    <definedName name="NoWoody">#REF!</definedName>
    <definedName name="NoWoody_S" localSheetId="12">#REF!</definedName>
    <definedName name="NoWoody_S">#REF!</definedName>
    <definedName name="NprobUp4" localSheetId="12">#REF!</definedName>
    <definedName name="NprobUp4">#REF!</definedName>
    <definedName name="Nrank4" localSheetId="12">#REF!</definedName>
    <definedName name="Nrank4">#REF!</definedName>
    <definedName name="NRE3a" localSheetId="12">#REF!</definedName>
    <definedName name="NRE3a">#REF!</definedName>
    <definedName name="Nsource4" localSheetId="12">#REF!</definedName>
    <definedName name="Nsource4">#REF!</definedName>
    <definedName name="NtidalJux12" localSheetId="12">#REF!</definedName>
    <definedName name="NtidalJux12">#REF!</definedName>
    <definedName name="NtidalJux14" localSheetId="12">#REF!</definedName>
    <definedName name="NtidalJux14">#REF!</definedName>
    <definedName name="NtidalProx9" localSheetId="12">#REF!</definedName>
    <definedName name="NtidalProx9">#REF!</definedName>
    <definedName name="Nutrients15" localSheetId="12">#REF!</definedName>
    <definedName name="Nutrients15">#REF!</definedName>
    <definedName name="NutrIn20" localSheetId="12">#REF!</definedName>
    <definedName name="NutrIn20">#REF!</definedName>
    <definedName name="NutrIn8" localSheetId="12">#REF!</definedName>
    <definedName name="NutrIn8">#REF!</definedName>
    <definedName name="NutrIn9" localSheetId="12">#REF!</definedName>
    <definedName name="NutrIn9">#REF!</definedName>
    <definedName name="OpenlandAc5">WBF!#REF!</definedName>
    <definedName name="OpenlandPct11" localSheetId="12">#REF!</definedName>
    <definedName name="OpenlandPct11">#REF!</definedName>
    <definedName name="OpenlandPct5">WBF!#REF!</definedName>
    <definedName name="OpenlandProx11" localSheetId="12">#REF!</definedName>
    <definedName name="OpenlandProx11">#REF!</definedName>
    <definedName name="OpenPctScape12" localSheetId="12">#REF!</definedName>
    <definedName name="OpenPctScape12">#REF!</definedName>
    <definedName name="OpenScapeProx12" localSheetId="12">#REF!</definedName>
    <definedName name="OpenScapeProx12">#REF!</definedName>
    <definedName name="OpenStrucs14" localSheetId="12">#REF!</definedName>
    <definedName name="OpenStrucs14">#REF!</definedName>
    <definedName name="OppRarity1">PU!$G$46</definedName>
    <definedName name="OutDur2" localSheetId="12">#REF!</definedName>
    <definedName name="OutDur2">#REF!</definedName>
    <definedName name="OutDur7" localSheetId="12">#REF!</definedName>
    <definedName name="OutDur7">#REF!</definedName>
    <definedName name="OutDura_S" localSheetId="12">#REF!</definedName>
    <definedName name="OutDura_S">#REF!</definedName>
    <definedName name="OutDura1">#REF!</definedName>
    <definedName name="OutDura10" localSheetId="12">#REF!</definedName>
    <definedName name="OutDura10">#REF!</definedName>
    <definedName name="OutDura3" localSheetId="12">#REF!</definedName>
    <definedName name="OutDura3">#REF!</definedName>
    <definedName name="OutDura4" localSheetId="12">#REF!</definedName>
    <definedName name="OutDura4">#REF!</definedName>
    <definedName name="OutDura5" localSheetId="12">#REF!</definedName>
    <definedName name="OutDura5">#REF!</definedName>
    <definedName name="OutDura6" localSheetId="12">#REF!</definedName>
    <definedName name="OutDura6">#REF!</definedName>
    <definedName name="OutDura9" localSheetId="12">#REF!</definedName>
    <definedName name="OutDura9">#REF!</definedName>
    <definedName name="Ownership">#REF!</definedName>
    <definedName name="Ownership1">PU!#REF!</definedName>
    <definedName name="OwnershpPU" localSheetId="12">Subsis!$G$3</definedName>
    <definedName name="OwnershpPU">PU!$G$19</definedName>
    <definedName name="PatchSize6">SBM!$G$79</definedName>
    <definedName name="PatchSize7">PH!$G$97</definedName>
    <definedName name="Pcp_S" localSheetId="12">#REF!</definedName>
    <definedName name="Pcp_S">#REF!</definedName>
    <definedName name="PdataDown3" localSheetId="12">#REF!</definedName>
    <definedName name="PdataDown3">#REF!</definedName>
    <definedName name="PdataUp3" localSheetId="12">#REF!</definedName>
    <definedName name="PdataUp3">#REF!</definedName>
    <definedName name="PdataUpDis3" localSheetId="12">#REF!</definedName>
    <definedName name="PdataUpDis3">#REF!</definedName>
    <definedName name="PdownDis3" localSheetId="12">#REF!</definedName>
    <definedName name="PdownDis3">#REF!</definedName>
    <definedName name="PermPctAll12" localSheetId="12">#REF!</definedName>
    <definedName name="PermPctAll12">#REF!</definedName>
    <definedName name="PermWaterAll14" localSheetId="12">#REF!</definedName>
    <definedName name="PermWaterAll14">#REF!</definedName>
    <definedName name="PermWpct10" localSheetId="12">#REF!</definedName>
    <definedName name="PermWpct10">#REF!</definedName>
    <definedName name="PermWpct11">#REF!</definedName>
    <definedName name="PermWpct12" localSheetId="12">#REF!</definedName>
    <definedName name="PermWpct12">#REF!</definedName>
    <definedName name="PermWpct13" localSheetId="12">#REF!</definedName>
    <definedName name="PermWpct13">#REF!</definedName>
    <definedName name="PermWpct14" localSheetId="12">#REF!</definedName>
    <definedName name="PermWpct14">#REF!</definedName>
    <definedName name="PermWpct3" localSheetId="12">#REF!</definedName>
    <definedName name="PermWpct3">#REF!</definedName>
    <definedName name="PermWpct4" localSheetId="12">#REF!</definedName>
    <definedName name="PermWpct4">#REF!</definedName>
    <definedName name="PermWpct5" localSheetId="12">#REF!</definedName>
    <definedName name="PermWpct5">#REF!</definedName>
    <definedName name="PermWpct8" localSheetId="12">#REF!</definedName>
    <definedName name="PermWpct8">#REF!</definedName>
    <definedName name="PermWpd" localSheetId="12">#REF!</definedName>
    <definedName name="PermWpd">#REF!</definedName>
    <definedName name="Persis3" localSheetId="12">#REF!</definedName>
    <definedName name="Persis3">#REF!</definedName>
    <definedName name="persist0">#REF!</definedName>
    <definedName name="PersistPct1">#REF!</definedName>
    <definedName name="PersistPct2" localSheetId="12">#REF!</definedName>
    <definedName name="PersistPct2">#REF!</definedName>
    <definedName name="PestFish10" localSheetId="12">#REF!</definedName>
    <definedName name="PestFish10">#REF!</definedName>
    <definedName name="PestFish11" localSheetId="12">#REF!</definedName>
    <definedName name="PestFish11">#REF!</definedName>
    <definedName name="PestFish9" localSheetId="12">#REF!</definedName>
    <definedName name="PestFish9">#REF!</definedName>
    <definedName name="PhysAccess" localSheetId="12">#REF!</definedName>
    <definedName name="PhysAccess">#REF!</definedName>
    <definedName name="Physical" localSheetId="12">#REF!</definedName>
    <definedName name="Physical">#REF!</definedName>
    <definedName name="Playa" localSheetId="12">#REF!</definedName>
    <definedName name="Playa">#REF!</definedName>
    <definedName name="Playa10" localSheetId="12">#REF!</definedName>
    <definedName name="Playa10">#REF!</definedName>
    <definedName name="Playa11" localSheetId="12">#REF!</definedName>
    <definedName name="Playa11">#REF!</definedName>
    <definedName name="Playa12" localSheetId="12">#REF!</definedName>
    <definedName name="Playa12">#REF!</definedName>
    <definedName name="Playa12a" localSheetId="12">#REF!</definedName>
    <definedName name="Playa12a">#REF!</definedName>
    <definedName name="Playa5" localSheetId="12">#REF!</definedName>
    <definedName name="Playa5">#REF!</definedName>
    <definedName name="Playa8" localSheetId="12">#REF!</definedName>
    <definedName name="Playa8">#REF!</definedName>
    <definedName name="Playa9" localSheetId="12">#REF!</definedName>
    <definedName name="Playa9">#REF!</definedName>
    <definedName name="Pload3" localSheetId="12">#REF!</definedName>
    <definedName name="Pload3">#REF!</definedName>
    <definedName name="PolluIn" localSheetId="12">#REF!</definedName>
    <definedName name="PolluIn">#REF!</definedName>
    <definedName name="PolluIn13" localSheetId="12">#REF!</definedName>
    <definedName name="PolluIn13">#REF!</definedName>
    <definedName name="PolluIn14" localSheetId="12">#REF!</definedName>
    <definedName name="PolluIn14">#REF!</definedName>
    <definedName name="PondConnec4">FA!$G$50</definedName>
    <definedName name="PondDis6">SBM!#REF!</definedName>
    <definedName name="PondDist4">FA!$G$46</definedName>
    <definedName name="PondDist5">WBF!$G$43</definedName>
    <definedName name="PondPassage4">FA!$G$54</definedName>
    <definedName name="PondPctScape11">#REF!</definedName>
    <definedName name="PondPctScape12" localSheetId="12">#REF!</definedName>
    <definedName name="PondPctScape12">#REF!</definedName>
    <definedName name="PondPctScape14" localSheetId="12">#REF!</definedName>
    <definedName name="PondPctScape14">#REF!</definedName>
    <definedName name="PondProx_S" localSheetId="12">#REF!</definedName>
    <definedName name="PondProx_S">#REF!</definedName>
    <definedName name="PondProx11">#REF!</definedName>
    <definedName name="PondProx12" localSheetId="12">#REF!</definedName>
    <definedName name="PondProx12">#REF!</definedName>
    <definedName name="PondProx13" localSheetId="12">#REF!</definedName>
    <definedName name="PondProx13">#REF!</definedName>
    <definedName name="PondProx14" localSheetId="12">#REF!</definedName>
    <definedName name="PondProx14">#REF!</definedName>
    <definedName name="PondProx15" localSheetId="12">#REF!</definedName>
    <definedName name="PondProx15">#REF!</definedName>
    <definedName name="PondScape_S" localSheetId="12">#REF!</definedName>
    <definedName name="PondScape_S">#REF!</definedName>
    <definedName name="PondScape15" localSheetId="12">#REF!</definedName>
    <definedName name="PondScape15">#REF!</definedName>
    <definedName name="Pondscape5">WBF!$G$57</definedName>
    <definedName name="PondScapePct13" localSheetId="12">#REF!</definedName>
    <definedName name="PondScapePct13">#REF!</definedName>
    <definedName name="PondSizeVar11" localSheetId="12">#REF!</definedName>
    <definedName name="PondSizeVar11">#REF!</definedName>
    <definedName name="PopCtr14" localSheetId="12">#REF!</definedName>
    <definedName name="PopCtr14">#REF!</definedName>
    <definedName name="PopCtr4">FA!$G$102</definedName>
    <definedName name="PopCtr5">WBF!$G$110</definedName>
    <definedName name="PopCtr6">SBM!$G$57</definedName>
    <definedName name="PopCtr7">PH!$G$69</definedName>
    <definedName name="PopCtrAlt">STR!$G$19</definedName>
    <definedName name="PopCtrPU" localSheetId="12">Subsis!$G$13</definedName>
    <definedName name="PopCtrPU">PU!$G$28</definedName>
    <definedName name="PosShed3" localSheetId="12">#REF!</definedName>
    <definedName name="PosShed3">#REF!</definedName>
    <definedName name="PprobUp2" localSheetId="12">#REF!</definedName>
    <definedName name="PprobUp2">#REF!</definedName>
    <definedName name="Prank3" localSheetId="12">#REF!</definedName>
    <definedName name="Prank3">#REF!</definedName>
    <definedName name="Precip11" localSheetId="12">#REF!</definedName>
    <definedName name="Precip11">#REF!</definedName>
    <definedName name="Precip12" localSheetId="12">#REF!</definedName>
    <definedName name="Precip12">#REF!</definedName>
    <definedName name="PrecipAnnu" localSheetId="12">#REF!</definedName>
    <definedName name="PrecipAnnu">#REF!</definedName>
    <definedName name="PrecipPD" localSheetId="12">#REF!</definedName>
    <definedName name="PrecipPD">#REF!</definedName>
    <definedName name="_xlnm.Print_Area" localSheetId="3">Scores!$A$2:$D$17</definedName>
    <definedName name="_xlnm.Print_Area" localSheetId="1">T!$A$3:$D$123</definedName>
    <definedName name="Produc12">WBF!$G$172</definedName>
    <definedName name="Produc2">CS!$G$65</definedName>
    <definedName name="Produc3">OE!$G$48</definedName>
    <definedName name="Produc4">FA!$G$120</definedName>
    <definedName name="Produc5">WBF!$G$129</definedName>
    <definedName name="Productiv6">SBM!$G$107</definedName>
    <definedName name="PubAccess">#REF!</definedName>
    <definedName name="Rare11" localSheetId="12">#REF!</definedName>
    <definedName name="Rare11">#REF!</definedName>
    <definedName name="Rare12" localSheetId="12">#REF!</definedName>
    <definedName name="Rare12">#REF!</definedName>
    <definedName name="Rare13" localSheetId="12">#REF!</definedName>
    <definedName name="Rare13">#REF!</definedName>
    <definedName name="Rare14" localSheetId="12">#REF!</definedName>
    <definedName name="Rare14">#REF!</definedName>
    <definedName name="rare8" localSheetId="12">#REF!</definedName>
    <definedName name="rare8">#REF!</definedName>
    <definedName name="RareAll">#REF!</definedName>
    <definedName name="RareBird4">FA!#REF!</definedName>
    <definedName name="RareBird6">SBM!$G$104</definedName>
    <definedName name="rarecommu" localSheetId="12">#REF!</definedName>
    <definedName name="rarecommu">#REF!</definedName>
    <definedName name="RareComPD" localSheetId="12">#REF!</definedName>
    <definedName name="RareComPD">#REF!</definedName>
    <definedName name="RareFNA" localSheetId="12">#REF!</definedName>
    <definedName name="RareFNA">#REF!</definedName>
    <definedName name="RareFR" localSheetId="12">#REF!</definedName>
    <definedName name="RareFR">#REF!</definedName>
    <definedName name="rareherb">#REF!</definedName>
    <definedName name="RarePcom" localSheetId="12">#REF!</definedName>
    <definedName name="RarePcom">#REF!</definedName>
    <definedName name="RarePlant18">Sens!$G$55</definedName>
    <definedName name="RarePlant7">PH!$G$116</definedName>
    <definedName name="RarePspp" localSheetId="12">#REF!</definedName>
    <definedName name="RarePspp">#REF!</definedName>
    <definedName name="RareSp5">WBF!$G$122</definedName>
    <definedName name="RareSpPD" localSheetId="12">#REF!</definedName>
    <definedName name="RareSpPD">#REF!</definedName>
    <definedName name="RareType" localSheetId="12">#REF!</definedName>
    <definedName name="RareType">#REF!</definedName>
    <definedName name="RareTypePD" localSheetId="12">#REF!</definedName>
    <definedName name="RareTypePD">#REF!</definedName>
    <definedName name="RareWaterBird">Sens!$G$49</definedName>
    <definedName name="RareWildlife">Sens!$G$54</definedName>
    <definedName name="RdBox">#REF!</definedName>
    <definedName name="RdBox14" localSheetId="12">#REF!</definedName>
    <definedName name="RdBox14">#REF!</definedName>
    <definedName name="RdCirc11">[2]AM!$G$206</definedName>
    <definedName name="RdDis11">#REF!</definedName>
    <definedName name="RdDis13" localSheetId="12">#REF!</definedName>
    <definedName name="RdDis13">#REF!</definedName>
    <definedName name="RecPoten1">PU!$G$45</definedName>
    <definedName name="RecPotenPU" localSheetId="12">Subsis!#REF!</definedName>
    <definedName name="RecPotenPU">PU!$G$24</definedName>
    <definedName name="RecreaPoten">#REF!</definedName>
    <definedName name="Refugia5">WBF!$G$130</definedName>
    <definedName name="ResFish" localSheetId="12">#REF!</definedName>
    <definedName name="ResFish">#REF!</definedName>
    <definedName name="RiverBay2">CS!$G$38</definedName>
    <definedName name="RiverBay4">FA!$G$62</definedName>
    <definedName name="RiverBay5">WBF!$G$47</definedName>
    <definedName name="RiverBay7">PH!$G$63</definedName>
    <definedName name="RoadCirc11">#REF!</definedName>
    <definedName name="RoadDis5" localSheetId="12">WBF!#REF!</definedName>
    <definedName name="RoadDis5">WBF!#REF!</definedName>
    <definedName name="RoadDist" localSheetId="12">#REF!</definedName>
    <definedName name="RoadDist">#REF!</definedName>
    <definedName name="RoadDist6">SBM!$G$57</definedName>
    <definedName name="RoadDist7">PH!$G$75</definedName>
    <definedName name="RoadsAlt">STR!$G$26</definedName>
    <definedName name="S1A">#REF!</definedName>
    <definedName name="S2A">#REF!</definedName>
    <definedName name="S2B">#REF!</definedName>
    <definedName name="S2C">#REF!</definedName>
    <definedName name="S3A">#REF!</definedName>
    <definedName name="S3B">#REF!</definedName>
    <definedName name="S3C">#REF!</definedName>
    <definedName name="S4A">#REF!</definedName>
    <definedName name="S4B">#REF!</definedName>
    <definedName name="S4C">#REF!</definedName>
    <definedName name="S5A">#REF!</definedName>
    <definedName name="S5B">#REF!</definedName>
    <definedName name="S5C">#REF!</definedName>
    <definedName name="s6a">#REF!</definedName>
    <definedName name="s6a1">#REF!</definedName>
    <definedName name="s6b">#REF!</definedName>
    <definedName name="S7A">#REF!</definedName>
    <definedName name="S7B">#REF!</definedName>
    <definedName name="S7C">#REF!</definedName>
    <definedName name="S8A">#REF!</definedName>
    <definedName name="S8A1">#REF!</definedName>
    <definedName name="S8B">#REF!</definedName>
    <definedName name="S8C">#REF!</definedName>
    <definedName name="s9a">#REF!</definedName>
    <definedName name="s9b">#REF!</definedName>
    <definedName name="s9c">#REF!</definedName>
    <definedName name="Salin3" localSheetId="12">#REF!</definedName>
    <definedName name="Salin3">#REF!</definedName>
    <definedName name="Salin4" localSheetId="12">#REF!</definedName>
    <definedName name="Salin4">#REF!</definedName>
    <definedName name="Salin5" localSheetId="12">#REF!</definedName>
    <definedName name="Salin5">#REF!</definedName>
    <definedName name="Salin6" localSheetId="12">#REF!</definedName>
    <definedName name="Salin6">#REF!</definedName>
    <definedName name="Salin7">PH!$G$118</definedName>
    <definedName name="Salin9" localSheetId="12">#REF!</definedName>
    <definedName name="Salin9">#REF!</definedName>
    <definedName name="Saline11" localSheetId="12">#REF!</definedName>
    <definedName name="Saline11">#REF!</definedName>
    <definedName name="Salinity11" localSheetId="12">#REF!</definedName>
    <definedName name="Salinity11">#REF!</definedName>
    <definedName name="Salinity2" localSheetId="12">#REF!</definedName>
    <definedName name="Salinity2">#REF!</definedName>
    <definedName name="SalinPD" localSheetId="12">#REF!</definedName>
    <definedName name="SalinPD">#REF!</definedName>
    <definedName name="SalmoScape5">WBF!$G$104</definedName>
    <definedName name="Salmoshed20">Subsis!$G$26</definedName>
    <definedName name="SalmoShed4">FA!$G$100</definedName>
    <definedName name="SalmoShed5" localSheetId="12">WBF!#REF!</definedName>
    <definedName name="SalmoShed5">WBF!#REF!</definedName>
    <definedName name="SalmoShed9" localSheetId="12">#REF!</definedName>
    <definedName name="SalmoShed9">#REF!</definedName>
    <definedName name="Satur10" localSheetId="12">#REF!</definedName>
    <definedName name="Satur10">#REF!</definedName>
    <definedName name="SAV1pd" localSheetId="12">#REF!</definedName>
    <definedName name="SAV1pd">#REF!</definedName>
    <definedName name="sav2pd" localSheetId="12">#REF!</definedName>
    <definedName name="sav2pd">#REF!</definedName>
    <definedName name="SAVdom1" localSheetId="12">#REF!</definedName>
    <definedName name="SAVdom1">#REF!</definedName>
    <definedName name="SAVpct3" localSheetId="12">#REF!</definedName>
    <definedName name="SAVpct3">#REF!</definedName>
    <definedName name="SAVpct5" localSheetId="12">#REF!</definedName>
    <definedName name="SAVpct5">#REF!</definedName>
    <definedName name="SAVpctS" localSheetId="12">#REF!</definedName>
    <definedName name="SAVpctS">#REF!</definedName>
    <definedName name="SAVsens1" localSheetId="12">#REF!</definedName>
    <definedName name="SAVsens1">#REF!</definedName>
    <definedName name="SAVsens1_C" localSheetId="12">#REF!</definedName>
    <definedName name="SAVsens1_C">#REF!</definedName>
    <definedName name="SAVsens2_C" localSheetId="12">#REF!</definedName>
    <definedName name="SAVsens2_C">#REF!</definedName>
    <definedName name="SAVsens2_S" localSheetId="12">#REF!</definedName>
    <definedName name="SAVsens2_S">#REF!</definedName>
    <definedName name="SAVubq1" localSheetId="12">#REF!</definedName>
    <definedName name="SAVubq1">#REF!</definedName>
    <definedName name="SAVubq2" localSheetId="12">#REF!</definedName>
    <definedName name="SAVubq2">#REF!</definedName>
    <definedName name="ScapeLU11">#REF!</definedName>
    <definedName name="ScapeLU14" localSheetId="12">#REF!</definedName>
    <definedName name="ScapeLU14">#REF!</definedName>
    <definedName name="SciUse" localSheetId="12">Subsis!#REF!</definedName>
    <definedName name="SciUse">PU!$G$41</definedName>
    <definedName name="ScorePLDf" localSheetId="12">#REF!</definedName>
    <definedName name="ScorePLDf">#REF!</definedName>
    <definedName name="ScorePOLf" localSheetId="12">#REF!</definedName>
    <definedName name="ScorePOLf">#REF!</definedName>
    <definedName name="ScoreSBMf" localSheetId="12">#REF!</definedName>
    <definedName name="ScoreSBMf">#REF!</definedName>
    <definedName name="ScoreWBFf" localSheetId="12">#REF!</definedName>
    <definedName name="ScoreWBFf">#REF!</definedName>
    <definedName name="Scum15">#REF!</definedName>
    <definedName name="Scum3" localSheetId="12">#REF!</definedName>
    <definedName name="Scum3">#REF!</definedName>
    <definedName name="Scum9" localSheetId="12">#REF!</definedName>
    <definedName name="Scum9">#REF!</definedName>
    <definedName name="SeasPct1">#REF!</definedName>
    <definedName name="SeasPct2" localSheetId="12">#REF!</definedName>
    <definedName name="SeasPct2">#REF!</definedName>
    <definedName name="SeasPct8" localSheetId="12">#REF!</definedName>
    <definedName name="SeasPct8">#REF!</definedName>
    <definedName name="SeasTime1" localSheetId="12">#REF!</definedName>
    <definedName name="SeasTime1">#REF!</definedName>
    <definedName name="SeasTime11" localSheetId="12">#REF!</definedName>
    <definedName name="SeasTime11">#REF!</definedName>
    <definedName name="SeasTime13" localSheetId="12">#REF!</definedName>
    <definedName name="SeasTime13">#REF!</definedName>
    <definedName name="SeasTime8" localSheetId="12">#REF!</definedName>
    <definedName name="SeasTime8">#REF!</definedName>
    <definedName name="SeasTimeV1" localSheetId="12">#REF!</definedName>
    <definedName name="SeasTimeV1">#REF!</definedName>
    <definedName name="SeasTiming10" localSheetId="12">#REF!</definedName>
    <definedName name="SeasTiming10">#REF!</definedName>
    <definedName name="SeasTiming9" localSheetId="12">#REF!</definedName>
    <definedName name="SeasTiming9">#REF!</definedName>
    <definedName name="SeasW_S" localSheetId="12">#REF!</definedName>
    <definedName name="SeasW_S">#REF!</definedName>
    <definedName name="SeasWpct11">#REF!</definedName>
    <definedName name="SeasWpct12" localSheetId="12">#REF!</definedName>
    <definedName name="SeasWpct12">#REF!</definedName>
    <definedName name="SeasWpct3" localSheetId="12">#REF!</definedName>
    <definedName name="SeasWpct3">#REF!</definedName>
    <definedName name="SeasWpct4" localSheetId="12">#REF!</definedName>
    <definedName name="SeasWpct4">#REF!</definedName>
    <definedName name="SeasWpct5" localSheetId="12">#REF!</definedName>
    <definedName name="SeasWpct5">#REF!</definedName>
    <definedName name="SeasWpct6" localSheetId="12">#REF!</definedName>
    <definedName name="SeasWpct6">#REF!</definedName>
    <definedName name="SeasWpct9" localSheetId="12">#REF!</definedName>
    <definedName name="SeasWpct9">#REF!</definedName>
    <definedName name="SedCA">STR!$D$78</definedName>
    <definedName name="SedDisturb20" localSheetId="12">#REF!</definedName>
    <definedName name="SedDisturb20">#REF!</definedName>
    <definedName name="SedIn2" localSheetId="12">#REF!</definedName>
    <definedName name="SedIn2">#REF!</definedName>
    <definedName name="SedIn20" localSheetId="12">#REF!</definedName>
    <definedName name="SedIn20">#REF!</definedName>
    <definedName name="SedIn8" localSheetId="12">#REF!</definedName>
    <definedName name="SedIn8">#REF!</definedName>
    <definedName name="SedIn9" localSheetId="12">#REF!</definedName>
    <definedName name="SedIn9">#REF!</definedName>
    <definedName name="SedLoad">#REF!</definedName>
    <definedName name="SENS1" localSheetId="12">#REF!</definedName>
    <definedName name="SENS1">#REF!</definedName>
    <definedName name="SENS2" localSheetId="12">#REF!</definedName>
    <definedName name="SENS2">#REF!</definedName>
    <definedName name="SENS3" localSheetId="12">#REF!</definedName>
    <definedName name="SENS3">#REF!</definedName>
    <definedName name="SENS4" localSheetId="12">#REF!</definedName>
    <definedName name="SENS4">#REF!</definedName>
    <definedName name="SENS5" localSheetId="12">#REF!</definedName>
    <definedName name="SENS5">#REF!</definedName>
    <definedName name="Shade7">#REF!</definedName>
    <definedName name="Shade9" localSheetId="12">#REF!</definedName>
    <definedName name="Shade9">#REF!</definedName>
    <definedName name="ShedPos_S" localSheetId="12">#REF!</definedName>
    <definedName name="ShedPos_S">#REF!</definedName>
    <definedName name="ShedPos1">#REF!</definedName>
    <definedName name="ShedPos4" localSheetId="12">#REF!</definedName>
    <definedName name="ShedPos4">#REF!</definedName>
    <definedName name="ShedWet2" localSheetId="12">#REF!</definedName>
    <definedName name="ShedWet2">#REF!</definedName>
    <definedName name="Shoal2" localSheetId="12">#REF!</definedName>
    <definedName name="Shoal2">#REF!</definedName>
    <definedName name="Shoaling" localSheetId="12">#REF!</definedName>
    <definedName name="Shoaling">#REF!</definedName>
    <definedName name="ShoalSS" localSheetId="12">#REF!</definedName>
    <definedName name="ShoalSS">#REF!</definedName>
    <definedName name="ShoreAnum4">FA!$G$71</definedName>
    <definedName name="ShoreBnum4" localSheetId="12">FA!#REF!</definedName>
    <definedName name="ShoreBnum4">FA!#REF!</definedName>
    <definedName name="ShoreCnum4" localSheetId="12">FA!#REF!</definedName>
    <definedName name="ShoreCnum4">FA!#REF!</definedName>
    <definedName name="ShoreSlope11">#REF!</definedName>
    <definedName name="ShoreSlope13" localSheetId="12">#REF!</definedName>
    <definedName name="ShoreSlope13">#REF!</definedName>
    <definedName name="ShoreZdiv4">FA!$G$68</definedName>
    <definedName name="ShoreZdiv5">WBF!$G$69</definedName>
    <definedName name="ShrubDom1">#REF!</definedName>
    <definedName name="ShrubSens1" localSheetId="12">#REF!</definedName>
    <definedName name="ShrubSens1">#REF!</definedName>
    <definedName name="ShrubSens1_C" localSheetId="12">#REF!</definedName>
    <definedName name="ShrubSens1_C">#REF!</definedName>
    <definedName name="ShrubSens1_S" localSheetId="12">#REF!</definedName>
    <definedName name="ShrubSens1_S">#REF!</definedName>
    <definedName name="ShrubUbq1">#REF!</definedName>
    <definedName name="Size_S" localSheetId="12">#REF!</definedName>
    <definedName name="Size_S">#REF!</definedName>
    <definedName name="Size0">#REF!</definedName>
    <definedName name="Size12" localSheetId="12">#REF!</definedName>
    <definedName name="Size12">#REF!</definedName>
    <definedName name="Size13" localSheetId="12">#REF!</definedName>
    <definedName name="Size13">#REF!</definedName>
    <definedName name="Size14" localSheetId="12">#REF!</definedName>
    <definedName name="Size14">#REF!</definedName>
    <definedName name="SizeAlt">STR!$G$48</definedName>
    <definedName name="SlopeUnif2" localSheetId="12">#REF!</definedName>
    <definedName name="SlopeUnif2">#REF!</definedName>
    <definedName name="SlopeUnif3" localSheetId="12">#REF!</definedName>
    <definedName name="SlopeUnif3">#REF!</definedName>
    <definedName name="SlopeUnif4" localSheetId="12">#REF!</definedName>
    <definedName name="SlopeUnif4">#REF!</definedName>
    <definedName name="SlopeUnif5" localSheetId="12">#REF!</definedName>
    <definedName name="SlopeUnif5">#REF!</definedName>
    <definedName name="SlopeUnif6" localSheetId="12">#REF!</definedName>
    <definedName name="SlopeUnif6">#REF!</definedName>
    <definedName name="SnagB13" localSheetId="12">#REF!</definedName>
    <definedName name="SnagB13">#REF!</definedName>
    <definedName name="SnagD14" localSheetId="12">#REF!</definedName>
    <definedName name="SnagD14">#REF!</definedName>
    <definedName name="Snags0">#REF!</definedName>
    <definedName name="Snags13" localSheetId="12">#REF!</definedName>
    <definedName name="Snags13">#REF!</definedName>
    <definedName name="Snags14" localSheetId="12">#REF!</definedName>
    <definedName name="Snags14">#REF!</definedName>
    <definedName name="Snow_S" localSheetId="12">#REF!</definedName>
    <definedName name="Snow_S">#REF!</definedName>
    <definedName name="Snow1">#REF!</definedName>
    <definedName name="Snow10" localSheetId="12">#REF!</definedName>
    <definedName name="Snow10">#REF!</definedName>
    <definedName name="Snow11">#REF!</definedName>
    <definedName name="Snow12" localSheetId="12">#REF!</definedName>
    <definedName name="Snow12">#REF!</definedName>
    <definedName name="Snow2" localSheetId="12">#REF!</definedName>
    <definedName name="Snow2">#REF!</definedName>
    <definedName name="Snow3" localSheetId="12">#REF!</definedName>
    <definedName name="Snow3">#REF!</definedName>
    <definedName name="Snow4" localSheetId="12">#REF!</definedName>
    <definedName name="Snow4">#REF!</definedName>
    <definedName name="Snow5" localSheetId="12">#REF!</definedName>
    <definedName name="Snow5">#REF!</definedName>
    <definedName name="Snow6" localSheetId="12">#REF!</definedName>
    <definedName name="Snow6">#REF!</definedName>
    <definedName name="SoilAltIn">STR!$D$79</definedName>
    <definedName name="SoilDisturb">#REF!</definedName>
    <definedName name="soildisturb0">#REF!</definedName>
    <definedName name="SoilDisturb11">#REF!</definedName>
    <definedName name="SoilDisturb15" localSheetId="12">#REF!</definedName>
    <definedName name="SoilDisturb15">#REF!</definedName>
    <definedName name="SoilDisturb4" localSheetId="12">#REF!</definedName>
    <definedName name="SoilDisturb4">#REF!</definedName>
    <definedName name="SoilDisturb5" localSheetId="12">#REF!</definedName>
    <definedName name="SoilDisturb5">#REF!</definedName>
    <definedName name="SoilDisturb6" localSheetId="12">#REF!</definedName>
    <definedName name="SoilDisturb6">#REF!</definedName>
    <definedName name="SoilDisturb8" localSheetId="12">#REF!</definedName>
    <definedName name="SoilDisturb8">#REF!</definedName>
    <definedName name="SoilTex_S" localSheetId="12">#REF!</definedName>
    <definedName name="SoilTex_S">#REF!</definedName>
    <definedName name="SoilTex2">CS!$G$28</definedName>
    <definedName name="SoilTex3" localSheetId="12">#REF!</definedName>
    <definedName name="SoilTex3">#REF!</definedName>
    <definedName name="SoilTex4" localSheetId="12">#REF!</definedName>
    <definedName name="SoilTex4">#REF!</definedName>
    <definedName name="SoilTex5" localSheetId="12">#REF!</definedName>
    <definedName name="SoilTex5">#REF!</definedName>
    <definedName name="SoilTex6" localSheetId="12">#REF!</definedName>
    <definedName name="SoilTex6">#REF!</definedName>
    <definedName name="SoilTex7">PH!$G$36</definedName>
    <definedName name="SoilTex8" localSheetId="12">#REF!</definedName>
    <definedName name="SoilTex8">#REF!</definedName>
    <definedName name="SoilTexPD" localSheetId="12">#REF!</definedName>
    <definedName name="SoilTexPD">#REF!</definedName>
    <definedName name="SongbMam" localSheetId="12">#REF!</definedName>
    <definedName name="SongbMam">#REF!</definedName>
    <definedName name="SPA">#REF!</definedName>
    <definedName name="SpPatch14" localSheetId="12">#REF!</definedName>
    <definedName name="SpPatch14">#REF!</definedName>
    <definedName name="SpPatchy8" localSheetId="12">#REF!</definedName>
    <definedName name="SpPatchy8">#REF!</definedName>
    <definedName name="SSubq2" localSheetId="12">#REF!</definedName>
    <definedName name="SSubq2">#REF!</definedName>
    <definedName name="Steep1">#REF!</definedName>
    <definedName name="Steep13" localSheetId="12">#REF!</definedName>
    <definedName name="Steep13">#REF!</definedName>
    <definedName name="Steep1ws">#REF!</definedName>
    <definedName name="Steep2ws">#REF!</definedName>
    <definedName name="StreamDis5" localSheetId="12">WBF!#REF!</definedName>
    <definedName name="StreamDis5">WBF!#REF!</definedName>
    <definedName name="StreamDist4">FA!$G$88</definedName>
    <definedName name="StreamGrad3">OE!$G$41</definedName>
    <definedName name="Stress12">WBF!$G$175</definedName>
    <definedName name="struc0" localSheetId="12">#REF!</definedName>
    <definedName name="struc0">#REF!</definedName>
    <definedName name="Struc12">WBF!$G$171</definedName>
    <definedName name="Struc14" localSheetId="12">#REF!</definedName>
    <definedName name="Struc14">#REF!</definedName>
    <definedName name="Struc4">FA!$G$121</definedName>
    <definedName name="Struc7">PH!$G$120</definedName>
    <definedName name="Structure6">SBM!$G$106</definedName>
    <definedName name="Subsis4">FA!$G$114</definedName>
    <definedName name="Subsis5">WBF!#REF!</definedName>
    <definedName name="Subsis7">PH!#REF!</definedName>
    <definedName name="Subsist20">Subsis!$G$27</definedName>
    <definedName name="Substrate7">PH!$G$119</definedName>
    <definedName name="Sustain1">#REF!</definedName>
    <definedName name="Sustain11">#REF!</definedName>
    <definedName name="Sustain12" localSheetId="12">#REF!</definedName>
    <definedName name="Sustain12">#REF!</definedName>
    <definedName name="Sustain13" localSheetId="12">#REF!</definedName>
    <definedName name="Sustain13">#REF!</definedName>
    <definedName name="sustain14" localSheetId="12">#REF!</definedName>
    <definedName name="sustain14">#REF!</definedName>
    <definedName name="Sustain2" localSheetId="12">#REF!</definedName>
    <definedName name="Sustain2">#REF!</definedName>
    <definedName name="Sustain3" localSheetId="12">#REF!</definedName>
    <definedName name="Sustain3">#REF!</definedName>
    <definedName name="Sustain4" localSheetId="12">#REF!</definedName>
    <definedName name="Sustain4">#REF!</definedName>
    <definedName name="sustain8" localSheetId="12">#REF!</definedName>
    <definedName name="sustain8">#REF!</definedName>
    <definedName name="SustainPD" localSheetId="12">#REF!</definedName>
    <definedName name="SustainPD">#REF!</definedName>
    <definedName name="SWOpd" localSheetId="12">#REF!</definedName>
    <definedName name="SWOpd">#REF!</definedName>
    <definedName name="System" localSheetId="12">#REF!</definedName>
    <definedName name="System">#REF!</definedName>
    <definedName name="TEknown" localSheetId="12">#REF!</definedName>
    <definedName name="TEknown">#REF!</definedName>
    <definedName name="TEpredicted" localSheetId="12">#REF!</definedName>
    <definedName name="TEpredicted">#REF!</definedName>
    <definedName name="TEST1" localSheetId="12">#REF!</definedName>
    <definedName name="TEST1">#REF!</definedName>
    <definedName name="TEST10" localSheetId="12">#REF!</definedName>
    <definedName name="TEST10">#REF!</definedName>
    <definedName name="TEST11" localSheetId="12">#REF!</definedName>
    <definedName name="TEST11">#REF!</definedName>
    <definedName name="TEST12" localSheetId="12">#REF!</definedName>
    <definedName name="TEST12">#REF!</definedName>
    <definedName name="TEST13" localSheetId="12">#REF!</definedName>
    <definedName name="TEST13">#REF!</definedName>
    <definedName name="TEST14" localSheetId="12">#REF!</definedName>
    <definedName name="TEST14">#REF!</definedName>
    <definedName name="TEST15" localSheetId="12">#REF!</definedName>
    <definedName name="TEST15">#REF!</definedName>
    <definedName name="TEST18" localSheetId="12">#REF!</definedName>
    <definedName name="TEST18">#REF!</definedName>
    <definedName name="TEST19" localSheetId="12">#REF!</definedName>
    <definedName name="TEST19">#REF!</definedName>
    <definedName name="TEST2" localSheetId="12">#REF!</definedName>
    <definedName name="TEST2">#REF!</definedName>
    <definedName name="TEST20" localSheetId="12">#REF!</definedName>
    <definedName name="TEST20">#REF!</definedName>
    <definedName name="TEST21" localSheetId="12">#REF!</definedName>
    <definedName name="TEST21">#REF!</definedName>
    <definedName name="TEST3" localSheetId="12">#REF!</definedName>
    <definedName name="TEST3">#REF!</definedName>
    <definedName name="TEST4" localSheetId="12">#REF!</definedName>
    <definedName name="TEST4">#REF!</definedName>
    <definedName name="TEST5" localSheetId="12">#REF!</definedName>
    <definedName name="TEST5">#REF!</definedName>
    <definedName name="TEST6" localSheetId="12">#REF!</definedName>
    <definedName name="TEST6">#REF!</definedName>
    <definedName name="TEST7" localSheetId="12">#REF!</definedName>
    <definedName name="TEST7">#REF!</definedName>
    <definedName name="TEST8" localSheetId="12">#REF!</definedName>
    <definedName name="TEST8">#REF!</definedName>
    <definedName name="TEST9" localSheetId="12">#REF!</definedName>
    <definedName name="TEST9">#REF!</definedName>
    <definedName name="ThruFlo1">#REF!</definedName>
    <definedName name="ThruFlo10" localSheetId="12">#REF!</definedName>
    <definedName name="ThruFlo10">#REF!</definedName>
    <definedName name="ThruFlo12" localSheetId="12">#REF!</definedName>
    <definedName name="ThruFlo12">#REF!</definedName>
    <definedName name="ThruFlo2" localSheetId="12">#REF!</definedName>
    <definedName name="ThruFlo2">#REF!</definedName>
    <definedName name="ThruFlo3" localSheetId="12">#REF!</definedName>
    <definedName name="ThruFlo3">#REF!</definedName>
    <definedName name="ThruFlo4" localSheetId="12">#REF!</definedName>
    <definedName name="ThruFlo4">#REF!</definedName>
    <definedName name="ThruFlo5" localSheetId="12">#REF!</definedName>
    <definedName name="ThruFlo5">#REF!</definedName>
    <definedName name="ThruFlo6" localSheetId="12">#REF!</definedName>
    <definedName name="ThruFlo6">#REF!</definedName>
    <definedName name="ThruFlo8" localSheetId="12">#REF!</definedName>
    <definedName name="ThruFlo8">#REF!</definedName>
    <definedName name="ThruFlo9" localSheetId="12">#REF!</definedName>
    <definedName name="ThruFlo9">#REF!</definedName>
    <definedName name="ThruFlow13" localSheetId="12">#REF!</definedName>
    <definedName name="ThruFlow13">#REF!</definedName>
    <definedName name="Tidal" localSheetId="12">#REF!</definedName>
    <definedName name="Tidal">#REF!</definedName>
    <definedName name="tidal0" localSheetId="12">#REF!</definedName>
    <definedName name="tidal0">#REF!</definedName>
    <definedName name="Tidal1" localSheetId="12">#REF!</definedName>
    <definedName name="Tidal1">#REF!</definedName>
    <definedName name="Tidal10" localSheetId="12">#REF!</definedName>
    <definedName name="Tidal10">#REF!</definedName>
    <definedName name="Tidal11" localSheetId="12">#REF!</definedName>
    <definedName name="Tidal11">#REF!</definedName>
    <definedName name="Tidal12" localSheetId="12">#REF!</definedName>
    <definedName name="Tidal12">#REF!</definedName>
    <definedName name="Tidal13" localSheetId="12">#REF!</definedName>
    <definedName name="Tidal13">#REF!</definedName>
    <definedName name="Tidal14" localSheetId="12">#REF!</definedName>
    <definedName name="Tidal14">#REF!</definedName>
    <definedName name="Tidal2" localSheetId="12">#REF!</definedName>
    <definedName name="Tidal2">#REF!</definedName>
    <definedName name="Tidal3" localSheetId="12">#REF!</definedName>
    <definedName name="Tidal3">#REF!</definedName>
    <definedName name="Tidal4" localSheetId="12">#REF!</definedName>
    <definedName name="Tidal4">#REF!</definedName>
    <definedName name="Tidal5" localSheetId="12">#REF!</definedName>
    <definedName name="Tidal5">#REF!</definedName>
    <definedName name="Tidal6" localSheetId="12">#REF!</definedName>
    <definedName name="Tidal6">#REF!</definedName>
    <definedName name="Tidal7" localSheetId="12">#REF!</definedName>
    <definedName name="Tidal7">#REF!</definedName>
    <definedName name="Tidal8" localSheetId="12">#REF!</definedName>
    <definedName name="Tidal8">#REF!</definedName>
    <definedName name="Tidal9" localSheetId="12">#REF!</definedName>
    <definedName name="Tidal9">#REF!</definedName>
    <definedName name="TidalNTconn13" localSheetId="12">#REF!</definedName>
    <definedName name="TidalNTconn13">#REF!</definedName>
    <definedName name="TidalPD" localSheetId="12">#REF!</definedName>
    <definedName name="TidalPD">#REF!</definedName>
    <definedName name="TidalProx1">#REF!</definedName>
    <definedName name="TidalProx10" localSheetId="12">#REF!</definedName>
    <definedName name="TidalProx10">#REF!</definedName>
    <definedName name="TidalProx11">#REF!</definedName>
    <definedName name="TidalProx12" localSheetId="12">#REF!</definedName>
    <definedName name="TidalProx12">#REF!</definedName>
    <definedName name="TidalProx3" localSheetId="12">#REF!</definedName>
    <definedName name="TidalProx3">#REF!</definedName>
    <definedName name="TidalProx4" localSheetId="12">#REF!</definedName>
    <definedName name="TidalProx4">#REF!</definedName>
    <definedName name="TidalProx5" localSheetId="12">#REF!</definedName>
    <definedName name="TidalProx5">#REF!</definedName>
    <definedName name="TidalProx6" localSheetId="12">#REF!</definedName>
    <definedName name="TidalProx6">#REF!</definedName>
    <definedName name="TidalProx8" localSheetId="12">#REF!</definedName>
    <definedName name="TidalProx8">#REF!</definedName>
    <definedName name="TidalRiver1">SR!#REF!</definedName>
    <definedName name="TidalW" localSheetId="12">#REF!</definedName>
    <definedName name="TidalW">#REF!</definedName>
    <definedName name="TideCov4">[1]FA!#REF!</definedName>
    <definedName name="TidePctDry7">PH!$D$3</definedName>
    <definedName name="TidePctHi6">SBM!$D$3</definedName>
    <definedName name="TidePctLo5">WBF!$D$3</definedName>
    <definedName name="TidePctLow3">OE!$D$4</definedName>
    <definedName name="TidePctLow4">FA!$D$8</definedName>
    <definedName name="TidePd">PH!$G$3</definedName>
    <definedName name="TideRegime1">SR!#REF!</definedName>
    <definedName name="TideRegime2">CS!$D$3</definedName>
    <definedName name="TmarshAge4">FA!#REF!</definedName>
    <definedName name="TmarshAge7">PH!$G$104</definedName>
    <definedName name="TmarshShed4">FA!$G$99</definedName>
    <definedName name="TmarshShed5">WBF!#REF!</definedName>
    <definedName name="TnonTconn10" localSheetId="12">#REF!</definedName>
    <definedName name="TnonTconn10">#REF!</definedName>
    <definedName name="TnonTpd" localSheetId="12">#REF!</definedName>
    <definedName name="TnonTpd">#REF!</definedName>
    <definedName name="TooSteep12" localSheetId="12">#REF!</definedName>
    <definedName name="TooSteep12">#REF!</definedName>
    <definedName name="ToxData4">FA!$G$94</definedName>
    <definedName name="ToxDoc">STR!$G$54</definedName>
    <definedName name="Toxic">#REF!</definedName>
    <definedName name="Toxic11">#REF!</definedName>
    <definedName name="toxics13" localSheetId="12">#REF!</definedName>
    <definedName name="toxics13">#REF!</definedName>
    <definedName name="ToxicsIn">STR!$D$77</definedName>
    <definedName name="TprobUp" localSheetId="12">#REF!</definedName>
    <definedName name="TprobUp">#REF!</definedName>
    <definedName name="Transport1">SR!$G$83</definedName>
    <definedName name="Transport3" localSheetId="12">#REF!</definedName>
    <definedName name="Transport3">#REF!</definedName>
    <definedName name="Transport4" localSheetId="12">#REF!</definedName>
    <definedName name="Transport4">#REF!</definedName>
    <definedName name="TransportSS" localSheetId="12">#REF!</definedName>
    <definedName name="TransportSS">#REF!</definedName>
    <definedName name="TransptAlt">STR!$G$68</definedName>
    <definedName name="TreeForm5" localSheetId="12">#REF!</definedName>
    <definedName name="TreeForm5">#REF!</definedName>
    <definedName name="TreeForm6" localSheetId="12">#REF!</definedName>
    <definedName name="TreeForm6">#REF!</definedName>
    <definedName name="TreeFrag_S" localSheetId="12">#REF!</definedName>
    <definedName name="TreeFrag_S">#REF!</definedName>
    <definedName name="TreeFrag14" localSheetId="12">#REF!</definedName>
    <definedName name="TreeFrag14">#REF!</definedName>
    <definedName name="Trees13" localSheetId="12">#REF!</definedName>
    <definedName name="Trees13">#REF!</definedName>
    <definedName name="TreeTyp13" localSheetId="12">#REF!</definedName>
    <definedName name="TreeTyp13">#REF!</definedName>
    <definedName name="TreeType6">SBM!#REF!</definedName>
    <definedName name="TreeTypes14" localSheetId="12">#REF!</definedName>
    <definedName name="TreeTypes14">#REF!</definedName>
    <definedName name="TreeTypes4">FA!#REF!</definedName>
    <definedName name="TreeVar11">#REF!</definedName>
    <definedName name="TreeVar8" localSheetId="12">#REF!</definedName>
    <definedName name="TreeVar8">#REF!</definedName>
    <definedName name="Trib4">FA!$G$81</definedName>
    <definedName name="TribDist1">SR!$G$60</definedName>
    <definedName name="TribFresh6">SBM!$G$90</definedName>
    <definedName name="TribGrad">SR!$G$55</definedName>
    <definedName name="TribIn3">OE!$G$40</definedName>
    <definedName name="TribInput5">WBF!$I$94</definedName>
    <definedName name="TribStream5">WBF!$G$94</definedName>
    <definedName name="TributaryIn">Subsis!$G$19</definedName>
    <definedName name="TurbExceed" localSheetId="12">#REF!</definedName>
    <definedName name="TurbExceed">#REF!</definedName>
    <definedName name="TurbExceedSS" localSheetId="12">#REF!</definedName>
    <definedName name="TurbExceedSS">#REF!</definedName>
    <definedName name="Turbid15" localSheetId="12">#REF!</definedName>
    <definedName name="Turbid15">#REF!</definedName>
    <definedName name="TurbUp2" localSheetId="12">#REF!</definedName>
    <definedName name="TurbUp2">#REF!</definedName>
    <definedName name="Undercut10" localSheetId="12">#REF!</definedName>
    <definedName name="Undercut10">#REF!</definedName>
    <definedName name="Undercut11" localSheetId="12">#REF!</definedName>
    <definedName name="Undercut11">#REF!</definedName>
    <definedName name="Undercut2" localSheetId="12">#REF!</definedName>
    <definedName name="Undercut2">#REF!</definedName>
    <definedName name="Undercut9" localSheetId="12">#REF!</definedName>
    <definedName name="Undercut9">#REF!</definedName>
    <definedName name="Unif1" localSheetId="12">#REF!</definedName>
    <definedName name="Unif1">#REF!</definedName>
    <definedName name="Unif11" localSheetId="12">#REF!</definedName>
    <definedName name="Unif11">#REF!</definedName>
    <definedName name="Unif14" localSheetId="12">#REF!</definedName>
    <definedName name="Unif14">#REF!</definedName>
    <definedName name="UniqPatch" localSheetId="12">#REF!</definedName>
    <definedName name="UniqPatch">#REF!</definedName>
    <definedName name="UniqPatch11">#REF!</definedName>
    <definedName name="UniqPatch12" localSheetId="12">#REF!</definedName>
    <definedName name="UniqPatch12">#REF!</definedName>
    <definedName name="UniqPatch13" localSheetId="12">#REF!</definedName>
    <definedName name="UniqPatch13">#REF!</definedName>
    <definedName name="UniqPatch14" localSheetId="12">#REF!</definedName>
    <definedName name="UniqPatch14">#REF!</definedName>
    <definedName name="UniqPatchPD" localSheetId="12">#REF!</definedName>
    <definedName name="UniqPatchPD">#REF!</definedName>
    <definedName name="UpEdge14" localSheetId="12">#REF!</definedName>
    <definedName name="UpEdge14">#REF!</definedName>
    <definedName name="UpEdgeShape4" localSheetId="12">#REF!</definedName>
    <definedName name="UpEdgeShape4">#REF!</definedName>
    <definedName name="UpErodible" localSheetId="12">#REF!</definedName>
    <definedName name="UpErodible">#REF!</definedName>
    <definedName name="UpExceed2" localSheetId="12">#REF!</definedName>
    <definedName name="UpExceed2">#REF!</definedName>
    <definedName name="UpExceedDist" localSheetId="12">#REF!</definedName>
    <definedName name="UpExceedDist">#REF!</definedName>
    <definedName name="UpNitrate" localSheetId="12">#REF!</definedName>
    <definedName name="UpNitrate">#REF!</definedName>
    <definedName name="UpPhos" localSheetId="12">#REF!</definedName>
    <definedName name="UpPhos">#REF!</definedName>
    <definedName name="UpPollute" localSheetId="12">#REF!</definedName>
    <definedName name="UpPollute">#REF!</definedName>
    <definedName name="UpStorage" localSheetId="12">#REF!</definedName>
    <definedName name="UpStorage">#REF!</definedName>
    <definedName name="UpStore1">#REF!</definedName>
    <definedName name="UpStore3" localSheetId="12">#REF!</definedName>
    <definedName name="UpStore3">#REF!</definedName>
    <definedName name="UpStore4" localSheetId="12">#REF!</definedName>
    <definedName name="UpStore4">#REF!</definedName>
    <definedName name="UpStoreSS" localSheetId="12">#REF!</definedName>
    <definedName name="UpStoreSS">#REF!</definedName>
    <definedName name="UpThermo" localSheetId="12">#REF!</definedName>
    <definedName name="UpThermo">#REF!</definedName>
    <definedName name="UpTransport" localSheetId="12">#REF!</definedName>
    <definedName name="UpTransport">#REF!</definedName>
    <definedName name="UpTurbid" localSheetId="12">#REF!</definedName>
    <definedName name="UpTurbid">#REF!</definedName>
    <definedName name="UpWQdis2" localSheetId="12">#REF!</definedName>
    <definedName name="UpWQdis2">#REF!</definedName>
    <definedName name="VegClear">STR!$D$80</definedName>
    <definedName name="VegConn6">SBM!$G$42</definedName>
    <definedName name="VegConnec6">SBM!#REF!</definedName>
    <definedName name="VegGap11" localSheetId="12">#REF!</definedName>
    <definedName name="VegGap11">#REF!</definedName>
    <definedName name="VegGap14" localSheetId="12">#REF!</definedName>
    <definedName name="VegGap14">#REF!</definedName>
    <definedName name="VegGaps8" localSheetId="12">#REF!</definedName>
    <definedName name="VegGaps8">#REF!</definedName>
    <definedName name="VegWabs3" localSheetId="12">#REF!</definedName>
    <definedName name="VegWabs3">#REF!</definedName>
    <definedName name="VegWrel3" localSheetId="12">#REF!</definedName>
    <definedName name="VegWrel3">#REF!</definedName>
    <definedName name="Visib5">WBF!$G$106</definedName>
    <definedName name="VisibAlt">STR!$G$15</definedName>
    <definedName name="Visibility">#REF!</definedName>
    <definedName name="VisibPU" localSheetId="12">Subsis!#REF!</definedName>
    <definedName name="VisibPU">PU!$G$15</definedName>
    <definedName name="Vremove6" localSheetId="12">#REF!</definedName>
    <definedName name="Vremove6">#REF!</definedName>
    <definedName name="VscoreSRM" localSheetId="12">#REF!</definedName>
    <definedName name="VscoreSRM">#REF!</definedName>
    <definedName name="VscoreWBF" localSheetId="12">#REF!</definedName>
    <definedName name="VscoreWBF">#REF!</definedName>
    <definedName name="VscoreWBN" localSheetId="12">#REF!</definedName>
    <definedName name="VscoreWBN">#REF!</definedName>
    <definedName name="Vwidth1">SR!$G$11</definedName>
    <definedName name="VwidthAbs_S" localSheetId="12">#REF!</definedName>
    <definedName name="VwidthAbs_S">#REF!</definedName>
    <definedName name="VwidthAbs13" localSheetId="12">#REF!</definedName>
    <definedName name="VwidthAbs13">#REF!</definedName>
    <definedName name="VwidthAbs4" localSheetId="12">#REF!</definedName>
    <definedName name="VwidthAbs4">#REF!</definedName>
    <definedName name="VwidthAbs5" localSheetId="12">#REF!</definedName>
    <definedName name="VwidthAbs5">#REF!</definedName>
    <definedName name="VwidthAbs6" localSheetId="12">#REF!</definedName>
    <definedName name="VwidthAbs6">#REF!</definedName>
    <definedName name="VwidthHi18">Sens!$G$3</definedName>
    <definedName name="VwidthHi5">WBF!$G$17</definedName>
    <definedName name="VwidthHi6">SBM!$G$11</definedName>
    <definedName name="VwidthHi7">PH!$G$11</definedName>
    <definedName name="VwidthHigh2">CS!$G$17</definedName>
    <definedName name="VwidthHigh4">FA!$G$16</definedName>
    <definedName name="VwidthLo5">WBF!$G$11</definedName>
    <definedName name="VwidthLow2">CS!$G$11</definedName>
    <definedName name="VwidthLow3">OE!$G$12</definedName>
    <definedName name="VwidthRel_S" localSheetId="12">#REF!</definedName>
    <definedName name="VwidthRel_S">#REF!</definedName>
    <definedName name="VwidthRel4" localSheetId="12">#REF!</definedName>
    <definedName name="VwidthRel4">#REF!</definedName>
    <definedName name="VwidthRel5" localSheetId="12">#REF!</definedName>
    <definedName name="VwidthRel5">#REF!</definedName>
    <definedName name="VwidthRel6" localSheetId="12">#REF!</definedName>
    <definedName name="VwidthRel6">#REF!</definedName>
    <definedName name="Water12">WBF!$G$36</definedName>
    <definedName name="Water5">WBF!$G$128</definedName>
    <definedName name="WaterLow1">SR!#REF!</definedName>
    <definedName name="WaterLow2" localSheetId="12">CS!#REF!</definedName>
    <definedName name="WaterLow2">CS!#REF!</definedName>
    <definedName name="Wave2" localSheetId="12">#REF!</definedName>
    <definedName name="Wave2">#REF!</definedName>
    <definedName name="Waves" localSheetId="12">#REF!</definedName>
    <definedName name="Waves">#REF!</definedName>
    <definedName name="Waves15" localSheetId="12">#REF!</definedName>
    <definedName name="Waves15">#REF!</definedName>
    <definedName name="WBFscores" localSheetId="12">#REF!</definedName>
    <definedName name="WBFscores">#REF!</definedName>
    <definedName name="WbirdF" localSheetId="12">#REF!</definedName>
    <definedName name="WbirdF">#REF!</definedName>
    <definedName name="WbirdFeed" localSheetId="12">#REF!</definedName>
    <definedName name="WbirdFeed">#REF!</definedName>
    <definedName name="WbirdNest" localSheetId="12">#REF!</definedName>
    <definedName name="WbirdNest">#REF!</definedName>
    <definedName name="WBN4a" localSheetId="12">#REF!</definedName>
    <definedName name="WBN4a">#REF!</definedName>
    <definedName name="WeedSource">#REF!</definedName>
    <definedName name="WeedSourcePD" localSheetId="12">#REF!</definedName>
    <definedName name="WeedSourcePD">#REF!</definedName>
    <definedName name="WellWater" localSheetId="12">#REF!</definedName>
    <definedName name="WellWater">#REF!</definedName>
    <definedName name="WetAtLow4" localSheetId="12">FA!#REF!</definedName>
    <definedName name="WetAtLow4">FA!#REF!</definedName>
    <definedName name="WetDistrib13" localSheetId="12">#REF!</definedName>
    <definedName name="WetDistrib13">#REF!</definedName>
    <definedName name="WetlandsRare4">FA!#REF!</definedName>
    <definedName name="Wetter">#REF!</definedName>
    <definedName name="wetter1">#REF!</definedName>
    <definedName name="WetterCA">STR!$D$73</definedName>
    <definedName name="WetterEx">#REF!</definedName>
    <definedName name="WetterIn">STR!$D$72</definedName>
    <definedName name="Wettype12">WBF!$G$3</definedName>
    <definedName name="wetuniq">#REF!</definedName>
    <definedName name="WidthAbs2" localSheetId="12">#REF!</definedName>
    <definedName name="WidthAbs2">#REF!</definedName>
    <definedName name="WidthPD" localSheetId="12">#REF!</definedName>
    <definedName name="WidthPD">#REF!</definedName>
    <definedName name="WidthRel2" localSheetId="12">#REF!</definedName>
    <definedName name="WidthRel2">#REF!</definedName>
    <definedName name="wood1pd" localSheetId="12">#REF!</definedName>
    <definedName name="wood1pd">#REF!</definedName>
    <definedName name="wood2pd" localSheetId="12">#REF!</definedName>
    <definedName name="wood2pd">#REF!</definedName>
    <definedName name="WoodAbove10" localSheetId="12">#REF!</definedName>
    <definedName name="WoodAbove10">#REF!</definedName>
    <definedName name="WoodAbove11">#REF!</definedName>
    <definedName name="WoodAbove12" localSheetId="12">#REF!</definedName>
    <definedName name="WoodAbove12">#REF!</definedName>
    <definedName name="WoodAbove14" localSheetId="12">#REF!</definedName>
    <definedName name="WoodAbove14">#REF!</definedName>
    <definedName name="WoodAbove9" localSheetId="12">#REF!</definedName>
    <definedName name="WoodAbove9">#REF!</definedName>
    <definedName name="WoodDown11">#REF!</definedName>
    <definedName name="WoodDown14" localSheetId="12">#REF!</definedName>
    <definedName name="WoodDown14">#REF!</definedName>
    <definedName name="WoodDown8" localSheetId="12">#REF!</definedName>
    <definedName name="WoodDown8">#REF!</definedName>
    <definedName name="WoodTypes_S" localSheetId="12">#REF!</definedName>
    <definedName name="WoodTypes_S">#REF!</definedName>
    <definedName name="Woody14" localSheetId="12">#REF!</definedName>
    <definedName name="Woody14">#REF!</definedName>
    <definedName name="Woody5">WBF!#REF!</definedName>
    <definedName name="woodydbh0">#REF!</definedName>
    <definedName name="WoodyEdge14" localSheetId="12">#REF!</definedName>
    <definedName name="WoodyEdge14">#REF!</definedName>
    <definedName name="woodynn0" localSheetId="12">#REF!</definedName>
    <definedName name="woodynn0">#REF!</definedName>
    <definedName name="woodypct0">#REF!</definedName>
    <definedName name="WoodyPct14" localSheetId="12">#REF!</definedName>
    <definedName name="WoodyPct14">#REF!</definedName>
    <definedName name="WoodyPct2">CS!#REF!</definedName>
    <definedName name="WoodyPct4">FA!#REF!</definedName>
    <definedName name="WoodyPct5" localSheetId="12">#REF!</definedName>
    <definedName name="WoodyPct5">#REF!</definedName>
    <definedName name="WoodyPct6">SBM!#REF!</definedName>
    <definedName name="WoodyPct7">PH!#REF!</definedName>
    <definedName name="WoodySens2_C">#REF!</definedName>
    <definedName name="WoodySens2_S" localSheetId="12">#REF!</definedName>
    <definedName name="WoodySens2_S">#REF!</definedName>
    <definedName name="WQdisDown4" localSheetId="12">#REF!</definedName>
    <definedName name="WQdisDown4">#REF!</definedName>
    <definedName name="WQdistUp7" localSheetId="12">#REF!</definedName>
    <definedName name="WQdistUp7">#REF!</definedName>
    <definedName name="WQdown4" localSheetId="12">#REF!</definedName>
    <definedName name="WQdown4">#REF!</definedName>
    <definedName name="WQdown7" localSheetId="12">#REF!</definedName>
    <definedName name="WQdown7">#REF!</definedName>
    <definedName name="WQdownDis" localSheetId="12">#REF!</definedName>
    <definedName name="WQdownDis">#REF!</definedName>
    <definedName name="WQdownDis11" localSheetId="12">#REF!</definedName>
    <definedName name="WQdownDis11">#REF!</definedName>
    <definedName name="WQdownDis12" localSheetId="12">#REF!</definedName>
    <definedName name="WQdownDis12">#REF!</definedName>
    <definedName name="WQdownDis13" localSheetId="12">#REF!</definedName>
    <definedName name="WQdownDis13">#REF!</definedName>
    <definedName name="WQdownDis7" localSheetId="12">#REF!</definedName>
    <definedName name="WQdownDis7">#REF!</definedName>
    <definedName name="WQdownDis8" localSheetId="12">#REF!</definedName>
    <definedName name="WQdownDis8">#REF!</definedName>
    <definedName name="WQdownDis9" localSheetId="12">#REF!</definedName>
    <definedName name="WQdownDis9">#REF!</definedName>
    <definedName name="WQNdisUp4" localSheetId="12">#REF!</definedName>
    <definedName name="WQNdisUp4">#REF!</definedName>
    <definedName name="WQprobDownS" localSheetId="12">#REF!</definedName>
    <definedName name="WQprobDownS">#REF!</definedName>
    <definedName name="WQprobUpS">#REF!</definedName>
    <definedName name="WQup11">#REF!</definedName>
    <definedName name="WQup4" localSheetId="12">#REF!</definedName>
    <definedName name="WQup4">#REF!</definedName>
    <definedName name="WQup7" localSheetId="12">#REF!</definedName>
    <definedName name="WQup7">#REF!</definedName>
    <definedName name="WQup9" localSheetId="12">#REF!</definedName>
    <definedName name="WQup9">#REF!</definedName>
    <definedName name="WQupDis" localSheetId="12">#REF!</definedName>
    <definedName name="WQupDis">#REF!</definedName>
    <definedName name="WQupDis11" localSheetId="12">#REF!</definedName>
    <definedName name="WQupDis11">#REF!</definedName>
    <definedName name="WQupDis12" localSheetId="12">#REF!</definedName>
    <definedName name="WQupDis12">#REF!</definedName>
    <definedName name="WQupDis13" localSheetId="12">#REF!</definedName>
    <definedName name="WQupDis13">#REF!</definedName>
    <definedName name="WQupdis8" localSheetId="12">#REF!</definedName>
    <definedName name="WQupdis8">#REF!</definedName>
    <definedName name="WQupDis9" localSheetId="12">#REF!</definedName>
    <definedName name="WQupDis9">#REF!</definedName>
    <definedName name="xxxaaaaaaaa">S!#REF!</definedName>
    <definedName name="xxxxx">SR!#REF!</definedName>
    <definedName name="xxxxxx">WBF!#REF!</definedName>
    <definedName name="Z_B8E02330_2419_4DE6_AD01_7ACC7A5D18DD_.wvu.Cols" localSheetId="3" hidden="1">Scores!$D:$D,Scores!#REF!</definedName>
    <definedName name="Z_B8E02330_2419_4DE6_AD01_7ACC7A5D18DD_.wvu.PrintArea" localSheetId="0" hidden="1">OF!$A$3:$D$167</definedName>
    <definedName name="Z_B8E02330_2419_4DE6_AD01_7ACC7A5D18DD_.wvu.PrintArea" localSheetId="3" hidden="1">Scores!$A$2:$D$17</definedName>
    <definedName name="Z_B8E02330_2419_4DE6_AD01_7ACC7A5D18DD_.wvu.PrintArea" localSheetId="1" hidden="1">T!$A$3:$D$90</definedName>
  </definedNames>
  <calcPr calcId="191029"/>
  <customWorkbookViews>
    <customWorkbookView name="Paul Adamus - Personal View" guid="{B8E02330-2419-4DE6-AD01-7ACC7A5D18DD}" mergeInterval="0" personalView="1" maximized="1" xWindow="1" yWindow="1" windowWidth="1020" windowHeight="490" tabRatio="1000"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41" i="43" l="1"/>
  <c r="G40" i="43"/>
  <c r="G39" i="43"/>
  <c r="G44" i="43" s="1"/>
  <c r="B72" i="40"/>
  <c r="F140" i="53"/>
  <c r="F139" i="53"/>
  <c r="F122" i="53"/>
  <c r="F121" i="53"/>
  <c r="F103" i="53"/>
  <c r="F104" i="53"/>
  <c r="D78" i="40" s="1"/>
  <c r="F91" i="53"/>
  <c r="D77" i="40" s="1"/>
  <c r="F90" i="53"/>
  <c r="F77" i="53"/>
  <c r="F78" i="53"/>
  <c r="D76" i="40" s="1"/>
  <c r="F62" i="53"/>
  <c r="F63" i="53" s="1"/>
  <c r="F47" i="53"/>
  <c r="F48" i="53"/>
  <c r="D74" i="40" s="1"/>
  <c r="F32" i="53"/>
  <c r="F31" i="53"/>
  <c r="F16" i="53"/>
  <c r="F17" i="53" s="1"/>
  <c r="D72" i="40" s="1"/>
  <c r="F27" i="5"/>
  <c r="D3" i="35"/>
  <c r="G3" i="35" s="1"/>
  <c r="C3" i="35"/>
  <c r="A3" i="35"/>
  <c r="B3" i="35"/>
  <c r="A7" i="36"/>
  <c r="B7" i="36"/>
  <c r="D7" i="36"/>
  <c r="G7" i="36" s="1"/>
  <c r="C7" i="36"/>
  <c r="D6" i="36"/>
  <c r="D5" i="36"/>
  <c r="D4" i="36"/>
  <c r="F4" i="36" s="1"/>
  <c r="G3" i="36" s="1"/>
  <c r="C6" i="36"/>
  <c r="C5" i="36"/>
  <c r="C4" i="36"/>
  <c r="C3" i="36"/>
  <c r="D31" i="44"/>
  <c r="C31" i="44"/>
  <c r="B80" i="40"/>
  <c r="B79" i="40"/>
  <c r="B78" i="40"/>
  <c r="B77" i="40"/>
  <c r="B76" i="40"/>
  <c r="B75" i="40"/>
  <c r="B74" i="40"/>
  <c r="B73" i="40"/>
  <c r="A62" i="37"/>
  <c r="B62" i="37"/>
  <c r="A61" i="37"/>
  <c r="B61" i="37"/>
  <c r="D80" i="40"/>
  <c r="D79" i="40"/>
  <c r="D73" i="40"/>
  <c r="D29" i="39"/>
  <c r="F29" i="39" s="1"/>
  <c r="C29" i="39"/>
  <c r="D75" i="33"/>
  <c r="F75" i="33" s="1"/>
  <c r="C75" i="33"/>
  <c r="D74" i="33"/>
  <c r="F74" i="33" s="1"/>
  <c r="C74" i="33"/>
  <c r="D36" i="35"/>
  <c r="F36" i="35" s="1"/>
  <c r="C36" i="35"/>
  <c r="D35" i="35"/>
  <c r="F35" i="35" s="1"/>
  <c r="C35" i="35"/>
  <c r="D46" i="37"/>
  <c r="C46" i="37"/>
  <c r="D45" i="37"/>
  <c r="F45" i="37"/>
  <c r="C45" i="37"/>
  <c r="D24" i="31"/>
  <c r="F24" i="31" s="1"/>
  <c r="C24" i="31"/>
  <c r="D23" i="31"/>
  <c r="F23" i="31" s="1"/>
  <c r="C23" i="31"/>
  <c r="D115" i="41"/>
  <c r="F115" i="41" s="1"/>
  <c r="D114" i="41"/>
  <c r="F114" i="41" s="1"/>
  <c r="D113" i="41"/>
  <c r="F113" i="41" s="1"/>
  <c r="D112" i="41"/>
  <c r="F112" i="41" s="1"/>
  <c r="G116" i="41"/>
  <c r="C115" i="41"/>
  <c r="C114" i="41"/>
  <c r="C113" i="41"/>
  <c r="C112" i="41"/>
  <c r="C111" i="41"/>
  <c r="B111" i="41"/>
  <c r="D38" i="43"/>
  <c r="F38" i="43" s="1"/>
  <c r="D37" i="43"/>
  <c r="F37" i="43" s="1"/>
  <c r="D36" i="43"/>
  <c r="F36" i="43" s="1"/>
  <c r="D35" i="43"/>
  <c r="F35" i="43" s="1"/>
  <c r="C38" i="43"/>
  <c r="C37" i="43"/>
  <c r="C36" i="43"/>
  <c r="C35" i="43"/>
  <c r="C34" i="43"/>
  <c r="A34" i="43"/>
  <c r="B34" i="43"/>
  <c r="A111" i="41"/>
  <c r="D120" i="33"/>
  <c r="F120" i="33" s="1"/>
  <c r="D119" i="33"/>
  <c r="F119" i="33" s="1"/>
  <c r="D118" i="33"/>
  <c r="F118" i="33" s="1"/>
  <c r="D117" i="33"/>
  <c r="F117" i="33" s="1"/>
  <c r="C120" i="33"/>
  <c r="C119" i="33"/>
  <c r="C118" i="33"/>
  <c r="C117" i="33"/>
  <c r="C116" i="33"/>
  <c r="B116" i="33"/>
  <c r="A116" i="33"/>
  <c r="C112" i="36"/>
  <c r="C111" i="36"/>
  <c r="C110" i="36"/>
  <c r="C109" i="36"/>
  <c r="C108" i="36"/>
  <c r="B108" i="36"/>
  <c r="A108" i="36"/>
  <c r="D112" i="36"/>
  <c r="F112" i="36" s="1"/>
  <c r="D111" i="36"/>
  <c r="F111" i="36" s="1"/>
  <c r="D110" i="36"/>
  <c r="F110" i="36" s="1"/>
  <c r="D109" i="36"/>
  <c r="F109" i="36" s="1"/>
  <c r="D26" i="39"/>
  <c r="G26" i="39" s="1"/>
  <c r="C26" i="39"/>
  <c r="A26" i="39"/>
  <c r="B26" i="39"/>
  <c r="D37" i="34"/>
  <c r="G37" i="34" s="1"/>
  <c r="C37" i="34"/>
  <c r="A37" i="34"/>
  <c r="B37" i="34"/>
  <c r="D7" i="44"/>
  <c r="F7" i="44" s="1"/>
  <c r="D4" i="44"/>
  <c r="F4" i="44" s="1"/>
  <c r="D5" i="44"/>
  <c r="F5" i="44" s="1"/>
  <c r="D6" i="44"/>
  <c r="F6" i="44" s="1"/>
  <c r="C7" i="44"/>
  <c r="C6" i="44"/>
  <c r="C5" i="44"/>
  <c r="D23" i="43"/>
  <c r="F23" i="43"/>
  <c r="C23" i="43"/>
  <c r="D22" i="43"/>
  <c r="F22" i="43" s="1"/>
  <c r="D20" i="43"/>
  <c r="F20" i="43"/>
  <c r="D21" i="43"/>
  <c r="F21" i="43" s="1"/>
  <c r="C22" i="43"/>
  <c r="C21" i="43"/>
  <c r="C41" i="34"/>
  <c r="C40" i="34"/>
  <c r="G36" i="34"/>
  <c r="C103" i="41"/>
  <c r="C91" i="34"/>
  <c r="C106" i="33"/>
  <c r="G26" i="44"/>
  <c r="G104" i="33"/>
  <c r="G100" i="36"/>
  <c r="D25" i="40"/>
  <c r="G47" i="33"/>
  <c r="C43" i="34"/>
  <c r="D46" i="34"/>
  <c r="F46" i="34" s="1"/>
  <c r="D45" i="34"/>
  <c r="F45" i="34" s="1"/>
  <c r="D44" i="34"/>
  <c r="F44" i="34" s="1"/>
  <c r="D43" i="34"/>
  <c r="F43" i="34" s="1"/>
  <c r="C46" i="34"/>
  <c r="C45" i="34"/>
  <c r="C44" i="34"/>
  <c r="C42" i="34"/>
  <c r="A42" i="34"/>
  <c r="B42" i="34"/>
  <c r="D78" i="31"/>
  <c r="D77" i="31"/>
  <c r="F77" i="31" s="1"/>
  <c r="D76" i="31"/>
  <c r="F76" i="31" s="1"/>
  <c r="D75" i="31"/>
  <c r="F75" i="31" s="1"/>
  <c r="B74" i="31"/>
  <c r="A74" i="31"/>
  <c r="C78" i="31"/>
  <c r="C77" i="31"/>
  <c r="C76" i="31"/>
  <c r="C75" i="31"/>
  <c r="C74" i="31"/>
  <c r="D101" i="34"/>
  <c r="F101" i="34" s="1"/>
  <c r="D100" i="34"/>
  <c r="F100" i="34"/>
  <c r="D99" i="34"/>
  <c r="F99" i="34" s="1"/>
  <c r="C101" i="34"/>
  <c r="C100" i="34"/>
  <c r="C99" i="34"/>
  <c r="C98" i="34"/>
  <c r="A98" i="34"/>
  <c r="B98" i="34"/>
  <c r="D102" i="33"/>
  <c r="F102" i="33" s="1"/>
  <c r="D101" i="33"/>
  <c r="F101" i="33" s="1"/>
  <c r="D100" i="33"/>
  <c r="F100" i="33" s="1"/>
  <c r="D99" i="33"/>
  <c r="F99" i="33" s="1"/>
  <c r="D98" i="33"/>
  <c r="F98" i="33" s="1"/>
  <c r="D97" i="33"/>
  <c r="F97" i="33" s="1"/>
  <c r="D96" i="33"/>
  <c r="F96" i="33" s="1"/>
  <c r="C102" i="33"/>
  <c r="C101" i="33"/>
  <c r="C100" i="33"/>
  <c r="C99" i="33"/>
  <c r="C98" i="33"/>
  <c r="C97" i="33"/>
  <c r="C96" i="33"/>
  <c r="C95" i="33"/>
  <c r="B95" i="33"/>
  <c r="A95" i="33"/>
  <c r="B82" i="36"/>
  <c r="A82" i="36"/>
  <c r="A3" i="39"/>
  <c r="B114" i="36"/>
  <c r="A114" i="36"/>
  <c r="C67" i="40"/>
  <c r="C66" i="40"/>
  <c r="C65" i="40"/>
  <c r="D35" i="33"/>
  <c r="G35" i="33" s="1"/>
  <c r="C35" i="33"/>
  <c r="A35" i="33"/>
  <c r="B35" i="33"/>
  <c r="C82" i="31"/>
  <c r="C81" i="31"/>
  <c r="C80" i="31"/>
  <c r="A3" i="40"/>
  <c r="B3" i="40"/>
  <c r="C3" i="40"/>
  <c r="C4" i="40"/>
  <c r="D4" i="40"/>
  <c r="F4" i="40" s="1"/>
  <c r="C5" i="40"/>
  <c r="D5" i="40"/>
  <c r="F5" i="40" s="1"/>
  <c r="C6" i="40"/>
  <c r="D6" i="40"/>
  <c r="F6" i="40" s="1"/>
  <c r="C7" i="40"/>
  <c r="D7" i="40"/>
  <c r="F7" i="40" s="1"/>
  <c r="C8" i="40"/>
  <c r="D8" i="40"/>
  <c r="F8" i="40" s="1"/>
  <c r="C9" i="40"/>
  <c r="D9" i="40"/>
  <c r="F9" i="40" s="1"/>
  <c r="A10" i="40"/>
  <c r="B10" i="40"/>
  <c r="C10" i="40"/>
  <c r="C11" i="40"/>
  <c r="D11" i="40"/>
  <c r="F11" i="40" s="1"/>
  <c r="D12" i="40"/>
  <c r="F12" i="40" s="1"/>
  <c r="D13" i="40"/>
  <c r="F13" i="40" s="1"/>
  <c r="D14" i="40"/>
  <c r="F14" i="40" s="1"/>
  <c r="C12" i="40"/>
  <c r="C13" i="40"/>
  <c r="C14" i="40"/>
  <c r="A15" i="40"/>
  <c r="B15" i="40"/>
  <c r="C15" i="40"/>
  <c r="C16" i="40"/>
  <c r="D16" i="40"/>
  <c r="F16" i="40" s="1"/>
  <c r="C17" i="40"/>
  <c r="D17" i="40"/>
  <c r="F17" i="40" s="1"/>
  <c r="C18" i="40"/>
  <c r="D18" i="40"/>
  <c r="F18" i="40" s="1"/>
  <c r="A19" i="40"/>
  <c r="B19" i="40"/>
  <c r="C19" i="40"/>
  <c r="C20" i="40"/>
  <c r="D20" i="40"/>
  <c r="F20" i="40" s="1"/>
  <c r="C21" i="40"/>
  <c r="D21" i="40"/>
  <c r="F21" i="40" s="1"/>
  <c r="C22" i="40"/>
  <c r="D22" i="40"/>
  <c r="F22" i="40" s="1"/>
  <c r="D23" i="40"/>
  <c r="F23" i="40" s="1"/>
  <c r="D24" i="40"/>
  <c r="F24" i="40" s="1"/>
  <c r="C23" i="40"/>
  <c r="C24" i="40"/>
  <c r="A25" i="40"/>
  <c r="B25" i="40"/>
  <c r="C25" i="40"/>
  <c r="A26" i="40"/>
  <c r="B26" i="40"/>
  <c r="C26" i="40"/>
  <c r="C27" i="40"/>
  <c r="D27" i="40"/>
  <c r="F27" i="40" s="1"/>
  <c r="C28" i="40"/>
  <c r="D28" i="40"/>
  <c r="F28" i="40" s="1"/>
  <c r="C29" i="40"/>
  <c r="D29" i="40"/>
  <c r="F29" i="40" s="1"/>
  <c r="C30" i="40"/>
  <c r="D30" i="40"/>
  <c r="F30" i="40" s="1"/>
  <c r="C31" i="40"/>
  <c r="D31" i="40"/>
  <c r="F31" i="40"/>
  <c r="C32" i="40"/>
  <c r="D32" i="40"/>
  <c r="F32" i="40" s="1"/>
  <c r="A33" i="40"/>
  <c r="B33" i="40"/>
  <c r="C33" i="40"/>
  <c r="C34" i="40"/>
  <c r="D34" i="40"/>
  <c r="F34" i="40"/>
  <c r="C35" i="40"/>
  <c r="D35" i="40"/>
  <c r="F35" i="40" s="1"/>
  <c r="D36" i="40"/>
  <c r="F36" i="40" s="1"/>
  <c r="D37" i="40"/>
  <c r="F37" i="40" s="1"/>
  <c r="D38" i="40"/>
  <c r="F38" i="40" s="1"/>
  <c r="C36" i="40"/>
  <c r="C37" i="40"/>
  <c r="C38" i="40"/>
  <c r="A39" i="40"/>
  <c r="B39" i="40"/>
  <c r="C39" i="40"/>
  <c r="C40" i="40"/>
  <c r="D40" i="40"/>
  <c r="F40" i="40" s="1"/>
  <c r="D41" i="40"/>
  <c r="F41" i="40" s="1"/>
  <c r="D42" i="40"/>
  <c r="F42" i="40" s="1"/>
  <c r="D43" i="40"/>
  <c r="F43" i="40"/>
  <c r="D44" i="40"/>
  <c r="F44" i="40" s="1"/>
  <c r="C41" i="40"/>
  <c r="C42" i="40"/>
  <c r="C43" i="40"/>
  <c r="C44" i="40"/>
  <c r="D46" i="40"/>
  <c r="F46" i="40" s="1"/>
  <c r="D47" i="40"/>
  <c r="F47" i="40" s="1"/>
  <c r="A45" i="40"/>
  <c r="B45" i="40"/>
  <c r="C45" i="40"/>
  <c r="C46" i="40"/>
  <c r="C47" i="40"/>
  <c r="A48" i="40"/>
  <c r="B48" i="40"/>
  <c r="C48" i="40"/>
  <c r="C49" i="40"/>
  <c r="D49" i="40"/>
  <c r="F49" i="40" s="1"/>
  <c r="D50" i="40"/>
  <c r="F50" i="40"/>
  <c r="D51" i="40"/>
  <c r="F51" i="40" s="1"/>
  <c r="D52" i="40"/>
  <c r="F52" i="40" s="1"/>
  <c r="D53" i="40"/>
  <c r="F53" i="40" s="1"/>
  <c r="C50" i="40"/>
  <c r="C51" i="40"/>
  <c r="C52" i="40"/>
  <c r="C53" i="40"/>
  <c r="A54" i="40"/>
  <c r="B54" i="40"/>
  <c r="C54" i="40"/>
  <c r="C55" i="40"/>
  <c r="D55" i="40"/>
  <c r="C56" i="40"/>
  <c r="D56" i="40"/>
  <c r="C57" i="40"/>
  <c r="D57" i="40"/>
  <c r="C58" i="40"/>
  <c r="D58" i="40"/>
  <c r="A59" i="40"/>
  <c r="B59" i="40"/>
  <c r="C59" i="40"/>
  <c r="C60" i="40"/>
  <c r="D60" i="40"/>
  <c r="F60" i="40" s="1"/>
  <c r="D61" i="40"/>
  <c r="F61" i="40"/>
  <c r="D62" i="40"/>
  <c r="F62" i="40" s="1"/>
  <c r="C61" i="40"/>
  <c r="C62" i="40"/>
  <c r="C63" i="40"/>
  <c r="D63" i="40"/>
  <c r="A64" i="40"/>
  <c r="B64" i="40"/>
  <c r="C64" i="40"/>
  <c r="D65" i="40"/>
  <c r="F65" i="40" s="1"/>
  <c r="D66" i="40"/>
  <c r="F66" i="40" s="1"/>
  <c r="D67" i="40"/>
  <c r="F67" i="40" s="1"/>
  <c r="A68" i="40"/>
  <c r="B68" i="40"/>
  <c r="C68" i="40"/>
  <c r="C69" i="40"/>
  <c r="D69" i="40"/>
  <c r="F69" i="40" s="1"/>
  <c r="C70" i="40"/>
  <c r="D70" i="40"/>
  <c r="F70" i="40" s="1"/>
  <c r="D71" i="40"/>
  <c r="F71" i="40" s="1"/>
  <c r="C71" i="40"/>
  <c r="B3" i="39"/>
  <c r="C3" i="39"/>
  <c r="C4" i="39"/>
  <c r="D4" i="39"/>
  <c r="F4" i="39" s="1"/>
  <c r="D5" i="39"/>
  <c r="F5" i="39" s="1"/>
  <c r="D6" i="39"/>
  <c r="F6" i="39" s="1"/>
  <c r="D7" i="39"/>
  <c r="F7" i="39" s="1"/>
  <c r="D8" i="39"/>
  <c r="F8" i="39"/>
  <c r="C5" i="39"/>
  <c r="C6" i="39"/>
  <c r="C7" i="39"/>
  <c r="C8" i="39"/>
  <c r="A9" i="39"/>
  <c r="B9" i="39"/>
  <c r="C9" i="39"/>
  <c r="C10" i="39"/>
  <c r="D10" i="39"/>
  <c r="F10" i="39" s="1"/>
  <c r="C11" i="39"/>
  <c r="D11" i="39"/>
  <c r="F11" i="39" s="1"/>
  <c r="C12" i="39"/>
  <c r="D12" i="39"/>
  <c r="F12" i="39" s="1"/>
  <c r="C13" i="39"/>
  <c r="D13" i="39"/>
  <c r="F13" i="39" s="1"/>
  <c r="D14" i="39"/>
  <c r="F14" i="39" s="1"/>
  <c r="C14" i="39"/>
  <c r="A15" i="39"/>
  <c r="B15" i="39"/>
  <c r="C15" i="39"/>
  <c r="C16" i="39"/>
  <c r="D16" i="39"/>
  <c r="F16" i="39" s="1"/>
  <c r="C17" i="39"/>
  <c r="D17" i="39"/>
  <c r="F17" i="39" s="1"/>
  <c r="D18" i="39"/>
  <c r="F18" i="39" s="1"/>
  <c r="D19" i="39"/>
  <c r="F19" i="39" s="1"/>
  <c r="D20" i="39"/>
  <c r="F20" i="39" s="1"/>
  <c r="C18" i="39"/>
  <c r="C19" i="39"/>
  <c r="C20" i="39"/>
  <c r="A21" i="39"/>
  <c r="B21" i="39"/>
  <c r="C21" i="39"/>
  <c r="C22" i="39"/>
  <c r="D22" i="39"/>
  <c r="F22" i="39" s="1"/>
  <c r="D23" i="39"/>
  <c r="F23" i="39" s="1"/>
  <c r="D24" i="39"/>
  <c r="F24" i="39" s="1"/>
  <c r="D25" i="39"/>
  <c r="F25" i="39" s="1"/>
  <c r="C23" i="39"/>
  <c r="C24" i="39"/>
  <c r="C25" i="39"/>
  <c r="A33" i="39"/>
  <c r="B33" i="39"/>
  <c r="C33" i="39"/>
  <c r="C34" i="39"/>
  <c r="D34" i="39"/>
  <c r="F34" i="39" s="1"/>
  <c r="D35" i="39"/>
  <c r="F35" i="39" s="1"/>
  <c r="D36" i="39"/>
  <c r="F36" i="39" s="1"/>
  <c r="D37" i="39"/>
  <c r="F37" i="39"/>
  <c r="C35" i="39"/>
  <c r="C36" i="39"/>
  <c r="C37" i="39"/>
  <c r="A27" i="39"/>
  <c r="B27" i="39"/>
  <c r="C27" i="39"/>
  <c r="C28" i="39"/>
  <c r="D28" i="39"/>
  <c r="F28" i="39" s="1"/>
  <c r="D30" i="39"/>
  <c r="F30" i="39" s="1"/>
  <c r="D31" i="39"/>
  <c r="F31" i="39"/>
  <c r="D32" i="39"/>
  <c r="F32" i="39" s="1"/>
  <c r="C30" i="39"/>
  <c r="C31" i="39"/>
  <c r="C32" i="39"/>
  <c r="A38" i="39"/>
  <c r="B38" i="39"/>
  <c r="C38" i="39"/>
  <c r="C39" i="39"/>
  <c r="D39" i="39"/>
  <c r="F39" i="39" s="1"/>
  <c r="D42" i="39"/>
  <c r="D40" i="39"/>
  <c r="F40" i="39" s="1"/>
  <c r="D41" i="39"/>
  <c r="F41" i="39" s="1"/>
  <c r="C40" i="39"/>
  <c r="C41" i="39"/>
  <c r="C42" i="39"/>
  <c r="A43" i="39"/>
  <c r="B43" i="39"/>
  <c r="C43" i="39"/>
  <c r="C44" i="39"/>
  <c r="D44" i="39"/>
  <c r="F44" i="39" s="1"/>
  <c r="C45" i="39"/>
  <c r="D45" i="39"/>
  <c r="F45" i="39" s="1"/>
  <c r="D48" i="39"/>
  <c r="D46" i="39"/>
  <c r="F46" i="39" s="1"/>
  <c r="D47" i="39"/>
  <c r="F47" i="39" s="1"/>
  <c r="C46" i="39"/>
  <c r="C47" i="39"/>
  <c r="C48" i="39"/>
  <c r="A49" i="39"/>
  <c r="B49" i="39"/>
  <c r="C49" i="39"/>
  <c r="C50" i="39"/>
  <c r="D50" i="39"/>
  <c r="F50" i="39" s="1"/>
  <c r="D51" i="39"/>
  <c r="F51" i="39" s="1"/>
  <c r="D52" i="39"/>
  <c r="F52" i="39" s="1"/>
  <c r="D53" i="39"/>
  <c r="F53" i="39"/>
  <c r="C51" i="39"/>
  <c r="C52" i="39"/>
  <c r="C53" i="39"/>
  <c r="A54" i="39"/>
  <c r="B54" i="39"/>
  <c r="C54" i="39"/>
  <c r="G54" i="39"/>
  <c r="A55" i="39"/>
  <c r="B55" i="39"/>
  <c r="C55" i="39"/>
  <c r="G55" i="39"/>
  <c r="A3" i="44"/>
  <c r="B3" i="44"/>
  <c r="C3" i="44"/>
  <c r="C4" i="44"/>
  <c r="A8" i="44"/>
  <c r="B8" i="44"/>
  <c r="C8" i="44"/>
  <c r="C9" i="44"/>
  <c r="D9" i="44"/>
  <c r="F9" i="44" s="1"/>
  <c r="C10" i="44"/>
  <c r="D10" i="44"/>
  <c r="F10" i="44" s="1"/>
  <c r="C11" i="44"/>
  <c r="D11" i="44"/>
  <c r="F11" i="44"/>
  <c r="C12" i="44"/>
  <c r="D12" i="44"/>
  <c r="A13" i="44"/>
  <c r="B13" i="44"/>
  <c r="C13" i="44"/>
  <c r="C14" i="44"/>
  <c r="D14" i="44"/>
  <c r="F14" i="44"/>
  <c r="D15" i="44"/>
  <c r="F15" i="44" s="1"/>
  <c r="D16" i="44"/>
  <c r="F16" i="44" s="1"/>
  <c r="D17" i="44"/>
  <c r="F17" i="44" s="1"/>
  <c r="D18" i="44"/>
  <c r="F18" i="44" s="1"/>
  <c r="C15" i="44"/>
  <c r="C16" i="44"/>
  <c r="C17" i="44"/>
  <c r="C18" i="44"/>
  <c r="A19" i="44"/>
  <c r="B19" i="44"/>
  <c r="C19" i="44"/>
  <c r="G19" i="44"/>
  <c r="A20" i="44"/>
  <c r="B20" i="44"/>
  <c r="C20" i="44"/>
  <c r="C21" i="44"/>
  <c r="D21" i="44"/>
  <c r="F21" i="44" s="1"/>
  <c r="C22" i="44"/>
  <c r="D22" i="44"/>
  <c r="F22" i="44" s="1"/>
  <c r="D25" i="44"/>
  <c r="D23" i="44"/>
  <c r="F23" i="44" s="1"/>
  <c r="D24" i="44"/>
  <c r="F24" i="44" s="1"/>
  <c r="C23" i="44"/>
  <c r="C24" i="44"/>
  <c r="C25" i="44"/>
  <c r="A26" i="44"/>
  <c r="B26" i="44"/>
  <c r="C26" i="44"/>
  <c r="A27" i="44"/>
  <c r="B27" i="44"/>
  <c r="C27" i="44"/>
  <c r="C28" i="44"/>
  <c r="D28" i="44"/>
  <c r="F28" i="44"/>
  <c r="D29" i="44"/>
  <c r="F29" i="44" s="1"/>
  <c r="D30" i="44"/>
  <c r="F30" i="44"/>
  <c r="C29" i="44"/>
  <c r="C30" i="44"/>
  <c r="A3" i="43"/>
  <c r="B3" i="43"/>
  <c r="C3" i="43"/>
  <c r="C4" i="43"/>
  <c r="D4" i="43"/>
  <c r="F4" i="43"/>
  <c r="D5" i="43"/>
  <c r="F5" i="43" s="1"/>
  <c r="D6" i="43"/>
  <c r="F6" i="43"/>
  <c r="D7" i="43"/>
  <c r="F7" i="43" s="1"/>
  <c r="D8" i="43"/>
  <c r="F8" i="43"/>
  <c r="D9" i="43"/>
  <c r="F9" i="43" s="1"/>
  <c r="C5" i="43"/>
  <c r="C6" i="43"/>
  <c r="C7" i="43"/>
  <c r="C8" i="43"/>
  <c r="C9" i="43"/>
  <c r="A10" i="43"/>
  <c r="B10" i="43"/>
  <c r="C10" i="43"/>
  <c r="C11" i="43"/>
  <c r="D11" i="43"/>
  <c r="F11" i="43" s="1"/>
  <c r="C12" i="43"/>
  <c r="D12" i="43"/>
  <c r="F12" i="43" s="1"/>
  <c r="D13" i="43"/>
  <c r="F13" i="43" s="1"/>
  <c r="D14" i="43"/>
  <c r="F14" i="43" s="1"/>
  <c r="C13" i="43"/>
  <c r="C14" i="43"/>
  <c r="A15" i="43"/>
  <c r="B15" i="43"/>
  <c r="C15" i="43"/>
  <c r="C16" i="43"/>
  <c r="D16" i="43"/>
  <c r="F16" i="43" s="1"/>
  <c r="D17" i="43"/>
  <c r="F17" i="43" s="1"/>
  <c r="D18" i="43"/>
  <c r="F18" i="43" s="1"/>
  <c r="C17" i="43"/>
  <c r="C18" i="43"/>
  <c r="A19" i="43"/>
  <c r="B19" i="43"/>
  <c r="C19" i="43"/>
  <c r="C20" i="43"/>
  <c r="A24" i="43"/>
  <c r="B24" i="43"/>
  <c r="C24" i="43"/>
  <c r="C25" i="43"/>
  <c r="D25" i="43"/>
  <c r="F25" i="43" s="1"/>
  <c r="D26" i="43"/>
  <c r="F26" i="43" s="1"/>
  <c r="D27" i="43"/>
  <c r="F27" i="43" s="1"/>
  <c r="C26" i="43"/>
  <c r="C27" i="43"/>
  <c r="A28" i="43"/>
  <c r="B28" i="43"/>
  <c r="C28" i="43"/>
  <c r="C29" i="43"/>
  <c r="D29" i="43"/>
  <c r="F29" i="43" s="1"/>
  <c r="C30" i="43"/>
  <c r="D30" i="43"/>
  <c r="F30" i="43"/>
  <c r="C31" i="43"/>
  <c r="D31" i="43"/>
  <c r="F31" i="43" s="1"/>
  <c r="C32" i="43"/>
  <c r="D32" i="43"/>
  <c r="F32" i="43" s="1"/>
  <c r="C33" i="43"/>
  <c r="D33" i="43"/>
  <c r="F33" i="43"/>
  <c r="A39" i="43"/>
  <c r="B39" i="43"/>
  <c r="C39" i="43"/>
  <c r="A40" i="43"/>
  <c r="B40" i="43"/>
  <c r="C40" i="43"/>
  <c r="A41" i="43"/>
  <c r="B41" i="43"/>
  <c r="C41" i="43"/>
  <c r="A3" i="41"/>
  <c r="B3" i="41"/>
  <c r="C3" i="41"/>
  <c r="C4" i="41"/>
  <c r="D4" i="41"/>
  <c r="F4" i="41" s="1"/>
  <c r="C5" i="41"/>
  <c r="D5" i="41"/>
  <c r="F5" i="41"/>
  <c r="C6" i="41"/>
  <c r="D6" i="41"/>
  <c r="F6" i="41" s="1"/>
  <c r="C7" i="41"/>
  <c r="D7" i="41"/>
  <c r="F7" i="41" s="1"/>
  <c r="C8" i="41"/>
  <c r="D8" i="41"/>
  <c r="F8" i="41"/>
  <c r="C9" i="41"/>
  <c r="D9" i="41"/>
  <c r="F9" i="41" s="1"/>
  <c r="C10" i="41"/>
  <c r="D10" i="41"/>
  <c r="F10" i="41" s="1"/>
  <c r="A11" i="41"/>
  <c r="B11" i="41"/>
  <c r="C11" i="41"/>
  <c r="C12" i="41"/>
  <c r="D12" i="41"/>
  <c r="F12" i="41" s="1"/>
  <c r="C13" i="41"/>
  <c r="D13" i="41"/>
  <c r="F13" i="41"/>
  <c r="C14" i="41"/>
  <c r="D14" i="41"/>
  <c r="F14" i="41" s="1"/>
  <c r="D15" i="41"/>
  <c r="F15" i="41"/>
  <c r="D16" i="41"/>
  <c r="F16" i="41" s="1"/>
  <c r="C15" i="41"/>
  <c r="C16" i="41"/>
  <c r="A17" i="41"/>
  <c r="B17" i="41"/>
  <c r="C17" i="41"/>
  <c r="C18" i="41"/>
  <c r="D18" i="41"/>
  <c r="F18" i="41" s="1"/>
  <c r="D19" i="41"/>
  <c r="F19" i="41" s="1"/>
  <c r="D20" i="41"/>
  <c r="F20" i="41" s="1"/>
  <c r="D21" i="41"/>
  <c r="F21" i="41" s="1"/>
  <c r="C19" i="41"/>
  <c r="C20" i="41"/>
  <c r="C21" i="41"/>
  <c r="A22" i="41"/>
  <c r="B22" i="41"/>
  <c r="C22" i="41"/>
  <c r="C23" i="41"/>
  <c r="D23" i="41"/>
  <c r="F23" i="41"/>
  <c r="D24" i="41"/>
  <c r="F24" i="41" s="1"/>
  <c r="G22" i="41" s="1"/>
  <c r="D25" i="41"/>
  <c r="F25" i="41"/>
  <c r="C24" i="41"/>
  <c r="C25" i="41"/>
  <c r="A26" i="41"/>
  <c r="B26" i="41"/>
  <c r="C26" i="41"/>
  <c r="C27" i="41"/>
  <c r="D27" i="41"/>
  <c r="F27" i="41"/>
  <c r="C28" i="41"/>
  <c r="D28" i="41"/>
  <c r="F28" i="41" s="1"/>
  <c r="D29" i="41"/>
  <c r="F29" i="41" s="1"/>
  <c r="D30" i="41"/>
  <c r="F30" i="41" s="1"/>
  <c r="C29" i="41"/>
  <c r="C30" i="41"/>
  <c r="A31" i="41"/>
  <c r="B31" i="41"/>
  <c r="C31" i="41"/>
  <c r="C32" i="41"/>
  <c r="D32" i="41"/>
  <c r="F32" i="41" s="1"/>
  <c r="D33" i="41"/>
  <c r="F33" i="41" s="1"/>
  <c r="D34" i="41"/>
  <c r="F34" i="41" s="1"/>
  <c r="D35" i="41"/>
  <c r="F35" i="41" s="1"/>
  <c r="C33" i="41"/>
  <c r="C34" i="41"/>
  <c r="C35" i="41"/>
  <c r="A36" i="41"/>
  <c r="B36" i="41"/>
  <c r="C36" i="41"/>
  <c r="C37" i="41"/>
  <c r="D37" i="41"/>
  <c r="F37" i="41" s="1"/>
  <c r="C38" i="41"/>
  <c r="D38" i="41"/>
  <c r="F38" i="41" s="1"/>
  <c r="D39" i="41"/>
  <c r="F39" i="41"/>
  <c r="D40" i="41"/>
  <c r="F40" i="41" s="1"/>
  <c r="D41" i="41"/>
  <c r="F41" i="41" s="1"/>
  <c r="C39" i="41"/>
  <c r="C40" i="41"/>
  <c r="C41" i="41"/>
  <c r="A42" i="41"/>
  <c r="B42" i="41"/>
  <c r="C42" i="41"/>
  <c r="C43" i="41"/>
  <c r="D43" i="41"/>
  <c r="F43" i="41"/>
  <c r="C44" i="41"/>
  <c r="D44" i="41"/>
  <c r="F44" i="41" s="1"/>
  <c r="C45" i="41"/>
  <c r="D45" i="41"/>
  <c r="F45" i="41" s="1"/>
  <c r="C46" i="41"/>
  <c r="D46" i="41"/>
  <c r="F46" i="41" s="1"/>
  <c r="D47" i="41"/>
  <c r="F47" i="41" s="1"/>
  <c r="C47" i="41"/>
  <c r="A48" i="41"/>
  <c r="B48" i="41"/>
  <c r="C48" i="41"/>
  <c r="C49" i="41"/>
  <c r="D49" i="41"/>
  <c r="F49" i="41" s="1"/>
  <c r="G48" i="41" s="1"/>
  <c r="C50" i="41"/>
  <c r="D50" i="41"/>
  <c r="F50" i="41" s="1"/>
  <c r="A51" i="41"/>
  <c r="B51" i="41"/>
  <c r="C51" i="41"/>
  <c r="C52" i="41"/>
  <c r="D52" i="41"/>
  <c r="F52" i="41" s="1"/>
  <c r="C53" i="41"/>
  <c r="D53" i="41"/>
  <c r="F53" i="41" s="1"/>
  <c r="C54" i="41"/>
  <c r="D54" i="41"/>
  <c r="F54" i="41" s="1"/>
  <c r="D55" i="41"/>
  <c r="F55" i="41" s="1"/>
  <c r="D56" i="41"/>
  <c r="F56" i="41" s="1"/>
  <c r="D57" i="41"/>
  <c r="F57" i="41" s="1"/>
  <c r="C55" i="41"/>
  <c r="C56" i="41"/>
  <c r="C57" i="41"/>
  <c r="A58" i="41"/>
  <c r="B58" i="41"/>
  <c r="C58" i="41"/>
  <c r="C59" i="41"/>
  <c r="D59" i="41"/>
  <c r="F59" i="41" s="1"/>
  <c r="D60" i="41"/>
  <c r="F60" i="41" s="1"/>
  <c r="D61" i="41"/>
  <c r="F61" i="41" s="1"/>
  <c r="D62" i="41"/>
  <c r="F62" i="41" s="1"/>
  <c r="C60" i="41"/>
  <c r="C61" i="41"/>
  <c r="C62" i="41"/>
  <c r="A69" i="41"/>
  <c r="B69" i="41"/>
  <c r="C69" i="41"/>
  <c r="C70" i="41"/>
  <c r="D70" i="41"/>
  <c r="F70" i="41" s="1"/>
  <c r="C71" i="41"/>
  <c r="D71" i="41"/>
  <c r="F71" i="41" s="1"/>
  <c r="C72" i="41"/>
  <c r="D72" i="41"/>
  <c r="F72" i="41" s="1"/>
  <c r="C73" i="41"/>
  <c r="D73" i="41"/>
  <c r="F73" i="41"/>
  <c r="D74" i="41"/>
  <c r="F74" i="41" s="1"/>
  <c r="C74" i="41"/>
  <c r="A75" i="41"/>
  <c r="B75" i="41"/>
  <c r="C75" i="41"/>
  <c r="C76" i="41"/>
  <c r="D76" i="41"/>
  <c r="F76" i="41" s="1"/>
  <c r="C77" i="41"/>
  <c r="D77" i="41"/>
  <c r="F77" i="41" s="1"/>
  <c r="D78" i="41"/>
  <c r="F78" i="41"/>
  <c r="D79" i="41"/>
  <c r="F79" i="41" s="1"/>
  <c r="D80" i="41"/>
  <c r="F80" i="41"/>
  <c r="D81" i="41"/>
  <c r="F81" i="41" s="1"/>
  <c r="C78" i="41"/>
  <c r="C79" i="41"/>
  <c r="C80" i="41"/>
  <c r="C81" i="41"/>
  <c r="A82" i="41"/>
  <c r="B82" i="41"/>
  <c r="C82" i="41"/>
  <c r="C83" i="41"/>
  <c r="D83" i="41"/>
  <c r="F83" i="41"/>
  <c r="C84" i="41"/>
  <c r="D84" i="41"/>
  <c r="F84" i="41" s="1"/>
  <c r="C85" i="41"/>
  <c r="D85" i="41"/>
  <c r="F85" i="41" s="1"/>
  <c r="C86" i="41"/>
  <c r="D86" i="41"/>
  <c r="F86" i="41" s="1"/>
  <c r="D87" i="41"/>
  <c r="F87" i="41" s="1"/>
  <c r="C87" i="41"/>
  <c r="A88" i="41"/>
  <c r="B88" i="41"/>
  <c r="C88" i="41"/>
  <c r="C89" i="41"/>
  <c r="D89" i="41"/>
  <c r="F89" i="41" s="1"/>
  <c r="C90" i="41"/>
  <c r="D90" i="41"/>
  <c r="F90" i="41" s="1"/>
  <c r="D91" i="41"/>
  <c r="F91" i="41" s="1"/>
  <c r="D92" i="41"/>
  <c r="F92" i="41"/>
  <c r="D93" i="41"/>
  <c r="F93" i="41" s="1"/>
  <c r="C91" i="41"/>
  <c r="C92" i="41"/>
  <c r="C93" i="41"/>
  <c r="A94" i="41"/>
  <c r="B94" i="41"/>
  <c r="C94" i="41"/>
  <c r="C95" i="41"/>
  <c r="D95" i="41"/>
  <c r="F95" i="41" s="1"/>
  <c r="C96" i="41"/>
  <c r="D96" i="41"/>
  <c r="F96" i="41" s="1"/>
  <c r="A97" i="41"/>
  <c r="B97" i="41"/>
  <c r="C97" i="41"/>
  <c r="C98" i="41"/>
  <c r="D98" i="41"/>
  <c r="F98" i="41" s="1"/>
  <c r="D99" i="41"/>
  <c r="F99" i="41" s="1"/>
  <c r="D100" i="41"/>
  <c r="F100" i="41" s="1"/>
  <c r="D101" i="41"/>
  <c r="F101" i="41" s="1"/>
  <c r="D102" i="41"/>
  <c r="F102" i="41" s="1"/>
  <c r="C99" i="41"/>
  <c r="C100" i="41"/>
  <c r="C101" i="41"/>
  <c r="C102" i="41"/>
  <c r="A63" i="41"/>
  <c r="B63" i="41"/>
  <c r="C63" i="41"/>
  <c r="C64" i="41"/>
  <c r="D64" i="41"/>
  <c r="F64" i="41" s="1"/>
  <c r="C65" i="41"/>
  <c r="D65" i="41"/>
  <c r="F65" i="41" s="1"/>
  <c r="D66" i="41"/>
  <c r="F66" i="41"/>
  <c r="D67" i="41"/>
  <c r="F67" i="41" s="1"/>
  <c r="C66" i="41"/>
  <c r="C67" i="41"/>
  <c r="C68" i="41"/>
  <c r="D68" i="41"/>
  <c r="A104" i="41"/>
  <c r="B104" i="41"/>
  <c r="C104" i="41"/>
  <c r="C105" i="41"/>
  <c r="D105" i="41"/>
  <c r="F105" i="41"/>
  <c r="C106" i="41"/>
  <c r="D106" i="41"/>
  <c r="F106" i="41" s="1"/>
  <c r="C107" i="41"/>
  <c r="D107" i="41"/>
  <c r="F107" i="41" s="1"/>
  <c r="C108" i="41"/>
  <c r="D108" i="41"/>
  <c r="F108" i="41"/>
  <c r="C109" i="41"/>
  <c r="D109" i="41"/>
  <c r="F109" i="41" s="1"/>
  <c r="A103" i="41"/>
  <c r="B103" i="41"/>
  <c r="G103" i="41"/>
  <c r="A116" i="41"/>
  <c r="B116" i="41"/>
  <c r="C116" i="41"/>
  <c r="A3" i="34"/>
  <c r="B3" i="34"/>
  <c r="C3" i="34"/>
  <c r="C4" i="34"/>
  <c r="D4" i="34"/>
  <c r="F4" i="34" s="1"/>
  <c r="C5" i="34"/>
  <c r="D5" i="34"/>
  <c r="F5" i="34" s="1"/>
  <c r="D6" i="34"/>
  <c r="F6" i="34" s="1"/>
  <c r="D7" i="34"/>
  <c r="F7" i="34" s="1"/>
  <c r="D8" i="34"/>
  <c r="F8" i="34" s="1"/>
  <c r="D9" i="34"/>
  <c r="F9" i="34" s="1"/>
  <c r="D10" i="34"/>
  <c r="F10" i="34" s="1"/>
  <c r="C6" i="34"/>
  <c r="C7" i="34"/>
  <c r="C8" i="34"/>
  <c r="C9" i="34"/>
  <c r="C10" i="34"/>
  <c r="A11" i="34"/>
  <c r="B11" i="34"/>
  <c r="C11" i="34"/>
  <c r="C12" i="34"/>
  <c r="D12" i="34"/>
  <c r="F12" i="34"/>
  <c r="C13" i="34"/>
  <c r="D13" i="34"/>
  <c r="F13" i="34" s="1"/>
  <c r="D14" i="34"/>
  <c r="F14" i="34"/>
  <c r="D15" i="34"/>
  <c r="F15" i="34" s="1"/>
  <c r="D16" i="34"/>
  <c r="F16" i="34" s="1"/>
  <c r="C14" i="34"/>
  <c r="C15" i="34"/>
  <c r="C16" i="34"/>
  <c r="A17" i="34"/>
  <c r="B17" i="34"/>
  <c r="C17" i="34"/>
  <c r="C18" i="34"/>
  <c r="D18" i="34"/>
  <c r="F18" i="34" s="1"/>
  <c r="D19" i="34"/>
  <c r="F19" i="34"/>
  <c r="D20" i="34"/>
  <c r="F20" i="34" s="1"/>
  <c r="C19" i="34"/>
  <c r="C20" i="34"/>
  <c r="A21" i="34"/>
  <c r="B21" i="34"/>
  <c r="C21" i="34"/>
  <c r="C22" i="34"/>
  <c r="D22" i="34"/>
  <c r="F22" i="34" s="1"/>
  <c r="C23" i="34"/>
  <c r="D23" i="34"/>
  <c r="F23" i="34" s="1"/>
  <c r="D24" i="34"/>
  <c r="F24" i="34" s="1"/>
  <c r="D25" i="34"/>
  <c r="F25" i="34"/>
  <c r="D26" i="34"/>
  <c r="F26" i="34" s="1"/>
  <c r="C24" i="34"/>
  <c r="C25" i="34"/>
  <c r="C26" i="34"/>
  <c r="A38" i="34"/>
  <c r="B38" i="34"/>
  <c r="C38" i="34"/>
  <c r="C39" i="34"/>
  <c r="D39" i="34"/>
  <c r="F39" i="34" s="1"/>
  <c r="D40" i="34"/>
  <c r="F40" i="34"/>
  <c r="D41" i="34"/>
  <c r="F41" i="34" s="1"/>
  <c r="A27" i="34"/>
  <c r="B27" i="34"/>
  <c r="C27" i="34"/>
  <c r="C28" i="34"/>
  <c r="D28" i="34"/>
  <c r="F28" i="34"/>
  <c r="D29" i="34"/>
  <c r="F29" i="34" s="1"/>
  <c r="G27" i="34" s="1"/>
  <c r="D30" i="34"/>
  <c r="F30" i="34"/>
  <c r="D31" i="34"/>
  <c r="F31" i="34" s="1"/>
  <c r="D32" i="34"/>
  <c r="F32" i="34"/>
  <c r="C29" i="34"/>
  <c r="C30" i="34"/>
  <c r="C31" i="34"/>
  <c r="C32" i="34"/>
  <c r="A33" i="34"/>
  <c r="B33" i="34"/>
  <c r="C33" i="34"/>
  <c r="C34" i="34"/>
  <c r="D34" i="34"/>
  <c r="F34" i="34" s="1"/>
  <c r="C35" i="34"/>
  <c r="D35" i="34"/>
  <c r="F35" i="34" s="1"/>
  <c r="A36" i="34"/>
  <c r="B36" i="34"/>
  <c r="C36" i="34"/>
  <c r="A63" i="34"/>
  <c r="B63" i="34"/>
  <c r="C63" i="34"/>
  <c r="D63" i="34"/>
  <c r="G63" i="34" s="1"/>
  <c r="A57" i="34"/>
  <c r="B57" i="34"/>
  <c r="C57" i="34"/>
  <c r="C58" i="34"/>
  <c r="D58" i="34"/>
  <c r="F58" i="34" s="1"/>
  <c r="C59" i="34"/>
  <c r="D59" i="34"/>
  <c r="F59" i="34" s="1"/>
  <c r="C60" i="34"/>
  <c r="D60" i="34"/>
  <c r="F60" i="34" s="1"/>
  <c r="C61" i="34"/>
  <c r="D61" i="34"/>
  <c r="F61" i="34" s="1"/>
  <c r="C62" i="34"/>
  <c r="D62" i="34"/>
  <c r="F62" i="34" s="1"/>
  <c r="A64" i="34"/>
  <c r="B64" i="34"/>
  <c r="C64" i="34"/>
  <c r="C65" i="34"/>
  <c r="D65" i="34"/>
  <c r="F65" i="34" s="1"/>
  <c r="C66" i="34"/>
  <c r="D66" i="34"/>
  <c r="F66" i="34" s="1"/>
  <c r="C67" i="34"/>
  <c r="D67" i="34"/>
  <c r="F67" i="34" s="1"/>
  <c r="D68" i="34"/>
  <c r="F68" i="34" s="1"/>
  <c r="D69" i="34"/>
  <c r="F69" i="34" s="1"/>
  <c r="C68" i="34"/>
  <c r="C69" i="34"/>
  <c r="A70" i="34"/>
  <c r="B70" i="34"/>
  <c r="C70" i="34"/>
  <c r="C71" i="34"/>
  <c r="D71" i="34"/>
  <c r="F71" i="34" s="1"/>
  <c r="C72" i="34"/>
  <c r="D72" i="34"/>
  <c r="F72" i="34" s="1"/>
  <c r="D73" i="34"/>
  <c r="F73" i="34" s="1"/>
  <c r="D74" i="34"/>
  <c r="F74" i="34" s="1"/>
  <c r="D75" i="34"/>
  <c r="F75" i="34" s="1"/>
  <c r="C73" i="34"/>
  <c r="C74" i="34"/>
  <c r="C75" i="34"/>
  <c r="A76" i="34"/>
  <c r="B76" i="34"/>
  <c r="C76" i="34"/>
  <c r="C77" i="34"/>
  <c r="D77" i="34"/>
  <c r="F77" i="34" s="1"/>
  <c r="C78" i="34"/>
  <c r="D78" i="34"/>
  <c r="F78" i="34" s="1"/>
  <c r="A79" i="34"/>
  <c r="B79" i="34"/>
  <c r="C79" i="34"/>
  <c r="C80" i="34"/>
  <c r="D80" i="34"/>
  <c r="F80" i="34"/>
  <c r="C81" i="34"/>
  <c r="D81" i="34"/>
  <c r="F81" i="34" s="1"/>
  <c r="D82" i="34"/>
  <c r="F82" i="34"/>
  <c r="D83" i="34"/>
  <c r="F83" i="34" s="1"/>
  <c r="D84" i="34"/>
  <c r="F84" i="34" s="1"/>
  <c r="C82" i="34"/>
  <c r="C83" i="34"/>
  <c r="C84" i="34"/>
  <c r="A47" i="34"/>
  <c r="B47" i="34"/>
  <c r="C47" i="34"/>
  <c r="C48" i="34"/>
  <c r="D48" i="34"/>
  <c r="F48" i="34"/>
  <c r="D49" i="34"/>
  <c r="F49" i="34" s="1"/>
  <c r="G47" i="34" s="1"/>
  <c r="D50" i="34"/>
  <c r="F50" i="34"/>
  <c r="C49" i="34"/>
  <c r="C50" i="34"/>
  <c r="A51" i="34"/>
  <c r="B51" i="34"/>
  <c r="C51" i="34"/>
  <c r="C52" i="34"/>
  <c r="D52" i="34"/>
  <c r="F52" i="34"/>
  <c r="C53" i="34"/>
  <c r="D53" i="34"/>
  <c r="F53" i="34" s="1"/>
  <c r="C54" i="34"/>
  <c r="D54" i="34"/>
  <c r="F54" i="34"/>
  <c r="D56" i="34"/>
  <c r="D55" i="34"/>
  <c r="F55" i="34" s="1"/>
  <c r="C55" i="34"/>
  <c r="C56" i="34"/>
  <c r="A90" i="34"/>
  <c r="B90" i="34"/>
  <c r="C90" i="34"/>
  <c r="G90" i="34"/>
  <c r="A85" i="34"/>
  <c r="B85" i="34"/>
  <c r="C85" i="34"/>
  <c r="C86" i="34"/>
  <c r="D86" i="34"/>
  <c r="F86" i="34" s="1"/>
  <c r="D87" i="34"/>
  <c r="F87" i="34" s="1"/>
  <c r="D88" i="34"/>
  <c r="F88" i="34" s="1"/>
  <c r="D89" i="34"/>
  <c r="F89" i="34" s="1"/>
  <c r="C87" i="34"/>
  <c r="C88" i="34"/>
  <c r="C89" i="34"/>
  <c r="A92" i="34"/>
  <c r="B92" i="34"/>
  <c r="C92" i="34"/>
  <c r="C93" i="34"/>
  <c r="D93" i="34"/>
  <c r="F93" i="34" s="1"/>
  <c r="C94" i="34"/>
  <c r="D94" i="34"/>
  <c r="F94" i="34"/>
  <c r="D97" i="34"/>
  <c r="D95" i="34"/>
  <c r="F95" i="34" s="1"/>
  <c r="D96" i="34"/>
  <c r="F96" i="34" s="1"/>
  <c r="C95" i="34"/>
  <c r="C96" i="34"/>
  <c r="C97" i="34"/>
  <c r="A91" i="34"/>
  <c r="B91" i="34"/>
  <c r="G91" i="34"/>
  <c r="A103" i="34"/>
  <c r="B103" i="34"/>
  <c r="C103" i="34"/>
  <c r="G103" i="34"/>
  <c r="A104" i="34"/>
  <c r="B104" i="34"/>
  <c r="C104" i="34"/>
  <c r="G104" i="34"/>
  <c r="A3" i="33"/>
  <c r="B3" i="33"/>
  <c r="C3" i="33"/>
  <c r="C4" i="33"/>
  <c r="D4" i="33"/>
  <c r="F4" i="33" s="1"/>
  <c r="C5" i="33"/>
  <c r="D5" i="33"/>
  <c r="F5" i="33" s="1"/>
  <c r="C6" i="33"/>
  <c r="D6" i="33"/>
  <c r="F6" i="33" s="1"/>
  <c r="C7" i="33"/>
  <c r="D7" i="33"/>
  <c r="F7" i="33" s="1"/>
  <c r="C8" i="33"/>
  <c r="D8" i="33"/>
  <c r="F8" i="33"/>
  <c r="C9" i="33"/>
  <c r="D9" i="33"/>
  <c r="F9" i="33" s="1"/>
  <c r="C10" i="33"/>
  <c r="D10" i="33"/>
  <c r="F10" i="33" s="1"/>
  <c r="A11" i="33"/>
  <c r="B11" i="33"/>
  <c r="C11" i="33"/>
  <c r="C12" i="33"/>
  <c r="D12" i="33"/>
  <c r="F12" i="33"/>
  <c r="D13" i="33"/>
  <c r="F13" i="33" s="1"/>
  <c r="D14" i="33"/>
  <c r="F14" i="33" s="1"/>
  <c r="D15" i="33"/>
  <c r="F15" i="33" s="1"/>
  <c r="D16" i="33"/>
  <c r="F16" i="33" s="1"/>
  <c r="C13" i="33"/>
  <c r="C14" i="33"/>
  <c r="C15" i="33"/>
  <c r="C16" i="33"/>
  <c r="A17" i="33"/>
  <c r="B17" i="33"/>
  <c r="C17" i="33"/>
  <c r="C18" i="33"/>
  <c r="D18" i="33"/>
  <c r="F18" i="33" s="1"/>
  <c r="C19" i="33"/>
  <c r="D19" i="33"/>
  <c r="F19" i="33" s="1"/>
  <c r="D20" i="33"/>
  <c r="F20" i="33" s="1"/>
  <c r="D21" i="33"/>
  <c r="F21" i="33" s="1"/>
  <c r="D22" i="33"/>
  <c r="F22" i="33" s="1"/>
  <c r="C20" i="33"/>
  <c r="C21" i="33"/>
  <c r="C22" i="33"/>
  <c r="A36" i="33"/>
  <c r="B36" i="33"/>
  <c r="C36" i="33"/>
  <c r="G36" i="33"/>
  <c r="A37" i="33"/>
  <c r="B37" i="33"/>
  <c r="C37" i="33"/>
  <c r="C38" i="33"/>
  <c r="D38" i="33"/>
  <c r="F38" i="33" s="1"/>
  <c r="C39" i="33"/>
  <c r="D39" i="33"/>
  <c r="F39" i="33" s="1"/>
  <c r="C40" i="33"/>
  <c r="D40" i="33"/>
  <c r="F40" i="33" s="1"/>
  <c r="C41" i="33"/>
  <c r="D41" i="33"/>
  <c r="F41" i="33" s="1"/>
  <c r="A42" i="33"/>
  <c r="B42" i="33"/>
  <c r="C42" i="33"/>
  <c r="G42" i="33"/>
  <c r="D44" i="33"/>
  <c r="F44" i="33" s="1"/>
  <c r="D45" i="33"/>
  <c r="F45" i="33" s="1"/>
  <c r="D46" i="33"/>
  <c r="F46" i="33" s="1"/>
  <c r="A43" i="33"/>
  <c r="B43" i="33"/>
  <c r="C43" i="33"/>
  <c r="C44" i="33"/>
  <c r="C45" i="33"/>
  <c r="C46" i="33"/>
  <c r="A23" i="33"/>
  <c r="B23" i="33"/>
  <c r="C23" i="33"/>
  <c r="C24" i="33"/>
  <c r="D24" i="33"/>
  <c r="F24" i="33" s="1"/>
  <c r="C25" i="33"/>
  <c r="D25" i="33"/>
  <c r="F25" i="33" s="1"/>
  <c r="C26" i="33"/>
  <c r="D26" i="33"/>
  <c r="F26" i="33" s="1"/>
  <c r="C27" i="33"/>
  <c r="D27" i="33"/>
  <c r="F27" i="33" s="1"/>
  <c r="C28" i="33"/>
  <c r="D28" i="33"/>
  <c r="F28" i="33" s="1"/>
  <c r="C29" i="33"/>
  <c r="D29" i="33"/>
  <c r="F29" i="33" s="1"/>
  <c r="A30" i="33"/>
  <c r="B30" i="33"/>
  <c r="C30" i="33"/>
  <c r="C31" i="33"/>
  <c r="D31" i="33"/>
  <c r="F31" i="33" s="1"/>
  <c r="D32" i="33"/>
  <c r="F32" i="33" s="1"/>
  <c r="D33" i="33"/>
  <c r="F33" i="33" s="1"/>
  <c r="D34" i="33"/>
  <c r="F34" i="33" s="1"/>
  <c r="C32" i="33"/>
  <c r="C33" i="33"/>
  <c r="C34" i="33"/>
  <c r="A57" i="33"/>
  <c r="B57" i="33"/>
  <c r="C57" i="33"/>
  <c r="C58" i="33"/>
  <c r="D58" i="33"/>
  <c r="F58" i="33" s="1"/>
  <c r="D59" i="33"/>
  <c r="F59" i="33" s="1"/>
  <c r="D60" i="33"/>
  <c r="F60" i="33" s="1"/>
  <c r="D61" i="33"/>
  <c r="F61" i="33" s="1"/>
  <c r="D62" i="33"/>
  <c r="F62" i="33" s="1"/>
  <c r="D63" i="33"/>
  <c r="F63" i="33" s="1"/>
  <c r="C59" i="33"/>
  <c r="C60" i="33"/>
  <c r="C61" i="33"/>
  <c r="C62" i="33"/>
  <c r="C63" i="33"/>
  <c r="A64" i="33"/>
  <c r="B64" i="33"/>
  <c r="C64" i="33"/>
  <c r="C65" i="33"/>
  <c r="D65" i="33"/>
  <c r="F65" i="33" s="1"/>
  <c r="C66" i="33"/>
  <c r="D66" i="33"/>
  <c r="F66" i="33" s="1"/>
  <c r="D67" i="33"/>
  <c r="F67" i="33" s="1"/>
  <c r="D68" i="33"/>
  <c r="F68" i="33" s="1"/>
  <c r="C67" i="33"/>
  <c r="C68" i="33"/>
  <c r="A69" i="33"/>
  <c r="B69" i="33"/>
  <c r="C69" i="33"/>
  <c r="C70" i="33"/>
  <c r="D70" i="33"/>
  <c r="F70" i="33" s="1"/>
  <c r="C71" i="33"/>
  <c r="D71" i="33"/>
  <c r="F71" i="33" s="1"/>
  <c r="D72" i="33"/>
  <c r="F72" i="33" s="1"/>
  <c r="C72" i="33"/>
  <c r="A79" i="33"/>
  <c r="B79" i="33"/>
  <c r="C79" i="33"/>
  <c r="C80" i="33"/>
  <c r="D80" i="33"/>
  <c r="F80" i="33" s="1"/>
  <c r="D81" i="33"/>
  <c r="F81" i="33" s="1"/>
  <c r="D82" i="33"/>
  <c r="F82" i="33"/>
  <c r="D83" i="33"/>
  <c r="F83" i="33" s="1"/>
  <c r="C81" i="33"/>
  <c r="C82" i="33"/>
  <c r="C83" i="33"/>
  <c r="A84" i="33"/>
  <c r="B84" i="33"/>
  <c r="C84" i="33"/>
  <c r="C85" i="33"/>
  <c r="D85" i="33"/>
  <c r="F85" i="33" s="1"/>
  <c r="D86" i="33"/>
  <c r="F86" i="33"/>
  <c r="D87" i="33"/>
  <c r="F87" i="33" s="1"/>
  <c r="C86" i="33"/>
  <c r="C87" i="33"/>
  <c r="A47" i="33"/>
  <c r="B47" i="33"/>
  <c r="C47" i="33"/>
  <c r="C48" i="33"/>
  <c r="D48" i="33"/>
  <c r="F48" i="33" s="1"/>
  <c r="C49" i="33"/>
  <c r="D49" i="33"/>
  <c r="F49" i="33" s="1"/>
  <c r="C50" i="33"/>
  <c r="D50" i="33"/>
  <c r="F50" i="33" s="1"/>
  <c r="A51" i="33"/>
  <c r="B51" i="33"/>
  <c r="C51" i="33"/>
  <c r="C52" i="33"/>
  <c r="D52" i="33"/>
  <c r="F52" i="33" s="1"/>
  <c r="C53" i="33"/>
  <c r="D53" i="33"/>
  <c r="F53" i="33" s="1"/>
  <c r="C54" i="33"/>
  <c r="D54" i="33"/>
  <c r="F54" i="33"/>
  <c r="C55" i="33"/>
  <c r="D55" i="33"/>
  <c r="F55" i="33" s="1"/>
  <c r="C56" i="33"/>
  <c r="D56" i="33"/>
  <c r="A94" i="33"/>
  <c r="B94" i="33"/>
  <c r="C94" i="33"/>
  <c r="G94" i="33"/>
  <c r="A73" i="33"/>
  <c r="B73" i="33"/>
  <c r="C73" i="33"/>
  <c r="C76" i="33"/>
  <c r="D76" i="33"/>
  <c r="F76" i="33" s="1"/>
  <c r="C77" i="33"/>
  <c r="D77" i="33"/>
  <c r="F77" i="33"/>
  <c r="C78" i="33"/>
  <c r="D78" i="33"/>
  <c r="F78" i="33" s="1"/>
  <c r="A88" i="33"/>
  <c r="B88" i="33"/>
  <c r="C88" i="33"/>
  <c r="C89" i="33"/>
  <c r="D89" i="33"/>
  <c r="F89" i="33" s="1"/>
  <c r="D90" i="33"/>
  <c r="F90" i="33" s="1"/>
  <c r="D91" i="33"/>
  <c r="F91" i="33" s="1"/>
  <c r="D92" i="33"/>
  <c r="F92" i="33" s="1"/>
  <c r="D93" i="33"/>
  <c r="F93" i="33" s="1"/>
  <c r="C90" i="33"/>
  <c r="C91" i="33"/>
  <c r="C92" i="33"/>
  <c r="C93" i="33"/>
  <c r="A103" i="33"/>
  <c r="B103" i="33"/>
  <c r="C103" i="33"/>
  <c r="G103" i="33"/>
  <c r="A104" i="33"/>
  <c r="B104" i="33"/>
  <c r="C104" i="33"/>
  <c r="A106" i="33"/>
  <c r="B106" i="33"/>
  <c r="C107" i="33"/>
  <c r="D107" i="33"/>
  <c r="F107" i="33" s="1"/>
  <c r="C108" i="33"/>
  <c r="D108" i="33"/>
  <c r="F108" i="33" s="1"/>
  <c r="D109" i="33"/>
  <c r="F109" i="33" s="1"/>
  <c r="C109" i="33"/>
  <c r="A110" i="33"/>
  <c r="B110" i="33"/>
  <c r="C110" i="33"/>
  <c r="C111" i="33"/>
  <c r="D111" i="33"/>
  <c r="F111" i="33" s="1"/>
  <c r="D112" i="33"/>
  <c r="F112" i="33" s="1"/>
  <c r="D113" i="33"/>
  <c r="F113" i="33" s="1"/>
  <c r="D114" i="33"/>
  <c r="F114" i="33" s="1"/>
  <c r="D115" i="33"/>
  <c r="F115" i="33" s="1"/>
  <c r="C112" i="33"/>
  <c r="C113" i="33"/>
  <c r="C114" i="33"/>
  <c r="C115" i="33"/>
  <c r="A121" i="33"/>
  <c r="B121" i="33"/>
  <c r="C121" i="33"/>
  <c r="G121" i="33"/>
  <c r="A122" i="33"/>
  <c r="B122" i="33"/>
  <c r="C122" i="33"/>
  <c r="C123" i="33"/>
  <c r="D123" i="33"/>
  <c r="F123" i="33" s="1"/>
  <c r="C124" i="33"/>
  <c r="D124" i="33"/>
  <c r="F124" i="33" s="1"/>
  <c r="C125" i="33"/>
  <c r="D125" i="33"/>
  <c r="F125" i="33" s="1"/>
  <c r="C126" i="33"/>
  <c r="D126" i="33"/>
  <c r="A8" i="36"/>
  <c r="B8" i="36"/>
  <c r="C8" i="36"/>
  <c r="C9" i="36"/>
  <c r="D9" i="36"/>
  <c r="F9" i="36" s="1"/>
  <c r="C10" i="36"/>
  <c r="D10" i="36"/>
  <c r="F10" i="36" s="1"/>
  <c r="C11" i="36"/>
  <c r="D11" i="36"/>
  <c r="F11" i="36" s="1"/>
  <c r="C12" i="36"/>
  <c r="D12" i="36"/>
  <c r="F12" i="36" s="1"/>
  <c r="C13" i="36"/>
  <c r="D13" i="36"/>
  <c r="F13" i="36" s="1"/>
  <c r="C14" i="36"/>
  <c r="D14" i="36"/>
  <c r="F14" i="36" s="1"/>
  <c r="C15" i="36"/>
  <c r="D15" i="36"/>
  <c r="F15" i="36" s="1"/>
  <c r="A16" i="36"/>
  <c r="B16" i="36"/>
  <c r="C16" i="36"/>
  <c r="C17" i="36"/>
  <c r="D17" i="36"/>
  <c r="F17" i="36" s="1"/>
  <c r="C18" i="36"/>
  <c r="D18" i="36"/>
  <c r="F18" i="36" s="1"/>
  <c r="C19" i="36"/>
  <c r="D19" i="36"/>
  <c r="F19" i="36" s="1"/>
  <c r="C20" i="36"/>
  <c r="D20" i="36"/>
  <c r="F20" i="36"/>
  <c r="D21" i="36"/>
  <c r="F21" i="36" s="1"/>
  <c r="C21" i="36"/>
  <c r="A22" i="36"/>
  <c r="B22" i="36"/>
  <c r="C22" i="36"/>
  <c r="C23" i="36"/>
  <c r="D23" i="36"/>
  <c r="F23" i="36" s="1"/>
  <c r="D24" i="36"/>
  <c r="F24" i="36" s="1"/>
  <c r="D25" i="36"/>
  <c r="F25" i="36" s="1"/>
  <c r="C24" i="36"/>
  <c r="C25" i="36"/>
  <c r="A39" i="36"/>
  <c r="B39" i="36"/>
  <c r="C39" i="36"/>
  <c r="G39" i="36"/>
  <c r="A40" i="36"/>
  <c r="B40" i="36"/>
  <c r="C40" i="36"/>
  <c r="C41" i="36"/>
  <c r="D41" i="36"/>
  <c r="F41" i="36" s="1"/>
  <c r="C42" i="36"/>
  <c r="D42" i="36"/>
  <c r="F42" i="36"/>
  <c r="C43" i="36"/>
  <c r="D43" i="36"/>
  <c r="F43" i="36" s="1"/>
  <c r="D44" i="36"/>
  <c r="F44" i="36" s="1"/>
  <c r="C44" i="36"/>
  <c r="A3" i="36"/>
  <c r="B3" i="36"/>
  <c r="F5" i="36"/>
  <c r="F6" i="36"/>
  <c r="A26" i="36"/>
  <c r="B26" i="36"/>
  <c r="C26" i="36"/>
  <c r="C27" i="36"/>
  <c r="D27" i="36"/>
  <c r="F27" i="36" s="1"/>
  <c r="C28" i="36"/>
  <c r="D28" i="36"/>
  <c r="F28" i="36" s="1"/>
  <c r="C29" i="36"/>
  <c r="D29" i="36"/>
  <c r="F29" i="36" s="1"/>
  <c r="A45" i="36"/>
  <c r="B45" i="36"/>
  <c r="C45" i="36"/>
  <c r="D45" i="36"/>
  <c r="A46" i="36"/>
  <c r="B46" i="36"/>
  <c r="C46" i="36"/>
  <c r="C47" i="36"/>
  <c r="D47" i="36"/>
  <c r="F47" i="36" s="1"/>
  <c r="C48" i="36"/>
  <c r="D48" i="36"/>
  <c r="F48" i="36" s="1"/>
  <c r="C49" i="36"/>
  <c r="D49" i="36"/>
  <c r="F49" i="36" s="1"/>
  <c r="A50" i="36"/>
  <c r="B50" i="36"/>
  <c r="C50" i="36"/>
  <c r="C51" i="36"/>
  <c r="D51" i="36"/>
  <c r="F51" i="36" s="1"/>
  <c r="C52" i="36"/>
  <c r="D52" i="36"/>
  <c r="F52" i="36" s="1"/>
  <c r="C53" i="36"/>
  <c r="D53" i="36"/>
  <c r="F53" i="36" s="1"/>
  <c r="A54" i="36"/>
  <c r="B54" i="36"/>
  <c r="C54" i="36"/>
  <c r="C55" i="36"/>
  <c r="D55" i="36"/>
  <c r="F55" i="36" s="1"/>
  <c r="C56" i="36"/>
  <c r="D56" i="36"/>
  <c r="F56" i="36" s="1"/>
  <c r="C57" i="36"/>
  <c r="D57" i="36"/>
  <c r="A30" i="36"/>
  <c r="B30" i="36"/>
  <c r="C30" i="36"/>
  <c r="C31" i="36"/>
  <c r="D31" i="36"/>
  <c r="F31" i="36" s="1"/>
  <c r="C32" i="36"/>
  <c r="D32" i="36"/>
  <c r="F32" i="36" s="1"/>
  <c r="C33" i="36"/>
  <c r="D33" i="36"/>
  <c r="F33" i="36" s="1"/>
  <c r="C34" i="36"/>
  <c r="D34" i="36"/>
  <c r="F34" i="36" s="1"/>
  <c r="C35" i="36"/>
  <c r="D35" i="36"/>
  <c r="F35" i="36" s="1"/>
  <c r="A36" i="36"/>
  <c r="B36" i="36"/>
  <c r="C36" i="36"/>
  <c r="C37" i="36"/>
  <c r="D37" i="36"/>
  <c r="F37" i="36" s="1"/>
  <c r="C38" i="36"/>
  <c r="D38" i="36"/>
  <c r="F38" i="36" s="1"/>
  <c r="A68" i="36"/>
  <c r="B68" i="36"/>
  <c r="C68" i="36"/>
  <c r="C69" i="36"/>
  <c r="D69" i="36"/>
  <c r="F69" i="36" s="1"/>
  <c r="D70" i="36"/>
  <c r="F70" i="36" s="1"/>
  <c r="D71" i="36"/>
  <c r="F71" i="36" s="1"/>
  <c r="C70" i="36"/>
  <c r="C71" i="36"/>
  <c r="A72" i="36"/>
  <c r="B72" i="36"/>
  <c r="C72" i="36"/>
  <c r="C73" i="36"/>
  <c r="D73" i="36"/>
  <c r="F73" i="36" s="1"/>
  <c r="D74" i="36"/>
  <c r="F74" i="36" s="1"/>
  <c r="D75" i="36"/>
  <c r="F75" i="36" s="1"/>
  <c r="D76" i="36"/>
  <c r="F76" i="36" s="1"/>
  <c r="C74" i="36"/>
  <c r="C75" i="36"/>
  <c r="C76" i="36"/>
  <c r="A77" i="36"/>
  <c r="B77" i="36"/>
  <c r="C77" i="36"/>
  <c r="C78" i="36"/>
  <c r="D78" i="36"/>
  <c r="F78" i="36" s="1"/>
  <c r="D80" i="36"/>
  <c r="D79" i="36"/>
  <c r="F79" i="36" s="1"/>
  <c r="C79" i="36"/>
  <c r="C80" i="36"/>
  <c r="F80" i="36"/>
  <c r="A58" i="36"/>
  <c r="B58" i="36"/>
  <c r="C58" i="36"/>
  <c r="C59" i="36"/>
  <c r="D59" i="36"/>
  <c r="F59" i="36" s="1"/>
  <c r="D60" i="36"/>
  <c r="F60" i="36"/>
  <c r="D61" i="36"/>
  <c r="F61" i="36" s="1"/>
  <c r="C60" i="36"/>
  <c r="C61" i="36"/>
  <c r="A62" i="36"/>
  <c r="B62" i="36"/>
  <c r="C62" i="36"/>
  <c r="C63" i="36"/>
  <c r="D63" i="36"/>
  <c r="F63" i="36" s="1"/>
  <c r="D67" i="36"/>
  <c r="D64" i="36"/>
  <c r="F64" i="36" s="1"/>
  <c r="D65" i="36"/>
  <c r="F65" i="36" s="1"/>
  <c r="D66" i="36"/>
  <c r="F66" i="36" s="1"/>
  <c r="C64" i="36"/>
  <c r="C65" i="36"/>
  <c r="C66" i="36"/>
  <c r="C67" i="36"/>
  <c r="A81" i="36"/>
  <c r="B81" i="36"/>
  <c r="C81" i="36"/>
  <c r="G81" i="36"/>
  <c r="C82" i="36"/>
  <c r="C83" i="36"/>
  <c r="D83" i="36"/>
  <c r="F83" i="36" s="1"/>
  <c r="D84" i="36"/>
  <c r="F84" i="36" s="1"/>
  <c r="D85" i="36"/>
  <c r="F85" i="36" s="1"/>
  <c r="D86" i="36"/>
  <c r="F86" i="36" s="1"/>
  <c r="C84" i="36"/>
  <c r="C85" i="36"/>
  <c r="C86" i="36"/>
  <c r="C87" i="36"/>
  <c r="D87" i="36"/>
  <c r="A94" i="36"/>
  <c r="B94" i="36"/>
  <c r="C94" i="36"/>
  <c r="C95" i="36"/>
  <c r="D95" i="36"/>
  <c r="C96" i="36"/>
  <c r="D96" i="36"/>
  <c r="C97" i="36"/>
  <c r="D97" i="36"/>
  <c r="C98" i="36"/>
  <c r="D98" i="36"/>
  <c r="G94" i="36" s="1"/>
  <c r="A88" i="36"/>
  <c r="B88" i="36"/>
  <c r="C88" i="36"/>
  <c r="C89" i="36"/>
  <c r="D89" i="36"/>
  <c r="F89" i="36" s="1"/>
  <c r="C90" i="36"/>
  <c r="D90" i="36"/>
  <c r="F90" i="36" s="1"/>
  <c r="C91" i="36"/>
  <c r="D91" i="36"/>
  <c r="F91" i="36" s="1"/>
  <c r="D92" i="36"/>
  <c r="F92" i="36"/>
  <c r="D93" i="36"/>
  <c r="F93" i="36" s="1"/>
  <c r="C92" i="36"/>
  <c r="C93" i="36"/>
  <c r="A99" i="36"/>
  <c r="B99" i="36"/>
  <c r="C99" i="36"/>
  <c r="G99" i="36"/>
  <c r="A100" i="36"/>
  <c r="B100" i="36"/>
  <c r="C100" i="36"/>
  <c r="A102" i="36"/>
  <c r="B102" i="36"/>
  <c r="C102" i="36"/>
  <c r="C103" i="36"/>
  <c r="D103" i="36"/>
  <c r="F103" i="36" s="1"/>
  <c r="C104" i="36"/>
  <c r="D104" i="36"/>
  <c r="F104" i="36" s="1"/>
  <c r="C105" i="36"/>
  <c r="D105" i="36"/>
  <c r="F105" i="36" s="1"/>
  <c r="C106" i="36"/>
  <c r="D106" i="36"/>
  <c r="F106" i="36" s="1"/>
  <c r="D107" i="36"/>
  <c r="F107" i="36" s="1"/>
  <c r="C107" i="36"/>
  <c r="C114" i="36"/>
  <c r="C115" i="36"/>
  <c r="D115" i="36"/>
  <c r="F115" i="36" s="1"/>
  <c r="D116" i="36"/>
  <c r="F116" i="36" s="1"/>
  <c r="D117" i="36"/>
  <c r="F117" i="36" s="1"/>
  <c r="C116" i="36"/>
  <c r="C117" i="36"/>
  <c r="A113" i="36"/>
  <c r="B113" i="36"/>
  <c r="C113" i="36"/>
  <c r="G113" i="36"/>
  <c r="A4" i="35"/>
  <c r="B4" i="35"/>
  <c r="C4" i="35"/>
  <c r="C5" i="35"/>
  <c r="D5" i="35"/>
  <c r="F5" i="35" s="1"/>
  <c r="D6" i="35"/>
  <c r="F6" i="35" s="1"/>
  <c r="D7" i="35"/>
  <c r="F7" i="35" s="1"/>
  <c r="D8" i="35"/>
  <c r="F8" i="35" s="1"/>
  <c r="D9" i="35"/>
  <c r="F9" i="35" s="1"/>
  <c r="D10" i="35"/>
  <c r="F10" i="35" s="1"/>
  <c r="D11" i="35"/>
  <c r="F11" i="35" s="1"/>
  <c r="C6" i="35"/>
  <c r="C7" i="35"/>
  <c r="C8" i="35"/>
  <c r="C9" i="35"/>
  <c r="C10" i="35"/>
  <c r="C11" i="35"/>
  <c r="A12" i="35"/>
  <c r="B12" i="35"/>
  <c r="C12" i="35"/>
  <c r="C13" i="35"/>
  <c r="D13" i="35"/>
  <c r="F13" i="35" s="1"/>
  <c r="D14" i="35"/>
  <c r="F14" i="35" s="1"/>
  <c r="D15" i="35"/>
  <c r="F15" i="35" s="1"/>
  <c r="D16" i="35"/>
  <c r="F16" i="35" s="1"/>
  <c r="D17" i="35"/>
  <c r="F17" i="35" s="1"/>
  <c r="C14" i="35"/>
  <c r="C15" i="35"/>
  <c r="C16" i="35"/>
  <c r="C17" i="35"/>
  <c r="A18" i="35"/>
  <c r="B18" i="35"/>
  <c r="C18" i="35"/>
  <c r="G18" i="35"/>
  <c r="A19" i="35"/>
  <c r="B19" i="35"/>
  <c r="C19" i="35"/>
  <c r="C20" i="35"/>
  <c r="D20" i="35"/>
  <c r="F20" i="35" s="1"/>
  <c r="C21" i="35"/>
  <c r="D21" i="35"/>
  <c r="F21" i="35" s="1"/>
  <c r="D22" i="35"/>
  <c r="F22" i="35" s="1"/>
  <c r="D23" i="35"/>
  <c r="F23" i="35" s="1"/>
  <c r="C22" i="35"/>
  <c r="C23" i="35"/>
  <c r="A24" i="35"/>
  <c r="B24" i="35"/>
  <c r="C24" i="35"/>
  <c r="C25" i="35"/>
  <c r="D25" i="35"/>
  <c r="F25" i="35" s="1"/>
  <c r="C26" i="35"/>
  <c r="D26" i="35"/>
  <c r="F26" i="35" s="1"/>
  <c r="C27" i="35"/>
  <c r="D27" i="35"/>
  <c r="F27" i="35" s="1"/>
  <c r="A28" i="35"/>
  <c r="B28" i="35"/>
  <c r="C28" i="35"/>
  <c r="C29" i="35"/>
  <c r="D29" i="35"/>
  <c r="F29" i="35" s="1"/>
  <c r="D30" i="35"/>
  <c r="F30" i="35" s="1"/>
  <c r="D31" i="35"/>
  <c r="F31" i="35" s="1"/>
  <c r="D32" i="35"/>
  <c r="F32" i="35" s="1"/>
  <c r="C30" i="35"/>
  <c r="C31" i="35"/>
  <c r="C32" i="35"/>
  <c r="C33" i="35"/>
  <c r="D33" i="35"/>
  <c r="A40" i="35"/>
  <c r="B40" i="35"/>
  <c r="C40" i="35"/>
  <c r="G40" i="35"/>
  <c r="A41" i="35"/>
  <c r="B41" i="35"/>
  <c r="C41" i="35"/>
  <c r="C42" i="35"/>
  <c r="D42" i="35"/>
  <c r="F42" i="35" s="1"/>
  <c r="C43" i="35"/>
  <c r="D43" i="35"/>
  <c r="F43" i="35"/>
  <c r="C44" i="35"/>
  <c r="D44" i="35"/>
  <c r="F44" i="35" s="1"/>
  <c r="D45" i="35"/>
  <c r="F45" i="35" s="1"/>
  <c r="C45" i="35"/>
  <c r="A34" i="35"/>
  <c r="B34" i="35"/>
  <c r="C34" i="35"/>
  <c r="C37" i="35"/>
  <c r="D37" i="35"/>
  <c r="F37" i="35" s="1"/>
  <c r="C38" i="35"/>
  <c r="D38" i="35"/>
  <c r="F38" i="35" s="1"/>
  <c r="C39" i="35"/>
  <c r="D39" i="35"/>
  <c r="F39" i="35" s="1"/>
  <c r="A3" i="37"/>
  <c r="B3" i="37"/>
  <c r="C3" i="37"/>
  <c r="C4" i="37"/>
  <c r="D4" i="37"/>
  <c r="F4" i="37" s="1"/>
  <c r="D5" i="37"/>
  <c r="F5" i="37" s="1"/>
  <c r="D6" i="37"/>
  <c r="F6" i="37" s="1"/>
  <c r="D7" i="37"/>
  <c r="F7" i="37" s="1"/>
  <c r="D8" i="37"/>
  <c r="F8" i="37" s="1"/>
  <c r="D9" i="37"/>
  <c r="F9" i="37" s="1"/>
  <c r="D10" i="37"/>
  <c r="F10" i="37" s="1"/>
  <c r="C5" i="37"/>
  <c r="C6" i="37"/>
  <c r="C7" i="37"/>
  <c r="C8" i="37"/>
  <c r="C9" i="37"/>
  <c r="C10" i="37"/>
  <c r="A11" i="37"/>
  <c r="B11" i="37"/>
  <c r="C11" i="37"/>
  <c r="C12" i="37"/>
  <c r="D12" i="37"/>
  <c r="F12" i="37" s="1"/>
  <c r="C13" i="37"/>
  <c r="D13" i="37"/>
  <c r="F13" i="37" s="1"/>
  <c r="C14" i="37"/>
  <c r="D14" i="37"/>
  <c r="F14" i="37" s="1"/>
  <c r="C15" i="37"/>
  <c r="D15" i="37"/>
  <c r="F15" i="37" s="1"/>
  <c r="C16" i="37"/>
  <c r="D16" i="37"/>
  <c r="F16" i="37" s="1"/>
  <c r="A17" i="37"/>
  <c r="B17" i="37"/>
  <c r="C17" i="37"/>
  <c r="C18" i="37"/>
  <c r="D18" i="37"/>
  <c r="F18" i="37" s="1"/>
  <c r="C19" i="37"/>
  <c r="D19" i="37"/>
  <c r="F19" i="37" s="1"/>
  <c r="C20" i="37"/>
  <c r="D20" i="37"/>
  <c r="F20" i="37" s="1"/>
  <c r="C21" i="37"/>
  <c r="D21" i="37"/>
  <c r="F21" i="37" s="1"/>
  <c r="C22" i="37"/>
  <c r="D22" i="37"/>
  <c r="F22" i="37" s="1"/>
  <c r="A23" i="37"/>
  <c r="B23" i="37"/>
  <c r="C23" i="37"/>
  <c r="C24" i="37"/>
  <c r="D24" i="37"/>
  <c r="F24" i="37" s="1"/>
  <c r="D25" i="37"/>
  <c r="F25" i="37" s="1"/>
  <c r="D26" i="37"/>
  <c r="F26" i="37" s="1"/>
  <c r="D27" i="37"/>
  <c r="F27" i="37" s="1"/>
  <c r="C25" i="37"/>
  <c r="C26" i="37"/>
  <c r="C27" i="37"/>
  <c r="A28" i="37"/>
  <c r="B28" i="37"/>
  <c r="C28" i="37"/>
  <c r="C29" i="37"/>
  <c r="D29" i="37"/>
  <c r="F29" i="37" s="1"/>
  <c r="C30" i="37"/>
  <c r="D30" i="37"/>
  <c r="F30" i="37" s="1"/>
  <c r="C31" i="37"/>
  <c r="D31" i="37"/>
  <c r="F31" i="37" s="1"/>
  <c r="C32" i="37"/>
  <c r="D32" i="37"/>
  <c r="F32" i="37" s="1"/>
  <c r="D33" i="37"/>
  <c r="F33" i="37" s="1"/>
  <c r="C33" i="37"/>
  <c r="A34" i="37"/>
  <c r="B34" i="37"/>
  <c r="C34" i="37"/>
  <c r="C35" i="37"/>
  <c r="D35" i="37"/>
  <c r="F35" i="37" s="1"/>
  <c r="C36" i="37"/>
  <c r="D36" i="37"/>
  <c r="F36" i="37"/>
  <c r="D37" i="37"/>
  <c r="F37" i="37" s="1"/>
  <c r="C37" i="37"/>
  <c r="A38" i="37"/>
  <c r="B38" i="37"/>
  <c r="C38" i="37"/>
  <c r="C39" i="37"/>
  <c r="D39" i="37"/>
  <c r="F39" i="37" s="1"/>
  <c r="C40" i="37"/>
  <c r="D40" i="37"/>
  <c r="F40" i="37" s="1"/>
  <c r="C41" i="37"/>
  <c r="D41" i="37"/>
  <c r="F41" i="37" s="1"/>
  <c r="C42" i="37"/>
  <c r="D42" i="37"/>
  <c r="F42" i="37"/>
  <c r="C43" i="37"/>
  <c r="D43" i="37"/>
  <c r="A44" i="37"/>
  <c r="B44" i="37"/>
  <c r="C44" i="37"/>
  <c r="C47" i="37"/>
  <c r="D47" i="37"/>
  <c r="F47" i="37"/>
  <c r="C48" i="37"/>
  <c r="D48" i="37"/>
  <c r="F48" i="37" s="1"/>
  <c r="C49" i="37"/>
  <c r="D49" i="37"/>
  <c r="F49" i="37" s="1"/>
  <c r="A50" i="37"/>
  <c r="B50" i="37"/>
  <c r="C50" i="37"/>
  <c r="C51" i="37"/>
  <c r="D51" i="37"/>
  <c r="F51" i="37" s="1"/>
  <c r="C52" i="37"/>
  <c r="D52" i="37"/>
  <c r="F52" i="37" s="1"/>
  <c r="C53" i="37"/>
  <c r="D53" i="37"/>
  <c r="F53" i="37" s="1"/>
  <c r="C54" i="37"/>
  <c r="D54" i="37"/>
  <c r="A55" i="37"/>
  <c r="B55" i="37"/>
  <c r="C55" i="37"/>
  <c r="C56" i="37"/>
  <c r="D56" i="37"/>
  <c r="F56" i="37" s="1"/>
  <c r="C57" i="37"/>
  <c r="D57" i="37"/>
  <c r="F57" i="37" s="1"/>
  <c r="D60" i="37"/>
  <c r="D58" i="37"/>
  <c r="F58" i="37" s="1"/>
  <c r="D59" i="37"/>
  <c r="F59" i="37" s="1"/>
  <c r="C58" i="37"/>
  <c r="C59" i="37"/>
  <c r="C60" i="37"/>
  <c r="A3" i="31"/>
  <c r="B3" i="31"/>
  <c r="C3" i="31"/>
  <c r="C4" i="31"/>
  <c r="D4" i="31"/>
  <c r="F4" i="31" s="1"/>
  <c r="C5" i="31"/>
  <c r="D5" i="31"/>
  <c r="F5" i="31" s="1"/>
  <c r="C6" i="31"/>
  <c r="D6" i="31"/>
  <c r="F6" i="31" s="1"/>
  <c r="C7" i="31"/>
  <c r="D7" i="31"/>
  <c r="F7" i="31" s="1"/>
  <c r="D8" i="31"/>
  <c r="F8" i="31" s="1"/>
  <c r="D9" i="31"/>
  <c r="F9" i="31" s="1"/>
  <c r="D10" i="31"/>
  <c r="F10" i="31" s="1"/>
  <c r="C8" i="31"/>
  <c r="C9" i="31"/>
  <c r="C10" i="31"/>
  <c r="A11" i="31"/>
  <c r="B11" i="31"/>
  <c r="C11" i="31"/>
  <c r="C12" i="31"/>
  <c r="D12" i="31"/>
  <c r="F12" i="31" s="1"/>
  <c r="D13" i="31"/>
  <c r="F13" i="31" s="1"/>
  <c r="D14" i="31"/>
  <c r="F14" i="31" s="1"/>
  <c r="D15" i="31"/>
  <c r="F15" i="31" s="1"/>
  <c r="D16" i="31"/>
  <c r="F16" i="31" s="1"/>
  <c r="C13" i="31"/>
  <c r="C14" i="31"/>
  <c r="C15" i="31"/>
  <c r="C16" i="31"/>
  <c r="A17" i="31"/>
  <c r="B17" i="31"/>
  <c r="C17" i="31"/>
  <c r="C18" i="31"/>
  <c r="D18" i="31"/>
  <c r="F18" i="31" s="1"/>
  <c r="D19" i="31"/>
  <c r="F19" i="31" s="1"/>
  <c r="D20" i="31"/>
  <c r="F20" i="31" s="1"/>
  <c r="D21" i="31"/>
  <c r="F21" i="31" s="1"/>
  <c r="C19" i="31"/>
  <c r="C20" i="31"/>
  <c r="C21" i="31"/>
  <c r="A22" i="31"/>
  <c r="B22" i="31"/>
  <c r="C22" i="31"/>
  <c r="C25" i="31"/>
  <c r="D25" i="31"/>
  <c r="F25" i="31" s="1"/>
  <c r="C26" i="31"/>
  <c r="D26" i="31"/>
  <c r="F26" i="31" s="1"/>
  <c r="C27" i="31"/>
  <c r="D27" i="31"/>
  <c r="F27" i="31" s="1"/>
  <c r="A28" i="31"/>
  <c r="B28" i="31"/>
  <c r="C28" i="31"/>
  <c r="C29" i="31"/>
  <c r="D29" i="31"/>
  <c r="F29" i="31" s="1"/>
  <c r="D30" i="31"/>
  <c r="F30" i="31" s="1"/>
  <c r="D31" i="31"/>
  <c r="F31" i="31" s="1"/>
  <c r="D32" i="31"/>
  <c r="F32" i="31" s="1"/>
  <c r="D33" i="31"/>
  <c r="F33" i="31" s="1"/>
  <c r="C30" i="31"/>
  <c r="C31" i="31"/>
  <c r="C32" i="31"/>
  <c r="C33" i="31"/>
  <c r="A34" i="31"/>
  <c r="B34" i="31"/>
  <c r="C34" i="31"/>
  <c r="C35" i="31"/>
  <c r="D35" i="31"/>
  <c r="F35" i="31" s="1"/>
  <c r="D38" i="31"/>
  <c r="D36" i="31"/>
  <c r="F36" i="31"/>
  <c r="D37" i="31"/>
  <c r="F37" i="31" s="1"/>
  <c r="C36" i="31"/>
  <c r="C37" i="31"/>
  <c r="C38" i="31"/>
  <c r="A40" i="31"/>
  <c r="B40" i="31"/>
  <c r="C40" i="31"/>
  <c r="C41" i="31"/>
  <c r="D41" i="31"/>
  <c r="F41" i="31" s="1"/>
  <c r="C42" i="31"/>
  <c r="D42" i="31"/>
  <c r="F42" i="31" s="1"/>
  <c r="C43" i="31"/>
  <c r="D43" i="31"/>
  <c r="F43" i="31" s="1"/>
  <c r="C44" i="31"/>
  <c r="D44" i="31"/>
  <c r="F44" i="31" s="1"/>
  <c r="C45" i="31"/>
  <c r="D45" i="31"/>
  <c r="F45" i="31" s="1"/>
  <c r="A46" i="31"/>
  <c r="B46" i="31"/>
  <c r="C46" i="31"/>
  <c r="C47" i="31"/>
  <c r="D47" i="31"/>
  <c r="F47" i="31" s="1"/>
  <c r="C48" i="31"/>
  <c r="D48" i="31"/>
  <c r="F48" i="31"/>
  <c r="D49" i="31"/>
  <c r="F49" i="31" s="1"/>
  <c r="D50" i="31"/>
  <c r="F50" i="31"/>
  <c r="C49" i="31"/>
  <c r="C50" i="31"/>
  <c r="A51" i="31"/>
  <c r="B51" i="31"/>
  <c r="C51" i="31"/>
  <c r="C52" i="31"/>
  <c r="D52" i="31"/>
  <c r="F52" i="31"/>
  <c r="D53" i="31"/>
  <c r="F53" i="31" s="1"/>
  <c r="D54" i="31"/>
  <c r="F54" i="31"/>
  <c r="C53" i="31"/>
  <c r="C54" i="31"/>
  <c r="A55" i="31"/>
  <c r="B55" i="31"/>
  <c r="C55" i="31"/>
  <c r="C56" i="31"/>
  <c r="D56" i="31"/>
  <c r="F56" i="31"/>
  <c r="D57" i="31"/>
  <c r="F57" i="31" s="1"/>
  <c r="D58" i="31"/>
  <c r="F58" i="31"/>
  <c r="D59" i="31"/>
  <c r="F59" i="31" s="1"/>
  <c r="C57" i="31"/>
  <c r="C58" i="31"/>
  <c r="C59" i="31"/>
  <c r="A66" i="31"/>
  <c r="B66" i="31"/>
  <c r="C66" i="31"/>
  <c r="C67" i="31"/>
  <c r="D67" i="31"/>
  <c r="F67" i="31" s="1"/>
  <c r="D68" i="31"/>
  <c r="F68" i="31" s="1"/>
  <c r="D69" i="31"/>
  <c r="F69" i="31" s="1"/>
  <c r="D70" i="31"/>
  <c r="F70" i="31" s="1"/>
  <c r="D71" i="31"/>
  <c r="F71" i="31" s="1"/>
  <c r="D72" i="31"/>
  <c r="F72" i="31" s="1"/>
  <c r="D73" i="31"/>
  <c r="F73" i="31" s="1"/>
  <c r="C68" i="31"/>
  <c r="C69" i="31"/>
  <c r="C70" i="31"/>
  <c r="C71" i="31"/>
  <c r="C72" i="31"/>
  <c r="C73" i="31"/>
  <c r="A60" i="31"/>
  <c r="B60" i="31"/>
  <c r="C60" i="31"/>
  <c r="C61" i="31"/>
  <c r="D61" i="31"/>
  <c r="F61" i="31" s="1"/>
  <c r="C62" i="31"/>
  <c r="D62" i="31"/>
  <c r="F62" i="31" s="1"/>
  <c r="C63" i="31"/>
  <c r="D63" i="31"/>
  <c r="F63" i="31" s="1"/>
  <c r="C64" i="31"/>
  <c r="D64" i="31"/>
  <c r="F64" i="31" s="1"/>
  <c r="C65" i="31"/>
  <c r="D65" i="31"/>
  <c r="F65" i="31" s="1"/>
  <c r="A79" i="31"/>
  <c r="B79" i="31"/>
  <c r="C79" i="31"/>
  <c r="D80" i="31"/>
  <c r="F80" i="31"/>
  <c r="D81" i="31"/>
  <c r="F81" i="31" s="1"/>
  <c r="D82" i="31"/>
  <c r="F82" i="31"/>
  <c r="A83" i="31"/>
  <c r="B83" i="31"/>
  <c r="C83" i="31"/>
  <c r="C84" i="31"/>
  <c r="D84" i="31"/>
  <c r="F84" i="31" s="1"/>
  <c r="G83" i="31" s="1"/>
  <c r="D85" i="31"/>
  <c r="F85" i="31"/>
  <c r="D86" i="31"/>
  <c r="F86" i="31" s="1"/>
  <c r="C85" i="31"/>
  <c r="C86" i="31"/>
  <c r="B27" i="5"/>
  <c r="D61" i="37"/>
  <c r="G61" i="37" s="1"/>
  <c r="G46" i="36"/>
  <c r="G54" i="40"/>
  <c r="G8" i="44"/>
  <c r="G60" i="31"/>
  <c r="G45" i="40"/>
  <c r="G111" i="34"/>
  <c r="C25" i="5" s="1"/>
  <c r="F25" i="5" s="1"/>
  <c r="G76" i="34"/>
  <c r="F126" i="33"/>
  <c r="G122" i="33"/>
  <c r="G54" i="36"/>
  <c r="G36" i="36"/>
  <c r="G43" i="33"/>
  <c r="G50" i="36"/>
  <c r="G17" i="31" l="1"/>
  <c r="G3" i="43"/>
  <c r="G27" i="44"/>
  <c r="G11" i="31"/>
  <c r="G58" i="36"/>
  <c r="G38" i="34"/>
  <c r="G17" i="34"/>
  <c r="D75" i="40"/>
  <c r="D62" i="37"/>
  <c r="G62" i="37" s="1"/>
  <c r="G84" i="33"/>
  <c r="G79" i="31"/>
  <c r="G69" i="33"/>
  <c r="G92" i="34"/>
  <c r="G51" i="31"/>
  <c r="G94" i="41"/>
  <c r="G15" i="43"/>
  <c r="G38" i="39"/>
  <c r="G45" i="36"/>
  <c r="G3" i="37"/>
  <c r="G23" i="37"/>
  <c r="G28" i="35"/>
  <c r="G70" i="34"/>
  <c r="G24" i="43"/>
  <c r="G45" i="43" s="1"/>
  <c r="G33" i="40"/>
  <c r="G44" i="37"/>
  <c r="G24" i="35"/>
  <c r="G106" i="33"/>
  <c r="G64" i="33"/>
  <c r="G37" i="33"/>
  <c r="G79" i="34"/>
  <c r="G57" i="34"/>
  <c r="G21" i="34"/>
  <c r="G88" i="41"/>
  <c r="G26" i="41"/>
  <c r="G11" i="41"/>
  <c r="G10" i="43"/>
  <c r="G43" i="39"/>
  <c r="G21" i="39"/>
  <c r="G59" i="40"/>
  <c r="G10" i="40"/>
  <c r="G3" i="44"/>
  <c r="G46" i="31"/>
  <c r="G34" i="31"/>
  <c r="G50" i="37"/>
  <c r="G41" i="35"/>
  <c r="G88" i="36"/>
  <c r="G82" i="36"/>
  <c r="G77" i="36"/>
  <c r="G30" i="36"/>
  <c r="G40" i="36"/>
  <c r="G23" i="33"/>
  <c r="G17" i="33"/>
  <c r="G85" i="34"/>
  <c r="G3" i="34"/>
  <c r="G97" i="41"/>
  <c r="G58" i="41"/>
  <c r="G20" i="44"/>
  <c r="G33" i="39"/>
  <c r="G15" i="39"/>
  <c r="G9" i="39"/>
  <c r="G64" i="40"/>
  <c r="G19" i="40"/>
  <c r="G19" i="43"/>
  <c r="G111" i="41"/>
  <c r="G125" i="41" s="1"/>
  <c r="C26" i="5" s="1"/>
  <c r="F26" i="5" s="1"/>
  <c r="G26" i="5" s="1"/>
  <c r="G55" i="31"/>
  <c r="G40" i="31"/>
  <c r="G38" i="37"/>
  <c r="G102" i="36"/>
  <c r="G125" i="36" s="1"/>
  <c r="C23" i="5" s="1"/>
  <c r="F23" i="5" s="1"/>
  <c r="G23" i="5" s="1"/>
  <c r="G26" i="36"/>
  <c r="G51" i="34"/>
  <c r="G33" i="34"/>
  <c r="G104" i="41"/>
  <c r="G26" i="40"/>
  <c r="G108" i="36"/>
  <c r="G34" i="43"/>
  <c r="G46" i="43" s="1"/>
  <c r="G34" i="37"/>
  <c r="G66" i="37" s="1"/>
  <c r="G19" i="35"/>
  <c r="G11" i="33"/>
  <c r="G3" i="33"/>
  <c r="G63" i="41"/>
  <c r="G118" i="41" s="1"/>
  <c r="G75" i="41"/>
  <c r="G28" i="43"/>
  <c r="G28" i="31"/>
  <c r="G55" i="37"/>
  <c r="G114" i="36"/>
  <c r="G62" i="36"/>
  <c r="G22" i="36"/>
  <c r="G16" i="36"/>
  <c r="G120" i="36" s="1"/>
  <c r="G8" i="36"/>
  <c r="G119" i="36" s="1"/>
  <c r="G68" i="40"/>
  <c r="G74" i="31"/>
  <c r="G116" i="33"/>
  <c r="G22" i="31"/>
  <c r="G3" i="31"/>
  <c r="G4" i="35"/>
  <c r="G88" i="33"/>
  <c r="G3" i="40"/>
  <c r="G27" i="39"/>
  <c r="G66" i="31"/>
  <c r="G89" i="31" s="1"/>
  <c r="C20" i="5" s="1"/>
  <c r="F20" i="5" s="1"/>
  <c r="G20" i="5" s="1"/>
  <c r="G12" i="35"/>
  <c r="G68" i="36"/>
  <c r="G121" i="36" s="1"/>
  <c r="G79" i="33"/>
  <c r="G30" i="33"/>
  <c r="G11" i="34"/>
  <c r="G106" i="34" s="1"/>
  <c r="G82" i="41"/>
  <c r="G122" i="41" s="1"/>
  <c r="G51" i="41"/>
  <c r="G36" i="41"/>
  <c r="G17" i="41"/>
  <c r="G3" i="41"/>
  <c r="G48" i="40"/>
  <c r="G28" i="37"/>
  <c r="G64" i="37" s="1"/>
  <c r="G17" i="37"/>
  <c r="G11" i="37"/>
  <c r="G72" i="36"/>
  <c r="G110" i="33"/>
  <c r="G134" i="33" s="1"/>
  <c r="C24" i="5" s="1"/>
  <c r="F24" i="5" s="1"/>
  <c r="G24" i="5" s="1"/>
  <c r="G51" i="33"/>
  <c r="G131" i="33" s="1"/>
  <c r="G57" i="33"/>
  <c r="G64" i="34"/>
  <c r="G69" i="41"/>
  <c r="G121" i="41" s="1"/>
  <c r="G42" i="41"/>
  <c r="G31" i="41"/>
  <c r="G13" i="44"/>
  <c r="G33" i="44" s="1"/>
  <c r="C29" i="5" s="1"/>
  <c r="F29" i="5" s="1"/>
  <c r="I29" i="5" s="1"/>
  <c r="J29" i="5" s="1"/>
  <c r="G49" i="39"/>
  <c r="G3" i="39"/>
  <c r="G39" i="40"/>
  <c r="G15" i="40"/>
  <c r="G95" i="33"/>
  <c r="G129" i="33" s="1"/>
  <c r="G98" i="34"/>
  <c r="G107" i="34" s="1"/>
  <c r="G42" i="34"/>
  <c r="G34" i="35"/>
  <c r="G73" i="33"/>
  <c r="G25" i="5"/>
  <c r="G122" i="36" l="1"/>
  <c r="G128" i="33"/>
  <c r="G88" i="31"/>
  <c r="B20" i="5" s="1"/>
  <c r="D20" i="5" s="1"/>
  <c r="H20" i="5" s="1"/>
  <c r="I20" i="5" s="1"/>
  <c r="J20" i="5" s="1"/>
  <c r="G65" i="37"/>
  <c r="G48" i="35" s="1"/>
  <c r="G43" i="43"/>
  <c r="G48" i="43" s="1"/>
  <c r="C28" i="5" s="1"/>
  <c r="F28" i="5" s="1"/>
  <c r="G29" i="5"/>
  <c r="G130" i="33"/>
  <c r="G108" i="34"/>
  <c r="G110" i="34" s="1"/>
  <c r="B25" i="5" s="1"/>
  <c r="D25" i="5" s="1"/>
  <c r="G120" i="41"/>
  <c r="H29" i="5"/>
  <c r="G68" i="37"/>
  <c r="B21" i="5" s="1"/>
  <c r="D21" i="5" s="1"/>
  <c r="I21" i="5" s="1"/>
  <c r="J21" i="5" s="1"/>
  <c r="G47" i="35"/>
  <c r="E20" i="5"/>
  <c r="G57" i="39"/>
  <c r="C30" i="5" s="1"/>
  <c r="F30" i="5" s="1"/>
  <c r="I30" i="5" s="1"/>
  <c r="J30" i="5" s="1"/>
  <c r="G49" i="35"/>
  <c r="G82" i="40"/>
  <c r="C31" i="5" s="1"/>
  <c r="F31" i="5" s="1"/>
  <c r="I31" i="5" s="1"/>
  <c r="J31" i="5" s="1"/>
  <c r="G124" i="36"/>
  <c r="B23" i="5" s="1"/>
  <c r="D23" i="5" s="1"/>
  <c r="G119" i="41"/>
  <c r="G124" i="41" s="1"/>
  <c r="B26" i="5" s="1"/>
  <c r="D26" i="5" s="1"/>
  <c r="I26" i="5" s="1"/>
  <c r="J26" i="5" s="1"/>
  <c r="G133" i="33"/>
  <c r="B24" i="5" s="1"/>
  <c r="D24" i="5" s="1"/>
  <c r="I24" i="5" s="1"/>
  <c r="J24" i="5" s="1"/>
  <c r="I25" i="5" l="1"/>
  <c r="J25" i="5" s="1"/>
  <c r="H25" i="5"/>
  <c r="E25" i="5"/>
  <c r="I28" i="5"/>
  <c r="J28" i="5" s="1"/>
  <c r="H28" i="5"/>
  <c r="G28" i="5"/>
  <c r="G31" i="5"/>
  <c r="H31" i="5"/>
  <c r="H21" i="5"/>
  <c r="E21" i="5"/>
  <c r="E23" i="5"/>
  <c r="H23" i="5"/>
  <c r="I23" i="5" s="1"/>
  <c r="J23" i="5" s="1"/>
  <c r="G51" i="35"/>
  <c r="B22" i="5" s="1"/>
  <c r="D22" i="5" s="1"/>
  <c r="I22" i="5" s="1"/>
  <c r="J22" i="5" s="1"/>
  <c r="E26" i="5"/>
  <c r="H26" i="5"/>
  <c r="H30" i="5"/>
  <c r="G30" i="5"/>
  <c r="E24" i="5"/>
  <c r="H24" i="5"/>
  <c r="H33" i="5" l="1"/>
  <c r="G33" i="5"/>
  <c r="E22" i="5"/>
  <c r="H22" i="5"/>
  <c r="I33" i="5" l="1"/>
  <c r="J33" i="5" s="1"/>
  <c r="B33" i="5" s="1"/>
  <c r="B34" i="5" s="1"/>
</calcChain>
</file>

<file path=xl/sharedStrings.xml><?xml version="1.0" encoding="utf-8"?>
<sst xmlns="http://schemas.openxmlformats.org/spreadsheetml/2006/main" count="6649" uniqueCount="3698">
  <si>
    <t>Waterbird use of tidal wetlands often is focused primarily on aquatic vegetation within internal channels and other open-water areas (Stralberg et al. 2003). On outgoing tides, tidal channels concentrate fish and other animal foods consumed by wading birds and thus improve feeding success and habitat capacity (Lourenco et al. 2005, Lamberson et al.2011).</t>
  </si>
  <si>
    <t>BMPwild</t>
  </si>
  <si>
    <t>Frequent traffic by people and free-roaming pets can stress some waterbirds, so measures to reduce such impacts are given credit.</t>
  </si>
  <si>
    <t>SalmoScape5</t>
  </si>
  <si>
    <t>Lourenco, P.M., J.P. Granadeiro, and J.M. Palmerim.  2005. Importance of drainage channels for waders foraging on tidal flats:relevance for the management of estuarine wetlands.  Journal of Applied Ecology 42(3):477-486.</t>
  </si>
  <si>
    <t>These areas were designated based on a rigorous nomination and screening process by ornithologists.</t>
  </si>
  <si>
    <t xml:space="preserve">Wetlands that are well-connected with other natural land cover and not separated by roads that interfere with movements across the landscape, are more likely to support a large diversity of songbird and mammal species. </t>
  </si>
  <si>
    <t>Wetlands located in landscapes with a large proportion of natural land cover are more likely to be used by a variety of songbirds and mammals because the cover in the surrounding landscape fills complementary needs of some species and buffers a wetland against water pollution and other disturbances.</t>
  </si>
  <si>
    <t>The type as well as the amount of upland cover near the wetland is important to mammals and nesting songbirds. For most species, impervious surfaces are unusable.</t>
  </si>
  <si>
    <t xml:space="preserve">Habitat gaps caused by placement of roads, driveways, or homes – as well as by natural features such as rockslides and wide tidal channels -- can impact movements of mammals and birds (Trombulak &amp; Frissell 2000, Ortega &amp; Capen 2002). This is especially true when the gaps are wider than about 100 feet (Rich et al. 1994, Rail et al. 1997, St. Clair et al. 1998, Belisle &amp; Desrochers 2002, Laurance et al. 2004, Tremblay &amp; St. Clair 2010), and definitely when wider than 200 ft (Creegan &amp; Osborne 2005, Bosschieter &amp; Goedhart 2005, Awade &amp; Metzger 2008, Lees &amp; Peres 2009). Species that prefer low vegetation may be particularly reluctant to cross forest clearings. The presence of small clusters of trees scattered within very wide forest gaps may be sufficient to enhance willingness of some forest bird species to cross those gaps (Robertson &amp; Radford 2009). </t>
  </si>
  <si>
    <t>Some types of surrounding land cover are more likely to produce propagules of invasive plants that may reduce native plant richness in an adjoining wetland.</t>
  </si>
  <si>
    <t xml:space="preserve">Non-native plants that can reduce native plant richness tend to be more prevalent closer to population centers because many have been introduced intentionally or unintentionally by humans. </t>
  </si>
  <si>
    <t>Road corridors are a significant vector for non-native plants that can reduce native plant richness if they invade nearby wetlands.</t>
  </si>
  <si>
    <t>A diversity of native plants is probably more likely to persist in tidal wetlands where adjoining upland cover is relatively undisturbed and nearby, thus reducing the threat of impaired quality and quantity of water.</t>
  </si>
  <si>
    <t xml:space="preserve">Larger patches of natural cover support more native plant species and are more resistant to invasive plant species. </t>
  </si>
  <si>
    <r>
      <t xml:space="preserve">The AA adjoins or is within 0.5 mile of a </t>
    </r>
    <r>
      <rPr>
        <b/>
        <sz val="10"/>
        <rFont val="Arial Narrow"/>
        <family val="2"/>
      </rPr>
      <t xml:space="preserve">public </t>
    </r>
    <r>
      <rPr>
        <sz val="10"/>
        <rFont val="Arial Narrow"/>
        <family val="2"/>
      </rPr>
      <t>boat dock or ramp, ferry terminal, or airstrip -- or public lodge, campsite, snowmobile park, or picnic area.</t>
    </r>
  </si>
  <si>
    <t>Distance to Natural Land Cover</t>
  </si>
  <si>
    <t>&lt;150 ft, or &gt;100 acres of natural land cover is connected to the AA (not separated by roads, stretches of open water, bare ground, lawn, or impervious surface of any width), or the AA contains &gt;100 acres of vegetation.</t>
  </si>
  <si>
    <t>150-300 ft, with or without interrupting features</t>
  </si>
  <si>
    <t>300-1000 ft, with or without interrupting features</t>
  </si>
  <si>
    <t>none of the above</t>
  </si>
  <si>
    <t>&lt;1 acre, or larger but with average width &lt;150 ft</t>
  </si>
  <si>
    <r>
      <t xml:space="preserve">in waters within 1 mile that flow </t>
    </r>
    <r>
      <rPr>
        <b/>
        <sz val="10"/>
        <rFont val="Arial Narrow"/>
        <family val="2"/>
      </rPr>
      <t>into</t>
    </r>
    <r>
      <rPr>
        <sz val="10"/>
        <rFont val="Arial Narrow"/>
        <family val="2"/>
      </rPr>
      <t xml:space="preserve"> the AA.</t>
    </r>
  </si>
  <si>
    <t>Sampling (not just absence of map symbols) indicates no problems.</t>
  </si>
  <si>
    <t>insufficient data (no map symbols &amp; no sampling, or &gt;1 mile upstream).</t>
  </si>
  <si>
    <t>AVERAGE(VwidthLo, VwidthHi, Groundw, ShoreZdiv, EelgDis, Glacier,StreamDis, Salmoscape)</t>
  </si>
  <si>
    <r>
      <t>AVERAGE(Geograph, RiverBay, MarshDis, EstuScape</t>
    </r>
    <r>
      <rPr>
        <sz val="10"/>
        <color indexed="8"/>
        <rFont val="Arial Narrow"/>
        <family val="2"/>
      </rPr>
      <t>)</t>
    </r>
  </si>
  <si>
    <r>
      <t xml:space="preserve">In the online WESPAK-SE Wetlands Module, see </t>
    </r>
    <r>
      <rPr>
        <b/>
        <sz val="10"/>
        <rFont val="Arial Narrow"/>
        <family val="2"/>
      </rPr>
      <t xml:space="preserve">Impaired Waters (DEC) </t>
    </r>
    <r>
      <rPr>
        <sz val="10"/>
        <rFont val="Arial Narrow"/>
        <family val="2"/>
      </rPr>
      <t xml:space="preserve">and </t>
    </r>
    <r>
      <rPr>
        <b/>
        <sz val="10"/>
        <rFont val="Arial Narrow"/>
        <family val="2"/>
      </rPr>
      <t>Contaminated Sites (Active)</t>
    </r>
    <r>
      <rPr>
        <sz val="10"/>
        <rFont val="Arial Narrow"/>
        <family val="2"/>
      </rPr>
      <t xml:space="preserve">.  Do those maps show a problem within the AA or in waters flowing </t>
    </r>
    <r>
      <rPr>
        <b/>
        <u/>
        <sz val="10"/>
        <rFont val="Arial Narrow"/>
        <family val="2"/>
      </rPr>
      <t>into</t>
    </r>
    <r>
      <rPr>
        <sz val="10"/>
        <rFont val="Arial Narrow"/>
        <family val="2"/>
      </rPr>
      <t xml:space="preserve"> it, and the problem is that </t>
    </r>
    <r>
      <rPr>
        <b/>
        <sz val="10"/>
        <rFont val="Arial Narrow"/>
        <family val="2"/>
      </rPr>
      <t>metals, hydrocarbons</t>
    </r>
    <r>
      <rPr>
        <sz val="10"/>
        <rFont val="Arial Narrow"/>
        <family val="2"/>
      </rPr>
      <t xml:space="preserve">, or other substances in the sediment, water, or tissues are at levels known to be harmful to aquatic life or humans?  Or, other sampling has identified such a problem? Select the </t>
    </r>
    <r>
      <rPr>
        <b/>
        <sz val="10"/>
        <rFont val="Arial Narrow"/>
        <family val="2"/>
      </rPr>
      <t>first</t>
    </r>
    <r>
      <rPr>
        <sz val="10"/>
        <rFont val="Arial Narrow"/>
        <family val="2"/>
      </rPr>
      <t xml:space="preserve"> true statement. These conditions are present:</t>
    </r>
  </si>
  <si>
    <t xml:space="preserve">Refer to map in the Manual (Appendix A, Fig. A-1).  Suitability surrounding the AA is: 3=Very High, 2= High, 1= Moderate, 0= all other. </t>
  </si>
  <si>
    <t>Indicators</t>
  </si>
  <si>
    <t>Blind Channel Presence &amp; Complexity</t>
  </si>
  <si>
    <t>Linear: a significant proportion of the wetland's upland edge is straight, as in wetlands bounded partly or wholly by dikes or roads.</t>
  </si>
  <si>
    <t>General Categories</t>
  </si>
  <si>
    <t>Sediment Retention and Stabilization</t>
  </si>
  <si>
    <t>The effectiveness for intercepting and filtering suspended inorganic sediments, thus allowing their deposition, as well as reducing energy of waves and currents, resisting excessive erosion, and stabilizing underlying sediments or soil.</t>
  </si>
  <si>
    <t>SR</t>
  </si>
  <si>
    <t>Score For This Stressor=</t>
  </si>
  <si>
    <t>The degree to which a wetland is, or has recently been altered by, or exposed to risk from, factors capable of reducing one or more of its functions and which are primarily human-related.</t>
  </si>
  <si>
    <t>STR</t>
  </si>
  <si>
    <t>&gt;5 miles, and densely cloudy or greenish water due to glacier is apparent at least seasonally.</t>
  </si>
  <si>
    <t>Carbon Sequestration</t>
  </si>
  <si>
    <t xml:space="preserve">The effectiveness for retaining both incoming particulate and dissolved carbon, and through the photosynthetic process converting carbon dioxide gas to organic matter (particulate or dissolved), and then retaining that organic matter on a net annual basis for long periods while emitting little or no methane (a potent “greenhouse gas”).  </t>
  </si>
  <si>
    <t>CS</t>
  </si>
  <si>
    <t>Loamy: includes loam, sandy loam.</t>
  </si>
  <si>
    <t>Fines: includes silt, glacial flour, clay, clay loam, silty clay, silty clay loam, sandy clay, sandy clay loam.</t>
  </si>
  <si>
    <t>Coarse: includes sand, loamy sand, gravel, cobble, stones, boulders, fluvents, fluvaquents, riverwash.</t>
  </si>
  <si>
    <t xml:space="preserve">The effectiveness for producing and subsequently exporting organic matter, either particulate or dissolved, along with associated compounds and elements such as iron.
</t>
  </si>
  <si>
    <t>OE</t>
  </si>
  <si>
    <t>AVERAGE(LowMarsh, AVERAGE (VwidthLow, BlindChan, ChanComplex, Geog, BayRiver, TribIn, StreamGrad, Fetch)</t>
  </si>
  <si>
    <t>The capacity to support rearing or spawning habitat of fish species that migrate from marine waters into freshwater streams to spawn, e.g., coho and sockeye salmon.</t>
  </si>
  <si>
    <t>The capacity to support or contribute to an abundance or diversity of waterbirds that migrate or winter but do not breed in the region.</t>
  </si>
  <si>
    <t>WBF</t>
  </si>
  <si>
    <t>The capacity to support or contribute to an abundance or diversity of native songbird, raptor, and mammal species and functional groups, especially those that are most dependent on wetlands or water.</t>
  </si>
  <si>
    <t>SBM</t>
  </si>
  <si>
    <t>bare or semi-bare pervious surface, e.g., recent clearcut, dirt or gravel road, lawn, plowed fields, landslide.</t>
  </si>
  <si>
    <t>&lt;150 ft, but separated from the 100-acre natural land patch by roads, stretches of open water, bare ground, lawn, or impervious surface of any width, and the AA does not contain &gt;100 acres of vegetation.</t>
  </si>
  <si>
    <t>The capacity to support or contribute to a diversity of native, hydrophytic, vascular plant species, communities, and/or functional groups.</t>
  </si>
  <si>
    <t>PH</t>
  </si>
  <si>
    <t>Prior designation of the wetland, by a natural resource or environmental protection agency, as some type of special protected area.  Also, the potential and actual use of a wetland for low-intensity outdoor recreation, education, or research.</t>
  </si>
  <si>
    <t>PU</t>
  </si>
  <si>
    <t>Rationales</t>
  </si>
  <si>
    <t>Subsistence</t>
  </si>
  <si>
    <t>The effectiveness for supporting the production and taking of fish, wildlife or other wild resources for non-commercial (customary and traditional) use.</t>
  </si>
  <si>
    <t>Subsis</t>
  </si>
  <si>
    <t xml:space="preserve">A wetland's lack of intrinsic resistance and resilience to human and natural stressors (higher score = more sensitive).
</t>
  </si>
  <si>
    <t>Sen</t>
  </si>
  <si>
    <t>FA</t>
  </si>
  <si>
    <t>Kirwan, M.L., and A.B. Murray.  2008.  Ecological and morphological response of brackish tidal marshland to the next century of sea level rise: Westham Island, British Columbia. Global And Planetary Change 60(40606):471-486.</t>
  </si>
  <si>
    <t xml:space="preserve">Poffenbarger, H.J., B.A. Needelman, and J.P. Megonigal. 2011. Salinity influence on methane emissions from tidal marshes. Wetlands 31(5):831-842. </t>
  </si>
  <si>
    <t>Jorgenson, T. and C. Ely. 2001. Topography and flooding of coastal ecosystems on the Yukon-Kuskokwim Delta, Alaska: implications for sea-level rise. Journal of Coastal Research (2001):124-136.</t>
  </si>
  <si>
    <r>
      <t xml:space="preserve">The largest number of visible channel junctions (forks where two channels join) belonging to any </t>
    </r>
    <r>
      <rPr>
        <b/>
        <sz val="10"/>
        <rFont val="Arial Narrow"/>
        <family val="2"/>
      </rPr>
      <t>single</t>
    </r>
    <r>
      <rPr>
        <sz val="10"/>
        <rFont val="Arial Narrow"/>
        <family val="2"/>
      </rPr>
      <t xml:space="preserve"> blind channel network within the AA's wetland is:</t>
    </r>
  </si>
  <si>
    <r>
      <t xml:space="preserve">Excluding subtidal waters and channels that stay flooded throughout the tidal cycle, the texture of soil in the uppermost layer in </t>
    </r>
    <r>
      <rPr>
        <b/>
        <sz val="10"/>
        <rFont val="Arial Narrow"/>
        <family val="2"/>
      </rPr>
      <t>most</t>
    </r>
    <r>
      <rPr>
        <sz val="10"/>
        <rFont val="Arial Narrow"/>
        <family val="2"/>
      </rPr>
      <t xml:space="preserve"> of the AA is predominantly:</t>
    </r>
  </si>
  <si>
    <t>Tidal marshes that are extensively flooded on nearly all high tides are topographically lower, suggesting the possibility they may have accreted less organic matter than tidal marshes that flood only occasionally  However, at some locations their low elevation may only be a result of a lack of recent glacial rebound. Tidal marshes tend to be more productive at mid and high tidal elevations (Kirwan &amp; Murray 2008), although in areas of glacial uplift those portions of tidal marshes are probably subject to most rapid loss of accumulated carbon due to accelerated decomposition.</t>
  </si>
  <si>
    <t>Net deposition of organic matter is more likely to occur in sheltered areas.  Exposure to strong waves and currents can inhibit establishment and survival of some tidal plants.</t>
  </si>
  <si>
    <t>[(Accum+Produc) + 2*MethLimit]/4</t>
  </si>
  <si>
    <t>AVERAGE(Exporting,AVERAGE(Historical Accumulation,Productivity)]</t>
  </si>
  <si>
    <t>AVERAGE[LowMarsh,AVERAGE(Structure,Productiv,Lscape)]</t>
  </si>
  <si>
    <t>LowMarshT7</t>
  </si>
  <si>
    <t>AVERAGE(TidePd, LowMarsh,VwidthHi, SoilTex)</t>
  </si>
  <si>
    <t xml:space="preserve">IF((NoSubsist=1),0,  ELSE: 
AVERAGE(ConsumpUse, Subsist20,AVERAGE(PopCtrPU,Salmoshed20, FishAccess)))
</t>
  </si>
  <si>
    <t>Frequent traffic by people and free-roaming pets can stress some large mammals, so measures to reduce such impacts are given credit.</t>
  </si>
  <si>
    <t>AVERAGE(Geog,AVERAGE(VegConn,Barrier,BuffLC, BuffLCtype), AVERAGE(DistNatur, NatPct, LCaltType, BMP, PopCtr,PatchSize))</t>
  </si>
  <si>
    <t>Lack of practices that reduce human disturbance of wildlife makes a wetland more sensitive.</t>
  </si>
  <si>
    <t>AVERAGE(VwidthHi, Fetch, BMP, Nfix, BuffNatPct, BuffSlope, MarshDist, EstuShed, MAX(RareWaterBird, RareWildlife, RarePlant), Mtrend, MarshAge)</t>
  </si>
  <si>
    <t>AVERAGE(Groundw, Aspect, ByFreshWet, TribFresh, BayRiver, Fetch, Bearshed, Cliffs, BMP)</t>
  </si>
  <si>
    <t>Enter "1" for all that are true:</t>
  </si>
  <si>
    <t>&lt;5% of the land (excluding ocean and bay)</t>
  </si>
  <si>
    <t xml:space="preserve">In Manual, see Appendix B, Table B-1.  If the AA is not within any of the units listed, enter 0.  Otherwise enter the score indicated (3, 2, or 1, see table heading). </t>
  </si>
  <si>
    <t>Lack of other tidal wetlands nearby increases the value of any particular tidal marsh.</t>
  </si>
  <si>
    <t>DistTidal4v</t>
  </si>
  <si>
    <t>DistTidal5v</t>
  </si>
  <si>
    <t>MAX (AVERAGE(Visib, PopCtr, DistTidal), IBA, RareSp)</t>
  </si>
  <si>
    <r>
      <t xml:space="preserve">The distance by water to the closest patch of </t>
    </r>
    <r>
      <rPr>
        <b/>
        <sz val="10"/>
        <rFont val="Arial Narrow"/>
        <family val="2"/>
      </rPr>
      <t>eelgrass or kelp</t>
    </r>
    <r>
      <rPr>
        <sz val="10"/>
        <rFont val="Arial Narrow"/>
        <family val="2"/>
      </rPr>
      <t xml:space="preserve"> is [</t>
    </r>
    <r>
      <rPr>
        <i/>
        <sz val="10"/>
        <rFont val="Arial Narrow"/>
        <family val="2"/>
      </rPr>
      <t>see directions in column E</t>
    </r>
    <r>
      <rPr>
        <sz val="10"/>
        <rFont val="Arial Narrow"/>
        <family val="2"/>
      </rPr>
      <t>]:</t>
    </r>
  </si>
  <si>
    <r>
      <t xml:space="preserve">The </t>
    </r>
    <r>
      <rPr>
        <b/>
        <sz val="10"/>
        <rFont val="Arial Narrow"/>
        <family val="2"/>
      </rPr>
      <t>Biological Wave Exposure</t>
    </r>
    <r>
      <rPr>
        <sz val="10"/>
        <rFont val="Arial Narrow"/>
        <family val="2"/>
      </rPr>
      <t xml:space="preserve"> of most of the AA is shown as: (see directions in column E)</t>
    </r>
  </si>
  <si>
    <r>
      <t xml:space="preserve">The distance by water to the closest tidal marsh </t>
    </r>
    <r>
      <rPr>
        <b/>
        <sz val="10"/>
        <rFont val="Arial Narrow"/>
        <family val="2"/>
      </rPr>
      <t>that is distinct from the AA</t>
    </r>
    <r>
      <rPr>
        <sz val="10"/>
        <rFont val="Arial Narrow"/>
        <family val="2"/>
      </rPr>
      <t xml:space="preserve"> (&gt;150 ft away and separated by subtidal water, permanent channel, or upland) is:</t>
    </r>
  </si>
  <si>
    <t>DistTidal7v</t>
  </si>
  <si>
    <t>Tidal wetlands distant from other tidal wetlands are likely to be more valued for a variety of public uses that occur mainly in tidal marshes.</t>
  </si>
  <si>
    <t>DistTidalPU</t>
  </si>
  <si>
    <t>DistTidal</t>
  </si>
  <si>
    <t>MAX(RarePlant,DistTidal)</t>
  </si>
  <si>
    <t>yes, but the conditions or classifications stop short of the AA and are within 300 ft upslope</t>
  </si>
  <si>
    <r>
      <t>There is documentation of landslides or severe erosion of channels or slopes above the AA:  [</t>
    </r>
    <r>
      <rPr>
        <i/>
        <sz val="10"/>
        <rFont val="Arial Narrow"/>
        <family val="2"/>
      </rPr>
      <t>See directions, column E</t>
    </r>
    <r>
      <rPr>
        <sz val="10"/>
        <rFont val="Arial Narrow"/>
        <family val="2"/>
      </rPr>
      <t>]</t>
    </r>
  </si>
  <si>
    <t>Over the past 200 years or since this tidal marsh originated (whichever is less), its size is probably (select one):</t>
  </si>
  <si>
    <t xml:space="preserve">In a sheltered fish-accessible lagoon, embayment, pocket beach, or tidal slough with a relatively narrow connection to other marine waters and no direct river inputs (a small tributary may be present). </t>
  </si>
  <si>
    <r>
      <t xml:space="preserve">The largest patch or corridor that is natural land cover </t>
    </r>
    <r>
      <rPr>
        <b/>
        <sz val="10"/>
        <rFont val="Arial Narrow"/>
        <family val="2"/>
      </rPr>
      <t xml:space="preserve">and is contiguous with </t>
    </r>
    <r>
      <rPr>
        <sz val="10"/>
        <rFont val="Arial Narrow"/>
        <family val="2"/>
      </rPr>
      <t>vegetation in the AA (i.e., not separated by roads or channels that create gaps wider than 150 ft), and includes the AA's vegetated area itself, occupies:</t>
    </r>
  </si>
  <si>
    <t>The age of the AA since last covered by a glacier or mostly submerged below tidal low water prior to glacial rebound is:</t>
  </si>
  <si>
    <t>Convoluted: many times longer than maximum width of the wetland, with many alcoves and indentations ("fingers").</t>
  </si>
  <si>
    <t>Intermediate: either (a) only mildly convoluted, or (b) mixed -- contains about lengths of linear and convoluted segments.</t>
  </si>
  <si>
    <t>mostly natural vegetation, uninterrupted by water, pavement, rock, ice, or other unvegetated feature.</t>
  </si>
  <si>
    <t>mostly natural vegetation, but interrupted by water, pavement, rock, ice, or other unvegetated feature.</t>
  </si>
  <si>
    <t>mostly water, pavement, rock, glacier, or other unvegetated surfaces.</t>
  </si>
  <si>
    <t>mostly non-natural vegetation (lawn, landscaping, or invasive plants).</t>
  </si>
  <si>
    <t>Nearby Fresh Ponded</t>
  </si>
  <si>
    <t>The distance to the non-tidal ponded water identified above is:</t>
  </si>
  <si>
    <t xml:space="preserve">publicly owned (federal, state, municipal) and leases are mostly excluded.  </t>
  </si>
  <si>
    <t>Most of the AA's upland edge is (select one):</t>
  </si>
  <si>
    <r>
      <t xml:space="preserve">In parts of the AA that don't flood daily (i.e., "high marsh"), the areal cover of </t>
    </r>
    <r>
      <rPr>
        <b/>
        <sz val="10"/>
        <rFont val="Arial Narrow"/>
        <family val="2"/>
      </rPr>
      <t xml:space="preserve">forbs </t>
    </r>
    <r>
      <rPr>
        <sz val="10"/>
        <rFont val="Arial Narrow"/>
        <family val="2"/>
      </rPr>
      <t>reaches an annual maximum of:</t>
    </r>
  </si>
  <si>
    <t>&lt;5% of the herbaceous cover, or the AA contains no high marsh</t>
  </si>
  <si>
    <t>restricted by an artificial feature, at least during extreme water events</t>
  </si>
  <si>
    <r>
      <t xml:space="preserve">The AA contains one or more branching internal (blind) channels.  These are channels that do not connect to streams originating in the uplands, except where those streams themselves are tidal.  Do not count channels that merely loop around and rejoin their source channel.  If blind channels present, enter 1.  If not, enter 0 and </t>
    </r>
    <r>
      <rPr>
        <b/>
        <sz val="10"/>
        <rFont val="Arial Narrow"/>
        <family val="2"/>
      </rPr>
      <t>SKIP to T28.</t>
    </r>
  </si>
  <si>
    <t xml:space="preserve">very protected </t>
  </si>
  <si>
    <t>protected</t>
  </si>
  <si>
    <r>
      <t xml:space="preserve">Draw a circle of radius of </t>
    </r>
    <r>
      <rPr>
        <b/>
        <sz val="10"/>
        <rFont val="Arial Narrow"/>
        <family val="2"/>
      </rPr>
      <t>2 miles</t>
    </r>
    <r>
      <rPr>
        <sz val="10"/>
        <rFont val="Arial Narrow"/>
        <family val="2"/>
      </rPr>
      <t xml:space="preserve"> centered on the AA. The number of separate ponds and lakes (excluding ones associated with this AA, but including other non-tidal wetlands if they have &gt;1 acre of ponded open water in one patch) is:</t>
    </r>
  </si>
  <si>
    <t>1 or 2</t>
  </si>
  <si>
    <t>3 to 6</t>
  </si>
  <si>
    <t>7 to 9</t>
  </si>
  <si>
    <t>10 to 12</t>
  </si>
  <si>
    <t>&gt;12</t>
  </si>
  <si>
    <t>3 or 4</t>
  </si>
  <si>
    <t>5 to 7</t>
  </si>
  <si>
    <t>8 to 11</t>
  </si>
  <si>
    <t>&gt;11</t>
  </si>
  <si>
    <t>not mapped</t>
  </si>
  <si>
    <t>The stream identified above: (select ONE -- mark only the first applicable choice)</t>
  </si>
  <si>
    <r>
      <t xml:space="preserve">a) is accessible to anadromous fish at 1 mile above tidewater (some Class I streams). </t>
    </r>
    <r>
      <rPr>
        <b/>
        <sz val="10"/>
        <rFont val="Arial Narrow"/>
        <family val="2"/>
      </rPr>
      <t>SKIP to OF20.</t>
    </r>
  </si>
  <si>
    <r>
      <t xml:space="preserve">b) is not accessible to anadromous fish 1 mile above tidewater, but closer portions above tidewater are accessible to anadromous fish (some Class I streams).  </t>
    </r>
    <r>
      <rPr>
        <b/>
        <sz val="10"/>
        <rFont val="Arial Narrow"/>
        <family val="2"/>
      </rPr>
      <t>SKIP to OF20.</t>
    </r>
  </si>
  <si>
    <t>Distance to Anadromous Stream or River</t>
  </si>
  <si>
    <r>
      <t>1-5%</t>
    </r>
    <r>
      <rPr>
        <b/>
        <sz val="10"/>
        <rFont val="Arial Narrow"/>
        <family val="2"/>
      </rPr>
      <t/>
    </r>
  </si>
  <si>
    <t>The gradient of the largest intersecting stream (or if none, then the closest fish-bearing stream) averaged up to 1000 ft above tidewater, is:</t>
  </si>
  <si>
    <t>If AA is not intersected by an anadromous (Class 1) stream or river, the water distance from the AA to the tidewater outlet of the nearest such stream or river that supports anadromous fish is:</t>
  </si>
  <si>
    <t>d) stream areas above tidewater are not accessible to any fish (Class 3 and 4 streams).</t>
  </si>
  <si>
    <r>
      <t xml:space="preserve">c) stream areas above tidewater support resident fish </t>
    </r>
    <r>
      <rPr>
        <b/>
        <sz val="10"/>
        <rFont val="Arial Narrow"/>
        <family val="2"/>
      </rPr>
      <t xml:space="preserve">only; </t>
    </r>
    <r>
      <rPr>
        <sz val="10"/>
        <rFont val="Arial Narrow"/>
        <family val="2"/>
      </rPr>
      <t xml:space="preserve">anadromous fish access is blocked at tidewater (Class 2 streams).  </t>
    </r>
  </si>
  <si>
    <r>
      <t xml:space="preserve">The AA is intersected by a freshwater stream (tributary) that flows during most of the growing season and originates in the upland directly adjoining this wetland. Or the AA is a fringe wetland along a river.  If yes, enter 1 and continue.  If no, enter 0 and </t>
    </r>
    <r>
      <rPr>
        <b/>
        <sz val="10"/>
        <rFont val="Arial Narrow"/>
        <family val="2"/>
      </rPr>
      <t xml:space="preserve">SKIP to OF19.  </t>
    </r>
  </si>
  <si>
    <t>Many coastal shorebirds move temporarily to freshwater wetlands and ponds as tides rise and cover tidal wetlands.  Availability of such wetlands nearby may increase use of the tidal wetlands as well.</t>
  </si>
  <si>
    <t>BMP6w</t>
  </si>
  <si>
    <t>BMP18s</t>
  </si>
  <si>
    <t>Final Score=</t>
  </si>
  <si>
    <r>
      <t xml:space="preserve">In the last column, place a check mark next to any item occurring in the wetland's </t>
    </r>
    <r>
      <rPr>
        <b/>
        <i/>
        <sz val="10"/>
        <rFont val="Arial Narrow"/>
        <family val="2"/>
      </rPr>
      <t>contributing area</t>
    </r>
    <r>
      <rPr>
        <i/>
        <sz val="10"/>
        <rFont val="Arial Narrow"/>
        <family val="2"/>
      </rPr>
      <t xml:space="preserve"> (CA) that is likely to have caused a part of the wetland to be inundated more extensively, more frequently, more deeply, and/or for longer duration than it would be without that item or activity.  Consider only items occurring within past 100 years or since wetland was created or restored (whichever is less).  [STR]</t>
    </r>
  </si>
  <si>
    <t>In the last column, place a check mark next to any item located within or immediately adjacent to the wetland, that is likely to have caused a part of the wetland to be inundated less extensively, less deeply, less frequently, and/or for shorter duration that it would be without that item.  Consider only items occurring within past 100 years or since wetland was created or restored (whichever is less).  [STR]</t>
  </si>
  <si>
    <t>In the last column, place a check mark next to any item within the wetland's CA (including channels flowing into the wetland) that is likely to have caused a part of the wetland to be inundated less extensively, less deeply, less frequently, and/or for shorter duration that it would be without those.  Consider only items occurring within past 100 years or since wetland was created or restored (whichever is less).  [STR]</t>
  </si>
  <si>
    <r>
      <t>In the last column, place a check mark next to any item that is likely to have caused the</t>
    </r>
    <r>
      <rPr>
        <b/>
        <i/>
        <sz val="10"/>
        <rFont val="Arial Narrow"/>
        <family val="2"/>
      </rPr>
      <t xml:space="preserve"> timing</t>
    </r>
    <r>
      <rPr>
        <i/>
        <sz val="10"/>
        <rFont val="Arial Narrow"/>
        <family val="2"/>
      </rPr>
      <t xml:space="preserve"> of water inputs (but not necessarily their volume) to shift by hours, days, or weeks, becoming either </t>
    </r>
    <r>
      <rPr>
        <b/>
        <i/>
        <sz val="10"/>
        <rFont val="Arial Narrow"/>
        <family val="2"/>
      </rPr>
      <t>more muted</t>
    </r>
    <r>
      <rPr>
        <i/>
        <sz val="10"/>
        <rFont val="Arial Narrow"/>
        <family val="2"/>
      </rPr>
      <t xml:space="preserve"> (smaller or less frequent peaks spread over longer times, more temporal homogeneity of flow or water levels) </t>
    </r>
    <r>
      <rPr>
        <b/>
        <i/>
        <sz val="10"/>
        <rFont val="Arial Narrow"/>
        <family val="2"/>
      </rPr>
      <t>or more flashy</t>
    </r>
    <r>
      <rPr>
        <i/>
        <sz val="10"/>
        <rFont val="Arial Narrow"/>
        <family val="2"/>
      </rPr>
      <t xml:space="preserve"> (larger or more frequent spikes but over shorter times).  [FA, FR, INV, PH, STR]</t>
    </r>
  </si>
  <si>
    <t>Accelerated Inputs of Contaminants and/or Salts</t>
  </si>
  <si>
    <t>In the last column, place a check mark next to any item -- occurring in either the wetland or its CA -- that is likely to have accelerated the inputs of contaminants or salts to the AA.  [FA, NRv, PRv, STR]</t>
  </si>
  <si>
    <t>In the last column, place a check mark next to any item -- occurring in either the wetland or its CA -- that is likely to have accelerated the inputs of nutrients to the wetland.  [STR]</t>
  </si>
  <si>
    <r>
      <t xml:space="preserve">Excessive Sediment Loading </t>
    </r>
    <r>
      <rPr>
        <b/>
        <i/>
        <sz val="12"/>
        <rFont val="Arial"/>
        <family val="2"/>
      </rPr>
      <t>from Contributing Area</t>
    </r>
  </si>
  <si>
    <t>In the last column, place a check mark next to any item present in the CA that is likely to have elevated the load of waterborne or windborne sediment reaching the wetland from its CA.  [FA, INV, SRv, STR]</t>
  </si>
  <si>
    <t>Tidal wetlands that are large for their biogeographic area potentially provide more habitat for waterbirds.</t>
  </si>
  <si>
    <t>Tidal wetlands located in watersheds most suitable in their biogeographic area for salmonids are also more likely to support a variety of fish-feeding waterbirds.</t>
  </si>
  <si>
    <t>Waterbird viewing opportunities, and thus direct recreational value to humans, is greatest in wetlands where views are relatively unobstructed.</t>
  </si>
  <si>
    <t>Waterbird viewing opportunities, and thus direct recreational value to humans, is greatest where wetlands are located closer to population centers.</t>
  </si>
  <si>
    <t>These are waterbird species of conservation concern that do not breed in Southeast Alaska, but feed here regularly.</t>
  </si>
  <si>
    <t>Wider areas of high marsh increase the availability of terrestrial invertebrates that are fed upon by coastal shorebirds (Romanuk &amp; Levings 2003).</t>
  </si>
  <si>
    <t>Such woody debris provides perches for raptors.</t>
  </si>
  <si>
    <t>Many songbirds and mammals forage amid driftwood and the wrack that is associated with it.</t>
  </si>
  <si>
    <t xml:space="preserve">Wetlands with a large perimeter-to-area ratio (i.e., convoluted edges) or upland inclusions allow animals to move more conveniently between uplands and wetlands, using resources in each. In particular, small mammals avoid wetter (usually more central) parts of wetlands in favor of drier edges (Mazerolle et al. 2001). </t>
  </si>
  <si>
    <t>Upland cover with perennial vegetation is very important to many songbirds and mammals that occur in wetlands or along a wetland's upland edge. Some landbirds in Southeast Alaska may need buffers of over 1000 ft. (Kissling &amp; Garton 2008). Wetlands that contain or are close to natural land cover, and not separated from that by roads or wide channels that interfere with movements across the landscape, are more likely to support forest-dwelling species.</t>
  </si>
  <si>
    <t>Small mammals moving between wetlands are less likely to have their movements disrupted by lands with residual cover than in lands with impervious surface, but both are capable of hindering dispersal (Flaherty et al. 2008, 2010).</t>
  </si>
  <si>
    <t>These features provide nesting habitat for kingfishers, otters, and some other animals associated with tidal wetlands.</t>
  </si>
  <si>
    <t>Large wetland-associated mammals and raptors tend to prefer areas with less frequent human disturbance, as usually occurs farther from population centers.</t>
  </si>
  <si>
    <t xml:space="preserve">In Southeast Alaska, the numbers and diversity of migrant birds might be greater closer to mainland locations (at least at low elevations) than along the outer coast (Johnson et al. 2008). Rivers in these particular large watersheds originate in Canada and may draw larger or more diverse migrating flocks. </t>
  </si>
  <si>
    <t>Birds and mammals are likely to be more abundant and diverse in sheltered riparian areas than along exposed coastlines.</t>
  </si>
  <si>
    <t>Populations of small mammals and birds are probably more likely to persist in tidal wetlands where adjoining upland cover is relatively undisturbed and nearby, thus providing better food and cover.  Predation on songbirds by ravens and other edge species also may be less where the landscape has not become highly fragmented.</t>
  </si>
  <si>
    <t>Vegetation structure tends to be more mature and complex after significant time has passed following glacial recession or uplift.  That potentially supports more diverse communities of wetland vertebrates.</t>
  </si>
  <si>
    <t>Freshwater tributaries potentially provide tidal wetlands with fish and invertebrates fed upon by mammals and birds. Peak flows from tributaries also have the potential to periodically disturb the marsh landscape, thus diversifying plants and consequently insects and birds.</t>
  </si>
  <si>
    <t>These are wetland-associated songbird or raptor species of conservation concern that nest in Southeast Alaska.</t>
  </si>
  <si>
    <t>Dense ground cover often is the result of a few dominant species, and plant richness in such areas accordingly tends to be less.  Many rare species occur where periodic disturbance has thinned the ground cover somewhat.</t>
  </si>
  <si>
    <t>Graminoids tend to dominate many tidal wetlands in Southeast Alaska, so when this is not the case, plant diversity generally is greater.</t>
  </si>
  <si>
    <t>This is an indirect indicator of plant richness.</t>
  </si>
  <si>
    <t>Invasive plants that potentially reduce the diversity of tidal wetland plants are less prevalent in areas of undisturbed vegetative cover.</t>
  </si>
  <si>
    <t>Humans are a frequent vector for introduction of invasive plants that can diminish richness of native wetland plant communities.</t>
  </si>
  <si>
    <t>Bears can transport plant seeds from distant locations and deposit them in tidal wetlands.  However, this can include invasive as well as native species.</t>
  </si>
  <si>
    <t>With passage of time, deglaciated and uplifted tidal wetlands become more vegetated and consequently their plant richness may increase.</t>
  </si>
  <si>
    <t>Presence of rare species makes a tidal wetland more valued.</t>
  </si>
  <si>
    <t>Public enjoyment of wetlands is assumed to be greater when most of the wetland can be seen without obstruction by dense shrubs or other features.</t>
  </si>
  <si>
    <t>From the center of the AA, the distance to the nearest population center, via the nearest maintained road, is:</t>
  </si>
  <si>
    <t>Distance to Nearest Population Center</t>
  </si>
  <si>
    <t>AVERAGE[Ownership,Convenience,Investment,RecPotenPU, OppRarity) ]</t>
  </si>
  <si>
    <t>T1</t>
  </si>
  <si>
    <t>T3</t>
  </si>
  <si>
    <t>The percent of the vegetated part of the AA that is "low marsh" (covered by tidal water for part of almost every day) is:</t>
  </si>
  <si>
    <t>none, or &lt;1%</t>
  </si>
  <si>
    <t>1-10%</t>
  </si>
  <si>
    <t>10-25%</t>
  </si>
  <si>
    <t>75-90%</t>
  </si>
  <si>
    <t>&gt;90%</t>
  </si>
  <si>
    <t>T2</t>
  </si>
  <si>
    <t>T6</t>
  </si>
  <si>
    <t>T4</t>
  </si>
  <si>
    <t>T7</t>
  </si>
  <si>
    <t>T8</t>
  </si>
  <si>
    <t>T9</t>
  </si>
  <si>
    <t>T10</t>
  </si>
  <si>
    <t>T11</t>
  </si>
  <si>
    <t>T12</t>
  </si>
  <si>
    <t>T13</t>
  </si>
  <si>
    <t>T14</t>
  </si>
  <si>
    <t>T15</t>
  </si>
  <si>
    <t>T16</t>
  </si>
  <si>
    <t>T17</t>
  </si>
  <si>
    <t>T18</t>
  </si>
  <si>
    <t>T19</t>
  </si>
  <si>
    <t>T20</t>
  </si>
  <si>
    <t>T21</t>
  </si>
  <si>
    <t>T22</t>
  </si>
  <si>
    <t>T23</t>
  </si>
  <si>
    <t>T24</t>
  </si>
  <si>
    <t>T25</t>
  </si>
  <si>
    <t>T26</t>
  </si>
  <si>
    <t>T27</t>
  </si>
  <si>
    <t>T28</t>
  </si>
  <si>
    <t>T29</t>
  </si>
  <si>
    <t>T30</t>
  </si>
  <si>
    <t>T31</t>
  </si>
  <si>
    <t>T32</t>
  </si>
  <si>
    <t>T33</t>
  </si>
  <si>
    <t xml:space="preserve">Tidal marshes that are extensively flooded on nearly all high tides accrete sediment from marine sources most rapidly. </t>
  </si>
  <si>
    <t>Function Score for Carbon Sequestration</t>
  </si>
  <si>
    <t>Tidal marshes that are extensively flooded on nearly all high tides, i.e., low marsh elevation have the most potential to regularly export carbon produced within the marsh, although the amount of organic matter produced annually may be less than is produced by higher areas in the intertidal zone.</t>
  </si>
  <si>
    <t>Lower portions of tidal marshes have deeper water that is used by more waterbird species as well as their fish and invertebrate prey.</t>
  </si>
  <si>
    <t xml:space="preserve">Lower tidal marshes usually have much lower diversity of vascular plants than parts of the same marsh that are at middle or higher elevations.  </t>
  </si>
  <si>
    <t>Lower tidal marshes that are extensively flooded on nearly all high tides are not used by nesting songbirds and have less area accessible to small foraging mammals. Plant structure also is simpler at lower marsh elevations and vegetation cover is sparser.</t>
  </si>
  <si>
    <t>High marsh areas tend to have greater plant richness than low marsh areas.</t>
  </si>
  <si>
    <t>AVERAGE(Geog, VwidthHigh, LowMarsh, Nfix, Gcover, Fetch)</t>
  </si>
  <si>
    <t>Rivers transport plant propagules and provide nutrients to floodplain plant communites. Across a tidal salinity gradient, richness of vascular plant species is usually greatest where conditions are fresh-to-brackish (Watson and Byrne 2009).</t>
  </si>
  <si>
    <t xml:space="preserve"> </t>
  </si>
  <si>
    <t>Forb Cover</t>
  </si>
  <si>
    <t>5-25% of the herbaceous cover</t>
  </si>
  <si>
    <t>25-50% of the herbaceous cover</t>
  </si>
  <si>
    <t>50-95% of the herbaceous cover</t>
  </si>
  <si>
    <t>Soil Texture</t>
  </si>
  <si>
    <t>Low Marsh</t>
  </si>
  <si>
    <t>none or few (&lt;1 per 10 acres)</t>
  </si>
  <si>
    <t>many (&gt;5 pieces per 10 acres or per 10 channel widths)</t>
  </si>
  <si>
    <t>none</t>
  </si>
  <si>
    <t>other publicly owned or unknown.</t>
  </si>
  <si>
    <t>owned by non-profit conservation organization or lease holder who allows public access.</t>
  </si>
  <si>
    <t>other private ownership, including Tribes.</t>
  </si>
  <si>
    <t>T5</t>
  </si>
  <si>
    <t>The following (except T33) are best assessed by first reviewing aerial imagery, e.g., Google Earth, and then if possible confirming during a site visit.</t>
  </si>
  <si>
    <t>On a direct overland route between the AA and the feature described in T29, there is (select ONE):</t>
  </si>
  <si>
    <r>
      <t xml:space="preserve">are not connected by any visible channel or ditch.  </t>
    </r>
    <r>
      <rPr>
        <b/>
        <sz val="10"/>
        <rFont val="Arial Narrow"/>
        <family val="2"/>
      </rPr>
      <t>END.</t>
    </r>
  </si>
  <si>
    <t>Of just the herbaceous (non-woody) plant species:</t>
  </si>
  <si>
    <t>OF1</t>
  </si>
  <si>
    <t>OF2</t>
  </si>
  <si>
    <t>OF3</t>
  </si>
  <si>
    <t>OF5</t>
  </si>
  <si>
    <t>OF6</t>
  </si>
  <si>
    <t>OF7</t>
  </si>
  <si>
    <t>OF8</t>
  </si>
  <si>
    <t>OF9</t>
  </si>
  <si>
    <t>OF10</t>
  </si>
  <si>
    <t>OF11</t>
  </si>
  <si>
    <t>OF12</t>
  </si>
  <si>
    <t>OF13</t>
  </si>
  <si>
    <t>OF14</t>
  </si>
  <si>
    <t>OF15</t>
  </si>
  <si>
    <t>OF16</t>
  </si>
  <si>
    <t>OF17</t>
  </si>
  <si>
    <t>OF18</t>
  </si>
  <si>
    <t>OF19</t>
  </si>
  <si>
    <t>OF20</t>
  </si>
  <si>
    <t>OF21</t>
  </si>
  <si>
    <t>OF22</t>
  </si>
  <si>
    <t>OF23</t>
  </si>
  <si>
    <t>OF24</t>
  </si>
  <si>
    <t>OF25</t>
  </si>
  <si>
    <t>OF26</t>
  </si>
  <si>
    <t>OF27</t>
  </si>
  <si>
    <t>OF28</t>
  </si>
  <si>
    <t>OF29</t>
  </si>
  <si>
    <t>OF30</t>
  </si>
  <si>
    <t>OF31</t>
  </si>
  <si>
    <t>OF33</t>
  </si>
  <si>
    <t>OF34</t>
  </si>
  <si>
    <t>OF35</t>
  </si>
  <si>
    <t>OF36</t>
  </si>
  <si>
    <t>OF37</t>
  </si>
  <si>
    <t>OF38</t>
  </si>
  <si>
    <t>OF39</t>
  </si>
  <si>
    <t>OF40</t>
  </si>
  <si>
    <r>
      <t xml:space="preserve">Mark just the first choice below that is true. One or more of these species -- Pacific Loon, Yellow-billed Loon, Red-necked Grebe, Horned Grebe, Trumpeter Swan -- has been detected </t>
    </r>
    <r>
      <rPr>
        <b/>
        <sz val="10"/>
        <rFont val="Arial Narrow"/>
        <family val="2"/>
      </rPr>
      <t>semi-annually</t>
    </r>
    <r>
      <rPr>
        <sz val="10"/>
        <rFont val="Arial Narrow"/>
        <family val="2"/>
      </rPr>
      <t xml:space="preserve"> under conditions similar to what now occur, by a qualified observer:</t>
    </r>
  </si>
  <si>
    <r>
      <t xml:space="preserve">Part of the AA contains </t>
    </r>
    <r>
      <rPr>
        <b/>
        <sz val="10"/>
        <rFont val="Arial Narrow"/>
        <family val="2"/>
      </rPr>
      <t>strong evidence</t>
    </r>
    <r>
      <rPr>
        <sz val="10"/>
        <rFont val="Arial Narrow"/>
        <family val="2"/>
      </rPr>
      <t xml:space="preserve"> of fresh groundwater discharges at the marsh surface: (a) Springs are observed, or (b) measurements from shallow wells indicate groundwater is discharging to the wetland.</t>
    </r>
  </si>
  <si>
    <t>&gt;95% of wetland or &gt;95% of  its upland edge (if any)</t>
  </si>
  <si>
    <t>5-95% of wetland or 5-95% of its upland edge (if any)</t>
  </si>
  <si>
    <t>&lt;5% of wetland and &lt;5% of its upland edge (if any)</t>
  </si>
  <si>
    <t>When most of wetland's wetter condition began</t>
  </si>
  <si>
    <t xml:space="preserve">  Score the following 2 rows only if the wetter conditions began within past 10 years, and only for the part of the wetland that got wetter.</t>
  </si>
  <si>
    <t>&gt;20% of the wetland</t>
  </si>
  <si>
    <t>5-20% of the wetland</t>
  </si>
  <si>
    <t>&lt;5% of the wetland</t>
  </si>
  <si>
    <t>Spatial extent of wetland's resulting drier condition</t>
  </si>
  <si>
    <t>When most of wetland's drier condition began</t>
  </si>
  <si>
    <t xml:space="preserve">  Score the following 2 rows only if the drier conditions began within past 10 years, and only for the part of the wetland that got drier.</t>
  </si>
  <si>
    <t xml:space="preserve">Spatial extent within the wetland of timing shift </t>
  </si>
  <si>
    <t xml:space="preserve">&gt;95% of wetland </t>
  </si>
  <si>
    <t xml:space="preserve">5-95% of wetland </t>
  </si>
  <si>
    <t xml:space="preserve">&lt;5% of wetland </t>
  </si>
  <si>
    <t xml:space="preserve">  Score the following 2 rows only if the altered inputs began within past 10 years, and only for the part of the wetland that experiences those.</t>
  </si>
  <si>
    <t>in other part of the CA</t>
  </si>
  <si>
    <t>Accelerated Inputs of Nutrients</t>
  </si>
  <si>
    <t>Type of loading</t>
  </si>
  <si>
    <t>high density of unmaintained septic, some types of industrial sources</t>
  </si>
  <si>
    <t>moderate density septic, cropland, secondary wastewater treatment plant</t>
  </si>
  <si>
    <t>livestock, pets, low density residential</t>
  </si>
  <si>
    <t>Duration of sediment inputs to the wetland</t>
  </si>
  <si>
    <r>
      <t xml:space="preserve">* </t>
    </r>
    <r>
      <rPr>
        <b/>
        <sz val="10"/>
        <rFont val="Arial Narrow"/>
        <family val="2"/>
      </rPr>
      <t>high</t>
    </r>
    <r>
      <rPr>
        <sz val="10"/>
        <rFont val="Arial Narrow"/>
        <family val="2"/>
      </rPr>
      <t xml:space="preserve">-intensity= extensive off-road vehicle use, plowing, grading, excavation, erosion with or without veg removal; </t>
    </r>
    <r>
      <rPr>
        <b/>
        <sz val="10"/>
        <rFont val="Arial Narrow"/>
        <family val="2"/>
      </rPr>
      <t xml:space="preserve"> low</t>
    </r>
    <r>
      <rPr>
        <sz val="10"/>
        <rFont val="Arial Narrow"/>
        <family val="2"/>
      </rPr>
      <t>-intensity= veg removal only with little or no apparent erosion or disturbance of soil or sediment</t>
    </r>
  </si>
  <si>
    <t>Recentness of significant soil alteration in wetland</t>
  </si>
  <si>
    <t>The AA and the feature described in T29 above:</t>
  </si>
  <si>
    <t xml:space="preserve">are connected by a channel or ditch that flows into the AA for at least 9 months annually.  </t>
  </si>
  <si>
    <t xml:space="preserve">are connected by a channel or ditch that flows into the AA less than 9 months annually.  </t>
  </si>
  <si>
    <t>Walking is physically possible in &gt;5% of the AA during most of year, e.g., free of deep water and dense shrub thickets.</t>
  </si>
  <si>
    <t>Maintained roads, parking areas, or foot-trails are within 30 ft of the AA, or the AA can be accessed most of the year by boat.</t>
  </si>
  <si>
    <t>BMP - Wildlife Protection</t>
  </si>
  <si>
    <t xml:space="preserve">Fences, observation blinds, platforms, paved trails, exclusion periods, and/or well-enforced prohibitions on motorized boats, off-leash pets, and off road vehicles appear to effectively exclude or divert visitors and their pets from the AA at critical times in order to minimize disturbance of wildlife (except during hunting seasons).  Enter "1" if true. </t>
  </si>
  <si>
    <t>impervious surface, e.g., paved road, parking lot, building, exposed rock.</t>
  </si>
  <si>
    <t>bare or semi-bare pervious surface, e.g., dirt road, dike, dunes, lawn, recent clearcut, landslide.</t>
  </si>
  <si>
    <t>much (20-50%) bare ground or plant litter is visible.  Low stem density and/or tall plants with little near-ground foliage.</t>
  </si>
  <si>
    <t xml:space="preserve">mostly (&gt;50%) bare ground or accumulated plant litter. </t>
  </si>
  <si>
    <r>
      <t xml:space="preserve">little or no (&lt;5%) </t>
    </r>
    <r>
      <rPr>
        <i/>
        <sz val="10"/>
        <rFont val="Arial Narrow"/>
        <family val="2"/>
      </rPr>
      <t>bare ground</t>
    </r>
    <r>
      <rPr>
        <sz val="10"/>
        <rFont val="Arial Narrow"/>
        <family val="2"/>
      </rPr>
      <t xml:space="preserve"> or plant litter (thatch) is visible between erect stems or under canopy.  This can occur if ground surface is extensively blanketed by graminoids with great stem densities, or plants with ground-hugging foliage.  </t>
    </r>
  </si>
  <si>
    <t>OF4</t>
  </si>
  <si>
    <t>outside the AA but within 0.5 mile, in a generally similar wetland.</t>
  </si>
  <si>
    <t>outside the AA and 0.5 to 2 miles away, in a generally similar wetland.</t>
  </si>
  <si>
    <t>beyond 2 miles, or no recent observation of these species by a qualified observer under conditions similar to what now occur, or no data.</t>
  </si>
  <si>
    <r>
      <t xml:space="preserve">An uncommon or imperiled wetland indicator plant that is (a) listed in Table C-6 of the Manual, or (b) is a native species that is not listed as occurring in Southeast Alaska in the PlantList worksheet below, has been detected </t>
    </r>
    <r>
      <rPr>
        <b/>
        <sz val="10"/>
        <rFont val="Arial Narrow"/>
        <family val="2"/>
      </rPr>
      <t xml:space="preserve">within the AA </t>
    </r>
    <r>
      <rPr>
        <sz val="10"/>
        <rFont val="Arial Narrow"/>
        <family val="2"/>
      </rPr>
      <t>under conditions similar to what now occur, by a qualified observer. Enter "1" if yes, "0" if no or unknown.</t>
    </r>
  </si>
  <si>
    <t>IF((AreaTrend=1),1, AVERAGE(AreaTrend,Vwidth,HighMarsh,Gcover, Complex, BlindChan,Mudflat,Fetch))</t>
  </si>
  <si>
    <r>
      <t>AVERAGE(LowMarsh, AVERAGE(ChanComplex, Mudflat)</t>
    </r>
    <r>
      <rPr>
        <sz val="10"/>
        <color indexed="8"/>
        <rFont val="Arial Narrow"/>
        <family val="2"/>
      </rPr>
      <t xml:space="preserve"> )</t>
    </r>
  </si>
  <si>
    <t>AVERAGE(VwidthHi, MAX(Driftwd, LWD), EdgeShape, MarshAge)</t>
  </si>
  <si>
    <t>Brown and black bear use tidal wetlands extensively.</t>
  </si>
  <si>
    <r>
      <t xml:space="preserve">&gt;90%.  </t>
    </r>
    <r>
      <rPr>
        <b/>
        <sz val="10"/>
        <rFont val="Arial Narrow"/>
        <family val="2"/>
      </rPr>
      <t>SKIP to T17.</t>
    </r>
  </si>
  <si>
    <t>AVERAGE(Bare, GramForb, TmarshAge,HerbDomin)</t>
  </si>
  <si>
    <t>&gt;95% of the herbaceous cover.</t>
  </si>
  <si>
    <t>Organic, from surface to within 4 inches of surface only.  Exclude live roots.</t>
  </si>
  <si>
    <t>Organic, from surface to within 16 inches of surface only. Exclude live roots.</t>
  </si>
  <si>
    <t>Organic, from surface to greater than 16 inch depth. Exclude live roots.</t>
  </si>
  <si>
    <t>AVERAGE(AVERAGE(Core1_, Core2_, BMPwild), AVERAGE(LakeDist, PondDist, Pondscape), Fetch)</t>
  </si>
  <si>
    <t>(Lscape+AVERAGE(Water, Produc,Refugia))/2</t>
  </si>
  <si>
    <t xml:space="preserve">In Southeast Alaska, many coastal seabirds (murrelets, kittiwakes) are attracted to foods associated with glacial meltwater. </t>
  </si>
  <si>
    <t>Glacier5</t>
  </si>
  <si>
    <t>It is hypothesized that south-facing slopes thaw sooner and thus provide feeding opportunities earlier in the spring for birds in adjoining salt marshes.</t>
  </si>
  <si>
    <t>Aspect6</t>
  </si>
  <si>
    <t>These features provide opportunity for retention of sediment in tidal wetlands, thus increasing their value.</t>
  </si>
  <si>
    <t>Erode1</t>
  </si>
  <si>
    <t>MAX(Eelgrass,AVERAGE (AVERAGE(BuffCovPct,BuffSlope,CAcover,Erode, Glacier), AVERAGE(TidalRiver,TribDist, TribGrad,Transport)))</t>
  </si>
  <si>
    <t>VegConn6</t>
  </si>
  <si>
    <t>AVERAGE(Geog, VwidthHigh, LowMarsh, Gcover, Fetch)</t>
  </si>
  <si>
    <t>Normalize</t>
  </si>
  <si>
    <t>Anaerobic conditions in tidal wetland sediments tend to diminish plant richness.  Coarser-textured soils tend to be more aerobic but are often nutrient-poor.</t>
  </si>
  <si>
    <t>AVERAGE(Ownershiip, Visib,Core1,Core2,PopCtr)</t>
  </si>
  <si>
    <t xml:space="preserve">Wetlands are likely to be more resilient (less sensitive, thus lower weighting factor) if large and/or if surrounded by other natural landscapes. Presence of natural vegetation in the surrounding landscape also may also help the wetland avoid the impact before it happens, by mitigating hydrologic and water quality alterations.  </t>
  </si>
  <si>
    <t>0 - 150 ft (i.e., a glacier is essentially contiguous with the tidal marsh AA).</t>
  </si>
  <si>
    <t>&gt;5 miles, but no such water conditions are apparent, even seasonally, or conditions unknown.</t>
  </si>
  <si>
    <t>Mudflats are extremely important as the preferred habitat of migratory shorebirds (e.g., Andres &amp; Browne 1998)</t>
  </si>
  <si>
    <t>Wildlife Access</t>
  </si>
  <si>
    <r>
      <t xml:space="preserve">The distance from the AA </t>
    </r>
    <r>
      <rPr>
        <sz val="10"/>
        <rFont val="Arial Narrow"/>
        <family val="2"/>
      </rPr>
      <t>edge</t>
    </r>
    <r>
      <rPr>
        <sz val="10"/>
        <rFont val="Arial Narrow"/>
        <family val="2"/>
      </rPr>
      <t xml:space="preserve"> to the closest </t>
    </r>
    <r>
      <rPr>
        <b/>
        <sz val="10"/>
        <rFont val="Arial Narrow"/>
        <family val="2"/>
      </rPr>
      <t xml:space="preserve">lake </t>
    </r>
    <r>
      <rPr>
        <sz val="10"/>
        <rFont val="Arial Narrow"/>
        <family val="2"/>
      </rPr>
      <t xml:space="preserve">(a non-tidal body of water that is ponded during most of the year and is </t>
    </r>
    <r>
      <rPr>
        <b/>
        <sz val="10"/>
        <rFont val="Arial Narrow"/>
        <family val="2"/>
      </rPr>
      <t>larger than 20 acres</t>
    </r>
    <r>
      <rPr>
        <sz val="10"/>
        <rFont val="Arial Narrow"/>
        <family val="2"/>
      </rPr>
      <t xml:space="preserve"> or about 1000 ft on a side) during most of a normal year is:</t>
    </r>
  </si>
  <si>
    <t>On a marine fjord, canal, or strait with no major river adjoining the AA itself.</t>
  </si>
  <si>
    <r>
      <t xml:space="preserve">Adjoined by a major* </t>
    </r>
    <r>
      <rPr>
        <sz val="10"/>
        <rFont val="Arial Narrow"/>
        <family val="2"/>
      </rPr>
      <t>river, and is closer to marine bays or ocean than to upriver head-of-tide; may be in a river delta; if known, the water salinity is &gt;5 ppt at low tide nearly all the year.</t>
    </r>
  </si>
  <si>
    <t>Adjoined by a major* river, and is closer to the upriver head-of-tide than to marine bays or ocean; if known, the water salinity is &lt;5 ppt at low tide nearly all the year.</t>
  </si>
  <si>
    <t>no, or no information but very unlikely that AA is fed sediment by nearby highly erodible lands or landslides.</t>
  </si>
  <si>
    <t>yes, and such conditions or classifications intersect the AA.</t>
  </si>
  <si>
    <t xml:space="preserve">&lt;150 ft </t>
  </si>
  <si>
    <t>Adjoining Mudflat Width</t>
  </si>
  <si>
    <r>
      <t xml:space="preserve">&gt;90% of the land.  </t>
    </r>
    <r>
      <rPr>
        <b/>
        <sz val="10"/>
        <rFont val="Arial Narrow"/>
        <family val="2"/>
      </rPr>
      <t>SKIP to OF9.</t>
    </r>
  </si>
  <si>
    <r>
      <t xml:space="preserve">shrinking due to natural processes (excessive sedimentation or uplift causing succession to non-tidal upland, or partial conversion to subtidal due to erosion, sea level rise, excessive retention of nourishing sediments by upriver dams, or tilting of the marsh plain following glacial rebound or earthquake).  </t>
    </r>
    <r>
      <rPr>
        <b/>
        <sz val="10"/>
        <rFont val="Arial Narrow"/>
        <family val="2"/>
      </rPr>
      <t>SKIP to OF28.</t>
    </r>
  </si>
  <si>
    <r>
      <t xml:space="preserve">mostly unchanged.  </t>
    </r>
    <r>
      <rPr>
        <b/>
        <sz val="10"/>
        <rFont val="Arial Narrow"/>
        <family val="2"/>
      </rPr>
      <t>SKIP to OF28.</t>
    </r>
  </si>
  <si>
    <r>
      <t xml:space="preserve">(trend indeterminable).  </t>
    </r>
    <r>
      <rPr>
        <b/>
        <sz val="10"/>
        <rFont val="Arial Narrow"/>
        <family val="2"/>
      </rPr>
      <t>SKIP to OF28.</t>
    </r>
  </si>
  <si>
    <t xml:space="preserve">From the online Wetlands Module&gt; Habitat&gt; Bear Summer Habitat, the suitability surrounding the AA is: 3=Very High, 2= High, 1= Moderate, 0= all other.  </t>
  </si>
  <si>
    <t>Bear Habitat Suitability</t>
  </si>
  <si>
    <t>Literature Cited</t>
  </si>
  <si>
    <t>Dillaha, T. A., R. B. Reneau, S. Mostaghimi, and D. Lee. 1989. Vegetative filter strips for agricultural nonpoint source pollution-control. Transactions of the  ASAE 32:513-519.</t>
  </si>
  <si>
    <t>Knutson, P., J. Ford, M. Inskeep, and J. Oyler. 1981. National survey of planted salt marshes (Vegetative stabilization and wave stress). Wetlands 1:129-157.</t>
  </si>
  <si>
    <t>Nieswand, G. H., R. M. Hordon, T. B. Shelton, B. B. Chavooshian, and S. Blarr. 1990. Buffer strips to protect water-supply reservoirs - A model and recommendations. Water Resources Bulletin 26:959-966.</t>
  </si>
  <si>
    <t>Phillips, J. D. 1989. An evaluation of the factors determining the effectiveness of water quality buffer zones. Journal of Hydrology 107:133-145.</t>
  </si>
  <si>
    <t>Polyakov, V., A. Fares, and M. H. Ryder. 2005. Precision riparian buffers for the control of nonpoint source pollutant loading into surface water: A review. Environmental Reviews 13:129-144.</t>
  </si>
  <si>
    <t>Trimble, G. R., Jr. and R. S. Sartz. 1957. How far from a stream should a logging road be located? Journal of Forestry 55:339-341.</t>
  </si>
  <si>
    <t>White, W. J., L. A. Morris, D. B. Warnell, A. P. Pinho, C. R. Jackson, and L. T. West. 2007. Sediment retention by forested filter strips in the Piedmont of Georgia. Journal of Soil and Water Conservation 62:453-463.</t>
  </si>
  <si>
    <t>Zhang, X., X. Liu, M. Zhang, R. A. Dahlgren, and M. Eitzel. 2010. A review of vegetated buffers and a meta-analysis of their mitigation efficacy in reducing nonpoint source pollution. Journal of Environmental Quality 39:76-84.</t>
  </si>
  <si>
    <t>On or near the AA's edge with upland (or the upper edge of tidal influence), the percent of the edge occupied by driftwood is:</t>
  </si>
  <si>
    <t>Slope from Disturbed Lands</t>
  </si>
  <si>
    <r>
      <t>Along the AA's wetland-upland edge and extending to the most extensive and/or closest</t>
    </r>
    <r>
      <rPr>
        <b/>
        <sz val="10"/>
        <rFont val="Arial Narrow"/>
        <family val="2"/>
      </rPr>
      <t xml:space="preserve"> disturbance feature within 100 ft uphill, </t>
    </r>
    <r>
      <rPr>
        <sz val="10"/>
        <rFont val="Arial Narrow"/>
        <family val="2"/>
      </rPr>
      <t>the slope of the land averages:</t>
    </r>
  </si>
  <si>
    <r>
      <t>Within</t>
    </r>
    <r>
      <rPr>
        <b/>
        <sz val="10"/>
        <rFont val="Arial Narrow"/>
        <family val="2"/>
      </rPr>
      <t xml:space="preserve"> 100 ft upslope </t>
    </r>
    <r>
      <rPr>
        <sz val="10"/>
        <rFont val="Arial Narrow"/>
        <family val="2"/>
      </rPr>
      <t xml:space="preserve">of the AA's wetland-upland edge, the percentage of the upland that contains </t>
    </r>
    <r>
      <rPr>
        <b/>
        <i/>
        <sz val="10"/>
        <rFont val="Arial Narrow"/>
        <family val="2"/>
      </rPr>
      <t>natural</t>
    </r>
    <r>
      <rPr>
        <b/>
        <sz val="10"/>
        <rFont val="Arial Narrow"/>
        <family val="2"/>
      </rPr>
      <t xml:space="preserve"> </t>
    </r>
    <r>
      <rPr>
        <sz val="10"/>
        <rFont val="Arial Narrow"/>
        <family val="2"/>
      </rPr>
      <t>(</t>
    </r>
    <r>
      <rPr>
        <b/>
        <sz val="10"/>
        <rFont val="Arial Narrow"/>
        <family val="2"/>
      </rPr>
      <t>not necessarily native</t>
    </r>
    <r>
      <rPr>
        <sz val="10"/>
        <rFont val="Arial Narrow"/>
        <family val="2"/>
      </rPr>
      <t>) land cover is:</t>
    </r>
  </si>
  <si>
    <r>
      <t xml:space="preserve">Consider the parts of the AA that are </t>
    </r>
    <r>
      <rPr>
        <b/>
        <sz val="10"/>
        <rFont val="Arial Narrow"/>
        <family val="2"/>
      </rPr>
      <t xml:space="preserve">not inundated by tides </t>
    </r>
    <r>
      <rPr>
        <sz val="10"/>
        <rFont val="Arial Narrow"/>
        <family val="2"/>
      </rPr>
      <t xml:space="preserve">on most days, i.e., high marsh.  Viewed </t>
    </r>
    <r>
      <rPr>
        <b/>
        <sz val="10"/>
        <rFont val="Arial Narrow"/>
        <family val="2"/>
      </rPr>
      <t>from 6 inches above the soil surface</t>
    </r>
    <r>
      <rPr>
        <sz val="10"/>
        <rFont val="Arial Narrow"/>
        <family val="2"/>
      </rPr>
      <t xml:space="preserve">, the condition in </t>
    </r>
    <r>
      <rPr>
        <b/>
        <sz val="10"/>
        <rFont val="Arial Narrow"/>
        <family val="2"/>
      </rPr>
      <t xml:space="preserve">most </t>
    </r>
    <r>
      <rPr>
        <sz val="10"/>
        <rFont val="Arial Narrow"/>
        <family val="2"/>
      </rPr>
      <t>of this area is:</t>
    </r>
  </si>
  <si>
    <r>
      <t>The percentage of the AA almost never visited by humans during an average growing season probably comprises: [</t>
    </r>
    <r>
      <rPr>
        <i/>
        <sz val="10"/>
        <rFont val="Arial Narrow"/>
        <family val="2"/>
      </rPr>
      <t>Note: Do not include visitors on trails outside of the AA unless more than half the wetland is visible from the trails and they are within 100 ft of the wetland edge.  In that case include only the area occupied by the trail</t>
    </r>
    <r>
      <rPr>
        <sz val="10"/>
        <rFont val="Arial Narrow"/>
        <family val="2"/>
      </rPr>
      <t xml:space="preserve">]. </t>
    </r>
  </si>
  <si>
    <r>
      <t xml:space="preserve">The part of the AA visited by humans </t>
    </r>
    <r>
      <rPr>
        <b/>
        <sz val="10"/>
        <rFont val="Arial Narrow"/>
        <family val="2"/>
      </rPr>
      <t xml:space="preserve">almost daily for several weeks </t>
    </r>
    <r>
      <rPr>
        <sz val="10"/>
        <rFont val="Arial Narrow"/>
        <family val="2"/>
      </rPr>
      <t>during an average year probably comprises: [</t>
    </r>
    <r>
      <rPr>
        <i/>
        <sz val="10"/>
        <rFont val="Arial Narrow"/>
        <family val="2"/>
      </rPr>
      <t>Note: Do not include visitors on trails outside of the AA unless more than half the wetland is visible from the trails and they are within 100 ft of the wetland edge.  In that case include only the area occupied by the trail]</t>
    </r>
    <r>
      <rPr>
        <sz val="10"/>
        <rFont val="Arial Narrow"/>
        <family val="2"/>
      </rPr>
      <t xml:space="preserve">. </t>
    </r>
  </si>
  <si>
    <r>
      <t xml:space="preserve">Draw a circle of </t>
    </r>
    <r>
      <rPr>
        <b/>
        <sz val="10"/>
        <rFont val="Arial Narrow"/>
        <family val="2"/>
      </rPr>
      <t>radius of 0.5 mile</t>
    </r>
    <r>
      <rPr>
        <sz val="10"/>
        <rFont val="Arial Narrow"/>
        <family val="2"/>
      </rPr>
      <t xml:space="preserve"> from the center of the AA.  If mammals and amphibians can move from the center of the AA to all other separate wetlands located within the circle without being forced to cross maintained roads (any width), lawns, bare ground, marine waters, and/or steep (&gt;30%) slopes, mark 1= yes can move, or 0= no.</t>
    </r>
  </si>
  <si>
    <t>Distance to Separate Tidal Marsh</t>
  </si>
  <si>
    <r>
      <t xml:space="preserve">The AA is within or contains part of an </t>
    </r>
    <r>
      <rPr>
        <b/>
        <sz val="10"/>
        <rFont val="Arial Narrow"/>
        <family val="2"/>
      </rPr>
      <t>IBA</t>
    </r>
    <r>
      <rPr>
        <sz val="10"/>
        <rFont val="Arial Narrow"/>
        <family val="2"/>
      </rPr>
      <t xml:space="preserve"> (Important Bird Area) as officially designated by the American Bird Conservancy or local affiliates.  Enter 1= yes, 0= no.  See list on right, and online Wetlands Module&gt; Habitat Layers&gt; IBA for maps.</t>
    </r>
  </si>
  <si>
    <t>Unvegetated Surface in the Contributing Area</t>
  </si>
  <si>
    <t>The presence of peat or muck implies the presence (at least historically) of a microclimate favorable to long-term retention of particulate carbon. Very coarse soils tend to be nutrient-poor but may promote both higher productivity and faster carbon cycling because in tidal wetlands they tend to be more adequately aerated.</t>
  </si>
  <si>
    <t>Fennessy, M. S., A. Rokosch, and J. J. Mack. 2008. Patterns of plant decomposition and nutrient cycling in natural and created wetlands. Wetlands 28:300-310.</t>
  </si>
  <si>
    <t>Simenstad, C. A. and J. D. Cordell. 2000. Ecological assessment criteria for restoring anadromous salmonid habtiat in Pacific Northwest estuaries. Ecological Engineering 15:283-302.</t>
  </si>
  <si>
    <t>Healey, M. C. 1982. Juvenile Pacific salmon in estuaries: the life support system. Pages 315–341 in V. S. Kennedy, editor. Estuarine Comparisons. Academic Press, New York, NY.</t>
  </si>
  <si>
    <t>Koski, K. V. 2009. The fate of coho salmon nomads: the story of an estuarine-rearing strategy promoting resilience. Ecology and Society 14(1):4.</t>
  </si>
  <si>
    <t>Quinn, T. P. 2005. The Behavior and Ecology of Pacific Salmon and Trout. American Fisheries Society, Bethesda, MD.</t>
  </si>
  <si>
    <t xml:space="preserve">Lower portions of tidal marshes often support more fish prey items (Powers et al. 2002) and are accessible to fish more extensively and for longer (Healey 1982, Salo 1991, Quinn 2005, Simenstad &amp; Cordell 2000, Young 2009).  </t>
  </si>
  <si>
    <t>Complex channel networks within a marsh give fish more access to invertebrate foods that fall from vegetation, as well as providing undercut banks in many cases that serve as cover (Simenstad &amp; Cordell 2000, Gray et al. 2002; Bottom et al. 2005; Beamer et al. 2005; Koski 2009; Craig 2010; Hering et al. 2010, Congleton et al. 1982, Levy and Northcote 1982).</t>
  </si>
  <si>
    <t>Presence of other tidal wetlands nearby increases the feeding opportunities for mobile organisms like fish (Simenstad &amp; Cordell 2000).</t>
  </si>
  <si>
    <t>Tidal wetlands located in watersheds most suitable in their biogeographic area for fish are also more likely to support those fish (Simenstad &amp; Cordell 2000).</t>
  </si>
  <si>
    <t>Gray, A., C. A. Simenstad, D. L. Bottom, and T. J. Cornwell. 2002. Contrasting functional performance of juvenile salmon habitat in recovering wetlands of the Salmon River estuary, Oregon, USA. Restoration Ecology 10:514-526.</t>
  </si>
  <si>
    <t>Bottom, D. L., K. K. Jones, T. J. Cornwell, A. Gray, and C. A. Simenstad. 2005. Patterns of chinook salmon migration and residency in the Salmon River estuary, Oregon. Estuarine, Coastal and Shelf Science 64:79-93.</t>
  </si>
  <si>
    <t>Beamer, E., A. McBride, C. M. Greene, R. Henderson, G. Hood, K. Wolf, K. Larsen, C. Rice, and K. L. Fresh. 2005. Delta and Nearshore Restoration for the Recovery of Wild Skagit River Chinook Salmon: Linking Estuary Restoration to Wild Chinook Salmon Populations. Supplement to Skagit Chinook Recovery Plan, Skagit River System Cooperative, La Conner, WA.</t>
  </si>
  <si>
    <t>Congleton, J. L., T. C. Bjornn, B. J. Burton, and B. D. Watson. 1982. Effects of Stress on the Viability of Chinook Salmon Smolts Transported from the Snake River to the Columbia River Estuary. Progress Report No. 2, Idaho Cooperative Fisheries Research Unit, Bonneville Power Administration, Portland, OR.</t>
  </si>
  <si>
    <t>Johnson, S. W., J. F. Thedinga, A. D. Neff, P. M. Harris, M. R. Lindeberg, J. M. Maselko, and S. D. Rice. 2010. Fish assemblages in nearshore habitats of Prince William Sound, Alaska. Northwest Science 84:266-280.</t>
  </si>
  <si>
    <t>Johnson, S. W., A. D. Neff, and J. F. Thedinga. 2005. An Atlas on the Distribution and Habtiat of Common Fishes in Shallow Nearshore Waters of Southeastern Alaksa. National Marine Fisheries Service, Silver Spring, MD.</t>
  </si>
  <si>
    <t>Eelgrass patches are extremely important to salmonids, sand lance, and other Alaskan fish (Johnson &amp; Thedinga 2005, Johnson et al. 2005, 2010).</t>
  </si>
  <si>
    <t>Romanuk, T. N. and C. D. Levings. 2003. Associations between arthropods and the supralittoral ecotone: dependence of aquatic and terrestrial taxa on riparian vegetation. Environmental Entomology 32:1343-1353.</t>
  </si>
  <si>
    <t>Watson, E. B. and R. Byrne. 2009. Abundance and diversity of tidal marsh plants along the salinity gradient of the San Francisco Estuary: implications for global change ecology. Plant Ecology 205:113–128.</t>
  </si>
  <si>
    <t>Johnson SW, Thedinga JF.  2005.  Fish use and size of eelgrass meadows in Southeastern Alaska: a baseline for long-term assessment of biotic change. Northwest Science 79(40577):141-155.</t>
  </si>
  <si>
    <t>Powers SP, Bishop MA, Grabowski JH, Peterson CH.  2002.  Intertidal benthic resources of the Copper River Delta, Alaska, USA.  Journal of Sea Research 47(1):13-23.</t>
  </si>
  <si>
    <r>
      <t>Hering, D. K., D. L. Bottom, E. F. Prentice, K. K. Jones, and I. A. Fleming. 2010. Tidal movements and residency of subyearling Chinook salmon (</t>
    </r>
    <r>
      <rPr>
        <i/>
        <sz val="10"/>
        <rFont val="Arial Narrow"/>
        <family val="2"/>
      </rPr>
      <t>Oncorhynchus tshawytscha</t>
    </r>
    <r>
      <rPr>
        <sz val="10"/>
        <rFont val="Arial Narrow"/>
        <family val="2"/>
      </rPr>
      <t>) in an Oregon salt marsh channel. Canadian Journal of Fisheries and Aquatic Sciences 67:524-533.</t>
    </r>
  </si>
  <si>
    <t>Johnson JA,  Andres BA,  Bissonette JA. 2008.  Birds of the major mainland rivers of Southeast Alaska.  General Technical Report  PNW-GTR-739. U.S. Department of Agriculture, Forest Service, Pacific Northwest Research Station, Portland, OR.</t>
  </si>
  <si>
    <t>Kissling ML, Garton ED.  2008.  Forested buffer strips and breeding bird communities in Southeast Alaska. Journal of Wildlife Management 72(3):674-681.</t>
  </si>
  <si>
    <t>Andres BA, Browne BT. 1998.  Spring migration of shorebirds on the Yakutat Forelands, Alaska. Wilson Bulletin 110(3):326-331.</t>
  </si>
  <si>
    <t>BenDavid M, Hanley TA, Klein DR, Schell DM.  1997.  Seasonal changes in diets of coastal and riverine mink: The role of spawning Pacific salmon. Canadian Journal Of Zoology 75(5):803-811.</t>
  </si>
  <si>
    <t>Mazerolle MJ, Drolet B, Desrochers A. 2001. Small-mammal responses to peat mining of southeastern Canadian bogs. Canadian Journal of Zoology 79(2):296-302.</t>
  </si>
  <si>
    <t>Martin, D. J. and R. A. Grotefendt. 2007. Stand mortality in buffer strips and the supply of woody debris to streams in Southeast Alaska. Canadian Journal of Forest Research 37:36-49.</t>
  </si>
  <si>
    <t>Gomi, T., R. D. Moore, and A. S. Dhakal. 2006. Headwater stream temperature response to clear-cut harvesting with different riparian treatments, coastal British Columbia, Canada. Water Resources Research 42:WO8437.</t>
  </si>
  <si>
    <t>Bahuguna, D., S. J. Mitchell, and Y. Miquelajauregui. 2010. Windthrow and recruitment of large woody debris in riparian stands. Forest Ecology and Management 259:2048-2055.</t>
  </si>
  <si>
    <t>Flaherty EA, Ben-David M, Smith WP.  2010.  Diet and food availability: implications for foraging and dispersal of Prince of Wales northern flying squirrels across managed landscapes. Journal of Mammalogy 91(1):79-91.</t>
  </si>
  <si>
    <t>Fresh, K. L. 2006.  Juvenile Pacific Salmon in Puget Sound.  No. N00A-TR-2006-06. Pacific Marine Environmental Labs, National Oceanic and Atmospheric Administration, Seattle, WA.</t>
  </si>
  <si>
    <t>LowMarshT1</t>
  </si>
  <si>
    <t>LowMarshT3</t>
  </si>
  <si>
    <t>VwidthLow3</t>
  </si>
  <si>
    <t>LowMarshT2</t>
  </si>
  <si>
    <t>LowMarshT4</t>
  </si>
  <si>
    <t>SalmoShed4</t>
  </si>
  <si>
    <t>AnadAccess</t>
  </si>
  <si>
    <t>LowMarshT5</t>
  </si>
  <si>
    <t>5-30%</t>
  </si>
  <si>
    <t>&lt;300 ft</t>
  </si>
  <si>
    <t>300-1000 ft</t>
  </si>
  <si>
    <t>Input timing now vs. previously</t>
  </si>
  <si>
    <t>Flashiness or muting</t>
  </si>
  <si>
    <t>Spatial extent of resulting wetter condition</t>
  </si>
  <si>
    <t>When most of the timing shift began</t>
  </si>
  <si>
    <t>&lt;25%</t>
  </si>
  <si>
    <t>waterfowl hunting or furbearer trapping</t>
  </si>
  <si>
    <t>unknown</t>
  </si>
  <si>
    <t>Altered Timing of Water Inputs</t>
  </si>
  <si>
    <t>N Fixers</t>
  </si>
  <si>
    <t>Carbon Sequestration (CS)</t>
  </si>
  <si>
    <t>Anadromous Fish Habitat (FA)</t>
  </si>
  <si>
    <t>Waterbird Feeding Habitat (WBF)</t>
  </si>
  <si>
    <t>&gt;30%</t>
  </si>
  <si>
    <t>S1</t>
  </si>
  <si>
    <t>extensive evidence, high intensity*</t>
  </si>
  <si>
    <t>potentially (based on high-intensity* land use) or scattered evidence</t>
  </si>
  <si>
    <t>potentially (based on low-intensity* land use) with little or no direct evidence</t>
  </si>
  <si>
    <t>Bare Ground &amp; Accumulated Plant Litter</t>
  </si>
  <si>
    <t>Because of their size, these river systems have strong currents capable of carrying organic matter from tidal marshes into deeper waters.</t>
  </si>
  <si>
    <t>Plants, animals, or water in the AA have been monitored for &gt;2 years, unrelated to any regulatory requirements, and data are available to the public. Or the AA is part of an area that has been designated by an agency or institution as a benchmark, reference, or status-trends monitoring area.</t>
  </si>
  <si>
    <t>Salmonid Watershed</t>
  </si>
  <si>
    <t>neither of the above</t>
  </si>
  <si>
    <t>Core1alt</t>
  </si>
  <si>
    <t>Core2alt</t>
  </si>
  <si>
    <t>VisibAlt</t>
  </si>
  <si>
    <t>PopCtrAlt</t>
  </si>
  <si>
    <t>BarriersAlt</t>
  </si>
  <si>
    <t>RoadsAlt</t>
  </si>
  <si>
    <t>NatDistAlt</t>
  </si>
  <si>
    <t>NatPctAlt</t>
  </si>
  <si>
    <t>NatTypeAlt</t>
  </si>
  <si>
    <t>SizeAlt</t>
  </si>
  <si>
    <t>ErodAlt</t>
  </si>
  <si>
    <t>ImpervAlt</t>
  </si>
  <si>
    <t>TransptAlt</t>
  </si>
  <si>
    <t>WetterIn</t>
  </si>
  <si>
    <t>WetterCA</t>
  </si>
  <si>
    <t>DrierIn</t>
  </si>
  <si>
    <t>DrierCA</t>
  </si>
  <si>
    <t>AltTiming</t>
  </si>
  <si>
    <t>ToxicsIn</t>
  </si>
  <si>
    <t>SedCA</t>
  </si>
  <si>
    <t>SoilAltIn</t>
  </si>
  <si>
    <t>VegClear</t>
  </si>
  <si>
    <t>ToxDoc</t>
  </si>
  <si>
    <t>Stressor Score</t>
  </si>
  <si>
    <t>Subsistence &amp; Provisioning Services (Subsis)</t>
  </si>
  <si>
    <t>1-5 miles</t>
  </si>
  <si>
    <t>&gt;5 miles</t>
  </si>
  <si>
    <t>&gt;1 mile</t>
  </si>
  <si>
    <t>0.5- 1 mile</t>
  </si>
  <si>
    <t>1000-2600 ft</t>
  </si>
  <si>
    <t>&lt;100 ft</t>
  </si>
  <si>
    <t>100-500 ft</t>
  </si>
  <si>
    <t xml:space="preserve">in the AA </t>
  </si>
  <si>
    <t>Non-breeding (Feeding) Waterbird Species of Conservation Concern</t>
  </si>
  <si>
    <t>Songbird or Raptor Species of Conservation Concern</t>
  </si>
  <si>
    <t>Neither of above is true, although some groundwater may discharge to or flow through the wetland, or groundwater influx is unknown.</t>
  </si>
  <si>
    <t>Designated IBA</t>
  </si>
  <si>
    <t>&gt;5 miles and on the mainland or the same island</t>
  </si>
  <si>
    <t>Consumptive Uses (Provisioning Services)</t>
  </si>
  <si>
    <t>1-25%</t>
  </si>
  <si>
    <t>Select one:</t>
  </si>
  <si>
    <t>Rationale</t>
  </si>
  <si>
    <t>5-50%</t>
  </si>
  <si>
    <t>1-10 acres</t>
  </si>
  <si>
    <t>10-100 acres</t>
  </si>
  <si>
    <t>100-1000 acres</t>
  </si>
  <si>
    <t>&gt;1000 acres</t>
  </si>
  <si>
    <t>Size of Largest Nearby Tract or Corridor of Natural Land Cover</t>
  </si>
  <si>
    <t>&lt;1 mile</t>
  </si>
  <si>
    <t>&gt;50%</t>
  </si>
  <si>
    <t>&lt;5%</t>
  </si>
  <si>
    <t xml:space="preserve">&lt;5% </t>
  </si>
  <si>
    <t>Core Area 1</t>
  </si>
  <si>
    <t>Recent evidence was found within the AA of the following potentially-sustainable consumptive uses.  Select all that apply.</t>
  </si>
  <si>
    <t>25-100 ft</t>
  </si>
  <si>
    <t>100-300 ft</t>
  </si>
  <si>
    <t>25-50%</t>
  </si>
  <si>
    <t>50-75%</t>
  </si>
  <si>
    <t>&gt;75%</t>
  </si>
  <si>
    <t>Access</t>
  </si>
  <si>
    <t xml:space="preserve">industrial effluent or 303d* for toxics </t>
  </si>
  <si>
    <t>frequent but mostly seasonal</t>
  </si>
  <si>
    <t>frequent and year-round</t>
  </si>
  <si>
    <t>infrequent &amp; during high runoff events mainly</t>
  </si>
  <si>
    <t>Outflow Confinement</t>
  </si>
  <si>
    <t>Sustained Scientific Use</t>
  </si>
  <si>
    <t>some (5-20%) bare ground or litter is visible.  Herbaceous plants have moderate stem densities and do not closely hug the ground.</t>
  </si>
  <si>
    <t>Documented Toxicity</t>
  </si>
  <si>
    <t>within the AA</t>
  </si>
  <si>
    <t>&gt;25%</t>
  </si>
  <si>
    <t>10 to 25%</t>
  </si>
  <si>
    <t>&lt;10%</t>
  </si>
  <si>
    <t>Transport From Upslope</t>
  </si>
  <si>
    <t>Mostly true</t>
  </si>
  <si>
    <t>Somewhat true</t>
  </si>
  <si>
    <t>Mostly untrue</t>
  </si>
  <si>
    <t>Fish Access or Use</t>
  </si>
  <si>
    <t>e) unknown and undeterminable</t>
  </si>
  <si>
    <t>The distance from the AA to the nearest upstream glacier which partially feeds the AA is currently:</t>
  </si>
  <si>
    <t>&lt;1%</t>
  </si>
  <si>
    <t>Gcover1</t>
  </si>
  <si>
    <t>Glacier1</t>
  </si>
  <si>
    <t>TribDist1</t>
  </si>
  <si>
    <t>BuffSlope1</t>
  </si>
  <si>
    <t>BuffCovPct1</t>
  </si>
  <si>
    <t>AreaTrend1</t>
  </si>
  <si>
    <t>Mudflat1</t>
  </si>
  <si>
    <t>Fetch1</t>
  </si>
  <si>
    <t>Vwidth1</t>
  </si>
  <si>
    <t>Function Score for Sediment Retention &amp; Stabilization</t>
  </si>
  <si>
    <t>F</t>
  </si>
  <si>
    <t>Values Score for Sediment Retention &amp; Stabilization</t>
  </si>
  <si>
    <t>V</t>
  </si>
  <si>
    <t>Geography</t>
  </si>
  <si>
    <t>no information</t>
  </si>
  <si>
    <t>Enter 1 for ALL that are true.  The AA is located:</t>
  </si>
  <si>
    <t>Upslope Soil Erodibility &amp; Debris Flow Potential</t>
  </si>
  <si>
    <t>TribGrade</t>
  </si>
  <si>
    <t>CAcover1</t>
  </si>
  <si>
    <t>Transport1</t>
  </si>
  <si>
    <t>Eelgrass1</t>
  </si>
  <si>
    <t>Aspect</t>
  </si>
  <si>
    <t>Northward (N, NE)</t>
  </si>
  <si>
    <t>Southward (S, SW)</t>
  </si>
  <si>
    <t>other (E, SE, W, NW), or no detectable uphill slope (flat)</t>
  </si>
  <si>
    <t>VwidthLow2</t>
  </si>
  <si>
    <t>VwidthHigh2</t>
  </si>
  <si>
    <t>Gcover2</t>
  </si>
  <si>
    <t>SoilTex2</t>
  </si>
  <si>
    <t>RiverBay2</t>
  </si>
  <si>
    <t>Fetch2</t>
  </si>
  <si>
    <t>AreaTrend2</t>
  </si>
  <si>
    <t>MarshAge2</t>
  </si>
  <si>
    <t>on or close to the outer coast</t>
  </si>
  <si>
    <t>Historical Accumulation</t>
  </si>
  <si>
    <t>Productivity</t>
  </si>
  <si>
    <t>Methane Limitation</t>
  </si>
  <si>
    <t>Geog2</t>
  </si>
  <si>
    <t>AVERAGE(Geog, RiverBay)</t>
  </si>
  <si>
    <t>DrierIn2</t>
  </si>
  <si>
    <t>DrierUp2</t>
  </si>
  <si>
    <t>Tidal wetlands fed by rivers or farther from the outer coast are more likely to have fresh salinity, which supports higher emissions of methane (see next).</t>
  </si>
  <si>
    <t>BlindChan3</t>
  </si>
  <si>
    <t>ChanComplex3</t>
  </si>
  <si>
    <t>Geog3</t>
  </si>
  <si>
    <t>BayRiver3</t>
  </si>
  <si>
    <t>StreamGrad3</t>
  </si>
  <si>
    <t>Fetch3</t>
  </si>
  <si>
    <t>Whatever organic matter is produced by narrow tidal marshes is more likely to be exported (by waves, wind, currents) than if the marsh is wide.</t>
  </si>
  <si>
    <t>TribIn3</t>
  </si>
  <si>
    <t>Exporting Opportunity</t>
  </si>
  <si>
    <t>AqCov4</t>
  </si>
  <si>
    <t>VwidthHigh4</t>
  </si>
  <si>
    <t>BlindChan4</t>
  </si>
  <si>
    <t>ChanComplex4</t>
  </si>
  <si>
    <t>Groundw4</t>
  </si>
  <si>
    <t>PondDist4</t>
  </si>
  <si>
    <t>PondConnec4</t>
  </si>
  <si>
    <t>PondPassage4</t>
  </si>
  <si>
    <t>BuffLCpct4</t>
  </si>
  <si>
    <t>BuffLCtype4</t>
  </si>
  <si>
    <t>ShoreZdiv4</t>
  </si>
  <si>
    <t>DistTidalM4</t>
  </si>
  <si>
    <t>DistEelg4</t>
  </si>
  <si>
    <t>TmarshShed4</t>
  </si>
  <si>
    <t>StreamDist4</t>
  </si>
  <si>
    <t>ToxData4</t>
  </si>
  <si>
    <t>Trib4</t>
  </si>
  <si>
    <t>Structure</t>
  </si>
  <si>
    <t>Landscape</t>
  </si>
  <si>
    <t>Geog4</t>
  </si>
  <si>
    <t>Function Score for Anadromous Fish Habitat</t>
  </si>
  <si>
    <t>Values Score for Anadromous Fish Habitat</t>
  </si>
  <si>
    <t>PopCtr4</t>
  </si>
  <si>
    <t>Subsis4</t>
  </si>
  <si>
    <t>BearShed4</t>
  </si>
  <si>
    <t>VwidthLo5</t>
  </si>
  <si>
    <t>BlindChan5</t>
  </si>
  <si>
    <t>ChanComplex5</t>
  </si>
  <si>
    <t>PondDist5</t>
  </si>
  <si>
    <t>Core1_5</t>
  </si>
  <si>
    <t>Core2_5</t>
  </si>
  <si>
    <t>Pondscape5</t>
  </si>
  <si>
    <t>LakeDist5</t>
  </si>
  <si>
    <t>ShoreZdiv5</t>
  </si>
  <si>
    <t>MarshDis5</t>
  </si>
  <si>
    <t>EelgDis5</t>
  </si>
  <si>
    <t>Mudflat5</t>
  </si>
  <si>
    <t>IBA5</t>
  </si>
  <si>
    <t>Geog5</t>
  </si>
  <si>
    <t>Fetch5</t>
  </si>
  <si>
    <t>Visib5</t>
  </si>
  <si>
    <t>PopCtr5</t>
  </si>
  <si>
    <t>RareSp5</t>
  </si>
  <si>
    <t>VwidthHi5</t>
  </si>
  <si>
    <t>NontidalNear5</t>
  </si>
  <si>
    <t>RiverBay4</t>
  </si>
  <si>
    <t>EstuScape5</t>
  </si>
  <si>
    <t>RiverBay5</t>
  </si>
  <si>
    <t>Water</t>
  </si>
  <si>
    <t>Refugia</t>
  </si>
  <si>
    <t>TribStream5</t>
  </si>
  <si>
    <t>Function Score for Waterbird Feeding Habitat</t>
  </si>
  <si>
    <t>Values Score for Waterbird Feeding Habitat</t>
  </si>
  <si>
    <t>Tidal Wetland Age</t>
  </si>
  <si>
    <t>&lt; 3 years old</t>
  </si>
  <si>
    <t>EdgeShape6</t>
  </si>
  <si>
    <t>BuffLC6</t>
  </si>
  <si>
    <t>BuffLCtype6</t>
  </si>
  <si>
    <t>Cliffs6</t>
  </si>
  <si>
    <t>Barrier6</t>
  </si>
  <si>
    <t>DistNatur6</t>
  </si>
  <si>
    <t>NatPct6</t>
  </si>
  <si>
    <t>LCaltType6</t>
  </si>
  <si>
    <t>PatchSize6</t>
  </si>
  <si>
    <t>Fetch6</t>
  </si>
  <si>
    <t>MarshAge6</t>
  </si>
  <si>
    <t>IBA6</t>
  </si>
  <si>
    <t>RareBird6</t>
  </si>
  <si>
    <t>VwidthHi7</t>
  </si>
  <si>
    <t>Bare7</t>
  </si>
  <si>
    <t>Groundw7</t>
  </si>
  <si>
    <t>GramForb7</t>
  </si>
  <si>
    <t>HerbDomin7</t>
  </si>
  <si>
    <t>BuffNatPct7</t>
  </si>
  <si>
    <t>BuffLUtyp7</t>
  </si>
  <si>
    <t>Core1_7</t>
  </si>
  <si>
    <t>Core2_7</t>
  </si>
  <si>
    <t>RoadDist7</t>
  </si>
  <si>
    <t>Dist2Nat7</t>
  </si>
  <si>
    <t>NatPct7</t>
  </si>
  <si>
    <t>LCaltTyp7</t>
  </si>
  <si>
    <t>PatchSize7</t>
  </si>
  <si>
    <t>RarePlant7</t>
  </si>
  <si>
    <t>TmarshAge7</t>
  </si>
  <si>
    <t>Bearshed6</t>
  </si>
  <si>
    <t>TribFresh6</t>
  </si>
  <si>
    <t>in another mainland area or inner coast</t>
  </si>
  <si>
    <t>Geog6</t>
  </si>
  <si>
    <t>BayRiver6</t>
  </si>
  <si>
    <t>VwidthHi6</t>
  </si>
  <si>
    <t>PopCtr6</t>
  </si>
  <si>
    <t>Function Score for Songbird, Mammal, and Raptor Habitat</t>
  </si>
  <si>
    <t>Values Score for Songbird, Mammal, and Raptor  Habitat</t>
  </si>
  <si>
    <t>Function Score for Native Plant Habitat</t>
  </si>
  <si>
    <t>Values Score for Native Plant Habitat</t>
  </si>
  <si>
    <t>Bearshed7</t>
  </si>
  <si>
    <t>PopCtr7</t>
  </si>
  <si>
    <t>RiverBay7</t>
  </si>
  <si>
    <t>Native Plant Habitat (PH)</t>
  </si>
  <si>
    <t>Salinity</t>
  </si>
  <si>
    <t>Substrate</t>
  </si>
  <si>
    <t>Invasive Potential</t>
  </si>
  <si>
    <t>SoilTex7</t>
  </si>
  <si>
    <t>AVERAGE(Groundw, RiverBay)</t>
  </si>
  <si>
    <t>AVERAGE(RoadDist, PopCtr, Core1_, Core2_, PatchSize, BuffNatPct, BuffLUtyp)</t>
  </si>
  <si>
    <t>AVERAGE(Dist2Nat, NatPct, LCaltTyp, Bearshed)</t>
  </si>
  <si>
    <t>LWD7</t>
  </si>
  <si>
    <t>Driftwd7</t>
  </si>
  <si>
    <t>Convenience</t>
  </si>
  <si>
    <t>Investment</t>
  </si>
  <si>
    <t>MAX(MitigaSite,ConsInvest,SciUse)</t>
  </si>
  <si>
    <t>RecrePotential</t>
  </si>
  <si>
    <t>RecreaPoten</t>
  </si>
  <si>
    <t>Core1PU</t>
  </si>
  <si>
    <t>Core2PU</t>
  </si>
  <si>
    <t>VisibPU</t>
  </si>
  <si>
    <t>OwnershpPU</t>
  </si>
  <si>
    <t>RecPotenPU</t>
  </si>
  <si>
    <t>PopCtrPU</t>
  </si>
  <si>
    <t>MitigSite</t>
  </si>
  <si>
    <t>ConservSite</t>
  </si>
  <si>
    <t>SciUse</t>
  </si>
  <si>
    <t>OppRarity</t>
  </si>
  <si>
    <t xml:space="preserve">Values Score for Public Use </t>
  </si>
  <si>
    <t>Public Use (PU)</t>
  </si>
  <si>
    <t>Functions and Their Values:</t>
  </si>
  <si>
    <t>ConsumpUse</t>
  </si>
  <si>
    <t>TributaryIn</t>
  </si>
  <si>
    <t>FishAccess</t>
  </si>
  <si>
    <t>Salmonshed20</t>
  </si>
  <si>
    <t>Subsist20</t>
  </si>
  <si>
    <t>VwidthHi18</t>
  </si>
  <si>
    <t>Nfix18</t>
  </si>
  <si>
    <t>BuffNatPct18</t>
  </si>
  <si>
    <t>BuffSlope18</t>
  </si>
  <si>
    <t>MarshDist18</t>
  </si>
  <si>
    <t>Fetch18</t>
  </si>
  <si>
    <t>Mtrend18</t>
  </si>
  <si>
    <t>MarshAge18</t>
  </si>
  <si>
    <t xml:space="preserve">Values Score for Sensitivity </t>
  </si>
  <si>
    <t>RareWaterBird</t>
  </si>
  <si>
    <t>RareWildlife</t>
  </si>
  <si>
    <t>RarePlant18</t>
  </si>
  <si>
    <t>&lt;0.5 mile</t>
  </si>
  <si>
    <t>0.5 - 2 miles</t>
  </si>
  <si>
    <t>2-5 miles</t>
  </si>
  <si>
    <t>5-10 miles</t>
  </si>
  <si>
    <t>&gt;10 miles</t>
  </si>
  <si>
    <r>
      <t xml:space="preserve">Assuming access permission was granted, select </t>
    </r>
    <r>
      <rPr>
        <u/>
        <sz val="10"/>
        <rFont val="Arial Narrow"/>
        <family val="2"/>
      </rPr>
      <t xml:space="preserve">all </t>
    </r>
    <r>
      <rPr>
        <sz val="10"/>
        <rFont val="Arial Narrow"/>
        <family val="2"/>
      </rPr>
      <t>statements that are true of this AA as it currently exists:</t>
    </r>
  </si>
  <si>
    <t>Within or near the AA, there is an interpretive center, trails with interpretive signs or brochures, and/or regular guided interpretive tours.</t>
  </si>
  <si>
    <t>1000 ft - 1 mile</t>
  </si>
  <si>
    <t>5-50% and inhabited building is within 300 ft of the AA</t>
  </si>
  <si>
    <t>&lt;5% and no inhabited building is within 300 ft of the AA</t>
  </si>
  <si>
    <t>&lt;5% and inhabited building is within 300 ft of the AA</t>
  </si>
  <si>
    <t>5-50% and no inhabited building is within 300 ft of the AA</t>
  </si>
  <si>
    <t>5 to 20% of the land</t>
  </si>
  <si>
    <t>Conservation Investment</t>
  </si>
  <si>
    <t>Mitigation Investment</t>
  </si>
  <si>
    <t>S5</t>
  </si>
  <si>
    <t>&gt;95% of the AA</t>
  </si>
  <si>
    <t>Songbird, Raptor, &amp; Mammal Habitat (SBM)</t>
  </si>
  <si>
    <t>Ownership</t>
  </si>
  <si>
    <t>20 to 60% of the land</t>
  </si>
  <si>
    <t>60 to 90% of the land</t>
  </si>
  <si>
    <t>S8</t>
  </si>
  <si>
    <t>persistent vs. seldom</t>
  </si>
  <si>
    <t>persistent vs. seasonal</t>
  </si>
  <si>
    <t>slightly longer or more often</t>
  </si>
  <si>
    <t>&gt;1 ft</t>
  </si>
  <si>
    <t>1-12"</t>
  </si>
  <si>
    <t>&lt;1 inch</t>
  </si>
  <si>
    <t>sum=</t>
  </si>
  <si>
    <t xml:space="preserve">seldom vs. persistent </t>
  </si>
  <si>
    <t>seasonal vs. persistent</t>
  </si>
  <si>
    <t>slightly shorter or less often</t>
  </si>
  <si>
    <t>became very flashy or controlled</t>
  </si>
  <si>
    <t>50-95%</t>
  </si>
  <si>
    <t>#</t>
  </si>
  <si>
    <t>2-5%</t>
  </si>
  <si>
    <t>Herbaceous Species Dominance</t>
  </si>
  <si>
    <t>Plant Species of Conservation Concern</t>
  </si>
  <si>
    <t>fishing (including shellfish harvest)</t>
  </si>
  <si>
    <t>0-50 ft, or farther but on steep erodible slopes</t>
  </si>
  <si>
    <t>50-300 ft</t>
  </si>
  <si>
    <t>long-lasting, minimal veg recovery</t>
  </si>
  <si>
    <t>long-lasting but mostly revegetated</t>
  </si>
  <si>
    <t xml:space="preserve">short-term, revegetated, not intense </t>
  </si>
  <si>
    <t>Distance to Nearest Road</t>
  </si>
  <si>
    <t>S4</t>
  </si>
  <si>
    <t>5 to 30%</t>
  </si>
  <si>
    <t>30 to 60%</t>
  </si>
  <si>
    <t>60 to 90%</t>
  </si>
  <si>
    <t>Intermediate</t>
  </si>
  <si>
    <t>Drier Water Regime - Internal Causes</t>
  </si>
  <si>
    <t>Drier Water Regime - External Causes</t>
  </si>
  <si>
    <r>
      <t xml:space="preserve">Wetter Water Regime - </t>
    </r>
    <r>
      <rPr>
        <b/>
        <i/>
        <sz val="12"/>
        <rFont val="Arial"/>
        <family val="2"/>
      </rPr>
      <t>External</t>
    </r>
    <r>
      <rPr>
        <b/>
        <sz val="12"/>
        <rFont val="Arial"/>
        <family val="2"/>
      </rPr>
      <t xml:space="preserve"> Causes</t>
    </r>
  </si>
  <si>
    <t>S9</t>
  </si>
  <si>
    <t>Severe (3 pts)</t>
  </si>
  <si>
    <t>Medium (2 pts)</t>
  </si>
  <si>
    <t>Severe (3 points)</t>
  </si>
  <si>
    <t>Medium (2 points)</t>
  </si>
  <si>
    <t>Mild (1 point)</t>
  </si>
  <si>
    <t>6-12"</t>
  </si>
  <si>
    <t>&lt;6 inches</t>
  </si>
  <si>
    <t>Non-consumptive Uses - Actual or Potential</t>
  </si>
  <si>
    <t>&lt;3 yrs ago</t>
  </si>
  <si>
    <t xml:space="preserve">3-9 yrs ago </t>
  </si>
  <si>
    <t>10-100 yrs ago</t>
  </si>
  <si>
    <t>3-9 yrs ago</t>
  </si>
  <si>
    <t>Water level decrease</t>
  </si>
  <si>
    <t>Inundation now vs. previously</t>
  </si>
  <si>
    <t>Average water level increase</t>
  </si>
  <si>
    <t>Data</t>
  </si>
  <si>
    <t>Core Area 2</t>
  </si>
  <si>
    <t>Spatial extent of altered soil</t>
  </si>
  <si>
    <r>
      <t xml:space="preserve">Soil or Sediment Alteration </t>
    </r>
    <r>
      <rPr>
        <b/>
        <i/>
        <sz val="12"/>
        <rFont val="Arial"/>
        <family val="2"/>
      </rPr>
      <t>Within the Assessment Area</t>
    </r>
  </si>
  <si>
    <t>None of the above</t>
  </si>
  <si>
    <t>S3</t>
  </si>
  <si>
    <t>S2</t>
  </si>
  <si>
    <t>Ponded Water in Landscape</t>
  </si>
  <si>
    <t>Sediment Retention &amp; Stabilization (SR)</t>
  </si>
  <si>
    <t>Little or none</t>
  </si>
  <si>
    <t>Glacier Fed</t>
  </si>
  <si>
    <t xml:space="preserve">1-5 ft </t>
  </si>
  <si>
    <t>&gt;300 ft</t>
  </si>
  <si>
    <t xml:space="preserve">In the AA or within its wetland or within 100 ft of the AA, there are elevated terrestrial features such as cliffs, stream banks, excavated pits, or pumice walls (but not riprap) that extend at least 6 ft  nearly vertically, are unvegetated, and potentially contain crevices or other substrate suitable for nesting or den areas. </t>
  </si>
  <si>
    <t>&lt;1% (flat -- almost no noticeable slope)</t>
  </si>
  <si>
    <t>&gt;5 miles and on a different island</t>
  </si>
  <si>
    <t>Input Stream Gradient</t>
  </si>
  <si>
    <t>Aquatic Cover</t>
  </si>
  <si>
    <t>The maximum percent of the wetland that is visible from the best vantage point on public roads, public parking lots, public buildings, or public maintained trails that intersect, adjoin, or are within 300 ft of the AA (select one) is:</t>
  </si>
  <si>
    <r>
      <t xml:space="preserve">The distance from the </t>
    </r>
    <r>
      <rPr>
        <b/>
        <sz val="10"/>
        <rFont val="Arial Narrow"/>
        <family val="2"/>
      </rPr>
      <t xml:space="preserve">center </t>
    </r>
    <r>
      <rPr>
        <sz val="10"/>
        <rFont val="Arial Narrow"/>
        <family val="2"/>
      </rPr>
      <t>of the AA to the nearest maintained road (dirt or paved) is:</t>
    </r>
  </si>
  <si>
    <r>
      <t xml:space="preserve">The minimum distance from the AA </t>
    </r>
    <r>
      <rPr>
        <b/>
        <sz val="10"/>
        <rFont val="Arial Narrow"/>
        <family val="2"/>
      </rPr>
      <t>edge</t>
    </r>
    <r>
      <rPr>
        <sz val="10"/>
        <rFont val="Arial Narrow"/>
        <family val="2"/>
      </rPr>
      <t xml:space="preserve"> to the edge of the closest tract or corridor of </t>
    </r>
    <r>
      <rPr>
        <b/>
        <sz val="10"/>
        <rFont val="Arial Narrow"/>
        <family val="2"/>
      </rPr>
      <t xml:space="preserve">natural </t>
    </r>
    <r>
      <rPr>
        <sz val="10"/>
        <rFont val="Arial Narrow"/>
        <family val="2"/>
      </rPr>
      <t xml:space="preserve">(not necessarily native) land cover </t>
    </r>
    <r>
      <rPr>
        <b/>
        <sz val="10"/>
        <rFont val="Arial Narrow"/>
        <family val="2"/>
      </rPr>
      <t>larger than 100 acres</t>
    </r>
    <r>
      <rPr>
        <sz val="10"/>
        <rFont val="Arial Narrow"/>
        <family val="2"/>
      </rPr>
      <t>, is:</t>
    </r>
  </si>
  <si>
    <r>
      <t xml:space="preserve">Within a </t>
    </r>
    <r>
      <rPr>
        <b/>
        <sz val="10"/>
        <rFont val="Arial Narrow"/>
        <family val="2"/>
      </rPr>
      <t>2-mile</t>
    </r>
    <r>
      <rPr>
        <sz val="10"/>
        <rFont val="Arial Narrow"/>
        <family val="2"/>
      </rPr>
      <t xml:space="preserve"> radius measured from the </t>
    </r>
    <r>
      <rPr>
        <b/>
        <sz val="10"/>
        <rFont val="Arial Narrow"/>
        <family val="2"/>
      </rPr>
      <t>center</t>
    </r>
    <r>
      <rPr>
        <sz val="10"/>
        <rFont val="Arial Narrow"/>
        <family val="2"/>
      </rPr>
      <t xml:space="preserve"> of the AA, the percent of the </t>
    </r>
    <r>
      <rPr>
        <b/>
        <sz val="10"/>
        <rFont val="Arial Narrow"/>
        <family val="2"/>
      </rPr>
      <t xml:space="preserve">land </t>
    </r>
    <r>
      <rPr>
        <sz val="10"/>
        <rFont val="Arial Narrow"/>
        <family val="2"/>
      </rPr>
      <t xml:space="preserve">that has </t>
    </r>
    <r>
      <rPr>
        <i/>
        <sz val="10"/>
        <rFont val="Arial Narrow"/>
        <family val="2"/>
      </rPr>
      <t>natural land cover</t>
    </r>
    <r>
      <rPr>
        <sz val="10"/>
        <rFont val="Arial Narrow"/>
        <family val="2"/>
      </rPr>
      <t xml:space="preserve"> (</t>
    </r>
    <r>
      <rPr>
        <b/>
        <sz val="10"/>
        <rFont val="Arial Narrow"/>
        <family val="2"/>
      </rPr>
      <t>see definition on right</t>
    </r>
    <r>
      <rPr>
        <sz val="10"/>
        <rFont val="Arial Narrow"/>
        <family val="2"/>
      </rPr>
      <t>) is:</t>
    </r>
  </si>
  <si>
    <t>became mildly flashy or controlled</t>
  </si>
  <si>
    <t>Usual toxicity of most toxic contaminants</t>
  </si>
  <si>
    <t>Frequency &amp; duration of input</t>
  </si>
  <si>
    <t>AA proximity to main sources (actual or potential)</t>
  </si>
  <si>
    <t>0-50 ft</t>
  </si>
  <si>
    <t>50-300 ft or in groundwater</t>
  </si>
  <si>
    <t>Erosion in CA</t>
  </si>
  <si>
    <t>Recentness of significant soil disturbance in the CA</t>
  </si>
  <si>
    <t>current &amp; ongoing</t>
  </si>
  <si>
    <t>1-12 months ago</t>
  </si>
  <si>
    <t>&gt;1 yr ago</t>
  </si>
  <si>
    <t>AA proximity to actual or potential sources</t>
  </si>
  <si>
    <t>500-1000 ft</t>
  </si>
  <si>
    <t>Most of the edge between the AA's wetland and upland is (select one):</t>
  </si>
  <si>
    <t>Large Woody Debris</t>
  </si>
  <si>
    <t>Large woody debris that rises at least 3 ft above the marsh terrace or is present in tidal channels is:</t>
  </si>
  <si>
    <t>&gt;1000 ft</t>
  </si>
  <si>
    <t>Visibility</t>
  </si>
  <si>
    <t>Upland Edge Shape Complexity</t>
  </si>
  <si>
    <t>shift of weeks</t>
  </si>
  <si>
    <t>shift of days</t>
  </si>
  <si>
    <t>shift of hours or minutes</t>
  </si>
  <si>
    <t>intermediate</t>
  </si>
  <si>
    <t>Duration</t>
  </si>
  <si>
    <t>Timing of soil alteration</t>
  </si>
  <si>
    <t>S6</t>
  </si>
  <si>
    <t>S7</t>
  </si>
  <si>
    <t>5-25 ft</t>
  </si>
  <si>
    <t>No upstream glacier feeds the AA.</t>
  </si>
  <si>
    <t>150-1000 ft</t>
  </si>
  <si>
    <t>Geomorphic Setting</t>
  </si>
  <si>
    <t>Other setting</t>
  </si>
  <si>
    <t>Marsh Area Trend</t>
  </si>
  <si>
    <t>3-20 years ago</t>
  </si>
  <si>
    <t>20- 200 years ago</t>
  </si>
  <si>
    <t>&gt;200 years ago</t>
  </si>
  <si>
    <t>ShoreZone Habitat Diversity</t>
  </si>
  <si>
    <t xml:space="preserve">Distance to Lake </t>
  </si>
  <si>
    <t>Groundwater Seeps</t>
  </si>
  <si>
    <t>Width of Vegetated Zone at Daily High Tide</t>
  </si>
  <si>
    <t>Width of Vegetated Zone at Daily Low Tide</t>
  </si>
  <si>
    <t>Water Flow Restriction</t>
  </si>
  <si>
    <t>The cover of nitrogen-fixing plants (e.g., alder, sweetgale, legumes) along the AA's upland edge is:</t>
  </si>
  <si>
    <t xml:space="preserve">Extensive </t>
  </si>
  <si>
    <t>Internal Channel Network Complexity</t>
  </si>
  <si>
    <t>none (no adjoining mud flat is apparent at low tide)</t>
  </si>
  <si>
    <t>&lt;10 ft</t>
  </si>
  <si>
    <t>10-100 ft</t>
  </si>
  <si>
    <t>100-1000 ft</t>
  </si>
  <si>
    <t>&lt;3</t>
  </si>
  <si>
    <t>3-6</t>
  </si>
  <si>
    <t>7-14</t>
  </si>
  <si>
    <t>&gt;14</t>
  </si>
  <si>
    <t>Driftwood</t>
  </si>
  <si>
    <t xml:space="preserve">1-25% </t>
  </si>
  <si>
    <t xml:space="preserve">25 - 50% </t>
  </si>
  <si>
    <t>50 - 75%</t>
  </si>
  <si>
    <r>
      <t xml:space="preserve">Part of the AA has </t>
    </r>
    <r>
      <rPr>
        <b/>
        <sz val="10"/>
        <rFont val="Arial Narrow"/>
        <family val="2"/>
      </rPr>
      <t>less definitive evidence</t>
    </r>
    <r>
      <rPr>
        <sz val="10"/>
        <rFont val="Arial Narrow"/>
        <family val="2"/>
      </rPr>
      <t xml:space="preserve"> of discharging groundwater during summer.  Wetland is on organic, sandy, or gravelly soil AND is at the base of a natural slope of &gt;5% (as averaged over a distance of 1000 ft or until the first opposing break in elevation occurs). </t>
    </r>
  </si>
  <si>
    <t>Tidal Regime</t>
  </si>
  <si>
    <t>For each condition listed in the rows in the table below, estimate how much of the AA’s area (including its internal tidal channels) is likely to be accessible to small fish.  Then select one number from each row, and sum the four numbers and enter the sum in the column to the right.</t>
  </si>
  <si>
    <t>Cliffs or Banks</t>
  </si>
  <si>
    <t>&lt;1% or none, or AA has no upland edge</t>
  </si>
  <si>
    <t>Input Tributary</t>
  </si>
  <si>
    <t>MAX(IBA,RareBird)</t>
  </si>
  <si>
    <t>Coastal mink in Alaska rely on intertidal organisms in spring and summer (BenDavid et al. 1997) and roads with frequent traffic can pose a barrier to their movements.</t>
  </si>
  <si>
    <t>Many marine plants and animals are iron-limited.  Groundwater is often iron-rich and thus may support more species and/or higher biological production (Klinger &amp; Erickson 1997).</t>
  </si>
  <si>
    <t>Nomadic coho may enter the estuarine environment from natal or non-natal streams, rear there throughout the summer, and then emigrate to a non-natal stream for overwintering and smolting in the spring. This life history strategy promotes coho population resilience, and streams or rivers located near tidal wetlands support this (Koski 2009).</t>
  </si>
  <si>
    <t>AVERAGE(VwidthHigh, Groundw, TreeTypes, Trib, StreamDist, TmarshAge,ToxData)</t>
  </si>
  <si>
    <t xml:space="preserve">expanding outward into formerly subtidal waters due to delta deposition from logging or landslides, or landward due to glacial recession/ uplift, earthquake, or other causes. </t>
  </si>
  <si>
    <t>Natural Cover Extent</t>
  </si>
  <si>
    <t>Type of Cover Alteration</t>
  </si>
  <si>
    <r>
      <t xml:space="preserve">Within a </t>
    </r>
    <r>
      <rPr>
        <b/>
        <sz val="10"/>
        <rFont val="Arial Narrow"/>
        <family val="2"/>
      </rPr>
      <t xml:space="preserve">2-mile </t>
    </r>
    <r>
      <rPr>
        <sz val="10"/>
        <rFont val="Arial Narrow"/>
        <family val="2"/>
      </rPr>
      <t xml:space="preserve">radius measured from the </t>
    </r>
    <r>
      <rPr>
        <b/>
        <sz val="10"/>
        <rFont val="Arial Narrow"/>
        <family val="2"/>
      </rPr>
      <t>center</t>
    </r>
    <r>
      <rPr>
        <sz val="10"/>
        <rFont val="Arial Narrow"/>
        <family val="2"/>
      </rPr>
      <t xml:space="preserve"> of the AA, the area that is not "natural cover" or water is mostly:</t>
    </r>
  </si>
  <si>
    <t>NearLakeWet4</t>
  </si>
  <si>
    <t>Water exchange (not nececessarily fish access) via the connection described above is:</t>
  </si>
  <si>
    <t>unrestricted by an artificial feature such as a berm, culvert, or tidegate</t>
  </si>
  <si>
    <t>unknown if any artificial water restriction is present</t>
  </si>
  <si>
    <t>Natural Cover in Buffer</t>
  </si>
  <si>
    <t>Type of Cover in Buffer</t>
  </si>
  <si>
    <r>
      <t xml:space="preserve">Within </t>
    </r>
    <r>
      <rPr>
        <b/>
        <sz val="10"/>
        <rFont val="Arial Narrow"/>
        <family val="2"/>
      </rPr>
      <t>100 ft upslope</t>
    </r>
    <r>
      <rPr>
        <sz val="10"/>
        <rFont val="Arial Narrow"/>
        <family val="2"/>
      </rPr>
      <t xml:space="preserve"> of the AA's wetland-upland edge, the upland cover that is NOT natural or water is mostly:</t>
    </r>
  </si>
  <si>
    <t>Freshwater ponds and wettlands, if accessible to anadromous fish in tidal areas, provide additional habitat space and rich feeding and overwintering areas.</t>
  </si>
  <si>
    <t>Undisturbed shoreline vegetation tends to provide more terrestrial insects fed upon by fish, and helps remove contaminants before they reach tidal waters.</t>
  </si>
  <si>
    <t>Nomadic coho may enter the estuarine environment from natal or non-natal streams, rear there throughout the summer, and then emigrate to a non-natal stream for overwintering and smolting in the spring. This life history strategy promotes coho population resilience, and fresh ponds, lakes, or streams located near tidal wetlands support this if they are fish-accessible (Koski 2009).</t>
  </si>
  <si>
    <t>Distance to Eelgrass or Kelp</t>
  </si>
  <si>
    <t>in the Stikine, Alsek, Taiya-Chilkat-Skagway, or Taku deltas or estuaries</t>
  </si>
  <si>
    <t>As viewed at a coarse (e.g., 1:24000) scale, the AA is (select one):</t>
  </si>
  <si>
    <t xml:space="preserve">Tidal wetlands that are on or near rivers provide a variety of salinity regimes and are more likely to be along the migratory paths of fish on their way to or from spawning areas. Sheltered embayments appear to be preferred under some conditions by foraging salmonids (Fresh 2006). Marine fjords, canals, and straits receive some use, especially where tributaries enter, but the amount of upstream spawning habitat accessible to anadromous fish tends to be less.  </t>
  </si>
  <si>
    <t>These particular river basins provide the most extensive upriver spawning habitat.  Thus tidal wetlands located anywhere in the basin are likely to be used more than tidal wetlands at more isolated locations.</t>
  </si>
  <si>
    <t>see above</t>
  </si>
  <si>
    <t>Wider vegetated areas provide more area for sediment particles borne in runoff to be filtered and deposited. Knutson et al. (1981) found that emergent wetlands wider than 30 feet reduced wave energy by 88% while those less than 6 feet wide were relatively ineffective in wave buffering. Many studies have shown that sediment retention is greatest in the first 5-20 ft of a buffer, that is, the most uphill portion, which is closest to potential inputs of runoff-borne sediment (Polyakov et al. 2005, White et al. 2007). However, this depends on steepness of the terrain, erodibility and infiltration capacity of the soil, ground cover, antecedent soil saturation, sediment particle size, and runoff intensity. Wider buffers are required when runoff carries finer-sized particles (e.g., clay).</t>
  </si>
  <si>
    <t>Dense vegetation offers frictional resistance to water flow, promoting sedimentation of suspended particles, as well as reducing the resuspension of bottom sediments by waves and currents.</t>
  </si>
  <si>
    <t>Other factors being equal, wetlands in developed watersheds (with extensitve unvegetated area) tend to receive higher loads of sediment. Their sediment-trapping role could thus be considered to be more essential and valuable for protecting marine life habitat in adjacent deeper waters.</t>
  </si>
  <si>
    <t xml:space="preserve">Increased slope in a watershed or buffer strip allows for more erosion and transport of suspended particles downslope, e.g., Trimble &amp; Sartz (1957), Dillaha et al. (1988, 1989), Phillips (1989), and Nieswand et al. (1990). Sediment export from sloping lands mostly begins at about 10% slope and increases as slope becomes steeper (Zhang et al. 2010). </t>
  </si>
  <si>
    <t>Waters flowing from glaciers carry huge amounts of sediment, providing downstream wetlands with greater opportunity to perform this function.</t>
  </si>
  <si>
    <t xml:space="preserve">The need for (and value of) sediment retention that potentially could be provided by wetlands is greater when upland sediment loads are not being retained or rerouted by features closer to the sediment source. </t>
  </si>
  <si>
    <t>Wider bands of vegetation represent more biomass to be sequestered, and are more effective in trapping organic matter carried to the wetland by upland runoff or tidal currents.</t>
  </si>
  <si>
    <t xml:space="preserve">Denser stands of vegetation, although sometimes less productive than more open stands, typically sequester a larger proportion of their organic matter. </t>
  </si>
  <si>
    <t xml:space="preserve">The initial sparseness of vegetation in new wetlands suggests that overall carbon stores are less than in some of the more mature wetlands with greater plant cover, diversity, and structural complexity. Aboveground production and soil organic matter have been shown to be less in lands newly restored to wetland conditions than in long-established wetlands (Fennessy et al. 2008).  However, many pioneering plants in new wetlands (especially on fertile soils) grow rapidly and thus are fixing large amounts of carbon per plant per unit time. </t>
  </si>
  <si>
    <t>Public ownership generally implies greater public use.</t>
  </si>
  <si>
    <t>This is a direct estimate of public use.</t>
  </si>
  <si>
    <t>The provision of trails, access for people with disabilities, and interpretive signs encourages greater public use of wetlands.</t>
  </si>
  <si>
    <t>If accessible, wetlands closer to population centers are likely to be visited by more people on foot.</t>
  </si>
  <si>
    <t>Mitigation wetlands represent an investment of funds in the public's interest, which should not be wasted.</t>
  </si>
  <si>
    <t>Prior public investment for these purposes requires greater protection.</t>
  </si>
  <si>
    <t>Collection of long term data from wetlands is in the public interest partly because it can lead to more effective and fair regulations.</t>
  </si>
  <si>
    <t>Because access tends to be better, subsistence activities may be greater on public than on private (except tribal) lands.</t>
  </si>
  <si>
    <t>subsistence-focused harvesting of native plants, their fruits, or mushrooms</t>
  </si>
  <si>
    <t>These are direct measures of resource use, though not necessarily for subsistence purposes.</t>
  </si>
  <si>
    <t>Human access to wild foods is greater when close to population centers. However, so is access to store-bought alternatives, and Kruger (2005) reported no strong relationship between proximity or population size and the degree of subsistence dependency.</t>
  </si>
  <si>
    <t>Anadromous fish are a major subsistence food. If fish cannot access a wetland, its value for subsistence is more limited.</t>
  </si>
  <si>
    <t>Salmon are a major subsistence food. Watersheds that potentially support salmonids the most thus are scored higher for subsistence.</t>
  </si>
  <si>
    <t>Although imperfect and incomplete, the ADFW maps and reports are presently the best available source of information on important geographic locations for subsistence.</t>
  </si>
  <si>
    <t>Tributaries increase the potential for fish presence in a tidal wetland, and those fish may be important for subsistence.</t>
  </si>
  <si>
    <t xml:space="preserve">Narrow wetlands tend to be more susceptible to erosion from waves and currents.  Their microclimate also is more precarious, trees are more subject to windthrow (Martin &amp; Grotenfendt 2007, Bahuguna et al. 2010), and their wildlife may be more susceptible to predation. In narrow strips or small patches of vegetation, the native plant communities are more vulnerable to invasion from non-native species from adjoining lands. </t>
  </si>
  <si>
    <t>Because of its ability to fertilize soil, alder and other N-fixing plants can speed biological recovery following disturbance [Gomi et al. 2006].  Wetlands without alder may be slower to recover and thus more sensitive.  However, the degree to which N availability may limit plant growth in tidal wetlands is unknown.</t>
  </si>
  <si>
    <t xml:space="preserve">Wetlands adjoined by steep slopes are likely to be subject to more sediment and contaminant input, other factors being equal.  </t>
  </si>
  <si>
    <t>Recovery is likely to take longer if a tidal wetland is small and isolated from others.</t>
  </si>
  <si>
    <t>Tidal wetlands highly exposed to wind and waves may take longer to recover from disturbances.</t>
  </si>
  <si>
    <t>Tidal wetlands whose area has been shrinking may be more sensitive to additional disturbances.</t>
  </si>
  <si>
    <t>Older tidal wetlands usually have better-developed plant communities which have greater resilience to additional disturbances.</t>
  </si>
  <si>
    <t>Individuals belonging to species that are on the margins of their geographic range at this location tend to be more sensitive to some types of environmental disturbances.</t>
  </si>
  <si>
    <t>The AA is part of or contiguous to a wetland on which public or private organizational funds were spent to preserve, create, restore, enhance, the wetland (excluding mitigation wetlands). Enter: yes= 1, no= 0, no information= change to blank.</t>
  </si>
  <si>
    <t>The AA is all or part of a mitigation site used explicitly to offset impacts elsewhere.  Enter: yes= 1, no= 0, no information= change to blank.</t>
  </si>
  <si>
    <r>
      <t xml:space="preserve">There are </t>
    </r>
    <r>
      <rPr>
        <b/>
        <sz val="10"/>
        <rFont val="Arial Narrow"/>
        <family val="2"/>
      </rPr>
      <t>several</t>
    </r>
    <r>
      <rPr>
        <sz val="10"/>
        <rFont val="Arial Narrow"/>
        <family val="2"/>
      </rPr>
      <t xml:space="preserve"> herbaceous species, </t>
    </r>
    <r>
      <rPr>
        <b/>
        <sz val="10"/>
        <rFont val="Arial Narrow"/>
        <family val="2"/>
      </rPr>
      <t>including some non-natives</t>
    </r>
    <r>
      <rPr>
        <sz val="10"/>
        <rFont val="Arial Narrow"/>
        <family val="2"/>
      </rPr>
      <t xml:space="preserve">, but </t>
    </r>
    <r>
      <rPr>
        <b/>
        <sz val="10"/>
        <rFont val="Arial Narrow"/>
        <family val="2"/>
      </rPr>
      <t>no species is dominan</t>
    </r>
    <r>
      <rPr>
        <sz val="10"/>
        <rFont val="Arial Narrow"/>
        <family val="2"/>
      </rPr>
      <t>t. That is, no two of the species together comprise &gt;50% of the areal cover of herbaceous plants.</t>
    </r>
  </si>
  <si>
    <r>
      <t xml:space="preserve">There are </t>
    </r>
    <r>
      <rPr>
        <b/>
        <sz val="10"/>
        <rFont val="Arial Narrow"/>
        <family val="2"/>
      </rPr>
      <t>several</t>
    </r>
    <r>
      <rPr>
        <sz val="10"/>
        <rFont val="Arial Narrow"/>
        <family val="2"/>
      </rPr>
      <t xml:space="preserve"> herbaceous species but </t>
    </r>
    <r>
      <rPr>
        <b/>
        <sz val="10"/>
        <rFont val="Arial Narrow"/>
        <family val="2"/>
      </rPr>
      <t>no species is non-native or dominan</t>
    </r>
    <r>
      <rPr>
        <sz val="10"/>
        <rFont val="Arial Narrow"/>
        <family val="2"/>
      </rPr>
      <t>t. No two of the native species together comprise &gt;50% of the areal cover of herbaceous plants.</t>
    </r>
  </si>
  <si>
    <t>Subsistence Focal Area</t>
  </si>
  <si>
    <t>semi-protected</t>
  </si>
  <si>
    <t>semi-exposed</t>
  </si>
  <si>
    <r>
      <t xml:space="preserve">A relatively large proportion of the precipitation that falls on the slope adjoining the AA reaches this wetland quickly as runoff (surface water), as indicated by the following: 
(a) input stream or channel is present, 
(b) input channels have been straightened, 
(c) upslope wetlands have been ditched extensively, 
(d) land cover is mostly non-forest, 
(e) slopes are steep, and/or
(f) most soils in the contributing area are shallow and/or have high runoff coefficients.  
</t>
    </r>
    <r>
      <rPr>
        <b/>
        <sz val="10"/>
        <rFont val="Arial Narrow"/>
        <family val="2"/>
      </rPr>
      <t>This statement is:</t>
    </r>
  </si>
  <si>
    <t>Large Estuarine Extent</t>
  </si>
  <si>
    <r>
      <t xml:space="preserve">One or two species together comprise </t>
    </r>
    <r>
      <rPr>
        <b/>
        <sz val="10"/>
        <rFont val="Arial Narrow"/>
        <family val="2"/>
      </rPr>
      <t>&gt;50%</t>
    </r>
    <r>
      <rPr>
        <sz val="10"/>
        <rFont val="Arial Narrow"/>
        <family val="2"/>
      </rPr>
      <t xml:space="preserve"> of the areal cover of herbaceous plants at any time during the year, and both are </t>
    </r>
    <r>
      <rPr>
        <b/>
        <sz val="10"/>
        <rFont val="Arial Narrow"/>
        <family val="2"/>
      </rPr>
      <t>native</t>
    </r>
    <r>
      <rPr>
        <sz val="10"/>
        <rFont val="Arial Narrow"/>
        <family val="2"/>
      </rPr>
      <t xml:space="preserve"> species.</t>
    </r>
  </si>
  <si>
    <t>Biological Wave Exposure</t>
  </si>
  <si>
    <t>exposed or very exposed</t>
  </si>
  <si>
    <t xml:space="preserve">Values Score for Subsistence </t>
  </si>
  <si>
    <t>Wetlands constantly exposed to waves are more likely to be eroding than depositing suspended sediment.</t>
  </si>
  <si>
    <t>Natural outward expansion of a wetland can be the result of increased sedimentation rates.</t>
  </si>
  <si>
    <t>Eelgrass and kelp productivity is impaired when underwater light is reduced by suspended sediments.  Thus, wetlands that retain sediment help protect eelgrass and kelp important to marine life, and thus may be considered to be more valuable.</t>
  </si>
  <si>
    <t>Steeper input streams are likely to be transporting more suspended sediment to coastal wetlands.</t>
  </si>
  <si>
    <t>Presence of streams nearby increases the probability of significant amounts of upland sediment being transported to a wetland.</t>
  </si>
  <si>
    <t>Alteration of natural cover typically increases sediment loading to downslope wetlands, thus increasing their role in retaining the sediment.</t>
  </si>
  <si>
    <t>Several studies have reported methane emissions in freshwater tidal wetlands are greater, especially over the range of 0.5 to 5 ppt, as compared with more saline wetlands (e.g., Poffenbarger et al. 2011).</t>
  </si>
  <si>
    <t>Accreting tidal wetlands suggest that organic matter as well as sediment may be accumulating faster than it is eroded.</t>
  </si>
  <si>
    <t>Ditching or other drying of tidal marshes, by drawing down water levels and speeding decomposition, can oxidize accumulated organic matter.</t>
  </si>
  <si>
    <t>Channels increase the edge length between vegetation and water, and thus provide a mode for transporting organic matter out of a wetland.</t>
  </si>
  <si>
    <t>See above.</t>
  </si>
  <si>
    <t>Water energy capable of exporting organic matter from wetlands is greatest where tidal wetlands are located in river floodplains or on exposed shorelines.</t>
  </si>
  <si>
    <t>Input tributaries potentially increase the energy available in a tidal wetland for exporting the wetland's organic matter.</t>
  </si>
  <si>
    <t>Steeper tributaries increase the energy available in a tidal wetland for exporting the wetland's organic matter.</t>
  </si>
  <si>
    <t>Water energy capable of exporting organic matter from wetlands is greatest where tidal wetlands are located on shorelines with more wave exposure.</t>
  </si>
  <si>
    <t>Large wood and other features that provide cover reduce predation on young fish, as well as reducing current velocity.</t>
  </si>
  <si>
    <t>A vegetated area that is wide even at low tide implies more cover is available for fish during high tide.</t>
  </si>
  <si>
    <t>For a tidal wetland to be used by fish, they obviously must be able to access it.</t>
  </si>
  <si>
    <t>Groundwater seeps mediate severe fluctuations in temperature and salinity in tidal marshes, and thus may benefit fish.</t>
  </si>
  <si>
    <t>Altered shorelines adjoining a tidal wetland provide less insect foods, and where they contribute significant runoff, they may be associated with more erratic salinity and temperature conditions.</t>
  </si>
  <si>
    <t>Presence of sparwning streams nearby is likely to increase anadromous fish use of tidal wetlands near those streams.</t>
  </si>
  <si>
    <t>Polluted waters are potentially detrimental to fish and other aquatic life, depending on the contaminant and other factors.</t>
  </si>
  <si>
    <t>Presence of streams nearby is likely to increase anadromous fish use of tidal wetlands near those streams.</t>
  </si>
  <si>
    <t>Tidal wetlands that are large for their biogeographic area potentially provide more habitat for fish.</t>
  </si>
  <si>
    <t>Wetlands closer to population centers are more likely to be fished, thus making habitats that support fish in those areas more valued.</t>
  </si>
  <si>
    <t>Fish are a major subsistence food, so wetlands that support fish in important subsistence areas may be considered more valuable.</t>
  </si>
  <si>
    <t>Fish are a major food for bears, so wetlands that support fish in important bear habitat areas may be considered more valuable.</t>
  </si>
  <si>
    <t>Wetlands that are wide at low tide are likely to provide more flooded vegetation that birds feed upon during high tide.</t>
  </si>
  <si>
    <t>A wide high marsh provides more space for roosting shorebirds during high tides.</t>
  </si>
  <si>
    <t>Many coastal shorebirds move temporarily to freshwater wetlands as tides rise and cover tidal wetlands.  Availability of such wetlands nearby may increase use of the tidal wetlands as well.</t>
  </si>
  <si>
    <t>Waterbirds use tidal wetlands for longer periods when not frequently disturbed by intruding humans.</t>
  </si>
  <si>
    <t>A wider variety of shoreline types within a small area implies that different food resources, which complement those found in tidal wetlands, may be available to fish.</t>
  </si>
  <si>
    <t>A wider variety of shoreline types within a small area implies that different food resources, which complement those found in tidal wetlands, may be available to waterbirds.</t>
  </si>
  <si>
    <t>Presence of other tidal wetlands nearby increases the feeding opportunities for mobile organisms like birds.</t>
  </si>
  <si>
    <t>Eelgrass patches are extremely important to salmonids, sand lance, and other Alaskan fish fed upon by coastal waterbirds.</t>
  </si>
  <si>
    <t xml:space="preserve">In Southeast Alaska, the numbers and diversity of waterbirds using tidal wetlands might be greater closer to mainland locations (at least at low elevations) than along the outer coast (Johnson et al. 2008). Rivers in these particular large watersheds originate in Canada and tend to draw larger or more diverse migrating flocks. </t>
  </si>
  <si>
    <t>River deltas and sheltered bays tend to draw more wetland-dependent waterbirds in Southeast Alaska.</t>
  </si>
  <si>
    <t>Freshwater tributaries that intersect tidal wetlands may increase the availability of fish and invertebrate foods important to coastal waterbirds.</t>
  </si>
  <si>
    <t>Sheltered areas provide better cover for waterbirds during coastal storms.</t>
  </si>
  <si>
    <r>
      <t xml:space="preserve">Due to impassible culverts, tidegates, or other physical infrastructure barriers (not glacial uplift or other natural factors), anadromous fish cannot access part of the AA that </t>
    </r>
    <r>
      <rPr>
        <b/>
        <sz val="10"/>
        <rFont val="Arial Narrow"/>
        <family val="2"/>
      </rPr>
      <t>currently is tidal.</t>
    </r>
  </si>
  <si>
    <t>Neither is true, or uncertain.</t>
  </si>
  <si>
    <t>Fishblock4</t>
  </si>
  <si>
    <t>AVERAGE(ShoreZdiv,AqCov, BlindChan,ChanComplex)</t>
  </si>
  <si>
    <t>MAX(Subsis,AVERAGE(PopCtr,BearShed,DistTidal)</t>
  </si>
  <si>
    <t>AVERAGE(LowMarsh, (2*Substrate + 2*Salinity + Struc + InvasPot + Lscape) / 7</t>
  </si>
  <si>
    <r>
      <t>One or more of these species -- Osprey, Peregrine Falcon, Queen Charlotte Goshawk, Olive-sided Flycatcher, Rusty Blackbird -- has been detected</t>
    </r>
    <r>
      <rPr>
        <b/>
        <sz val="10"/>
        <rFont val="Arial Narrow"/>
        <family val="2"/>
      </rPr>
      <t xml:space="preserve"> nesting</t>
    </r>
    <r>
      <rPr>
        <sz val="10"/>
        <rFont val="Arial Narrow"/>
        <family val="2"/>
      </rPr>
      <t xml:space="preserve"> semi-annually along the AA's </t>
    </r>
    <r>
      <rPr>
        <b/>
        <sz val="10"/>
        <rFont val="Arial Narrow"/>
        <family val="2"/>
      </rPr>
      <t>upland edge</t>
    </r>
    <r>
      <rPr>
        <sz val="10"/>
        <rFont val="Arial Narrow"/>
        <family val="2"/>
      </rPr>
      <t xml:space="preserve"> (within 300 ft) under conditions similar to what now occur, by a qualified observer.  Enter "1" if yes, "0" if no or unknown.</t>
    </r>
  </si>
  <si>
    <t xml:space="preserve">Most of the contributing area within 1000 ft upslope from the AA faces: </t>
  </si>
  <si>
    <t xml:space="preserve">Distance to Nontidal Pond </t>
  </si>
  <si>
    <t>Vegetation Connectivity to Non-tidal Pond</t>
  </si>
  <si>
    <t>Water Connectivity to Non-tidal Pond</t>
  </si>
  <si>
    <r>
      <t xml:space="preserve">The number of </t>
    </r>
    <r>
      <rPr>
        <b/>
        <sz val="10"/>
        <rFont val="Arial Narrow"/>
        <family val="2"/>
      </rPr>
      <t xml:space="preserve">"Coastal Classes" </t>
    </r>
    <r>
      <rPr>
        <sz val="10"/>
        <rFont val="Arial Narrow"/>
        <family val="2"/>
      </rPr>
      <t>(colors) mapped within 1 water mile of the AA, including the AA itself, is (</t>
    </r>
    <r>
      <rPr>
        <i/>
        <sz val="10"/>
        <rFont val="Arial Narrow"/>
        <family val="2"/>
      </rPr>
      <t>see directions in column E</t>
    </r>
    <r>
      <rPr>
        <sz val="10"/>
        <rFont val="Arial Narrow"/>
        <family val="2"/>
      </rPr>
      <t xml:space="preserve">): </t>
    </r>
  </si>
  <si>
    <t>&lt;150 ft, or present within the AA</t>
  </si>
  <si>
    <t>The larger the proportion of marsh flooded by tides, the greater the access by fish is likely to be.</t>
  </si>
  <si>
    <t>FloodPct4</t>
  </si>
  <si>
    <t>AVERAGE [Geog,RivBay, Salmoshed, AVERAGE(DistTidalM, TmarshShed), DistEelg, AVERAGE(NearLakeWet, PondDist, PondConnec, AnadAccess,PondPassage,BuffLCpct, BuffLCtype) ]</t>
  </si>
  <si>
    <t>FloodPct3</t>
  </si>
  <si>
    <t>The larger the proportion of marsh flooded by tides, the greater the proportion of its annual plant biomass that is vulnerable to being exported.</t>
  </si>
  <si>
    <t>Weight</t>
  </si>
  <si>
    <t>Data x Weight</t>
  </si>
  <si>
    <r>
      <t>At daily</t>
    </r>
    <r>
      <rPr>
        <b/>
        <sz val="10"/>
        <rFont val="Arial Narrow"/>
        <family val="2"/>
      </rPr>
      <t xml:space="preserve"> low </t>
    </r>
    <r>
      <rPr>
        <sz val="10"/>
        <rFont val="Arial Narrow"/>
        <family val="2"/>
      </rPr>
      <t>tide, the average width of vegetated area in the AA that separates adjoining uplands from most deepwater (subtidal water) within or adjoining the AA, or from the largest intersecting river or tributary (whichever is less), is:</t>
    </r>
  </si>
  <si>
    <r>
      <t xml:space="preserve">At daily </t>
    </r>
    <r>
      <rPr>
        <b/>
        <sz val="10"/>
        <rFont val="Arial Narrow"/>
        <family val="2"/>
      </rPr>
      <t>high</t>
    </r>
    <r>
      <rPr>
        <sz val="10"/>
        <rFont val="Arial Narrow"/>
        <family val="2"/>
      </rPr>
      <t xml:space="preserve"> tide, the average width of vegetated area in the AA that separates adjoining uplands from most deepwater (subtidal water) within or adjoining the AA, or from the largest intersecting river or tributary (whichever is less), is:</t>
    </r>
  </si>
  <si>
    <t>Within the part of the AA and its internal channels that remain underwater during mean daily low tide, the extent of fish cover provided at that time by partly submerged vegetation, inchannel pools, horizontally incised banks, and pieces of wood (thicker than 6 inches and longer than 4 feet, or smaller pieces in dense accumulations) is:</t>
  </si>
  <si>
    <r>
      <t xml:space="preserve">A pond, lake, or </t>
    </r>
    <r>
      <rPr>
        <b/>
        <sz val="10"/>
        <rFont val="Arial Narrow"/>
        <family val="2"/>
      </rPr>
      <t>non-tidal</t>
    </r>
    <r>
      <rPr>
        <sz val="10"/>
        <rFont val="Arial Narrow"/>
        <family val="2"/>
      </rPr>
      <t xml:space="preserve"> wetland </t>
    </r>
    <r>
      <rPr>
        <b/>
        <sz val="10"/>
        <rFont val="Arial Narrow"/>
        <family val="2"/>
      </rPr>
      <t>larger than 1 acre</t>
    </r>
    <r>
      <rPr>
        <sz val="10"/>
        <rFont val="Arial Narrow"/>
        <family val="2"/>
      </rPr>
      <t xml:space="preserve"> and</t>
    </r>
    <r>
      <rPr>
        <b/>
        <sz val="10"/>
        <rFont val="Arial Narrow"/>
        <family val="2"/>
      </rPr>
      <t xml:space="preserve"> with &gt;30%</t>
    </r>
    <r>
      <rPr>
        <sz val="10"/>
        <rFont val="Arial Narrow"/>
        <family val="2"/>
      </rPr>
      <t xml:space="preserve"> open water in summer is </t>
    </r>
    <r>
      <rPr>
        <b/>
        <sz val="10"/>
        <rFont val="Arial Narrow"/>
        <family val="2"/>
      </rPr>
      <t xml:space="preserve">within 1 mile </t>
    </r>
    <r>
      <rPr>
        <sz val="10"/>
        <rFont val="Arial Narrow"/>
        <family val="2"/>
      </rPr>
      <t xml:space="preserve">of the AA.  If so, enter "1" and continue, </t>
    </r>
    <r>
      <rPr>
        <sz val="10"/>
        <color rgb="FFFF0000"/>
        <rFont val="Arial Narrow"/>
        <family val="2"/>
      </rPr>
      <t xml:space="preserve">otherwise </t>
    </r>
    <r>
      <rPr>
        <b/>
        <sz val="10"/>
        <color rgb="FFFF0000"/>
        <rFont val="Arial Narrow"/>
        <family val="2"/>
      </rPr>
      <t>END HERE</t>
    </r>
    <r>
      <rPr>
        <sz val="10"/>
        <color rgb="FFFF0000"/>
        <rFont val="Arial Narrow"/>
        <family val="2"/>
      </rPr>
      <t>.</t>
    </r>
  </si>
  <si>
    <t>Indicator</t>
  </si>
  <si>
    <t>Condition Choices</t>
  </si>
  <si>
    <r>
      <t xml:space="preserve">Wetter Water Regime - </t>
    </r>
    <r>
      <rPr>
        <b/>
        <i/>
        <sz val="14"/>
        <rFont val="Arial Narrow"/>
        <family val="2"/>
      </rPr>
      <t xml:space="preserve">Internal </t>
    </r>
    <r>
      <rPr>
        <b/>
        <sz val="14"/>
        <rFont val="Arial Narrow"/>
        <family val="2"/>
      </rPr>
      <t>Causes</t>
    </r>
  </si>
  <si>
    <t>infrequent &amp; mainly during a single or scattered events</t>
  </si>
  <si>
    <t xml:space="preserve"> active mine, mid-sized town, cropland</t>
  </si>
  <si>
    <t>mildly impacting (reclaimed mine, low density residential)</t>
  </si>
  <si>
    <t>Explanations, Definitions</t>
  </si>
  <si>
    <t>[CS, OE, FA, WBF, SBM]</t>
  </si>
  <si>
    <r>
      <rPr>
        <b/>
        <sz val="10"/>
        <rFont val="Arial Narrow"/>
        <family val="2"/>
      </rPr>
      <t>*Major river</t>
    </r>
    <r>
      <rPr>
        <sz val="10"/>
        <rFont val="Arial Narrow"/>
        <family val="2"/>
      </rPr>
      <t xml:space="preserve"> = channel &gt;150 ft wide at mean annual flow.  </t>
    </r>
    <r>
      <rPr>
        <b/>
        <sz val="10"/>
        <rFont val="Arial Narrow"/>
        <family val="2"/>
      </rPr>
      <t xml:space="preserve">Head of tide </t>
    </r>
    <r>
      <rPr>
        <sz val="10"/>
        <rFont val="Arial Narrow"/>
        <family val="2"/>
      </rPr>
      <t xml:space="preserve">= the farthest point upriver where no daily fluctuations in water levels due to tides are noticeable, even during river base-flow conditions. [CS, OE, FA, WBF, SBM, PH]  </t>
    </r>
  </si>
  <si>
    <t>Ponded water = any surface water greater than 1 acre that is not obviously part of a river, stream, or tidal system. In the online WESPAK-SE Wetlands Module, enable the Land Classification Level 1 layer and look for blue polygons.  Also include herbaceous (emergent) wetlands larger than 1 acre if they are inundated and water is ponded at least seasonally.  [WBF]</t>
  </si>
  <si>
    <t>In the online WESPAK-SE Wetlands Module, enable the Land Classification Level 1 layer and look for blue polygons larger than 20 acres.  If multiple smaller water bodies are separated by &lt;150 ft they may be combined when evaluating acreage. [WBF]</t>
  </si>
  <si>
    <t xml:space="preserve">1) In the WESPAK Module's Table of Contents menu, click on ShoreZone. 
2) Expand the menu (click on +) and check Derived ShoreZone Attributes.  Web site may take up to 20 seconds to respond to each click.
3) Expand (+) that menu, then check BC Class.
4) Count the number of colors within 1 water-mile of the AA, not necessarily on the same shoreline. Include only fish-accessible areas.  [FA, WBF]
</t>
  </si>
  <si>
    <t>Follow steps 1 and 2 above, then check Seagrass Biobands and Canopy Kelp Biobands. Additionally, verify with aerial imagery and/or do field survey.  [SRv, FA, WBF]</t>
  </si>
  <si>
    <t>"Mudflat" does not include areas that are mainly sand, cobble, or gravel.  Base the determination on field observations during mean low tide, or by viewing aerial images at low tide, or by viewing the online Wetlands Module.  In the online Wetlands Module, select Best Available from the basemap menu to show aerial imagery and determine if a mudflat is present.  If it is, click on Intertidal Areas- SEAK Hydro and increase the layer's transparency. Measure distance (mudflat width) from upland to Subtidal (or an adjoining permanent channel, if closer) on a line passing through the AA, and exclude the vegetated part of the AA from the measured width. [SR, WBF]</t>
  </si>
  <si>
    <t>Interpret from aerial imagery or ground observations. [OE, FA, WBF, SBM, Subsis]</t>
  </si>
  <si>
    <r>
      <t xml:space="preserve">In the online Wetlands Module, select </t>
    </r>
    <r>
      <rPr>
        <b/>
        <sz val="10"/>
        <rFont val="Arial Narrow"/>
        <family val="2"/>
      </rPr>
      <t>SEAK Hydro Process Groups &gt; Stream Class</t>
    </r>
    <r>
      <rPr>
        <sz val="10"/>
        <rFont val="Arial Narrow"/>
        <family val="2"/>
      </rPr>
      <t xml:space="preserve">  and be sure to UNcheck Process Groups (below it) and SEAK Hydro Streams (above it) to avoid confusing colors.  Simultaneously, check </t>
    </r>
    <r>
      <rPr>
        <b/>
        <sz val="10"/>
        <rFont val="Arial Narrow"/>
        <family val="2"/>
      </rPr>
      <t>Habitat Layers &gt; Anadromous Waters Catalog</t>
    </r>
    <r>
      <rPr>
        <sz val="10"/>
        <rFont val="Arial Narrow"/>
        <family val="2"/>
      </rPr>
      <t>. If stream not shown or condition unknown, contact ADFG to be sure not Anadromous, and ask about other fish use. [FA, Subsis]</t>
    </r>
  </si>
  <si>
    <t>Mendenhall Wetlands (Juneau), Berners Bay (Juneau), Port Snettisham (Juneau), Blacksand Spit (Yakutat), Icy Bay (Yakutat), Chilkat Bald Eagle Preserve (Haines), St. Lazaria Island (Sitka), Forrester Island (Prince of Wales-Outer Ketchikan), Stikine River Delta (Wrangell-Petersburg). [WBFv,SBMv]</t>
  </si>
  <si>
    <t>[SRv, WBF]</t>
  </si>
  <si>
    <t>Determine this using historical aerial photography, old maps, soil maps, or permit files as available. [SR, CS, Sens]</t>
  </si>
  <si>
    <t>[SBM]</t>
  </si>
  <si>
    <t>The score is based on the size of the estuary relative to others within its biogeographic province. [FA,WBF]</t>
  </si>
  <si>
    <t>The rating is based on number of salmonid species present in the watershed and habitat suitability (based on stream type and floodplain extent) relative to suitability in other waters of their biogeographic province. [FA,WBF,Subsis]</t>
  </si>
  <si>
    <t>[PU]</t>
  </si>
  <si>
    <t>These are wetland-associated songbird or raptor species of conservation concern that nest in Southeast Alaska. [SBMv, Sens]</t>
  </si>
  <si>
    <t>[PHv, Sens]</t>
  </si>
  <si>
    <r>
      <t xml:space="preserve">The percentage of the contributing area (measured to no more than 1000 ft </t>
    </r>
    <r>
      <rPr>
        <sz val="10"/>
        <rFont val="Arial Narrow"/>
        <family val="2"/>
      </rPr>
      <t>upslope) that drains directly to the AA and is comprised of buildings, roads, parking lots, other pavement, recent (&lt;5 years old) clearcuts, exposed bedrock, debris flows, and other mostly-bare (but unfrozen) surface is about :</t>
    </r>
  </si>
  <si>
    <r>
      <t>Due to impassible culverts, tidegates, or other physical infrastructure barriers (not glacial uplift or other natural factors), anadromous fish cannot access a</t>
    </r>
    <r>
      <rPr>
        <b/>
        <sz val="10"/>
        <rFont val="Arial Narrow"/>
        <family val="2"/>
      </rPr>
      <t xml:space="preserve"> contiguous non-tidal wetland or stream</t>
    </r>
    <r>
      <rPr>
        <sz val="10"/>
        <rFont val="Arial Narrow"/>
        <family val="2"/>
      </rPr>
      <t xml:space="preserve"> which can be assumed to have been tidally connected within the past 100 years. </t>
    </r>
  </si>
  <si>
    <t>When visiting at low tide, look for wrack lines indicating elevation and extent of high tide, and consider topography  Also consult series of aerial images which might show the same wetland at different tidal heights. [SR, CS, OE, FA, WBF, SBM, PH]</t>
  </si>
  <si>
    <t>If the AA is only part of a wetland and does not have an upland and/or subtidal edge, measure the distances between those edges that are closest to the AA.  For most sites larger than 10 acres, measure the width using aerial imagery rather than in the field.  [SR, CS, OE, FA, WBF]</t>
  </si>
  <si>
    <t>[FA]</t>
  </si>
  <si>
    <t>[FA, PH]</t>
  </si>
  <si>
    <r>
      <rPr>
        <b/>
        <sz val="10"/>
        <rFont val="Arial Narrow"/>
        <family val="2"/>
      </rPr>
      <t xml:space="preserve">forbs </t>
    </r>
    <r>
      <rPr>
        <sz val="10"/>
        <rFont val="Arial Narrow"/>
        <family val="2"/>
      </rPr>
      <t>= flowering non-woody vascular plants (excludes grasses, sedges, ferns, mosses). Do not include non-wetland forb species (i.e., rating of FACU or UPL).  [PH]</t>
    </r>
  </si>
  <si>
    <t>Do not include eelgrass or seaweeds. [PH]</t>
  </si>
  <si>
    <t>See chart in Appendix C of the Manual.  Determine by examining soil in at least 3 widely-spaced locations within the AA. "Organic" includes muck, mucky peat, peat, and mucky mineral soils that comprise the "Oi" horizon. Duff layer= fallen leaves, woody material, live or dead roots, moss that has undergone partial decomposition. [CS, PH]</t>
  </si>
  <si>
    <t>If the AA is only part of a wetland and does not have an upland edge, measure this along the upland edge closest to the AA.  [SBM]</t>
  </si>
  <si>
    <t>[FA, SBM, PH]</t>
  </si>
  <si>
    <t>[PU, Subsis]</t>
  </si>
  <si>
    <t>Evidence of these consumptive uses may consist of direct observation, or presence of physical evidence (e.g.,fishing lures, shell casings), or might be obtained from communication with the land owner or manager. [Subsis]</t>
  </si>
  <si>
    <t xml:space="preserve"> [OE, FA, WBF]</t>
  </si>
  <si>
    <t>If a channel loops around and rejoins its source channel, count this as only one junction. [OE, FA, WBF]</t>
  </si>
  <si>
    <t>If the AA is only part of a wetland and does not have an upland edge, measure this along the upland edge closest to the AA. [SBM]</t>
  </si>
  <si>
    <t>[FA, WBF]</t>
  </si>
  <si>
    <t>Thatch is dead plant material (stems, leaves) resting on the ground surface.  [SR, CS, PH]</t>
  </si>
  <si>
    <t>DIRECTIONS:  Conduct an assessment only after reading the accompanying Manual and explanations in last column below.  Except where instructed otherwise, in the Data column change the 0 (false) to a 1 (true) for the best choice, or for multiple choices where allowed and so indicated.  Answer these questions primarily based on your onsite observations and interpretations.  Do not write in shaded parts of this data form.  Answering some questions accurately may require conferring with the landowner or other knowledgable persons, and/or reviewing aerial imagery. For a listing of functions to which each question pertains, see bracketed codes in column E.  For detailed descriptions of each WESPAK-SE model, see Appendix F of the accompanying Manual.  Codes for functions and values are: SR= Sediment Retention, CS= Carbon Sequestration, OE= Organic Export, FA= Anadromous Fish, WBF= Feeding Waterbirds, SBM= Songbirds, Mammals, &amp; Raptors, PH= Plant Habitat, PU= Public Use &amp; Recognition, Subsis= Subsistence, Sens= Sensitivity, STR= Stressors.</t>
  </si>
  <si>
    <t>Investigator Name:</t>
  </si>
  <si>
    <t>Date of Field Assessment:</t>
  </si>
  <si>
    <t>Nearest Town:</t>
  </si>
  <si>
    <t>Latitude (decimal degrees):</t>
  </si>
  <si>
    <t>Longitude (decimal degrees):</t>
  </si>
  <si>
    <t>HUC12 Watershed #:</t>
  </si>
  <si>
    <t>Approximate size of the Assessment Area (AA, in acres)</t>
  </si>
  <si>
    <t>AA as percent of entire wetland (approx.)</t>
  </si>
  <si>
    <t>Tidal phase during most of visit:</t>
  </si>
  <si>
    <t>Have you attended a training session for this protocol?  If so, indicate approximate month &amp; year.</t>
  </si>
  <si>
    <t>How many wetlands have you assessed previously using this protocol (approx.)?</t>
  </si>
  <si>
    <t>Comments about the site or this assessment (attach extra page if desired):</t>
  </si>
  <si>
    <t>Scores for TIDAL Wetland Functions and Values:  WESPAK-SE version 2</t>
  </si>
  <si>
    <r>
      <t xml:space="preserve">"Population center" means a settled area with more than 50 year-round residents per square mile.  The road distance can be measured automatically by going online and entering the coordinates in </t>
    </r>
    <r>
      <rPr>
        <b/>
        <sz val="10"/>
        <rFont val="Arial Narrow"/>
        <family val="2"/>
      </rPr>
      <t xml:space="preserve">maps.google.com </t>
    </r>
    <r>
      <rPr>
        <sz val="10"/>
        <rFont val="Arial Narrow"/>
        <family val="2"/>
      </rPr>
      <t xml:space="preserve"> [FAv, WBFv, SBM, PH, PU, Subsis]</t>
    </r>
  </si>
  <si>
    <t>The route to other wetlands need not be direct -- it may be circuitous to avoid the barrier, as long as the travel route remains entirely within the circle. Presence of culverts or bridges along the route is irrelevant.  [SBM]</t>
  </si>
  <si>
    <t>In the online WESPAK-SE Wetlands Module, Table of Contents, mark Transportation and ADOT road layers to show road networks. [PH]</t>
  </si>
  <si>
    <r>
      <rPr>
        <b/>
        <sz val="10"/>
        <rFont val="Arial Narrow"/>
        <family val="2"/>
      </rPr>
      <t>Natural cover</t>
    </r>
    <r>
      <rPr>
        <sz val="10"/>
        <rFont val="Arial Narrow"/>
        <family val="2"/>
      </rPr>
      <t xml:space="preserve"> includes wooded areas, peatlands, vegetated wetlands, and most other areas of perennial cover.  It includes low-intensity timber harvest areas.  It </t>
    </r>
    <r>
      <rPr>
        <b/>
        <sz val="10"/>
        <rFont val="Arial Narrow"/>
        <family val="2"/>
      </rPr>
      <t>does not include water,</t>
    </r>
    <r>
      <rPr>
        <sz val="10"/>
        <rFont val="Arial Narrow"/>
        <family val="2"/>
      </rPr>
      <t xml:space="preserve"> glaciers, annual crops, residential areas, golf courses, recreational fields, fields mowed &gt;1x per year, pavement, bare soil, rock, bare sand, or gravel or dirt roads.  Natural land cover is not the same as native vegetation.  </t>
    </r>
    <r>
      <rPr>
        <b/>
        <sz val="10"/>
        <rFont val="Arial Narrow"/>
        <family val="2"/>
      </rPr>
      <t>It can include areas with invasive plants.</t>
    </r>
    <r>
      <rPr>
        <sz val="10"/>
        <rFont val="Arial Narrow"/>
        <family val="2"/>
      </rPr>
      <t xml:space="preserve">  Aerial imagery and land cover maps contained in the online WESPAK-SE Wetlands Module should be examined to answer this, and preferably should be verified during a site visit.  Do not include parts of the natural cover patch or corridor that are narrower than 150 ft.  [SBM, PH]</t>
    </r>
  </si>
  <si>
    <t xml:space="preserve"> Aerial imagery and land cover maps contained in the online WESPAK-SE Wetlands Module should be examined to answer this. [SBM, PH]</t>
  </si>
  <si>
    <t xml:space="preserve"> [SBM, PH]</t>
  </si>
  <si>
    <t xml:space="preserve">Disqualify any patch or corridor of natural land cover where it becomes separated from the AA by a linear gap of &gt;150 ft, if the gap is comprised of impervious surface, bare dirt, or lawn, or if the natural land corridor narrows to less than 150 ft.  Aerial imagery and land cover maps contained in the online WESPAK-SE Wetlands Module should be examined to answer this, and use its measure tool to determine acreage. [SBM, PH]
</t>
  </si>
  <si>
    <t xml:space="preserve">1) In the Module's Table of Contents menu, click on ShoreZone.
2) Expand the menu (click on +) and check Biological Attributes, expand (+) that menu, then check Salt Marsh Vegetation and Sedges. Uncheck all others.  Web site may take up to 20 seconds to respond.
4) Alternatively, check Response Attributes, expand that menu, then Environmental Sensitivity Index and look for Salt &amp; Brackish Water Marsh.
5) Additionally, verify with aerial imagery and/or do field survey.
Measure the inter-marsh distances from their edges.  [FA, WBF, PHv, PU, Sens]
</t>
  </si>
  <si>
    <t>Follow instructions in OF18 to find other mapped anadromous fish waters. [SRv, FA]</t>
  </si>
  <si>
    <t>Measure as vertical rise divided by 300 ft horizontal. [SRv, OE]</t>
  </si>
  <si>
    <t>The rating, assigned by the 2007 Southeast Alaska Conservation Assessment, is based on vegetation type, elevation, and the access of both bear species to the most productive salmon waters within the biogeographic provinces of their occurrence. [FAv, PH, SBM]</t>
  </si>
  <si>
    <r>
      <t xml:space="preserve">Base this on observations or (for most of the Tongass N.F. and adjoining private lands) consult the online WESPAK-SE Wetlands Module: Geology&gt; </t>
    </r>
    <r>
      <rPr>
        <b/>
        <sz val="10"/>
        <rFont val="Arial Narrow"/>
        <family val="2"/>
      </rPr>
      <t>Landslides.</t>
    </r>
    <r>
      <rPr>
        <sz val="10"/>
        <rFont val="Arial Narrow"/>
        <family val="2"/>
      </rPr>
      <t xml:space="preserve">
Consider steep upslope areas with shallow depth to bedrock and/or dominated by alder to be likely zones of past and possibly future erosion. [SRv]</t>
    </r>
  </si>
  <si>
    <t>Determine this using historical aerial photography, old maps, soil maps, or permit files as available.  [CS, SBM, PH, Sens]</t>
  </si>
  <si>
    <t>[SRv]</t>
  </si>
  <si>
    <t>[FAv, Subsis]</t>
  </si>
  <si>
    <t>When visiting at low tide, look for wrack lines indicating elevation and extent of high tide, and consider topography  Also consult series of aerial images which might show the same wetland or nearby areas at different tidal heights.  The treeline often indicates the approximate maximum height of the highest monthly or annual tide (although under some conditions mature Sitka spruce but not hemlock or cedar will tolerate daily flooding by tidal waters with fresh or brackish salinity).[OE, FA]</t>
  </si>
  <si>
    <t>For most sites larger than 10 acres, measure the width using aerial imagery rather than in the field. When visiting at low tide, look for wrack lines indicating elevation and extent of high tide, and consider topography  Also consult series of aerial images which might show the same wetland or nearby areas at different tidal heights.  [CS, WBF, PH, SBM, SENS]</t>
  </si>
  <si>
    <r>
      <rPr>
        <b/>
        <sz val="10"/>
        <rFont val="Arial Narrow"/>
        <family val="2"/>
      </rPr>
      <t xml:space="preserve">Natural land cover </t>
    </r>
    <r>
      <rPr>
        <sz val="10"/>
        <rFont val="Arial Narrow"/>
        <family val="2"/>
      </rPr>
      <t xml:space="preserve">includes wooded areas, peatlands, vegetated wetlands, and most other areas of perennial cover.  It also includes low-intensity timber harvest areas.  It does not include water, glaciers, annual crops, residential areas, golf courses, recreational fields, fields mowed &gt;1x per year, pavement, bare soil, rock, bare sand, or gravel or dirt roads.  Natural land cover is not the same as native vegetation.  </t>
    </r>
    <r>
      <rPr>
        <b/>
        <sz val="10"/>
        <rFont val="Arial Narrow"/>
        <family val="2"/>
      </rPr>
      <t>It can include areas with invasive plants</t>
    </r>
    <r>
      <rPr>
        <sz val="10"/>
        <rFont val="Arial Narrow"/>
        <family val="2"/>
      </rPr>
      <t>.  If the AA is only part of a wetland and does not have an upland edge, measure this along the upland edge closest to the AA. [SRv, FA, SBM, PH, Sens]</t>
    </r>
  </si>
  <si>
    <r>
      <rPr>
        <b/>
        <sz val="10"/>
        <rFont val="Arial Narrow"/>
        <family val="2"/>
      </rPr>
      <t>Disturbance feature</t>
    </r>
    <r>
      <rPr>
        <sz val="10"/>
        <rFont val="Arial Narrow"/>
        <family val="2"/>
      </rPr>
      <t xml:space="preserve"> = building, paved area, recently cleared area, dirt road, lawn,annually-harvested row crops.  Use judgment to decide if extent or proximity is more influential for a noted disturbance.  If the AA is only part of a wetland and does not have an upland edge, evaluate this along the upland edge closest to the AA. [SRv, Sens]</t>
    </r>
  </si>
  <si>
    <t>Judge this based on proximity to population centers, roads, trails, accessibility of the AA to the public, wetland size, usual water depth, and physical evidence of human visitation.  Exclude visits that are not likely to continue and/or that are not an annual occurrence, e.g., by construction or monitoring crews.  See diagram in the Manual. [WBF, PH, PU]</t>
  </si>
  <si>
    <t>[WBF, PH, PU]</t>
  </si>
  <si>
    <t>[WBFv, PU]</t>
  </si>
  <si>
    <t>[WBF, SBM, Sens]</t>
  </si>
  <si>
    <t>Wide tidal flats are a strong indicator of high sediment deposition rates.</t>
  </si>
  <si>
    <t>Function Score for Organic Matter Export</t>
  </si>
  <si>
    <t>Salo, E. O. 1991. Life history of chum salmon (Oncorhynchus keta). Pages 231-310 in C. Groot and L. Margolis, editors. Pacific Salmon: Life Histories. University of British Columbia Press, Vancouver, B.C.</t>
  </si>
  <si>
    <t>Levy, D. A. and T. G. Northcote. 1982. Juvenile salmon residency in a marsh area of the Fraser River estuary. Canadian Journal of Fisheries and Aquatic Sciences 39:270-276.</t>
  </si>
  <si>
    <t>Lamberson, J. O., M. R. Frazier, W. G. Nelson, and P. F. Clinton. 2011. Utilization Patterns of Intertidal Habitats by Birds in Yaquina Estuary, Oregon. Report EPA/600/R-11/118. U.S. Environmental Protection Agency, Office of Research and Development, National Health and Environmental Effects Research Laboratory, Western Ecology Division, Newport, OR.</t>
  </si>
  <si>
    <t>Stralberg, D., N. Warnock, N. Nur, H. Spautz, and G. Page. 2003. Predicting the Effects of Habitat Change on South San Francisco Bay Bird Communities: An Analysis of Bird-Habitat Relationships and Evaluation of Potential Restoration Scenarios. Habitat Conversion Model: Phase One California Coastal Conservancy, Oakland, CA.</t>
  </si>
  <si>
    <t xml:space="preserve">If any items were checked above, then for each row of the table below, you may assign points (3, 2, or 1 as shown in header) in the last column.  However, if you believe the checked items had no measurable effect in making any part of the AA wetter, leave the "0's" for the scores in the following rows.  To estimate effects, contrast the current condition with the condition if the checked items never occurred or were no longer present.  The sum and final score will compute automatically.  </t>
  </si>
  <si>
    <r>
      <t xml:space="preserve">The </t>
    </r>
    <r>
      <rPr>
        <b/>
        <sz val="10"/>
        <rFont val="Arial Narrow"/>
        <family val="2"/>
      </rPr>
      <t xml:space="preserve">width of mudflat, </t>
    </r>
    <r>
      <rPr>
        <sz val="10"/>
        <rFont val="Arial Narrow"/>
        <family val="2"/>
      </rPr>
      <t>measured at its</t>
    </r>
    <r>
      <rPr>
        <b/>
        <sz val="10"/>
        <rFont val="Arial Narrow"/>
        <family val="2"/>
      </rPr>
      <t xml:space="preserve"> widest point</t>
    </r>
    <r>
      <rPr>
        <sz val="10"/>
        <rFont val="Arial Narrow"/>
        <family val="2"/>
      </rPr>
      <t xml:space="preserve"> along a transect between the vegetated wetland and adjoining water that remains during mean daily low tide, is [</t>
    </r>
    <r>
      <rPr>
        <i/>
        <sz val="10"/>
        <rFont val="Arial Narrow"/>
        <family val="2"/>
      </rPr>
      <t>see directions in column E</t>
    </r>
    <r>
      <rPr>
        <sz val="10"/>
        <rFont val="Arial Narrow"/>
        <family val="2"/>
      </rPr>
      <t>]:</t>
    </r>
  </si>
  <si>
    <t>These are waterbird species of conservation concern that do not breed in Southeast Alaska, but feed here regularly during migration or winter. [WBFv, Sens]</t>
  </si>
  <si>
    <r>
      <t xml:space="preserve">IF((AreaTrend=expanding), AVERAGE(AreaTrend,MarshAge),
IF((AreaTrend=eroding1),0, </t>
    </r>
    <r>
      <rPr>
        <b/>
        <sz val="10"/>
        <rFont val="Arial Narrow"/>
        <family val="2"/>
      </rPr>
      <t>ELSE:</t>
    </r>
    <r>
      <rPr>
        <sz val="10"/>
        <rFont val="Arial Narrow"/>
        <family val="2"/>
      </rPr>
      <t xml:space="preserve">
AVERAGE(AreaTrend,SoilTex,VwidthLow,RiverBay, WoodyPct, DrierIn,DrierUp)
</t>
    </r>
  </si>
  <si>
    <r>
      <t xml:space="preserve">IF((Fishblock=1),0, </t>
    </r>
    <r>
      <rPr>
        <b/>
        <sz val="10"/>
        <rFont val="Arial Narrow"/>
        <family val="2"/>
      </rPr>
      <t>ELSE:</t>
    </r>
    <r>
      <rPr>
        <sz val="10"/>
        <rFont val="Arial Narrow"/>
        <family val="2"/>
      </rPr>
      <t xml:space="preserve">
AVERAGE(Produc,Struc, Lscape)</t>
    </r>
  </si>
  <si>
    <t>Organic Nutrient Export (OE)</t>
  </si>
  <si>
    <r>
      <t xml:space="preserve">IF((Fishblock=1),0,  </t>
    </r>
    <r>
      <rPr>
        <b/>
        <sz val="10"/>
        <rFont val="Arial Narrow"/>
        <family val="2"/>
      </rPr>
      <t>ELSE</t>
    </r>
    <r>
      <rPr>
        <sz val="10"/>
        <rFont val="Arial Narrow"/>
        <family val="2"/>
      </rPr>
      <t>: AVERAGE(LowMarsh, FloodPct)</t>
    </r>
  </si>
  <si>
    <t>Klinger, L.F. and Erickson D.J.  1997.  Geophysiological coupling of marine and terrestrial ecosystems. Journal of Geophysical Research-Atmospheres 102(D21):25359-25370.</t>
  </si>
  <si>
    <r>
      <t>Craig, B. E. 2010. Life History Patterns and Ecology of Juvenile Coho Salmon (</t>
    </r>
    <r>
      <rPr>
        <i/>
        <sz val="10"/>
        <color indexed="8"/>
        <rFont val="Arial Narrow"/>
        <family val="2"/>
      </rPr>
      <t>Oncorhynchus kisutch</t>
    </r>
    <r>
      <rPr>
        <sz val="10"/>
        <color indexed="8"/>
        <rFont val="Arial Narrow"/>
        <family val="2"/>
      </rPr>
      <t>) Within a Tidal Freshwater Estuary. Thesis. University of Washington, Seattle, WA.</t>
    </r>
  </si>
  <si>
    <r>
      <t xml:space="preserve">Young, C. D. 2009. Shoaling Behavior as a Tool to Understand Microhabitat Use by Juvenile Chum Salmon, </t>
    </r>
    <r>
      <rPr>
        <i/>
        <sz val="10"/>
        <color indexed="8"/>
        <rFont val="Arial Narrow"/>
        <family val="2"/>
      </rPr>
      <t>Oncorhynchus keta</t>
    </r>
    <r>
      <rPr>
        <sz val="10"/>
        <color indexed="8"/>
        <rFont val="Arial Narrow"/>
        <family val="2"/>
      </rPr>
      <t>. Thesis. University of Washington, Seattle, WA.</t>
    </r>
  </si>
  <si>
    <t>Duncan, D. 2014. The toxicity of creosote treated wood to pacific herring (Clupea pallasi) embryos and characterization of polycyclic aromatic hydrocarbons near creosoted pilings in Juneau, Alaska. Dissertation. University of Alaska, Fairbanks, AK.</t>
  </si>
  <si>
    <t>Scientific Name</t>
  </si>
  <si>
    <t>Common Name</t>
  </si>
  <si>
    <t>Achnatherum richardsonii</t>
  </si>
  <si>
    <t>Richardson's Rice Grass</t>
  </si>
  <si>
    <t>Agrostis capillaris</t>
  </si>
  <si>
    <t>Colonial Bent</t>
  </si>
  <si>
    <t>Agrostis gigantea</t>
  </si>
  <si>
    <t>Black Bent</t>
  </si>
  <si>
    <t>Agrostis stolonifera</t>
  </si>
  <si>
    <t>Spreading Bent</t>
  </si>
  <si>
    <t>Aira caryophyllea</t>
  </si>
  <si>
    <t>Common Silver-Hair Grass</t>
  </si>
  <si>
    <t>Alisma plantago-aquatica</t>
  </si>
  <si>
    <t>European Water-Plantain</t>
  </si>
  <si>
    <t>Alliaria petiolata</t>
  </si>
  <si>
    <t>Garlic-Mustard</t>
  </si>
  <si>
    <t>Alopecurus geniculatus</t>
  </si>
  <si>
    <t>Marsh Meadow-Foxtail</t>
  </si>
  <si>
    <t>Alopecurus pratensis</t>
  </si>
  <si>
    <t>Field Meadow-Foxtail</t>
  </si>
  <si>
    <t>Amaranthus albus</t>
  </si>
  <si>
    <t>Tumbleweed</t>
  </si>
  <si>
    <t>Amaranthus retroflexus</t>
  </si>
  <si>
    <t>Red-Root</t>
  </si>
  <si>
    <t>Anthemis cotula</t>
  </si>
  <si>
    <t>Stinking Chamomile</t>
  </si>
  <si>
    <t>Anthoxanthum odoratum</t>
  </si>
  <si>
    <t>Large Sweet Vernal Grass</t>
  </si>
  <si>
    <t>Arrhenatherum elatius</t>
  </si>
  <si>
    <t>Tall Oat Grass</t>
  </si>
  <si>
    <t>Artemisia biennis</t>
  </si>
  <si>
    <t>Biennial Wormwood</t>
  </si>
  <si>
    <t>Artemisia ludoviciana</t>
  </si>
  <si>
    <t>White Sagebrush</t>
  </si>
  <si>
    <t>Artemisia vulgaris</t>
  </si>
  <si>
    <t>Common Wormwood</t>
  </si>
  <si>
    <t>Asperugo procumbens</t>
  </si>
  <si>
    <t>German-Madwort</t>
  </si>
  <si>
    <t>Atriplex hortensis</t>
  </si>
  <si>
    <t>Garden Orache</t>
  </si>
  <si>
    <t>Atriplex patula</t>
  </si>
  <si>
    <t>Halberd-Leaf Orache</t>
  </si>
  <si>
    <t>Avena sativa</t>
  </si>
  <si>
    <t>Oat</t>
  </si>
  <si>
    <t>Bidens frondosa</t>
  </si>
  <si>
    <t>Devil's-Pitchfork</t>
  </si>
  <si>
    <t>Brassica juncea</t>
  </si>
  <si>
    <t>Chinese Mustard</t>
  </si>
  <si>
    <t>Brassica rapa</t>
  </si>
  <si>
    <t>Rape</t>
  </si>
  <si>
    <t>Bromus briziformis</t>
  </si>
  <si>
    <t>Rattlesnake Brome</t>
  </si>
  <si>
    <t>Bromus hordeaceus</t>
  </si>
  <si>
    <t>Soft Brome</t>
  </si>
  <si>
    <t>Bromus inermis</t>
  </si>
  <si>
    <t>Smooth Brome</t>
  </si>
  <si>
    <t>Bromus vulgaris</t>
  </si>
  <si>
    <t>Columbia Brome</t>
  </si>
  <si>
    <t>Calystegia sepium</t>
  </si>
  <si>
    <t>Hedge False Bindweed</t>
  </si>
  <si>
    <t>Camelina sativa</t>
  </si>
  <si>
    <t>Gold-of-Pleasure</t>
  </si>
  <si>
    <t>Capsella bursa-pastoris</t>
  </si>
  <si>
    <t>Shepherd's-Purse</t>
  </si>
  <si>
    <t>Cerastium fontanum</t>
  </si>
  <si>
    <t>Common (Big) Mouse-Ear Chickweed</t>
  </si>
  <si>
    <t>Cerastium glomeratum</t>
  </si>
  <si>
    <t>Sticky Mouse-Ear Chickweed</t>
  </si>
  <si>
    <t>Chenopodium album</t>
  </si>
  <si>
    <t>Lamb's-Quarters</t>
  </si>
  <si>
    <t>Chenopodium glaucum</t>
  </si>
  <si>
    <t>Oak-Leaf Goosefoot</t>
  </si>
  <si>
    <t>Chenopodium leptophyllum</t>
  </si>
  <si>
    <t>Narrow-Leaf Goosefoot</t>
  </si>
  <si>
    <t>Chenopodium rubrum</t>
  </si>
  <si>
    <t>Red Goosefoot</t>
  </si>
  <si>
    <t>Cirsium arvense</t>
  </si>
  <si>
    <t>Canadian Thistle</t>
  </si>
  <si>
    <t>Cirsium vulgare</t>
  </si>
  <si>
    <t>Bull Thistle</t>
  </si>
  <si>
    <t>Collomia linearis</t>
  </si>
  <si>
    <t>Narrow-Leaf Mountain-Trumpet</t>
  </si>
  <si>
    <t>Conyza canadensis</t>
  </si>
  <si>
    <t>Canadian Horseweed</t>
  </si>
  <si>
    <t>Cotula coronopifolia</t>
  </si>
  <si>
    <t>Common Brassbuttons</t>
  </si>
  <si>
    <t>Crepis capillaris</t>
  </si>
  <si>
    <t>Smooth Hawk's-Beard</t>
  </si>
  <si>
    <t>Dactylis glomerata</t>
  </si>
  <si>
    <t>Orchard Grass</t>
  </si>
  <si>
    <t>Deschampsia danthonioides</t>
  </si>
  <si>
    <t>Annual Hair Grass</t>
  </si>
  <si>
    <t>Deschampsia elongata</t>
  </si>
  <si>
    <t>Slender Hair Grass</t>
  </si>
  <si>
    <t>Digitalis purpurea</t>
  </si>
  <si>
    <t>Purple Foxglove</t>
  </si>
  <si>
    <t>Elodea canadensis</t>
  </si>
  <si>
    <t>Canadian Waterweed</t>
  </si>
  <si>
    <t>Elymus repens</t>
  </si>
  <si>
    <t>Creeping Wild Rye</t>
  </si>
  <si>
    <t>Elymus sibiricus</t>
  </si>
  <si>
    <t>Siberian Wild Rye</t>
  </si>
  <si>
    <t>Fallopia convolvulus</t>
  </si>
  <si>
    <t>Black-Bindweed</t>
  </si>
  <si>
    <t>Fallopia japonica</t>
  </si>
  <si>
    <t>Japanese Black-Bindweed</t>
  </si>
  <si>
    <t>Fallopia sachalinensis</t>
  </si>
  <si>
    <t>Giant Black-Bindweed</t>
  </si>
  <si>
    <t>Festuca arundinacea</t>
  </si>
  <si>
    <t>Gaillardia pulchella</t>
  </si>
  <si>
    <t>Firewheel</t>
  </si>
  <si>
    <t>Geranium richardsonii</t>
  </si>
  <si>
    <t>Richardson's Geranium</t>
  </si>
  <si>
    <t>Glechoma hederacea</t>
  </si>
  <si>
    <t>Groundivy</t>
  </si>
  <si>
    <t>Gnaphalium uliginosum</t>
  </si>
  <si>
    <t>Marsh Cudweed</t>
  </si>
  <si>
    <t>Hackelia micrantha</t>
  </si>
  <si>
    <t>Blue Stickseed</t>
  </si>
  <si>
    <t>Helianthus annuus</t>
  </si>
  <si>
    <t>Common Sunflower</t>
  </si>
  <si>
    <t>Hesperis matronalis</t>
  </si>
  <si>
    <t>Mother-of-the-Evening</t>
  </si>
  <si>
    <t>Holcus lanatus</t>
  </si>
  <si>
    <t>Common Velvet Grass</t>
  </si>
  <si>
    <t>Hordeum jubatum</t>
  </si>
  <si>
    <t>Fox-Tail Barley</t>
  </si>
  <si>
    <t>Hypericum perforatum</t>
  </si>
  <si>
    <t>Common St. John's-Wort</t>
  </si>
  <si>
    <t>Hypochaeris radicata</t>
  </si>
  <si>
    <t>Hairy Cat's-Ear</t>
  </si>
  <si>
    <t>Impatiens glandulifera</t>
  </si>
  <si>
    <t>Ornamental Jewelweed</t>
  </si>
  <si>
    <t>Lactuca tatarica</t>
  </si>
  <si>
    <t>Russian Blue Lettuce</t>
  </si>
  <si>
    <t>Lapsana communis</t>
  </si>
  <si>
    <t>Common Nipplewort</t>
  </si>
  <si>
    <t>Lathyrus pratensis</t>
  </si>
  <si>
    <t>Meadow Vetchling</t>
  </si>
  <si>
    <t>Leontodon autumnalis</t>
  </si>
  <si>
    <t>August-Flower</t>
  </si>
  <si>
    <t>Lepidium densiflorum</t>
  </si>
  <si>
    <t>Miner's Pepperwort</t>
  </si>
  <si>
    <t>Lepidium virginicum</t>
  </si>
  <si>
    <t>Poorman's-Pepperwort</t>
  </si>
  <si>
    <t>Leucanthemum vulgare</t>
  </si>
  <si>
    <t>Ox-Eye Daisy</t>
  </si>
  <si>
    <t>Lolium perenne</t>
  </si>
  <si>
    <t>Perennial Rye Grass</t>
  </si>
  <si>
    <t>Lonicera tatarica</t>
  </si>
  <si>
    <t>Twinsisters</t>
  </si>
  <si>
    <t>Lotus corniculatus</t>
  </si>
  <si>
    <t>Bird's-foot Trefoil</t>
  </si>
  <si>
    <t>Lupinus polyphyllus</t>
  </si>
  <si>
    <t>Blue-Pod Lupine</t>
  </si>
  <si>
    <t>Lycopus asper</t>
  </si>
  <si>
    <t>Rough Water-Horehound</t>
  </si>
  <si>
    <t>Madia glomerata</t>
  </si>
  <si>
    <t>Mountain Tarplant</t>
  </si>
  <si>
    <t>Marrubium vulgare</t>
  </si>
  <si>
    <t>White Horehound</t>
  </si>
  <si>
    <t>Matricaria discoidea</t>
  </si>
  <si>
    <t>Pineapple-Weed</t>
  </si>
  <si>
    <t>Medicago lupulina</t>
  </si>
  <si>
    <t>Black Medick</t>
  </si>
  <si>
    <t>Medicago polymorpha</t>
  </si>
  <si>
    <t>Toothed Medick</t>
  </si>
  <si>
    <t>Medicago sativa</t>
  </si>
  <si>
    <t>Alfalfa</t>
  </si>
  <si>
    <t>Melilotus officinalis</t>
  </si>
  <si>
    <t>Yellow Sweet-Clover</t>
  </si>
  <si>
    <t>Mentha spicata</t>
  </si>
  <si>
    <t>Spearmint</t>
  </si>
  <si>
    <t>Mentha X piperita</t>
  </si>
  <si>
    <t>Microsteris gracilis</t>
  </si>
  <si>
    <t>Annual-Phlox</t>
  </si>
  <si>
    <t>Myosotis asiatica</t>
  </si>
  <si>
    <t>Asian Forget-Me-Not</t>
  </si>
  <si>
    <t>Myosotis scorpioides</t>
  </si>
  <si>
    <t>True Forget-Me-Not</t>
  </si>
  <si>
    <t>Myosotis sylvatica</t>
  </si>
  <si>
    <t>Woodland Forget-me-not</t>
  </si>
  <si>
    <t>Myriophyllum spicatum</t>
  </si>
  <si>
    <t>Eurasian Water-Milfoil</t>
  </si>
  <si>
    <t>Nasturtium officinale</t>
  </si>
  <si>
    <t>Watercress</t>
  </si>
  <si>
    <t>Nepeta cataria</t>
  </si>
  <si>
    <t>Catnip</t>
  </si>
  <si>
    <t>Nymphaea odorata</t>
  </si>
  <si>
    <t>American White Water-Lily</t>
  </si>
  <si>
    <t>Pascopyrum smithii</t>
  </si>
  <si>
    <t>Western-Wheat Grass</t>
  </si>
  <si>
    <t>Persicaria lapathifolia</t>
  </si>
  <si>
    <t>Dock-Leaf Smartweed</t>
  </si>
  <si>
    <t>Persicaria maculosa</t>
  </si>
  <si>
    <t>Lady's-Thumb</t>
  </si>
  <si>
    <t>Phalaris arundinacea</t>
  </si>
  <si>
    <t>Reed Canary Grass</t>
  </si>
  <si>
    <t>Phalaris canariensis</t>
  </si>
  <si>
    <t>Common Canary Grass</t>
  </si>
  <si>
    <t>Phleum pratense</t>
  </si>
  <si>
    <t>Common Timothy</t>
  </si>
  <si>
    <t>Plagiobothrys figuratus</t>
  </si>
  <si>
    <t>Fragrant Popcorn-Flower</t>
  </si>
  <si>
    <t>Plantago lanceolata</t>
  </si>
  <si>
    <t>English Plantain</t>
  </si>
  <si>
    <t>Plantago major</t>
  </si>
  <si>
    <t>Great Plantain</t>
  </si>
  <si>
    <t>Poa annua</t>
  </si>
  <si>
    <t>Annual Blue Grass</t>
  </si>
  <si>
    <t>Poa compressa</t>
  </si>
  <si>
    <t>Flat-Stem Blue Grass</t>
  </si>
  <si>
    <t>Poa pratensis</t>
  </si>
  <si>
    <t>Kentucky Blue Grass</t>
  </si>
  <si>
    <t>Poa trivialis</t>
  </si>
  <si>
    <t>Rough-Stalk Blue Grass</t>
  </si>
  <si>
    <t>Polygonum aviculare</t>
  </si>
  <si>
    <t>Yard Knotweed</t>
  </si>
  <si>
    <t>Polygonum persicaria</t>
  </si>
  <si>
    <t>Polygonum ramosissimum</t>
  </si>
  <si>
    <t>Yellow-Flower Knotweed</t>
  </si>
  <si>
    <t>Polypogon monspeliensis</t>
  </si>
  <si>
    <t>Annual Rabbit's-Foot Grass</t>
  </si>
  <si>
    <t>Prunus padus</t>
  </si>
  <si>
    <t>European Bird Cherry</t>
  </si>
  <si>
    <t>Prunus virginiana</t>
  </si>
  <si>
    <t>Choke Cherry</t>
  </si>
  <si>
    <t>Psathyrostachys juncea</t>
  </si>
  <si>
    <t>Russian-Wild Rye</t>
  </si>
  <si>
    <t>Puccinellia distans</t>
  </si>
  <si>
    <t>Spreading Alkali Grass</t>
  </si>
  <si>
    <t>Ranunculus acris</t>
  </si>
  <si>
    <t>Tall Buttercup</t>
  </si>
  <si>
    <t>Ranunculus repens</t>
  </si>
  <si>
    <t>Creeping Buttercup</t>
  </si>
  <si>
    <t>Raphanus sativus</t>
  </si>
  <si>
    <t>Garden Radish</t>
  </si>
  <si>
    <t>Rorippa sylvestris</t>
  </si>
  <si>
    <t>Creeping Yellowcress</t>
  </si>
  <si>
    <t>Rosa rugosa</t>
  </si>
  <si>
    <t>Rugosa Rose</t>
  </si>
  <si>
    <t>Rubus idaeus</t>
  </si>
  <si>
    <t>Common Red Raspberry</t>
  </si>
  <si>
    <t>Rudbeckia hirta</t>
  </si>
  <si>
    <t>Black-Eyed-Susan</t>
  </si>
  <si>
    <t>Rumex acetosa</t>
  </si>
  <si>
    <t>Garden Sorrel</t>
  </si>
  <si>
    <t>Rumex acetosella</t>
  </si>
  <si>
    <t>Common Sheep Sorrel</t>
  </si>
  <si>
    <t>Rumex crispus</t>
  </si>
  <si>
    <t>Curly Dock</t>
  </si>
  <si>
    <t>Rumex longifolius</t>
  </si>
  <si>
    <t>Door-Yard Dock</t>
  </si>
  <si>
    <t>Rumex maritimus</t>
  </si>
  <si>
    <t>Golden Dock</t>
  </si>
  <si>
    <t>Rumex obtusifolius</t>
  </si>
  <si>
    <t>Bitter Dock</t>
  </si>
  <si>
    <t>Sagina procumbens</t>
  </si>
  <si>
    <t>Bird-Eye Pearlwort</t>
  </si>
  <si>
    <t>Senecio eremophilus</t>
  </si>
  <si>
    <t>Desert Ragwort</t>
  </si>
  <si>
    <t>Senecio jacobaea</t>
  </si>
  <si>
    <t>Tansy Ragwort</t>
  </si>
  <si>
    <t>Senecio vulgaris</t>
  </si>
  <si>
    <t>Old-Man-in-the-Spring</t>
  </si>
  <si>
    <t>Sisymbrium altissimum</t>
  </si>
  <si>
    <t>Tall Hedge-Mustard</t>
  </si>
  <si>
    <t>Solanum nigrum</t>
  </si>
  <si>
    <t>European Black Nightshade</t>
  </si>
  <si>
    <t>Sonchus arvensis</t>
  </si>
  <si>
    <t>Field Sow-Thistle</t>
  </si>
  <si>
    <t>Sonchus asper</t>
  </si>
  <si>
    <t>Spiny-Leaf Sow-Thistle</t>
  </si>
  <si>
    <t>Sonchus oleraceus</t>
  </si>
  <si>
    <t>Common Sow-Thistle</t>
  </si>
  <si>
    <t>Sorbus aucuparia</t>
  </si>
  <si>
    <t>Spergularia rubra</t>
  </si>
  <si>
    <t>Ruby Sandspurry</t>
  </si>
  <si>
    <t>Stellaria media</t>
  </si>
  <si>
    <t>Common Chickweed</t>
  </si>
  <si>
    <t>Symphytum asperum</t>
  </si>
  <si>
    <t>Prickly Comfrey</t>
  </si>
  <si>
    <t>Tanacetum vulgare</t>
  </si>
  <si>
    <t>Common Tansy</t>
  </si>
  <si>
    <t>Taraxacum officinale</t>
  </si>
  <si>
    <t>Common Dandelion</t>
  </si>
  <si>
    <t>Thlaspi arvense</t>
  </si>
  <si>
    <t>Field Pennycress</t>
  </si>
  <si>
    <t>Trifolium dubium</t>
  </si>
  <si>
    <t>Suckling Clover</t>
  </si>
  <si>
    <t>Trifolium hybridum</t>
  </si>
  <si>
    <t>Alsike Clover</t>
  </si>
  <si>
    <t>Trifolium microcephalum</t>
  </si>
  <si>
    <t>Small-Head Clover</t>
  </si>
  <si>
    <t>Trifolium pratense</t>
  </si>
  <si>
    <t>Red Clover</t>
  </si>
  <si>
    <t>Trifolium repens</t>
  </si>
  <si>
    <t>White Clover</t>
  </si>
  <si>
    <t>Trifolium variegatum</t>
  </si>
  <si>
    <t>White-Tip Clover</t>
  </si>
  <si>
    <t>Vaccaria hispanica</t>
  </si>
  <si>
    <t>Cowcockle</t>
  </si>
  <si>
    <t>Verbascum thapsus</t>
  </si>
  <si>
    <t>Great Mullein</t>
  </si>
  <si>
    <t>Veronica anagallis-aquatica</t>
  </si>
  <si>
    <t>Blue Water Speedwell</t>
  </si>
  <si>
    <t>Veronica arvensis</t>
  </si>
  <si>
    <t>Corn Speedwell</t>
  </si>
  <si>
    <t>Veronica chamaedrys</t>
  </si>
  <si>
    <t>Germander Speedwell</t>
  </si>
  <si>
    <t>Veronica peregrina</t>
  </si>
  <si>
    <t>Neckweed</t>
  </si>
  <si>
    <t>Veronica serpyllifolia</t>
  </si>
  <si>
    <t>Thyme-Leaf Speedwell</t>
  </si>
  <si>
    <t>Vicia sativa</t>
  </si>
  <si>
    <t>Garden Vetch</t>
  </si>
  <si>
    <t>Vulpia myuros</t>
  </si>
  <si>
    <t>Rat-Tail Six-Weeks Grass</t>
  </si>
  <si>
    <r>
      <t xml:space="preserve">One or two species together comprise </t>
    </r>
    <r>
      <rPr>
        <b/>
        <sz val="10"/>
        <rFont val="Arial Narrow"/>
        <family val="2"/>
      </rPr>
      <t>&gt;50%</t>
    </r>
    <r>
      <rPr>
        <sz val="10"/>
        <rFont val="Arial Narrow"/>
        <family val="2"/>
      </rPr>
      <t xml:space="preserve"> of the areal cover of herbaceous plants at any time during the year, and one or both are </t>
    </r>
    <r>
      <rPr>
        <b/>
        <sz val="10"/>
        <rFont val="Arial Narrow"/>
        <family val="2"/>
      </rPr>
      <t>non-native</t>
    </r>
    <r>
      <rPr>
        <sz val="10"/>
        <rFont val="Arial Narrow"/>
        <family val="2"/>
      </rPr>
      <t xml:space="preserve"> species (see NonNtvPlants worksheet tab). </t>
    </r>
  </si>
  <si>
    <t>SE #recs</t>
  </si>
  <si>
    <t>Invasive</t>
  </si>
  <si>
    <t>Rare</t>
  </si>
  <si>
    <t>Abies amabilis</t>
  </si>
  <si>
    <t>X</t>
  </si>
  <si>
    <t>UPL</t>
  </si>
  <si>
    <t>Pacific Silver Fir</t>
  </si>
  <si>
    <t>Abies lasiocarpa</t>
  </si>
  <si>
    <t>Subalpine Fir</t>
  </si>
  <si>
    <t>Acer circinatum</t>
  </si>
  <si>
    <t>FAC</t>
  </si>
  <si>
    <t>Vine Maple</t>
  </si>
  <si>
    <t>Acer glabrum</t>
  </si>
  <si>
    <t>FACU</t>
  </si>
  <si>
    <t>Rocky Mountain Maple</t>
  </si>
  <si>
    <t>Achillea millefolium</t>
  </si>
  <si>
    <t>Common Yarrow</t>
  </si>
  <si>
    <t>Yes</t>
  </si>
  <si>
    <t>Aconitum delphiniifolium</t>
  </si>
  <si>
    <t>Larkspur-Leaf Monkshood</t>
  </si>
  <si>
    <t>Aconitum maximum</t>
  </si>
  <si>
    <t>Kamchatka Monkshood</t>
  </si>
  <si>
    <t>Aconogonon alaskanum</t>
  </si>
  <si>
    <t>Alaska Fleeceflower</t>
  </si>
  <si>
    <t>Acorus americanus</t>
  </si>
  <si>
    <t>OBL</t>
  </si>
  <si>
    <t>Several-Vein Sweetflag</t>
  </si>
  <si>
    <t>Actaea rubra</t>
  </si>
  <si>
    <t>Red Baneberry</t>
  </si>
  <si>
    <t>Adiantum aleuticum</t>
  </si>
  <si>
    <t>Aleutian Maidenhair</t>
  </si>
  <si>
    <t>Adoxa moschatellina</t>
  </si>
  <si>
    <t>Muskroot</t>
  </si>
  <si>
    <t>Agoseris aurantiaca</t>
  </si>
  <si>
    <t>Orange-Flower Goat-Chicory</t>
  </si>
  <si>
    <t>Agoseris glauca</t>
  </si>
  <si>
    <t>Pale Goat-Chicory</t>
  </si>
  <si>
    <t>Agrostis aequivalvis</t>
  </si>
  <si>
    <t>Agrostis alascana</t>
  </si>
  <si>
    <t>Agrostis clavata</t>
  </si>
  <si>
    <t>Clubed Bent</t>
  </si>
  <si>
    <t>Agrostis exarata</t>
  </si>
  <si>
    <t>FACW</t>
  </si>
  <si>
    <t>Spiked Bent</t>
  </si>
  <si>
    <t>Agrostis idahoensis</t>
  </si>
  <si>
    <t>Idaho Bent</t>
  </si>
  <si>
    <t>Agrostis mertensii</t>
  </si>
  <si>
    <t>Northern Bent</t>
  </si>
  <si>
    <t>Agrostis oregonensis</t>
  </si>
  <si>
    <t>Oregon Bentgrass</t>
  </si>
  <si>
    <t>Agrostis scabra</t>
  </si>
  <si>
    <t>Rough Bent</t>
  </si>
  <si>
    <t>Agrostis thurberiana</t>
  </si>
  <si>
    <t>Agrostis vinealis</t>
  </si>
  <si>
    <t>Brown Bent</t>
  </si>
  <si>
    <t>Alisma triviale</t>
  </si>
  <si>
    <t>Northern Water-Plantain</t>
  </si>
  <si>
    <t>Allium schoenoprasum</t>
  </si>
  <si>
    <t>Wild Chives</t>
  </si>
  <si>
    <t>Allium vineale</t>
  </si>
  <si>
    <t>Crow Garlic</t>
  </si>
  <si>
    <t>Alnus incana</t>
  </si>
  <si>
    <t>Speckled Alder</t>
  </si>
  <si>
    <t>Alnus rubra</t>
  </si>
  <si>
    <t>Red Alder</t>
  </si>
  <si>
    <t>Alnus viridis</t>
  </si>
  <si>
    <t>Sitka Alder</t>
  </si>
  <si>
    <t>Alopecurus aequalis</t>
  </si>
  <si>
    <t>Short-Awn Meadow-Foxtail</t>
  </si>
  <si>
    <t>Alopecurus magellanicus</t>
  </si>
  <si>
    <t>Alpine Meadow-Foxtail</t>
  </si>
  <si>
    <t>Amaranthus blitoides</t>
  </si>
  <si>
    <t>Mat Amaranth</t>
  </si>
  <si>
    <t>Ambrosia chamissonis</t>
  </si>
  <si>
    <t>Amelanchier alnifolia</t>
  </si>
  <si>
    <t>Saskatoon Service-Berry</t>
  </si>
  <si>
    <t>Amerorchis rotundifolia</t>
  </si>
  <si>
    <t>Round-Leaf Orchid</t>
  </si>
  <si>
    <t>Andromeda polifolia</t>
  </si>
  <si>
    <t>Bog-Rosemary</t>
  </si>
  <si>
    <t>Androsace chamaejasme</t>
  </si>
  <si>
    <t>Sweet-Flower Rock-Jasmine</t>
  </si>
  <si>
    <t>Androsace septentrionalis</t>
  </si>
  <si>
    <t>Pygmy-Flower Rock-Jasmine</t>
  </si>
  <si>
    <t>Anemone narcissiflora</t>
  </si>
  <si>
    <t>Narcissus-Flower Thimbleweed</t>
  </si>
  <si>
    <t>Anemone parviflora</t>
  </si>
  <si>
    <t>Small-Flower Thimbleweed</t>
  </si>
  <si>
    <t>Anemone richardsonii</t>
  </si>
  <si>
    <t>Yellow Thimbleweed</t>
  </si>
  <si>
    <t>Angelica arguta</t>
  </si>
  <si>
    <t>Lyall's Angelica</t>
  </si>
  <si>
    <t>Angelica genuflexa</t>
  </si>
  <si>
    <t>Kneeling Angelica</t>
  </si>
  <si>
    <t>Angelica lucida</t>
  </si>
  <si>
    <t>Seacoast Angelica</t>
  </si>
  <si>
    <t>Antennaria alpina</t>
  </si>
  <si>
    <t>Alpine Pussytoes</t>
  </si>
  <si>
    <t>Antennaria media</t>
  </si>
  <si>
    <t>Dark Pussytoes</t>
  </si>
  <si>
    <t>Antennaria pulcherrima</t>
  </si>
  <si>
    <t>Showy Pussytoes</t>
  </si>
  <si>
    <t>Antennaria umbrinella</t>
  </si>
  <si>
    <t>Umber Pussytoes</t>
  </si>
  <si>
    <t>Anthoxanthum arcticum</t>
  </si>
  <si>
    <t>Arctic Sweet Vernal Grass</t>
  </si>
  <si>
    <t>Anthoxanthum monticola</t>
  </si>
  <si>
    <t>Alpine Sweet Vernal Grass</t>
  </si>
  <si>
    <t>Anticlea elegans</t>
  </si>
  <si>
    <t>Mountain False Deathcamas</t>
  </si>
  <si>
    <t>Aphragmus eschscholtzianus</t>
  </si>
  <si>
    <t>Aleutian-Cress</t>
  </si>
  <si>
    <t>Apocynum androsaemifolium</t>
  </si>
  <si>
    <t>Spreading Dogbane</t>
  </si>
  <si>
    <t>Aquilegia formosa</t>
  </si>
  <si>
    <t>Crimson Columbine</t>
  </si>
  <si>
    <t>Arabidopsis lyrata</t>
  </si>
  <si>
    <t>Lyre-Leaf Thalecress</t>
  </si>
  <si>
    <t>Arabis drummondii</t>
  </si>
  <si>
    <t>Drummond rockcress</t>
  </si>
  <si>
    <t>Arabis eschscholtziana</t>
  </si>
  <si>
    <t>Pacific-Coast Eared Rockcress</t>
  </si>
  <si>
    <t>Arabis hirsuta</t>
  </si>
  <si>
    <t>Hairy Eared Rockcress</t>
  </si>
  <si>
    <t>Arabis holboellii</t>
  </si>
  <si>
    <t>Arabis lyrata</t>
  </si>
  <si>
    <t>Arctagrostis latifolia</t>
  </si>
  <si>
    <t>Broad-Leaf Arctic-Bent</t>
  </si>
  <si>
    <t>Arctanthemum arcticum</t>
  </si>
  <si>
    <t>Arctic Daisy</t>
  </si>
  <si>
    <t>Arctophila fulva</t>
  </si>
  <si>
    <t>Pendant Grass</t>
  </si>
  <si>
    <t>Arctostaphylos alpina</t>
  </si>
  <si>
    <t>Black Bearberry</t>
  </si>
  <si>
    <t>Arctostaphylos rubra</t>
  </si>
  <si>
    <t>Red Manzanita</t>
  </si>
  <si>
    <t>Arctostaphylos uva-ursi</t>
  </si>
  <si>
    <t>Red Bearberry</t>
  </si>
  <si>
    <t>Argentina anserina</t>
  </si>
  <si>
    <t>Common Silverweed</t>
  </si>
  <si>
    <t>Argentina egedii</t>
  </si>
  <si>
    <t>Pacific Silverweed</t>
  </si>
  <si>
    <t>Armeria maritima</t>
  </si>
  <si>
    <t>Sea Thrift</t>
  </si>
  <si>
    <t>Arnica amplexicaulis</t>
  </si>
  <si>
    <t>Arnica chamissonis</t>
  </si>
  <si>
    <t>Leafy Leopardbane</t>
  </si>
  <si>
    <t>Arnica lanceolata</t>
  </si>
  <si>
    <t>Lance-Leaf Leopardbane</t>
  </si>
  <si>
    <t>Arnica latifolia</t>
  </si>
  <si>
    <t>Daffodil Leopardbane</t>
  </si>
  <si>
    <t>Arnica lessingii</t>
  </si>
  <si>
    <t>Arnica mollis</t>
  </si>
  <si>
    <t>Cordilleran Leopardbane</t>
  </si>
  <si>
    <t>Arnica ovata</t>
  </si>
  <si>
    <t>Sticky-Leaf Leopardbane</t>
  </si>
  <si>
    <t>Artemisia arctica</t>
  </si>
  <si>
    <t>Artemisia cana</t>
  </si>
  <si>
    <t>Coaltown Sagebrush</t>
  </si>
  <si>
    <t>Artemisia norvegica</t>
  </si>
  <si>
    <t>Boreal Sagebrush</t>
  </si>
  <si>
    <t>Artemisia stelleriana</t>
  </si>
  <si>
    <t>Oldwoman</t>
  </si>
  <si>
    <t>Artemisia tilesii</t>
  </si>
  <si>
    <t>Tilesius' Wormwood</t>
  </si>
  <si>
    <t>Aruncus dioicus</t>
  </si>
  <si>
    <t>Bride's-Feathers</t>
  </si>
  <si>
    <t>Asplenium trichomanes</t>
  </si>
  <si>
    <t>Maidenhair Spleenwort</t>
  </si>
  <si>
    <t>Asplenium trichomanes-ramosum</t>
  </si>
  <si>
    <t>Green Spleenwort</t>
  </si>
  <si>
    <t>Asplenium viride</t>
  </si>
  <si>
    <t>Aster modestus</t>
  </si>
  <si>
    <t>Aster subspicatus</t>
  </si>
  <si>
    <t>Astragalus agrestis</t>
  </si>
  <si>
    <t>Purple Milk Vetch</t>
  </si>
  <si>
    <t>Astragalus alpinus</t>
  </si>
  <si>
    <t>Alpine Milk-Vetch</t>
  </si>
  <si>
    <t>Astragalus americanus</t>
  </si>
  <si>
    <t>American Milk-Vetch</t>
  </si>
  <si>
    <t>Astragalus bodinii</t>
  </si>
  <si>
    <t>Bodin's Milk-Vetch</t>
  </si>
  <si>
    <t>Astragalus eucosmus</t>
  </si>
  <si>
    <t>Elegant Milk-Vetch</t>
  </si>
  <si>
    <t>Astragalus nutzotinensis</t>
  </si>
  <si>
    <t>Nutzotin Milk-Vetch</t>
  </si>
  <si>
    <t>Astragalus polaris</t>
  </si>
  <si>
    <t>Polar Milk-Vetch</t>
  </si>
  <si>
    <t>Astragalus robbinsii</t>
  </si>
  <si>
    <t>Robbins' Milk-Vetch</t>
  </si>
  <si>
    <t>Athyrium americanum</t>
  </si>
  <si>
    <t>American Alpine Lady Fern</t>
  </si>
  <si>
    <t>Athyrium filix-femina</t>
  </si>
  <si>
    <t>Subarctic Lady Fern</t>
  </si>
  <si>
    <t>Atriplex alaskensis</t>
  </si>
  <si>
    <t>Alaska Orache</t>
  </si>
  <si>
    <t>Atriplex gmelinii</t>
  </si>
  <si>
    <t>Gmelin's Saltbush</t>
  </si>
  <si>
    <t>Azolla filiculoides</t>
  </si>
  <si>
    <t>Large Mosquito Fern</t>
  </si>
  <si>
    <t>Barbarea orthoceras</t>
  </si>
  <si>
    <t>American Yellow-Rocket</t>
  </si>
  <si>
    <t>Beckmannia syzigachne</t>
  </si>
  <si>
    <t>American Slough Grass</t>
  </si>
  <si>
    <t>Betula glandulosa</t>
  </si>
  <si>
    <t>Resin Birch</t>
  </si>
  <si>
    <t>Betula nana</t>
  </si>
  <si>
    <t>Swamp Birch</t>
  </si>
  <si>
    <t>Betula neoalaskana</t>
  </si>
  <si>
    <t>Alaska Paper Birch</t>
  </si>
  <si>
    <t>Betula occidentalis</t>
  </si>
  <si>
    <t>Water Birch</t>
  </si>
  <si>
    <t>Betula papyrifera</t>
  </si>
  <si>
    <t>Paper Birch</t>
  </si>
  <si>
    <t>Bidens cernua</t>
  </si>
  <si>
    <t>Nodding Burr-Marigold</t>
  </si>
  <si>
    <t>Bidens tripartita</t>
  </si>
  <si>
    <t>Three-Lobe Beggarticks</t>
  </si>
  <si>
    <t>Bistorta plumosa</t>
  </si>
  <si>
    <t>Meadow Bistort</t>
  </si>
  <si>
    <t>Bistorta vivipara</t>
  </si>
  <si>
    <t>Serpent-Grass</t>
  </si>
  <si>
    <t>Blechnum spicant</t>
  </si>
  <si>
    <t>Deer Fern</t>
  </si>
  <si>
    <t>Blysmopsis rufa</t>
  </si>
  <si>
    <t>Red-Bulrush</t>
  </si>
  <si>
    <t>Boechera grahamii</t>
  </si>
  <si>
    <t>Boechera holboellii</t>
  </si>
  <si>
    <t>Holboell's Rockcress</t>
  </si>
  <si>
    <t>Boechera lemmonii</t>
  </si>
  <si>
    <t>Soldier Rockcress</t>
  </si>
  <si>
    <t>Boechera stricta</t>
  </si>
  <si>
    <t>Canadian Rockcress</t>
  </si>
  <si>
    <t>Boschniakia rossica</t>
  </si>
  <si>
    <t>Northern Groundcone</t>
  </si>
  <si>
    <t>Botrychium ascendens</t>
  </si>
  <si>
    <t>Triangle-Lobe Moonwort</t>
  </si>
  <si>
    <t>Botrychium boreale</t>
  </si>
  <si>
    <t>Northern Moonwort</t>
  </si>
  <si>
    <t>Botrychium lanceolatum</t>
  </si>
  <si>
    <t>Lance-Leaf Moonwort</t>
  </si>
  <si>
    <t>Botrychium lunaria</t>
  </si>
  <si>
    <t>Common Moonwort</t>
  </si>
  <si>
    <t>Botrychium minganense</t>
  </si>
  <si>
    <t>Botrychium multifidum</t>
  </si>
  <si>
    <t>Leathery Grapefern</t>
  </si>
  <si>
    <t>Botrychium pinnatum</t>
  </si>
  <si>
    <t>Northeastern Moonwort</t>
  </si>
  <si>
    <t>Botrychium simplex</t>
  </si>
  <si>
    <t>Least Moonwort</t>
  </si>
  <si>
    <t>Botrychium tunux</t>
  </si>
  <si>
    <t>Botrychium virginianum</t>
  </si>
  <si>
    <t>Rattlesnake Fern</t>
  </si>
  <si>
    <t>Botrychium yaaxudakeit</t>
  </si>
  <si>
    <t>Botrypus virginianus</t>
  </si>
  <si>
    <t>Boykinia richardsonii</t>
  </si>
  <si>
    <t>Richardson's Brookfoam</t>
  </si>
  <si>
    <t>Brasenia schreberi</t>
  </si>
  <si>
    <t>Watershield</t>
  </si>
  <si>
    <t>Braya glabella</t>
  </si>
  <si>
    <t>Smooth Northern-Rockcress</t>
  </si>
  <si>
    <t>Braya humilis</t>
  </si>
  <si>
    <t>Dwarf Northern Rockcress</t>
  </si>
  <si>
    <t>Bromus ciliatus</t>
  </si>
  <si>
    <t>Fringed Brome</t>
  </si>
  <si>
    <t>Bromus richardsonii</t>
  </si>
  <si>
    <t>Richardson's Brome</t>
  </si>
  <si>
    <t>Bromus sitchensis</t>
  </si>
  <si>
    <t>Cakile edentula</t>
  </si>
  <si>
    <t>American Searocket</t>
  </si>
  <si>
    <t>Cakile maritima</t>
  </si>
  <si>
    <t>Calamagrostis canadensis</t>
  </si>
  <si>
    <t>Bluejoint</t>
  </si>
  <si>
    <t>Calamagrostis deschampsioides</t>
  </si>
  <si>
    <t>Circumpolar Reed Grass</t>
  </si>
  <si>
    <t>Calamagrostis lapponica</t>
  </si>
  <si>
    <t>Lapland Reed Grass</t>
  </si>
  <si>
    <t>Calamagrostis nutkaensis</t>
  </si>
  <si>
    <t>Nootka Reed Grass</t>
  </si>
  <si>
    <t>Calamagrostis stricta</t>
  </si>
  <si>
    <t>Slim-Stem Reed Grass</t>
  </si>
  <si>
    <t>Calla palustris</t>
  </si>
  <si>
    <t>Water-Dragon</t>
  </si>
  <si>
    <t>Callitriche hermaphroditica</t>
  </si>
  <si>
    <t>Autumn Water-Starwort</t>
  </si>
  <si>
    <t>Callitriche heterophylla</t>
  </si>
  <si>
    <t>Greater Water-Starwort</t>
  </si>
  <si>
    <t>Callitriche palustris</t>
  </si>
  <si>
    <t>Vernal Water-Starwort</t>
  </si>
  <si>
    <t>Caltha leptosepala</t>
  </si>
  <si>
    <t>White Marsh-Marigold</t>
  </si>
  <si>
    <t>Caltha natans</t>
  </si>
  <si>
    <t>Floating Marsh-Marigold</t>
  </si>
  <si>
    <t>Caltha palustris</t>
  </si>
  <si>
    <t>Yellow Marsh-Marigold</t>
  </si>
  <si>
    <t>Calypso bulbosa</t>
  </si>
  <si>
    <t>Fairy-Slipper Orchid</t>
  </si>
  <si>
    <t>Campanula lasiocarpa</t>
  </si>
  <si>
    <t>Alaska Bellflower</t>
  </si>
  <si>
    <t>Campanula rotundifolia</t>
  </si>
  <si>
    <t>Bluebell-of-Scotland</t>
  </si>
  <si>
    <t>Campanula scouleri</t>
  </si>
  <si>
    <t>Pale Bellflower</t>
  </si>
  <si>
    <t>Campanula uniflora</t>
  </si>
  <si>
    <t>Arctic Bellflower</t>
  </si>
  <si>
    <t>Canadanthus modestus</t>
  </si>
  <si>
    <t>Canada-Aster</t>
  </si>
  <si>
    <t>Cardamine angulata</t>
  </si>
  <si>
    <t>Seaside Bittercress</t>
  </si>
  <si>
    <t>Cardamine bellidifolia</t>
  </si>
  <si>
    <t>Alpine Bittercress</t>
  </si>
  <si>
    <t>Cardamine breweri</t>
  </si>
  <si>
    <t>Brewer's Bittercress</t>
  </si>
  <si>
    <t>Cardamine digitata</t>
  </si>
  <si>
    <t>Richardson's Bittercress</t>
  </si>
  <si>
    <t>Cardamine hirsuta</t>
  </si>
  <si>
    <t>Hairy Bittercress</t>
  </si>
  <si>
    <t>Cardamine microphylla</t>
  </si>
  <si>
    <t>Little-Leaf Bittercress</t>
  </si>
  <si>
    <t>Cardamine occidentalis</t>
  </si>
  <si>
    <t>Big Western Bittercress</t>
  </si>
  <si>
    <t>Cardamine oligosperma</t>
  </si>
  <si>
    <t>Little Western Bittercress</t>
  </si>
  <si>
    <t>Cardamine pensylvanica</t>
  </si>
  <si>
    <t>Quaker Bittercress</t>
  </si>
  <si>
    <t>Cardamine pratensis</t>
  </si>
  <si>
    <t>Cuckoo Flower</t>
  </si>
  <si>
    <t>Cardamine purpurea</t>
  </si>
  <si>
    <t>Purple Bittercress</t>
  </si>
  <si>
    <t>Cardamine regeliana</t>
  </si>
  <si>
    <t>Japanese Bittercress</t>
  </si>
  <si>
    <t>Cardamine umbellata</t>
  </si>
  <si>
    <t>Umbell's Bittercress</t>
  </si>
  <si>
    <t>Carex adelostoma</t>
  </si>
  <si>
    <t>Circumpolar Sedge</t>
  </si>
  <si>
    <t>Carex albonigra</t>
  </si>
  <si>
    <t>Black-and-White-Scale Sedge</t>
  </si>
  <si>
    <t>Carex anthoxanthea</t>
  </si>
  <si>
    <t>Grassy-Slope Arctic Sedge</t>
  </si>
  <si>
    <t>Carex aquatilis</t>
  </si>
  <si>
    <t>Leafy Tussock Sedge</t>
  </si>
  <si>
    <t>Carex arcta</t>
  </si>
  <si>
    <t>Northern Cluster Sedge</t>
  </si>
  <si>
    <t>Carex arctiformis</t>
  </si>
  <si>
    <t>Polar Sedge</t>
  </si>
  <si>
    <t>Carex atherodes</t>
  </si>
  <si>
    <t>Wheat Sedge</t>
  </si>
  <si>
    <t>Carex athrostachya</t>
  </si>
  <si>
    <t>Slender-Beak Sedge</t>
  </si>
  <si>
    <t>Carex atratiformis</t>
  </si>
  <si>
    <t>Scabrous Black Sedge</t>
  </si>
  <si>
    <t>Carex atrofusca</t>
  </si>
  <si>
    <t>Scorched Alpine Sedge</t>
  </si>
  <si>
    <t>Carex atrosquama</t>
  </si>
  <si>
    <t>Lesser Black-Scale Sedge</t>
  </si>
  <si>
    <t>Carex aurea</t>
  </si>
  <si>
    <t>Golden-Fruit Sedge</t>
  </si>
  <si>
    <t>Carex bebbii</t>
  </si>
  <si>
    <t>Bebb's Sedge</t>
  </si>
  <si>
    <t>Carex bicolor</t>
  </si>
  <si>
    <t>Two-Color Sedge</t>
  </si>
  <si>
    <t>Carex bigelowii</t>
  </si>
  <si>
    <t>Bigelow's Sedge</t>
  </si>
  <si>
    <t>Carex bonanzensis</t>
  </si>
  <si>
    <t>Yukon Sedge</t>
  </si>
  <si>
    <t>Carex brunnescens</t>
  </si>
  <si>
    <t>Brownish Sedge</t>
  </si>
  <si>
    <t>Carex buxbaumii</t>
  </si>
  <si>
    <t>Brown Bog Sedge</t>
  </si>
  <si>
    <t>Carex canescens</t>
  </si>
  <si>
    <t>Hoary Sedge</t>
  </si>
  <si>
    <t>Carex capillaris</t>
  </si>
  <si>
    <t>Hair-Like Sedge</t>
  </si>
  <si>
    <t>Carex capitata</t>
  </si>
  <si>
    <t>Capitate Sedge</t>
  </si>
  <si>
    <t>Carex chordorrhiza</t>
  </si>
  <si>
    <t>Rope-Root Sedge</t>
  </si>
  <si>
    <t>Carex circinata</t>
  </si>
  <si>
    <t>Coiled Sedge</t>
  </si>
  <si>
    <t>Carex concinna</t>
  </si>
  <si>
    <t>Low Northern Sedge</t>
  </si>
  <si>
    <t>Carex crawfordii</t>
  </si>
  <si>
    <t>Crawford's Sedge</t>
  </si>
  <si>
    <t>Carex deweyana</t>
  </si>
  <si>
    <t>Dewey's Sedge</t>
  </si>
  <si>
    <t>Carex diandra</t>
  </si>
  <si>
    <t>Lesser Tussock Sedge</t>
  </si>
  <si>
    <t>Carex disperma</t>
  </si>
  <si>
    <t>Soft-Leaf Sedge</t>
  </si>
  <si>
    <t>Carex duriuscula</t>
  </si>
  <si>
    <t>Spike-Rush Sedge</t>
  </si>
  <si>
    <t>Carex eburnea</t>
  </si>
  <si>
    <t>Bristle-Leaf Sedge</t>
  </si>
  <si>
    <t>Carex echinata</t>
  </si>
  <si>
    <t>Star Sedge</t>
  </si>
  <si>
    <t>Carex eleusinoides</t>
  </si>
  <si>
    <t>Goosegrass Sedge</t>
  </si>
  <si>
    <t>Carex exsiccata</t>
  </si>
  <si>
    <t>Western Inflated Sedge</t>
  </si>
  <si>
    <t>Carex flava</t>
  </si>
  <si>
    <t>Yellow-Green Sedge</t>
  </si>
  <si>
    <t>Carex foenea</t>
  </si>
  <si>
    <t>Bronze Sedge</t>
  </si>
  <si>
    <t>Carex fuliginosa</t>
  </si>
  <si>
    <t>Short-Leaf Sedge</t>
  </si>
  <si>
    <t>Carex garberi</t>
  </si>
  <si>
    <t>Elk Sedge</t>
  </si>
  <si>
    <t>Carex glareosa</t>
  </si>
  <si>
    <t>Lesser Saltmarsh Sedge</t>
  </si>
  <si>
    <t>Carex gmelinii</t>
  </si>
  <si>
    <t>Gmelin's Sedge</t>
  </si>
  <si>
    <t>Carex gynocrates</t>
  </si>
  <si>
    <t>Northern Bog Sedge</t>
  </si>
  <si>
    <t>Carex heleonastes</t>
  </si>
  <si>
    <t>Hudson Bay Sedge</t>
  </si>
  <si>
    <t>Carex holostoma</t>
  </si>
  <si>
    <t>Arctic Marsh Sedge</t>
  </si>
  <si>
    <t>Carex hoodii</t>
  </si>
  <si>
    <t>Hood's Sedge</t>
  </si>
  <si>
    <t>Carex incurviformis</t>
  </si>
  <si>
    <t>Coastal-Sand Sedge</t>
  </si>
  <si>
    <t>Carex interior</t>
  </si>
  <si>
    <t>Inland Sedge</t>
  </si>
  <si>
    <t>Carex lachenalii</t>
  </si>
  <si>
    <t>Arctic Hare-Foot Sedge</t>
  </si>
  <si>
    <t>Carex laeviculmis</t>
  </si>
  <si>
    <t>Smooth-Stem Sedge</t>
  </si>
  <si>
    <t>Carex lapponica</t>
  </si>
  <si>
    <t>Lapland Sedge</t>
  </si>
  <si>
    <t>Carex lasiocarpa</t>
  </si>
  <si>
    <t>Woolly-Fruit Sedge</t>
  </si>
  <si>
    <t>Carex laxa</t>
  </si>
  <si>
    <t>Weak Sedge</t>
  </si>
  <si>
    <t>Carex lenticularis</t>
  </si>
  <si>
    <t>Lakeshore Sedge</t>
  </si>
  <si>
    <t>Carex leptalea</t>
  </si>
  <si>
    <t>Bristly-Stalk Sedge</t>
  </si>
  <si>
    <t>Carex limosa</t>
  </si>
  <si>
    <t>Mud Sedge</t>
  </si>
  <si>
    <t>Carex livida</t>
  </si>
  <si>
    <t>Livid Sedge</t>
  </si>
  <si>
    <t>Carex loliacea</t>
  </si>
  <si>
    <t>Rye-Grass Sedge</t>
  </si>
  <si>
    <t>Carex lyngbyei</t>
  </si>
  <si>
    <t>Lyngbye's Sedge</t>
  </si>
  <si>
    <t>Carex mackenziei</t>
  </si>
  <si>
    <t>Mackenzie's Sedge</t>
  </si>
  <si>
    <t>Carex macloviana</t>
  </si>
  <si>
    <t>Falkland Island Sedge</t>
  </si>
  <si>
    <t>Carex macrocephala</t>
  </si>
  <si>
    <t>Big-Head Sedge</t>
  </si>
  <si>
    <t>Carex macrochaeta</t>
  </si>
  <si>
    <t>Alaska Long-Awn Sedge</t>
  </si>
  <si>
    <t>Carex magellanica</t>
  </si>
  <si>
    <t>Boreal-Bog Sedge</t>
  </si>
  <si>
    <t>Carex marina</t>
  </si>
  <si>
    <t>Sea Sedge</t>
  </si>
  <si>
    <t>Carex maritima</t>
  </si>
  <si>
    <t>Seaside Sedge</t>
  </si>
  <si>
    <t>Carex media</t>
  </si>
  <si>
    <t>Montana Sedge</t>
  </si>
  <si>
    <t>Carex membranacea</t>
  </si>
  <si>
    <t>Fragile-Seed Sedge</t>
  </si>
  <si>
    <t>Carex mertensii</t>
  </si>
  <si>
    <t>Mertens' Sedge</t>
  </si>
  <si>
    <t>Carex microchaeta</t>
  </si>
  <si>
    <t>Alpine-Tundra Sedge</t>
  </si>
  <si>
    <t>Carex microglochin</t>
  </si>
  <si>
    <t>False Uncinia Sedge</t>
  </si>
  <si>
    <t>Carex micropoda</t>
  </si>
  <si>
    <t>Pyrenean Sedge</t>
  </si>
  <si>
    <t>Carex microptera</t>
  </si>
  <si>
    <t>Small-Wing Sedge</t>
  </si>
  <si>
    <t>Carex nardina</t>
  </si>
  <si>
    <t>Nard Sedge</t>
  </si>
  <si>
    <t>Carex nigricans</t>
  </si>
  <si>
    <t>Black Alpine Sedge</t>
  </si>
  <si>
    <t>Carex obnupta</t>
  </si>
  <si>
    <t>Slough sedge</t>
  </si>
  <si>
    <t>Carex pachystachya</t>
  </si>
  <si>
    <t>Thick-Head Sedge</t>
  </si>
  <si>
    <t>Carex parryana</t>
  </si>
  <si>
    <t>Parry's Sedge</t>
  </si>
  <si>
    <t>Carex pauciflora</t>
  </si>
  <si>
    <t>Few-Flower Sedge</t>
  </si>
  <si>
    <t>Carex paysonis</t>
  </si>
  <si>
    <t>Payson's Sedge</t>
  </si>
  <si>
    <t>Carex petasata</t>
  </si>
  <si>
    <t>Liddon Sedge</t>
  </si>
  <si>
    <t>Carex phaeocephala</t>
  </si>
  <si>
    <t>Mountain Hare Sedge</t>
  </si>
  <si>
    <t>Carex pluriflora</t>
  </si>
  <si>
    <t>Several-Flower Sedge</t>
  </si>
  <si>
    <t>Carex praegracilis</t>
  </si>
  <si>
    <t>Clustered Field Sedge</t>
  </si>
  <si>
    <t>Carex praticola</t>
  </si>
  <si>
    <t>Northern Meadow Sedge</t>
  </si>
  <si>
    <t>Carex preslii</t>
  </si>
  <si>
    <t>Presl's Sedge</t>
  </si>
  <si>
    <t>Carex pyrenaica</t>
  </si>
  <si>
    <t>Carex ramenskii</t>
  </si>
  <si>
    <t>Ramensk's Sedge</t>
  </si>
  <si>
    <t>Carex rariflora</t>
  </si>
  <si>
    <t>Loose-Flower Alpine Sedge</t>
  </si>
  <si>
    <t>Carex rostrata</t>
  </si>
  <si>
    <t>Swollen Beaked Sedge</t>
  </si>
  <si>
    <t>Carex rotundata</t>
  </si>
  <si>
    <t>Pumpkin-Fruit Sedge</t>
  </si>
  <si>
    <t>Carex rupestris</t>
  </si>
  <si>
    <t>Curly Sedge</t>
  </si>
  <si>
    <t>Carex sartwellii</t>
  </si>
  <si>
    <t>Sartwell's Sedge</t>
  </si>
  <si>
    <t>Carex saxatilis</t>
  </si>
  <si>
    <t>Russet Sedge</t>
  </si>
  <si>
    <t>Carex scirpoidea</t>
  </si>
  <si>
    <t>Canadian Single-Spike Sedge</t>
  </si>
  <si>
    <t>Carex siccata</t>
  </si>
  <si>
    <t>Dry-Spike Sedge</t>
  </si>
  <si>
    <t>Carex spectabilis</t>
  </si>
  <si>
    <t>Northwestern Showy Sedge</t>
  </si>
  <si>
    <t>Carex sprengelii</t>
  </si>
  <si>
    <t>Long-Beak Sedge</t>
  </si>
  <si>
    <t>Carex stipata</t>
  </si>
  <si>
    <t>Stalk-Grain Sedge</t>
  </si>
  <si>
    <t>Carex stylosa</t>
  </si>
  <si>
    <t>Long-Style Sedge</t>
  </si>
  <si>
    <t>Carex subspathacea</t>
  </si>
  <si>
    <t>Hoppner's Sedge</t>
  </si>
  <si>
    <t>Carex sychnocephala</t>
  </si>
  <si>
    <t>Many-Head Sedge</t>
  </si>
  <si>
    <t>Carex tenuiflora</t>
  </si>
  <si>
    <t>Sparse-Flower Sedge</t>
  </si>
  <si>
    <t>Carex ursina</t>
  </si>
  <si>
    <t>Bear Sedge</t>
  </si>
  <si>
    <t>Carex utriculata</t>
  </si>
  <si>
    <t>Northwest Territory Sedge</t>
  </si>
  <si>
    <t>Carex vaginata</t>
  </si>
  <si>
    <t>Sheathed Sedge</t>
  </si>
  <si>
    <t>Carex viridula</t>
  </si>
  <si>
    <t>Little Green Sedge</t>
  </si>
  <si>
    <t>Carex williamsii</t>
  </si>
  <si>
    <t>Williams' Sedge</t>
  </si>
  <si>
    <t>Carex X physocarpoides</t>
  </si>
  <si>
    <t>Cassiope mertensiana</t>
  </si>
  <si>
    <t>Western Moss-Heather</t>
  </si>
  <si>
    <t>Cassiope tetragona</t>
  </si>
  <si>
    <t>White Arctic Mountain-Heather</t>
  </si>
  <si>
    <t>Castilleja caudata</t>
  </si>
  <si>
    <t>Port Clarence Indian-Paintbrush</t>
  </si>
  <si>
    <t>Castilleja chrymactis</t>
  </si>
  <si>
    <t>Panhandle Indian-Paintbrush</t>
  </si>
  <si>
    <t>Castilleja hyetophila</t>
  </si>
  <si>
    <t>Coastal Red Indian-Paintbrush</t>
  </si>
  <si>
    <t>Castilleja miniata</t>
  </si>
  <si>
    <t>Great Red Indian-Paintbrush</t>
  </si>
  <si>
    <t>Castilleja parviflora</t>
  </si>
  <si>
    <t>Small-Flower Indian-Paintbrush</t>
  </si>
  <si>
    <t>Castilleja raupii</t>
  </si>
  <si>
    <t>Raup's Indian-Paintbrush</t>
  </si>
  <si>
    <t>Castilleja tenuis</t>
  </si>
  <si>
    <t>Hairy Indian-Paintbrush</t>
  </si>
  <si>
    <t>Castilleja unalaschcensis</t>
  </si>
  <si>
    <t>Alaska Indian-Paintbrush</t>
  </si>
  <si>
    <t>Catabrosa aquatica</t>
  </si>
  <si>
    <t>Water Whorl Grass</t>
  </si>
  <si>
    <t>Cerastium arvense</t>
  </si>
  <si>
    <t>Field Mouse-Ear Chickweed</t>
  </si>
  <si>
    <t>Cerastium beeringianum</t>
  </si>
  <si>
    <t>Bering Sea Mouse-Ear Chickweed</t>
  </si>
  <si>
    <t>Cerastium fischerianum</t>
  </si>
  <si>
    <t>Fischer's Mouse-Ear Chickweed</t>
  </si>
  <si>
    <t>Cerastium regelii</t>
  </si>
  <si>
    <t>Regel's Mouse-Ear Chickweed</t>
  </si>
  <si>
    <t>Ceratophyllum demersum</t>
  </si>
  <si>
    <t>Coon's-Tail</t>
  </si>
  <si>
    <t>Chamaecyparis nootkatensis</t>
  </si>
  <si>
    <t>Yellow Cedar</t>
  </si>
  <si>
    <t>Chamaedaphne calyculata</t>
  </si>
  <si>
    <t>Leatherleaf</t>
  </si>
  <si>
    <t>Chamerion angustifolium</t>
  </si>
  <si>
    <t>Narrow-Leaf Fireweed</t>
  </si>
  <si>
    <t>Chamerion latifolium</t>
  </si>
  <si>
    <t>Broad-Leaf Fireweed</t>
  </si>
  <si>
    <t>Chrysosplenium tetrandrum</t>
  </si>
  <si>
    <t>Northern Golden-Saxifrage</t>
  </si>
  <si>
    <t>Chrysosplenium wrightii</t>
  </si>
  <si>
    <t>Wright's Golden-Saxifrage</t>
  </si>
  <si>
    <t>Cicuta bulbifera</t>
  </si>
  <si>
    <t>Bulblet-Bearing Water-Hemlock</t>
  </si>
  <si>
    <t>Cicuta douglasii</t>
  </si>
  <si>
    <t>Western Water-Hemlock</t>
  </si>
  <si>
    <t>Cicuta maculata</t>
  </si>
  <si>
    <t>Spotted Water-Hemlock</t>
  </si>
  <si>
    <t>Cicuta virosa</t>
  </si>
  <si>
    <t>Mackenzie's Water-Hemlock</t>
  </si>
  <si>
    <t>Cinna latifolia</t>
  </si>
  <si>
    <t>Slender Wood-Reed</t>
  </si>
  <si>
    <t>Circaea alpina</t>
  </si>
  <si>
    <t>Small Enchanter's-Nightshade</t>
  </si>
  <si>
    <t>Cirsium edule</t>
  </si>
  <si>
    <t>Edible Thistle</t>
  </si>
  <si>
    <t>Cirsium foliosum</t>
  </si>
  <si>
    <t>Elk Thistle</t>
  </si>
  <si>
    <t>Claytonia arctica</t>
  </si>
  <si>
    <t>Arctic Springbeauty</t>
  </si>
  <si>
    <t>Claytonia eschscholtzii</t>
  </si>
  <si>
    <t>Grass-Leaf Springbeauty</t>
  </si>
  <si>
    <t>Claytonia perfoliata</t>
  </si>
  <si>
    <t>Miner's-Lettuce</t>
  </si>
  <si>
    <t>Claytonia sarmentosa</t>
  </si>
  <si>
    <t>Alaska Springbeauty</t>
  </si>
  <si>
    <t>Claytonia sibirica</t>
  </si>
  <si>
    <t>Siberian Springbeauty</t>
  </si>
  <si>
    <t>Claytonia tuberosa</t>
  </si>
  <si>
    <t>Tuberous Springbeauty</t>
  </si>
  <si>
    <t>Cnidium cnidiifolium</t>
  </si>
  <si>
    <t>Jakutsk Snow-Parsley</t>
  </si>
  <si>
    <t>Cochlearia groenlandica</t>
  </si>
  <si>
    <t>Danish Scurvy-Grass</t>
  </si>
  <si>
    <t>Cochlearia officinalis</t>
  </si>
  <si>
    <t>Cochlearia sessilifolia</t>
  </si>
  <si>
    <t>Sessile-Leaf Scurvy-Grass</t>
  </si>
  <si>
    <t>Coeloglossum viride</t>
  </si>
  <si>
    <t>Long-Bract Frog Orchid</t>
  </si>
  <si>
    <t>Comandra umbellata</t>
  </si>
  <si>
    <t>Bastard-Toadflax</t>
  </si>
  <si>
    <t>Comarum palustre</t>
  </si>
  <si>
    <t>Purple Marshlocks</t>
  </si>
  <si>
    <t>Conioselinum gmelinii</t>
  </si>
  <si>
    <t>Pacific Hemlock-parsley</t>
  </si>
  <si>
    <t>Conioselinum pacificum</t>
  </si>
  <si>
    <t>Coptis aspleniifolia</t>
  </si>
  <si>
    <t>Fern-Leaf Goldthread</t>
  </si>
  <si>
    <t>Coptis trifolia</t>
  </si>
  <si>
    <t>Three-Leaf Goldthread</t>
  </si>
  <si>
    <t>Corallorhiza maculata</t>
  </si>
  <si>
    <t>Summer Coralroot</t>
  </si>
  <si>
    <t>Corallorhiza trifida</t>
  </si>
  <si>
    <t>Yellow Coralroot</t>
  </si>
  <si>
    <t>Corallorrhiza trifida</t>
  </si>
  <si>
    <t>Corispermum americanum</t>
  </si>
  <si>
    <t>American Bugseed</t>
  </si>
  <si>
    <t>Cornus alba</t>
  </si>
  <si>
    <t>Red Osier</t>
  </si>
  <si>
    <t>Cornus canadensis</t>
  </si>
  <si>
    <t>Canadian Bunchberry</t>
  </si>
  <si>
    <t>Cornus sericea</t>
  </si>
  <si>
    <t>Red-osier Dogwood</t>
  </si>
  <si>
    <t>Cornus suecica</t>
  </si>
  <si>
    <t>Dwarf Bog Bunchberry</t>
  </si>
  <si>
    <t>Cornus unalaschkensis</t>
  </si>
  <si>
    <t>Cornus X intermedia</t>
  </si>
  <si>
    <t>Corydalis pauciflora</t>
  </si>
  <si>
    <t>Few-Flower Fumewort</t>
  </si>
  <si>
    <t>Crassula aquatica</t>
  </si>
  <si>
    <t>Water Pygmyweed</t>
  </si>
  <si>
    <t>Crassula saginoides</t>
  </si>
  <si>
    <t>Wrinkle-Seed Pygmyweed</t>
  </si>
  <si>
    <t>Crataegus douglasii</t>
  </si>
  <si>
    <t>Black Hawthorn</t>
  </si>
  <si>
    <t>Crataegus monogyna</t>
  </si>
  <si>
    <t>English Hawthorn</t>
  </si>
  <si>
    <t>Crataegus suksdorfii</t>
  </si>
  <si>
    <t>Suksdorf's Hawthorn</t>
  </si>
  <si>
    <t>Cryptogramma stelleri</t>
  </si>
  <si>
    <t>Fragile Rockbrake</t>
  </si>
  <si>
    <t>Cyperus esculentus</t>
  </si>
  <si>
    <t>Chufa</t>
  </si>
  <si>
    <t>Cypripedium guttatum</t>
  </si>
  <si>
    <t>Cypripedium montanum</t>
  </si>
  <si>
    <t>Cypripedium parviflorum</t>
  </si>
  <si>
    <t>Yellow Lady's-Slipper</t>
  </si>
  <si>
    <t>Cypripedium passerinum</t>
  </si>
  <si>
    <t>Sparrow-Egg Lady's-Slipper</t>
  </si>
  <si>
    <t>Cystopteris fragilis</t>
  </si>
  <si>
    <t>Brittle Bladder Fern</t>
  </si>
  <si>
    <t>Cystopteris montana</t>
  </si>
  <si>
    <t>Mountain Bladder Fern</t>
  </si>
  <si>
    <t>Dactylorhiza aristata</t>
  </si>
  <si>
    <t>Keyflower</t>
  </si>
  <si>
    <t>Danthonia compressa</t>
  </si>
  <si>
    <t>Flattened Wild Oat Grass</t>
  </si>
  <si>
    <t>Danthonia intermedia</t>
  </si>
  <si>
    <t>Timber Wild Oat Grass</t>
  </si>
  <si>
    <t>Dasiphora fruticosa</t>
  </si>
  <si>
    <t>Golden-Hardhack</t>
  </si>
  <si>
    <t>Delphinium glaucum</t>
  </si>
  <si>
    <t>Tower Larkspur</t>
  </si>
  <si>
    <t>Dendrolycopodium dendroideum</t>
  </si>
  <si>
    <t>Prickley Tree-Club-Moss</t>
  </si>
  <si>
    <t>Deschampsia brevifolia</t>
  </si>
  <si>
    <t>Short-Leaf Hair Grass</t>
  </si>
  <si>
    <t>Deschampsia caespitosa</t>
  </si>
  <si>
    <t>Tufted Hair Grass</t>
  </si>
  <si>
    <t>Deschampsia cespitosa</t>
  </si>
  <si>
    <t>Tufted Hairgrass</t>
  </si>
  <si>
    <t>Descurainia incana</t>
  </si>
  <si>
    <t>Mountain Tansy-Mustard</t>
  </si>
  <si>
    <t>Diapensia lapponica</t>
  </si>
  <si>
    <t>Pincushion-Plant</t>
  </si>
  <si>
    <t>Dicranum majus</t>
  </si>
  <si>
    <t>Diphasiastrum alpinum</t>
  </si>
  <si>
    <t>Alpine Clubmoss</t>
  </si>
  <si>
    <t>Diphasiastrum complanatum</t>
  </si>
  <si>
    <t>Ground Cedar</t>
  </si>
  <si>
    <t>Dodecatheon frigidum</t>
  </si>
  <si>
    <t>Western Arctic Shootingstar</t>
  </si>
  <si>
    <t>Dodecatheon jeffreyi</t>
  </si>
  <si>
    <t>Tall Mountain Shootingstar</t>
  </si>
  <si>
    <t>Dodecatheon pulchellum</t>
  </si>
  <si>
    <t>Dark-Throat Shootingstar</t>
  </si>
  <si>
    <t>Draba albertina</t>
  </si>
  <si>
    <t>Slender Whitlow-Grass</t>
  </si>
  <si>
    <t>Draba aurea</t>
  </si>
  <si>
    <t>Golden Whitlow-Grass</t>
  </si>
  <si>
    <t>Draba breweri</t>
  </si>
  <si>
    <t>Cushion Whitlow-Grass</t>
  </si>
  <si>
    <t>Draba hyperborea</t>
  </si>
  <si>
    <t>North Pacific Whitlow-Grass</t>
  </si>
  <si>
    <t>Draba lonchocarpa</t>
  </si>
  <si>
    <t>Lance-Pod Whitlow-Grass</t>
  </si>
  <si>
    <t>Draba nivalis</t>
  </si>
  <si>
    <t>Yellow Arctic Whitlow-Grass</t>
  </si>
  <si>
    <t>Draba praealta</t>
  </si>
  <si>
    <t>Tall Whitlow-Grass</t>
  </si>
  <si>
    <t>Draba stenoloba</t>
  </si>
  <si>
    <t>Alaska Whitlow-Grass</t>
  </si>
  <si>
    <t>Dracocephalum parviflorum</t>
  </si>
  <si>
    <t>American Dragonhead</t>
  </si>
  <si>
    <t>Drosera anglica</t>
  </si>
  <si>
    <t>English Sundew</t>
  </si>
  <si>
    <t>Drosera rotundifolia</t>
  </si>
  <si>
    <t>Round-Leaf Sundew</t>
  </si>
  <si>
    <t>Drosera X obovata</t>
  </si>
  <si>
    <t>Dryas drummondii</t>
  </si>
  <si>
    <t>Yellow Mountain-Avens</t>
  </si>
  <si>
    <t>Dryas integrifolia</t>
  </si>
  <si>
    <t>White Mountain-Avens</t>
  </si>
  <si>
    <t>Dryas octopetala</t>
  </si>
  <si>
    <t>Eight-Petal Mountain-Avens</t>
  </si>
  <si>
    <t>Drymocallis arguta</t>
  </si>
  <si>
    <t>Dryopteris expansa</t>
  </si>
  <si>
    <t>Spreading Wood Fern</t>
  </si>
  <si>
    <t>Dulichium arundinaceum</t>
  </si>
  <si>
    <t>Three-Way Sedge</t>
  </si>
  <si>
    <t>Dupontia fisheri</t>
  </si>
  <si>
    <t>Fisher's Tundra Grass</t>
  </si>
  <si>
    <t>Elaeagnus commutata</t>
  </si>
  <si>
    <t>American Silver-Berry</t>
  </si>
  <si>
    <t>Eleocharis acicularis</t>
  </si>
  <si>
    <t>Needle Spike-Rush</t>
  </si>
  <si>
    <t>Eleocharis kamtschatica</t>
  </si>
  <si>
    <t>Kamchatka Spike-Rush</t>
  </si>
  <si>
    <t>Eleocharis macrostachya</t>
  </si>
  <si>
    <t>Pale Spike-rush</t>
  </si>
  <si>
    <t>Eleocharis mamillata</t>
  </si>
  <si>
    <t>Soft-Stem Spike-Rush</t>
  </si>
  <si>
    <t>Eleocharis nitida</t>
  </si>
  <si>
    <t>Quill Spike-Rush</t>
  </si>
  <si>
    <t>Eleocharis palustris</t>
  </si>
  <si>
    <t>Common Spike-Rush</t>
  </si>
  <si>
    <t>Eleocharis quinqueflora</t>
  </si>
  <si>
    <t>Few-Flower Spike-Rush</t>
  </si>
  <si>
    <t>Eleocharis uniglumis</t>
  </si>
  <si>
    <t>One-scale Spikerush</t>
  </si>
  <si>
    <t>Elliottia pyroliflora</t>
  </si>
  <si>
    <t>Copperbush</t>
  </si>
  <si>
    <t>Elliottia pyroliflorus</t>
  </si>
  <si>
    <t>Elymus alaskanus</t>
  </si>
  <si>
    <t>Alaska Wild Rye</t>
  </si>
  <si>
    <t>Elymus glaucus</t>
  </si>
  <si>
    <t>Blue Wild Rye</t>
  </si>
  <si>
    <t>Elymus hirsutus</t>
  </si>
  <si>
    <t>Elymus lanceolatus</t>
  </si>
  <si>
    <t>Streamside Wild Rye</t>
  </si>
  <si>
    <t>Elymus macrourus</t>
  </si>
  <si>
    <t>Thick-Spike Wild Rye</t>
  </si>
  <si>
    <t>Elymus trachycaulus</t>
  </si>
  <si>
    <t>Slender Wild Rye</t>
  </si>
  <si>
    <t>Elymus violaceus</t>
  </si>
  <si>
    <t>Purple Wild Rye</t>
  </si>
  <si>
    <t>Elymus wiegandii</t>
  </si>
  <si>
    <t>Wiegand's Wild Rye</t>
  </si>
  <si>
    <t>Empetrum nigrum</t>
  </si>
  <si>
    <t>Black Crowberry</t>
  </si>
  <si>
    <t>Epilobium anagallidifolium</t>
  </si>
  <si>
    <t>Pimpernel Willowherb</t>
  </si>
  <si>
    <t>Epilobium arcticum</t>
  </si>
  <si>
    <t>Arctic Willowherb</t>
  </si>
  <si>
    <t>Epilobium ciliatum</t>
  </si>
  <si>
    <t>Fringed Willowherb</t>
  </si>
  <si>
    <t>Epilobium clavatum</t>
  </si>
  <si>
    <t>Talus Willowherb</t>
  </si>
  <si>
    <t>Epilobium davuricum</t>
  </si>
  <si>
    <t>Dahurian Willowherb</t>
  </si>
  <si>
    <t>Epilobium hornemannii</t>
  </si>
  <si>
    <t>Hornemann's Willowherb</t>
  </si>
  <si>
    <t>Epilobium lactiflorum</t>
  </si>
  <si>
    <t>White-Flower Willowherb</t>
  </si>
  <si>
    <t>Epilobium latifolium</t>
  </si>
  <si>
    <t>Epilobium leptocarpum</t>
  </si>
  <si>
    <t>Slender-Fruit Willowherb</t>
  </si>
  <si>
    <t>Epilobium leptophyllum</t>
  </si>
  <si>
    <t>Bog Willowherb</t>
  </si>
  <si>
    <t>Epilobium luteum</t>
  </si>
  <si>
    <t>Yellow Willowherb</t>
  </si>
  <si>
    <t>Epilobium palustre</t>
  </si>
  <si>
    <t>Marsh Willowherb</t>
  </si>
  <si>
    <t>Epilobium X treleaseanum</t>
  </si>
  <si>
    <t>Equisetum arvense</t>
  </si>
  <si>
    <t>Field Horsetail</t>
  </si>
  <si>
    <t>Equisetum fluviatile</t>
  </si>
  <si>
    <t>Water Horsetail</t>
  </si>
  <si>
    <t>Equisetum hyemale</t>
  </si>
  <si>
    <t>Tall Scouring-Rush</t>
  </si>
  <si>
    <t>Equisetum palustre</t>
  </si>
  <si>
    <t>Marsh Horsetail</t>
  </si>
  <si>
    <t>Equisetum pratense</t>
  </si>
  <si>
    <t>Meadow Horsetail</t>
  </si>
  <si>
    <t>Equisetum scirpoides</t>
  </si>
  <si>
    <t>Dwarf Scouring-Rush</t>
  </si>
  <si>
    <t>Equisetum sylvaticum</t>
  </si>
  <si>
    <t>Woodland Horsetail</t>
  </si>
  <si>
    <t>Equisetum telmateia</t>
  </si>
  <si>
    <t>Giant Horsetail</t>
  </si>
  <si>
    <t>Equisetum variegatum</t>
  </si>
  <si>
    <t>Variegated Scouring-Rush</t>
  </si>
  <si>
    <t>Equisetum X litorale</t>
  </si>
  <si>
    <t>Equisetum X mackaii</t>
  </si>
  <si>
    <t>Eremogone capillaris</t>
  </si>
  <si>
    <t>Slender Mountain Sandwort</t>
  </si>
  <si>
    <t>Erigeron acris</t>
  </si>
  <si>
    <t>Bitter Fleabane</t>
  </si>
  <si>
    <t>Erigeron glabellus</t>
  </si>
  <si>
    <t>Streamside Fleabane</t>
  </si>
  <si>
    <t>Erigeron glacialis</t>
  </si>
  <si>
    <t>Glacier Fleabane</t>
  </si>
  <si>
    <t>Erigeron humilis</t>
  </si>
  <si>
    <t>Arctic Alpine Fleabane</t>
  </si>
  <si>
    <t>Erigeron lonchophyllus</t>
  </si>
  <si>
    <t>Short-Ray Fleabane</t>
  </si>
  <si>
    <t>Erigeron nivalis</t>
  </si>
  <si>
    <t>Scotter's Fleabane</t>
  </si>
  <si>
    <t>Erigeron peregrinus</t>
  </si>
  <si>
    <t>Subalpine Fleabane</t>
  </si>
  <si>
    <t>Eriophorum angustifolium</t>
  </si>
  <si>
    <t>Tall Cotton-Grass</t>
  </si>
  <si>
    <t>Eriophorum brachyantherum</t>
  </si>
  <si>
    <t>Closed-Sheath Cotton-Grass</t>
  </si>
  <si>
    <t>Eriophorum callitrix</t>
  </si>
  <si>
    <t>Arctic Cotton-Grass</t>
  </si>
  <si>
    <t>Eriophorum chamissonis</t>
  </si>
  <si>
    <t>Chamisso's Cotton-Grass</t>
  </si>
  <si>
    <t>Eriophorum gracile</t>
  </si>
  <si>
    <t>Slender Cotton-Grass</t>
  </si>
  <si>
    <t>Eriophorum russeolum</t>
  </si>
  <si>
    <t>Russet-Bristle Cotton-Grass</t>
  </si>
  <si>
    <t>Eriophorum scheuchzeri</t>
  </si>
  <si>
    <t>White Cotton-Grass</t>
  </si>
  <si>
    <t>Eriophorum vaginatum</t>
  </si>
  <si>
    <t>Tussock Cotton-Grass</t>
  </si>
  <si>
    <t>Eriophorum viridicarinatum</t>
  </si>
  <si>
    <t>Tassel Cotton-Grass</t>
  </si>
  <si>
    <t>Erysimum cheiranthoides</t>
  </si>
  <si>
    <t>Worm-Seed Wallflower</t>
  </si>
  <si>
    <t>Euphrasia disjuncta</t>
  </si>
  <si>
    <t>Eurybia merita</t>
  </si>
  <si>
    <t>Behring Wood-Aster</t>
  </si>
  <si>
    <t>Eurybia sibirica</t>
  </si>
  <si>
    <t>Siberian Wood-Aster</t>
  </si>
  <si>
    <t>Eutrema edwardsii</t>
  </si>
  <si>
    <t>Edwards' Mock Wallflower</t>
  </si>
  <si>
    <t>Fauria crista-galli</t>
  </si>
  <si>
    <t>Festuca altaica</t>
  </si>
  <si>
    <t>Rough Fescue</t>
  </si>
  <si>
    <t>Festuca lenensis</t>
  </si>
  <si>
    <t>Tundra Fescue</t>
  </si>
  <si>
    <t>Festuca pratensis</t>
  </si>
  <si>
    <t>Meadow Fescue</t>
  </si>
  <si>
    <t>Festuca rubra</t>
  </si>
  <si>
    <t>Red Fescue</t>
  </si>
  <si>
    <t>Festuca subulata</t>
  </si>
  <si>
    <t>Bearded Fescue</t>
  </si>
  <si>
    <t>Festuca viviparoidea</t>
  </si>
  <si>
    <t>Fragaria virginiana</t>
  </si>
  <si>
    <t>Virginia Strawberry</t>
  </si>
  <si>
    <t>Fritillaria camschatcensis</t>
  </si>
  <si>
    <t>Kamchatka Missionbells</t>
  </si>
  <si>
    <t>Galium aparine</t>
  </si>
  <si>
    <t>Sticky-Willy</t>
  </si>
  <si>
    <t>Galium boreale</t>
  </si>
  <si>
    <t>Northern Bedstraw</t>
  </si>
  <si>
    <t>Galium trifidum</t>
  </si>
  <si>
    <t>Three-Petal Bedstraw</t>
  </si>
  <si>
    <t>Galium triflorum</t>
  </si>
  <si>
    <t>Fragrant Bedstraw</t>
  </si>
  <si>
    <t>Gaultheria shallon</t>
  </si>
  <si>
    <t>Salal</t>
  </si>
  <si>
    <t>Gentiana algida</t>
  </si>
  <si>
    <t>Whitish Gentian</t>
  </si>
  <si>
    <t>Gentiana douglasiana</t>
  </si>
  <si>
    <t>Swamp Gentian</t>
  </si>
  <si>
    <t>Gentiana glauca</t>
  </si>
  <si>
    <t>Pale Gentian</t>
  </si>
  <si>
    <t>Gentiana platypetala</t>
  </si>
  <si>
    <t>Gentiana prostrata</t>
  </si>
  <si>
    <t>Pygmy Gentian</t>
  </si>
  <si>
    <t>Gentianella amarella</t>
  </si>
  <si>
    <t>Autumn Dwarf-Gentian</t>
  </si>
  <si>
    <t>Gentianella propinqua</t>
  </si>
  <si>
    <t>Four-Part Dwarf-Gentian</t>
  </si>
  <si>
    <t>Gentianella tenella</t>
  </si>
  <si>
    <t>Dane's Dwarf-Gentian</t>
  </si>
  <si>
    <t>Gentianopsis detonsa</t>
  </si>
  <si>
    <t>Windmill Fringed-Gentian</t>
  </si>
  <si>
    <t>Geocaulon lividum</t>
  </si>
  <si>
    <t>False Toadflax</t>
  </si>
  <si>
    <t>Geranium erianthum</t>
  </si>
  <si>
    <t>Woolly Crane's-Bill</t>
  </si>
  <si>
    <t>Geum aleppicum</t>
  </si>
  <si>
    <t>Yellow Avens</t>
  </si>
  <si>
    <t>Geum calthifolium</t>
  </si>
  <si>
    <t>Caltha-Leaf Avens</t>
  </si>
  <si>
    <t>Geum macrophyllum</t>
  </si>
  <si>
    <t>Large-Leaf Avens</t>
  </si>
  <si>
    <t>Geum pentapetalum</t>
  </si>
  <si>
    <t>Aleutian Avens</t>
  </si>
  <si>
    <t>Geum rossii</t>
  </si>
  <si>
    <t>Ross' Avens</t>
  </si>
  <si>
    <t>Glaux maritima</t>
  </si>
  <si>
    <t>Sea-Milkwort</t>
  </si>
  <si>
    <t>Glehnia littoralis</t>
  </si>
  <si>
    <t>American Silvertop</t>
  </si>
  <si>
    <t>Glyceria borealis</t>
  </si>
  <si>
    <t>Small Floating Manna Grass</t>
  </si>
  <si>
    <t>Glyceria grandis</t>
  </si>
  <si>
    <t>American Manna Grass</t>
  </si>
  <si>
    <t>Glyceria leptostachya</t>
  </si>
  <si>
    <t>Slender-Spike Manna Grass</t>
  </si>
  <si>
    <t>Glyceria pulchella</t>
  </si>
  <si>
    <t>Mackenzie Valley Manna Grass</t>
  </si>
  <si>
    <t>Glyceria striata</t>
  </si>
  <si>
    <t>Fowl Manna Grass</t>
  </si>
  <si>
    <t>Goodyera oblongifolia</t>
  </si>
  <si>
    <t>Green-Leaf Rattlesnake-Plantain</t>
  </si>
  <si>
    <t>Goodyera repens</t>
  </si>
  <si>
    <t>Dwarf Rattlesnake-Plantain</t>
  </si>
  <si>
    <t>Grindelia hirsutula</t>
  </si>
  <si>
    <t>Hairy Gumweed</t>
  </si>
  <si>
    <t>Grindelia integrifolia</t>
  </si>
  <si>
    <t>Puget Sound Gumweed</t>
  </si>
  <si>
    <t>Gymnocarpium dryopteris</t>
  </si>
  <si>
    <t>Northern Oak Fern</t>
  </si>
  <si>
    <t>Harrimanella stelleriana</t>
  </si>
  <si>
    <t>Alaska Bell-Heather</t>
  </si>
  <si>
    <t>Hedysarum alpinum</t>
  </si>
  <si>
    <t>Alpine Sweet-Vetch</t>
  </si>
  <si>
    <t>Heracleum maximum</t>
  </si>
  <si>
    <t>American Cow-Parsnip</t>
  </si>
  <si>
    <t>Heuchera glabra</t>
  </si>
  <si>
    <t>Hieracium gracile</t>
  </si>
  <si>
    <t>Slender Hawkweed</t>
  </si>
  <si>
    <t>Hieracium triste</t>
  </si>
  <si>
    <t>Woolly Hawkweed</t>
  </si>
  <si>
    <t>Hierochloe odorata</t>
  </si>
  <si>
    <t>Hippuris montana</t>
  </si>
  <si>
    <t>Mountain Mare's-Tail</t>
  </si>
  <si>
    <t>Hippuris tetraphylla</t>
  </si>
  <si>
    <t>Four-Leaf Mare's-Tail</t>
  </si>
  <si>
    <t>Hippuris vulgaris</t>
  </si>
  <si>
    <t>Common Mare's-Tail</t>
  </si>
  <si>
    <t>Honckenya peploides</t>
  </si>
  <si>
    <t>Seaside Sandplant</t>
  </si>
  <si>
    <t>Hordeum brachyantherum</t>
  </si>
  <si>
    <t>Meadow Barley</t>
  </si>
  <si>
    <t>Huperzia chinensis</t>
  </si>
  <si>
    <t>Huperzia haleakalae</t>
  </si>
  <si>
    <t>Pacific Fir-Moss</t>
  </si>
  <si>
    <t>Hymenophyllum wrightii</t>
  </si>
  <si>
    <t>Wright's Filmy Fern</t>
  </si>
  <si>
    <t>Impatiens noli-tangere</t>
  </si>
  <si>
    <t>Western Touch-Me-Not</t>
  </si>
  <si>
    <t>Iris setosa</t>
  </si>
  <si>
    <t>Beach-Head Iris</t>
  </si>
  <si>
    <t>Isoetes echinospora</t>
  </si>
  <si>
    <t>Spiny-spore Quillwort</t>
  </si>
  <si>
    <t>Isoetes flettii</t>
  </si>
  <si>
    <t>Flett's Quillwort</t>
  </si>
  <si>
    <t>Isoetes maritima</t>
  </si>
  <si>
    <t>Maritime Quillwort</t>
  </si>
  <si>
    <t>Isoetes occidentalis</t>
  </si>
  <si>
    <t>Western Quillwort</t>
  </si>
  <si>
    <t>Isoetes tenella</t>
  </si>
  <si>
    <t>Spiny-Spore Quillwort</t>
  </si>
  <si>
    <t>Isoetes X pseudotruncata</t>
  </si>
  <si>
    <t>Isoetes X truncata</t>
  </si>
  <si>
    <t>Isolepis cernua</t>
  </si>
  <si>
    <t>Low Lateral-Bulrush</t>
  </si>
  <si>
    <t>Juncus albescens</t>
  </si>
  <si>
    <t>Northern White Rush</t>
  </si>
  <si>
    <t>Juncus alpinoarticulatus</t>
  </si>
  <si>
    <t>Northern Green Rush</t>
  </si>
  <si>
    <t>Juncus arcticus</t>
  </si>
  <si>
    <t>Arctic Rush</t>
  </si>
  <si>
    <t>Juncus articulatus</t>
  </si>
  <si>
    <t>Joint-Leaf Rush</t>
  </si>
  <si>
    <t>Juncus balticus</t>
  </si>
  <si>
    <t>Juncus biglumis</t>
  </si>
  <si>
    <t>Two-Flower Rush</t>
  </si>
  <si>
    <t>Juncus bufonius</t>
  </si>
  <si>
    <t>Toad Rush</t>
  </si>
  <si>
    <t>Juncus castaneus</t>
  </si>
  <si>
    <t>Chestnut Rush</t>
  </si>
  <si>
    <t>Juncus drummondii</t>
  </si>
  <si>
    <t>Drummond's Rush</t>
  </si>
  <si>
    <t>Juncus effusus</t>
  </si>
  <si>
    <t>Lamp Rush</t>
  </si>
  <si>
    <t>Juncus ensifolius</t>
  </si>
  <si>
    <t>Dagger-Leaf Rush</t>
  </si>
  <si>
    <t>Juncus falcatus</t>
  </si>
  <si>
    <t>Sickle-Leaf Rush</t>
  </si>
  <si>
    <t>Juncus filiformis</t>
  </si>
  <si>
    <t>Thread Rush</t>
  </si>
  <si>
    <t>Juncus haenkei</t>
  </si>
  <si>
    <t>Juncus mertensianus</t>
  </si>
  <si>
    <t>Mertens' Rush</t>
  </si>
  <si>
    <t>Juncus nodosus</t>
  </si>
  <si>
    <t>Knotted Rush</t>
  </si>
  <si>
    <t>Juncus stygius</t>
  </si>
  <si>
    <t>Moor Rush</t>
  </si>
  <si>
    <t>Juncus supiniformis</t>
  </si>
  <si>
    <t>Hairy-Leaf Rush</t>
  </si>
  <si>
    <t>Juncus tenuis</t>
  </si>
  <si>
    <t>Lesser Poverty Rush</t>
  </si>
  <si>
    <t>Juncus triglumis</t>
  </si>
  <si>
    <t>Three-Flower Rush</t>
  </si>
  <si>
    <t>Juniperus communis</t>
  </si>
  <si>
    <t>Common Juniper</t>
  </si>
  <si>
    <t>Juniperus horizontalis</t>
  </si>
  <si>
    <t>Creeping Juniper</t>
  </si>
  <si>
    <t>Kalmia microphylla</t>
  </si>
  <si>
    <t>Alpine-Laurel</t>
  </si>
  <si>
    <t>Kalmia polifolia</t>
  </si>
  <si>
    <t>Kalmia procumbens</t>
  </si>
  <si>
    <t>Kobresia myosuroides</t>
  </si>
  <si>
    <t>Pacific Bog Sedge</t>
  </si>
  <si>
    <t>Kobresia sibirica</t>
  </si>
  <si>
    <t>Siberian Bog Sedge</t>
  </si>
  <si>
    <t>Kobresia simpliciuscula</t>
  </si>
  <si>
    <t>Simple Bog Sedge</t>
  </si>
  <si>
    <t>Koenigia islandica</t>
  </si>
  <si>
    <t>Island-Purslane</t>
  </si>
  <si>
    <t>Kumlienia cooleyae</t>
  </si>
  <si>
    <t>Cooley's False Buttercup</t>
  </si>
  <si>
    <t>Lactuca biennis</t>
  </si>
  <si>
    <t>Wild Blue Lettuce</t>
  </si>
  <si>
    <t>Larix laricina</t>
  </si>
  <si>
    <t>American Larch</t>
  </si>
  <si>
    <t>Lathyrus japonicus</t>
  </si>
  <si>
    <t>Sea Vetchling</t>
  </si>
  <si>
    <t>Lathyrus palustris</t>
  </si>
  <si>
    <t>Marsh Vetchling</t>
  </si>
  <si>
    <t>Lathyrus venosus</t>
  </si>
  <si>
    <t>Veiny Vetchling</t>
  </si>
  <si>
    <t>Ledum decumbens</t>
  </si>
  <si>
    <t>Marsh Labrador-Tea</t>
  </si>
  <si>
    <t>Ledum groenlandicum</t>
  </si>
  <si>
    <t>Rusty Labrador-Tea</t>
  </si>
  <si>
    <t>Ledum palustre</t>
  </si>
  <si>
    <t>Lemna minor</t>
  </si>
  <si>
    <t>Common Duckweed</t>
  </si>
  <si>
    <t>Lemna trisulca</t>
  </si>
  <si>
    <t>Ivy-Leaf Duckweed</t>
  </si>
  <si>
    <t>Lemna turionifera</t>
  </si>
  <si>
    <t>Turion Duckweed</t>
  </si>
  <si>
    <t>Lepidium perfoliatum</t>
  </si>
  <si>
    <t>Clasping Pepperwort</t>
  </si>
  <si>
    <t>Leptarrhena pyrolifolia</t>
  </si>
  <si>
    <t>Pearleaf</t>
  </si>
  <si>
    <t>Leymus innovatus</t>
  </si>
  <si>
    <t>Downy Lyme Grass</t>
  </si>
  <si>
    <t>Leymus mollis</t>
  </si>
  <si>
    <t>American Lyme Grass</t>
  </si>
  <si>
    <t>Ligusticum calderi</t>
  </si>
  <si>
    <t>Ligusticum scoticum</t>
  </si>
  <si>
    <t>Scot's Lovage</t>
  </si>
  <si>
    <t>Lilaeopsis occidentalis</t>
  </si>
  <si>
    <t>Western Grasswort</t>
  </si>
  <si>
    <t>Limosella aquatica</t>
  </si>
  <si>
    <t>Awl-Leaf Mudwort</t>
  </si>
  <si>
    <t>Linaria vulgaris</t>
  </si>
  <si>
    <t>Linnaea borealis</t>
  </si>
  <si>
    <t>American Twinflower</t>
  </si>
  <si>
    <t>Listera banksiana</t>
  </si>
  <si>
    <t>Northwestern Twayblade</t>
  </si>
  <si>
    <t>Listera borealis</t>
  </si>
  <si>
    <t>Northern Twayblade</t>
  </si>
  <si>
    <t>Listera caurina</t>
  </si>
  <si>
    <t>Listera convallarioides</t>
  </si>
  <si>
    <t>Broad-Lip Twayblade</t>
  </si>
  <si>
    <t>Listera cordata</t>
  </si>
  <si>
    <t>Heart-Leaf Twayblade</t>
  </si>
  <si>
    <t>Lloydia serotina</t>
  </si>
  <si>
    <t>Common Alp-Lily</t>
  </si>
  <si>
    <t>Lobaria amplissima</t>
  </si>
  <si>
    <t>Lobelia dortmanna</t>
  </si>
  <si>
    <t>Water Lobelia</t>
  </si>
  <si>
    <t>Loiseleuria procumbens</t>
  </si>
  <si>
    <t>Alpine-Azalea</t>
  </si>
  <si>
    <t>Lomatium martindalei</t>
  </si>
  <si>
    <t>Cascade Desert-Parsley</t>
  </si>
  <si>
    <t>Lomatogonium rotatum</t>
  </si>
  <si>
    <t>Marsh-Felwort</t>
  </si>
  <si>
    <t>Lonicera involucrata</t>
  </si>
  <si>
    <t>Four-Line Honeysuckle</t>
  </si>
  <si>
    <t>Luetkea pectinata</t>
  </si>
  <si>
    <t>Partridgefoot</t>
  </si>
  <si>
    <t>Lupinus arcticus</t>
  </si>
  <si>
    <t>Arctic Lupine</t>
  </si>
  <si>
    <t>Lupinus nootkatensis</t>
  </si>
  <si>
    <t>Nootka Lupine</t>
  </si>
  <si>
    <t>Luzula arctica</t>
  </si>
  <si>
    <t>Arctic Wood-Rush</t>
  </si>
  <si>
    <t>Luzula arcuata</t>
  </si>
  <si>
    <t>Curved Wood-Rush</t>
  </si>
  <si>
    <t>Luzula comosa</t>
  </si>
  <si>
    <t>Pacific Wood-Rush</t>
  </si>
  <si>
    <t>Luzula confusa</t>
  </si>
  <si>
    <t>Northern Wood-Rush</t>
  </si>
  <si>
    <t>Luzula groenlandica</t>
  </si>
  <si>
    <t>Greenland Wood-Rush</t>
  </si>
  <si>
    <t>Luzula kjellmaniana</t>
  </si>
  <si>
    <t>Tundra Wood-Rush</t>
  </si>
  <si>
    <t>Luzula multiflora</t>
  </si>
  <si>
    <t>Common Wood-Rush</t>
  </si>
  <si>
    <t>Luzula parviflora</t>
  </si>
  <si>
    <t>Small-Flower Wood-Rush</t>
  </si>
  <si>
    <t>Luzula rufescens</t>
  </si>
  <si>
    <t>Rufous Wood-Rush</t>
  </si>
  <si>
    <t>Luzula spicata</t>
  </si>
  <si>
    <t>Spiked Wood-Rush</t>
  </si>
  <si>
    <t>Luzula wahlenbergii</t>
  </si>
  <si>
    <t>Wahlenberg's Wood-Rush</t>
  </si>
  <si>
    <t>Lycopodiella inundata</t>
  </si>
  <si>
    <t>Northern Bog Club-Moss</t>
  </si>
  <si>
    <t>Lycopodium alpinum</t>
  </si>
  <si>
    <t>Lycopodium annotinum</t>
  </si>
  <si>
    <t>Stiff Clubmoss</t>
  </si>
  <si>
    <t>Lycopodium clavatum</t>
  </si>
  <si>
    <t>Running Ground-Pine</t>
  </si>
  <si>
    <t>Lycopodium complanatum</t>
  </si>
  <si>
    <t>Lycopodium dendroideum</t>
  </si>
  <si>
    <t>Tree Clubmoss</t>
  </si>
  <si>
    <t>Lycopodium lagopus</t>
  </si>
  <si>
    <t>One-Cone Ground-Pine</t>
  </si>
  <si>
    <t>Lycopus uniflorus</t>
  </si>
  <si>
    <t>Northern Water-Horehound</t>
  </si>
  <si>
    <t>Lysichiton americanus</t>
  </si>
  <si>
    <t>Yellow-Skunk-Cabbage</t>
  </si>
  <si>
    <t>Lysimachia ciliata</t>
  </si>
  <si>
    <t>Fringed Yellow-Loosestrife</t>
  </si>
  <si>
    <t>Lysimachia punctata</t>
  </si>
  <si>
    <t>Large Yellow-Loosestrife</t>
  </si>
  <si>
    <t>Lysimachia thyrsiflora</t>
  </si>
  <si>
    <t>Tufted Yellow-Loosestrife</t>
  </si>
  <si>
    <t>Maianthemum dilatatum</t>
  </si>
  <si>
    <t>Two-Leaf False Solomon's-Seal</t>
  </si>
  <si>
    <t>Maianthemum racemosum</t>
  </si>
  <si>
    <t>Feathery False Solomon's-Seal</t>
  </si>
  <si>
    <t>Maianthemum stellatum</t>
  </si>
  <si>
    <t>Starry False Solomon's-Seal</t>
  </si>
  <si>
    <t>Malaxis monophyllos</t>
  </si>
  <si>
    <t>White Adder's-Mouth Orchid</t>
  </si>
  <si>
    <t>Malaxis paludosa</t>
  </si>
  <si>
    <t>Bog Adder's-Mouth Orchid</t>
  </si>
  <si>
    <t>Malus fusca</t>
  </si>
  <si>
    <t>Oregon Crabapple</t>
  </si>
  <si>
    <t>Matteuccia struthiopteris</t>
  </si>
  <si>
    <t>Ostrich Fern</t>
  </si>
  <si>
    <t>Mentha arvensis</t>
  </si>
  <si>
    <t>American Wild Mint</t>
  </si>
  <si>
    <t>Menyanthes trifoliata</t>
  </si>
  <si>
    <t>Buck-Bean</t>
  </si>
  <si>
    <t>Menziesia ferruginea</t>
  </si>
  <si>
    <t>Fool's-Huckleberry</t>
  </si>
  <si>
    <t>Mertensia maritima</t>
  </si>
  <si>
    <t>Oysterleaf</t>
  </si>
  <si>
    <t>Mertensia paniculata</t>
  </si>
  <si>
    <t>Tall Bluebells</t>
  </si>
  <si>
    <t>Micranthes lyallii</t>
  </si>
  <si>
    <t>Micranthes nelsoniana</t>
  </si>
  <si>
    <t>Microseris borealis</t>
  </si>
  <si>
    <t>Northern Silverpuffs</t>
  </si>
  <si>
    <t>Mimulus guttatus</t>
  </si>
  <si>
    <t>Seep Monkey-Flower</t>
  </si>
  <si>
    <t>Mimulus lewisii</t>
  </si>
  <si>
    <t>Great Purple Monkey-Flower</t>
  </si>
  <si>
    <t>Mimulus tilingii</t>
  </si>
  <si>
    <t>Subalpine Monkey-Flower</t>
  </si>
  <si>
    <t>Minuartia arctica</t>
  </si>
  <si>
    <t>Arctic Stitchwort</t>
  </si>
  <si>
    <t>Minuartia obtusiloba</t>
  </si>
  <si>
    <t>Alpine Stitchwort</t>
  </si>
  <si>
    <t>Minuartia rubella</t>
  </si>
  <si>
    <t>Boreal Stitchwort</t>
  </si>
  <si>
    <t>Minuartia stricta</t>
  </si>
  <si>
    <t>Bog Stitchwort</t>
  </si>
  <si>
    <t>Mitella nuda</t>
  </si>
  <si>
    <t>Bare-Stem Bishop's-Cap</t>
  </si>
  <si>
    <t>Mitella pentandra</t>
  </si>
  <si>
    <t>Five-Stamen Bishop's-Cap</t>
  </si>
  <si>
    <t>Mitella trifida</t>
  </si>
  <si>
    <t>Pacific Bishop's-Cap</t>
  </si>
  <si>
    <t>Moehringia lateriflora</t>
  </si>
  <si>
    <t>Blunt-Leaf Grove-Sandwort</t>
  </si>
  <si>
    <t>Moneses uniflora</t>
  </si>
  <si>
    <t>Single-Delight</t>
  </si>
  <si>
    <t>Monolepis nuttalliana</t>
  </si>
  <si>
    <t>Nuttall's Poverty-Weed</t>
  </si>
  <si>
    <t>Monotropa uniflora</t>
  </si>
  <si>
    <t>One-Flower Indian-Pipe</t>
  </si>
  <si>
    <t>Montia bostockii</t>
  </si>
  <si>
    <t>Bostock's Candy-Flower</t>
  </si>
  <si>
    <t>Montia chamissoi</t>
  </si>
  <si>
    <t>Chamisso's Candy-Flower</t>
  </si>
  <si>
    <t>Montia fontana</t>
  </si>
  <si>
    <t>Fountain Candy-Flower</t>
  </si>
  <si>
    <t>Montia parvifolia</t>
  </si>
  <si>
    <t>Little-Leaf Candy-Flower</t>
  </si>
  <si>
    <t>Myosotis laxa</t>
  </si>
  <si>
    <t>Bay Forget-me-not</t>
  </si>
  <si>
    <t>Myrica gale</t>
  </si>
  <si>
    <t>Sweetgale</t>
  </si>
  <si>
    <t>Myriophyllum farwellii</t>
  </si>
  <si>
    <t>Farwell's Water-Milfoil</t>
  </si>
  <si>
    <t>Myriophyllum sibiricum</t>
  </si>
  <si>
    <t>Siberian Water-Milfoil</t>
  </si>
  <si>
    <t>Myriophyllum verticillatum</t>
  </si>
  <si>
    <t>Whorled Water-Milfoil</t>
  </si>
  <si>
    <t>Najas flexilis</t>
  </si>
  <si>
    <t>Wavy Waternymph</t>
  </si>
  <si>
    <t>Nasturtium microphyllum</t>
  </si>
  <si>
    <t>One-Row Watercress</t>
  </si>
  <si>
    <t>Neotorularia humilis</t>
  </si>
  <si>
    <t>False Northern-Rockcress</t>
  </si>
  <si>
    <t>Nephrophyllidium crista-galli</t>
  </si>
  <si>
    <t>Deer-Cabbage</t>
  </si>
  <si>
    <t>Nuphar lutea</t>
  </si>
  <si>
    <t>Yellow Pond-Lily</t>
  </si>
  <si>
    <t>Nymphaea tetragona</t>
  </si>
  <si>
    <t>Pygmy Water-Lily</t>
  </si>
  <si>
    <t>Oenanthe sarmentosa</t>
  </si>
  <si>
    <t>Pacific Water-Dropwort</t>
  </si>
  <si>
    <t>Ophioglossum pusillum</t>
  </si>
  <si>
    <t>Northern Adder's-Tongue</t>
  </si>
  <si>
    <t>Oplopanax horridus</t>
  </si>
  <si>
    <t>Devil's-Club</t>
  </si>
  <si>
    <t>Orobanche uniflora</t>
  </si>
  <si>
    <t>Naked Broom-Rape</t>
  </si>
  <si>
    <t>Orthilia secunda</t>
  </si>
  <si>
    <t>Sidebells</t>
  </si>
  <si>
    <t>Osmorhiza berteroi</t>
  </si>
  <si>
    <t>Mountain Sweet-Cicely</t>
  </si>
  <si>
    <t>Osmorhiza purpurea</t>
  </si>
  <si>
    <t>Purple Sweet-Cicely</t>
  </si>
  <si>
    <t>Oxyria digyna</t>
  </si>
  <si>
    <t>Mountain-Sorrel</t>
  </si>
  <si>
    <t>Oxytropis campestris</t>
  </si>
  <si>
    <t>Oxytropis deflexa</t>
  </si>
  <si>
    <t>Pendant-Pod Locoweed</t>
  </si>
  <si>
    <t>Oxytropis nigrescens</t>
  </si>
  <si>
    <t>Black Locoweed</t>
  </si>
  <si>
    <t>Oxytropis splendens</t>
  </si>
  <si>
    <t>Whorled Locoweed</t>
  </si>
  <si>
    <t>Packera cymbalaria</t>
  </si>
  <si>
    <t>Dwarf Arctic Groundsel</t>
  </si>
  <si>
    <t>Packera indecora</t>
  </si>
  <si>
    <t>Rayless Mountain Groundsel</t>
  </si>
  <si>
    <t>Packera pauciflora</t>
  </si>
  <si>
    <t>Rayless Alpine Groundsel</t>
  </si>
  <si>
    <t>Packera paupercula</t>
  </si>
  <si>
    <t>Balsam Groundsel</t>
  </si>
  <si>
    <t>Packera streptanthifolia</t>
  </si>
  <si>
    <t>Rocky Mountain Groundsel</t>
  </si>
  <si>
    <t>Packera subnuda</t>
  </si>
  <si>
    <t>Buek's Groundsel</t>
  </si>
  <si>
    <t>Papaver lapponicum</t>
  </si>
  <si>
    <t>Lapland Poppy</t>
  </si>
  <si>
    <t>Papaver macounii</t>
  </si>
  <si>
    <t>Macoun's Poppy</t>
  </si>
  <si>
    <t>Papaver walpolei</t>
  </si>
  <si>
    <t>Walpole's Poppy</t>
  </si>
  <si>
    <t>Parnassia fimbriata</t>
  </si>
  <si>
    <t>Fringed Grass-of-Parnassus</t>
  </si>
  <si>
    <t>Parnassia kotzebuei</t>
  </si>
  <si>
    <t>Kotzebue's Grass-of-Parnassus</t>
  </si>
  <si>
    <t>Parnassia palustris</t>
  </si>
  <si>
    <t>Marsh Grass-of-Parnassus</t>
  </si>
  <si>
    <t>Pedicularis capitata</t>
  </si>
  <si>
    <t>Capitate Lousewort</t>
  </si>
  <si>
    <t>Pedicularis chamissonis</t>
  </si>
  <si>
    <t>Chamisso's Lousewort</t>
  </si>
  <si>
    <t>Pedicularis groenlandica</t>
  </si>
  <si>
    <t>Bull Elephant's-Head</t>
  </si>
  <si>
    <t>Pedicularis labradorica</t>
  </si>
  <si>
    <t>Labrador Lousewort</t>
  </si>
  <si>
    <t>Pedicularis lanata</t>
  </si>
  <si>
    <t>Woolly Lousewort</t>
  </si>
  <si>
    <t>Pedicularis langsdorfii</t>
  </si>
  <si>
    <t>Langsdorf's Lousewort</t>
  </si>
  <si>
    <t>Pedicularis lapponica</t>
  </si>
  <si>
    <t>Lapland Lousewort</t>
  </si>
  <si>
    <t>Pedicularis macrodonta</t>
  </si>
  <si>
    <t>Muskeg Lousewort</t>
  </si>
  <si>
    <t>Pedicularis ornithorhyncha</t>
  </si>
  <si>
    <t>Pedicularis parviflora</t>
  </si>
  <si>
    <t>Small-Flower Lousewort</t>
  </si>
  <si>
    <t>Pedicularis sudetica</t>
  </si>
  <si>
    <t>Sudetic Lousewort</t>
  </si>
  <si>
    <t>Pedicularis verticillata</t>
  </si>
  <si>
    <t>Whorled Lousewort</t>
  </si>
  <si>
    <t>Penstemon procerus</t>
  </si>
  <si>
    <t>Pincushion Beardtongue</t>
  </si>
  <si>
    <t>Penstemon serrulatus</t>
  </si>
  <si>
    <t>Cascade Beardtongue</t>
  </si>
  <si>
    <t>Persicaria amphibia</t>
  </si>
  <si>
    <t>Water Smartweed</t>
  </si>
  <si>
    <t>Persicaria hydropiper</t>
  </si>
  <si>
    <t>Mild Water-Pepper</t>
  </si>
  <si>
    <t>Persicaria hydropiperoides</t>
  </si>
  <si>
    <t>Swamp Smartweed</t>
  </si>
  <si>
    <t>Persicaria pensylvanica</t>
  </si>
  <si>
    <t>Pinkweed</t>
  </si>
  <si>
    <t>Petasites frigidus</t>
  </si>
  <si>
    <t>Arctic Sweet-Colt's-Foot</t>
  </si>
  <si>
    <t>Phegopteris connectilis</t>
  </si>
  <si>
    <t>Narrow Beech Fern</t>
  </si>
  <si>
    <t>Phippsia algida</t>
  </si>
  <si>
    <t>Ice Grass</t>
  </si>
  <si>
    <t>Phleum alpinum</t>
  </si>
  <si>
    <t>Mountain Timothy</t>
  </si>
  <si>
    <t>Phyllodoce aleutica</t>
  </si>
  <si>
    <t>Aleutian Mountain-Heath</t>
  </si>
  <si>
    <t>Phyllodoce empetriformis</t>
  </si>
  <si>
    <t>Pink Mountain-Heath</t>
  </si>
  <si>
    <t>Phyllodoce glanduliflora</t>
  </si>
  <si>
    <t>Yellow Mountain-Heath</t>
  </si>
  <si>
    <t>Phyllospadix scouleri</t>
  </si>
  <si>
    <t>Scouler's Surf-Grass</t>
  </si>
  <si>
    <t>Physocarpus capitatus</t>
  </si>
  <si>
    <t>Pacific Ninebark</t>
  </si>
  <si>
    <t>Picea glauca</t>
  </si>
  <si>
    <t>White Spruce</t>
  </si>
  <si>
    <t>Picea mariana</t>
  </si>
  <si>
    <t>Black Spruce</t>
  </si>
  <si>
    <t>Picea sitchensis</t>
  </si>
  <si>
    <t>Sitka Spruce</t>
  </si>
  <si>
    <t>Picea X lutzii</t>
  </si>
  <si>
    <t>Pinguicula macroceras</t>
  </si>
  <si>
    <t>California Butterwort</t>
  </si>
  <si>
    <t>Pinguicula villosa</t>
  </si>
  <si>
    <t>Hairy Butterwort</t>
  </si>
  <si>
    <t>Pinguicula vulgaris</t>
  </si>
  <si>
    <t>Common Butterwort</t>
  </si>
  <si>
    <t>Pinus contorta</t>
  </si>
  <si>
    <t>Lodgepole (Shore) Pine</t>
  </si>
  <si>
    <t>Piperia unalascensis</t>
  </si>
  <si>
    <t>Alaska Rein Orchid</t>
  </si>
  <si>
    <t>Plagiobothrys hispidulus</t>
  </si>
  <si>
    <t>Plagiobothrys orientalis</t>
  </si>
  <si>
    <t>Oriental Popcorn-Flower</t>
  </si>
  <si>
    <t>Plagiobothrys scouleri</t>
  </si>
  <si>
    <t>Meadow Popcorn-Flower</t>
  </si>
  <si>
    <t>Plantago eriopoda</t>
  </si>
  <si>
    <t>Red-Woolly Plantain</t>
  </si>
  <si>
    <t>Plantago macrocarpa</t>
  </si>
  <si>
    <t>Alaska Plantain</t>
  </si>
  <si>
    <t>Plantago maritima</t>
  </si>
  <si>
    <t>Goosetongue</t>
  </si>
  <si>
    <t>Platanthera chorisiana</t>
  </si>
  <si>
    <t>Choriso Bog Orchid</t>
  </si>
  <si>
    <t>Platanthera convallariifolia</t>
  </si>
  <si>
    <t>Platanthera dilatata</t>
  </si>
  <si>
    <t>Scentbottle</t>
  </si>
  <si>
    <t>Platanthera huronensis</t>
  </si>
  <si>
    <t>Lake Huron Green Orchid</t>
  </si>
  <si>
    <t>Platanthera hyperborea</t>
  </si>
  <si>
    <t>Platanthera obtusata</t>
  </si>
  <si>
    <t>Blunt-Leaf Orchid</t>
  </si>
  <si>
    <t>Platanthera orbiculata</t>
  </si>
  <si>
    <t>Lesser Round-Leaf Orchid</t>
  </si>
  <si>
    <t>Platanthera stricta</t>
  </si>
  <si>
    <t>Slender Bog Orchid</t>
  </si>
  <si>
    <t>Platanthera tipuloides</t>
  </si>
  <si>
    <t>Aleutian Bog Orchid</t>
  </si>
  <si>
    <t>Pleuropogon sabinei</t>
  </si>
  <si>
    <t>Sabine's False Semaphore Grass</t>
  </si>
  <si>
    <t>Poa abbreviata</t>
  </si>
  <si>
    <t>Northern Blue Grass</t>
  </si>
  <si>
    <t>Poa alpina</t>
  </si>
  <si>
    <t>Alpine Blue Grass</t>
  </si>
  <si>
    <t>Poa arctica</t>
  </si>
  <si>
    <t>Arctic Blue Grass</t>
  </si>
  <si>
    <t>Poa eminens</t>
  </si>
  <si>
    <t>Large-Flower Blue Grass</t>
  </si>
  <si>
    <t>Poa interior</t>
  </si>
  <si>
    <t>Poa leptocoma</t>
  </si>
  <si>
    <t>Marsh Blue Grass</t>
  </si>
  <si>
    <t>Poa macrantha</t>
  </si>
  <si>
    <t>Sand-Dune Blue Grass</t>
  </si>
  <si>
    <t>Poa macrocalyx</t>
  </si>
  <si>
    <t>Large-Glume Blue Grass</t>
  </si>
  <si>
    <t>Poa nemoralis</t>
  </si>
  <si>
    <t>Forest Blue Grass</t>
  </si>
  <si>
    <t>Poa palustris</t>
  </si>
  <si>
    <t>Fowl Blue Grass</t>
  </si>
  <si>
    <t>Poa paucispicula</t>
  </si>
  <si>
    <t>Alaska Blue Grass</t>
  </si>
  <si>
    <t>Poa pseudoabbreviata</t>
  </si>
  <si>
    <t>Polar Blue Grass</t>
  </si>
  <si>
    <t>Poa secunda</t>
  </si>
  <si>
    <t>Curly Blue Grass</t>
  </si>
  <si>
    <t>Poa stenantha</t>
  </si>
  <si>
    <t>Narrow-Flower Blue Grass</t>
  </si>
  <si>
    <t>Podagrostis aequivalvis</t>
  </si>
  <si>
    <t>Arctic False Bent</t>
  </si>
  <si>
    <t>Podagrostis humilis</t>
  </si>
  <si>
    <t>Alpine False Bent</t>
  </si>
  <si>
    <t>Polemonium acutiflorum</t>
  </si>
  <si>
    <t>Tall Jacob's-Ladder</t>
  </si>
  <si>
    <t>Polygonum achoreum</t>
  </si>
  <si>
    <t>Leathery Knotweed</t>
  </si>
  <si>
    <t>Polygonum amphibium</t>
  </si>
  <si>
    <t>Polygonum arenastrum</t>
  </si>
  <si>
    <t>Oval-leaf Knotweed</t>
  </si>
  <si>
    <t>Polygonum convolvulus</t>
  </si>
  <si>
    <t>Polygonum fowleri</t>
  </si>
  <si>
    <t>Fowler's Knotweed</t>
  </si>
  <si>
    <t>Polygonum lapathifolium</t>
  </si>
  <si>
    <t>Curlytop Knotweed</t>
  </si>
  <si>
    <t>Polygonum minimum</t>
  </si>
  <si>
    <t>Zigzag Knotweed</t>
  </si>
  <si>
    <t>Polygonum viviparum</t>
  </si>
  <si>
    <t>Polystichum braunii</t>
  </si>
  <si>
    <t>Polystichum kruckebergii</t>
  </si>
  <si>
    <t>Polystichum lonchitis</t>
  </si>
  <si>
    <t>Northern Holly Fern</t>
  </si>
  <si>
    <t>Polystichum munitum</t>
  </si>
  <si>
    <t>Pineland Sword Fern</t>
  </si>
  <si>
    <t>Polystichum setigerum</t>
  </si>
  <si>
    <t>Populus balsamifera</t>
  </si>
  <si>
    <t>Balsam Poplar</t>
  </si>
  <si>
    <t>Populus tremuloides</t>
  </si>
  <si>
    <t>Quaking Aspen</t>
  </si>
  <si>
    <t>Potamogeton alpinus</t>
  </si>
  <si>
    <t>Reddish Pondweed</t>
  </si>
  <si>
    <t>Potamogeton epihydrus</t>
  </si>
  <si>
    <t>Ribbon-Leaf Pondweed</t>
  </si>
  <si>
    <t>Potamogeton foliosus</t>
  </si>
  <si>
    <t>Leafy Pondweed</t>
  </si>
  <si>
    <t>Potamogeton friesii</t>
  </si>
  <si>
    <t>Flat-Stalk Pondweed</t>
  </si>
  <si>
    <t>Potamogeton gramineus</t>
  </si>
  <si>
    <t>Grassy Pondweed</t>
  </si>
  <si>
    <t>Potamogeton natans</t>
  </si>
  <si>
    <t>Floating Pondweed</t>
  </si>
  <si>
    <t>Potamogeton obtusifolius</t>
  </si>
  <si>
    <t>Blunt-Leaf Pondweed</t>
  </si>
  <si>
    <t>Potamogeton perfoliatus</t>
  </si>
  <si>
    <t>Clasping-leaf Pondweed</t>
  </si>
  <si>
    <t>Potamogeton praelongus</t>
  </si>
  <si>
    <t>White-Stem Pondweed</t>
  </si>
  <si>
    <t>Potamogeton pusillus</t>
  </si>
  <si>
    <t>Small Pondweed</t>
  </si>
  <si>
    <t>Potamogeton richardsonii</t>
  </si>
  <si>
    <t>Red-Head Pondweed</t>
  </si>
  <si>
    <t>Potamogeton robbinsii</t>
  </si>
  <si>
    <t>Fern Pondweed</t>
  </si>
  <si>
    <t>Potamogeton subsibiricus</t>
  </si>
  <si>
    <t>Yenisei River Pondweed</t>
  </si>
  <si>
    <t>Potamogeton zosteriformis</t>
  </si>
  <si>
    <t>Flat-Stem Pondweed</t>
  </si>
  <si>
    <t>Potentilla anserina</t>
  </si>
  <si>
    <t>Potentilla arguta</t>
  </si>
  <si>
    <t>Tall Cinquefoil</t>
  </si>
  <si>
    <t>Potentilla diversifolia</t>
  </si>
  <si>
    <t>Mountain-Meadow Cinquefoil</t>
  </si>
  <si>
    <t>Potentilla drummondii</t>
  </si>
  <si>
    <t>Drummond's Cinquefoil</t>
  </si>
  <si>
    <t>Potentilla gracilis</t>
  </si>
  <si>
    <t>Graceful Cinquefoil</t>
  </si>
  <si>
    <t>Potentilla nana</t>
  </si>
  <si>
    <t>Boreal Cinquefoil</t>
  </si>
  <si>
    <t>Potentilla norvegica</t>
  </si>
  <si>
    <t>Norwegian Cinquefoil</t>
  </si>
  <si>
    <t>Potentilla pensylvanica</t>
  </si>
  <si>
    <t>Pennsylvania Cinquefoil</t>
  </si>
  <si>
    <t>Potentilla rubricaulis</t>
  </si>
  <si>
    <t>Rocky Mountain Cinquefoil</t>
  </si>
  <si>
    <t>Primula cuneifolia</t>
  </si>
  <si>
    <t>Pixie-Eyes</t>
  </si>
  <si>
    <t>Primula egaliksensis</t>
  </si>
  <si>
    <t>Greenland Primrose</t>
  </si>
  <si>
    <t>Primula incana</t>
  </si>
  <si>
    <t>Silvery Primrose</t>
  </si>
  <si>
    <t>Primula mistassinica</t>
  </si>
  <si>
    <t>Lake Mistassini Primrose</t>
  </si>
  <si>
    <t>Primula nutans</t>
  </si>
  <si>
    <t>Sleepy Primrose</t>
  </si>
  <si>
    <t>Primula tschuktschorum</t>
  </si>
  <si>
    <t>Chukchi Primrose</t>
  </si>
  <si>
    <t>Prunella vulgaris</t>
  </si>
  <si>
    <t>Common Selfheal</t>
  </si>
  <si>
    <t>Pseudoroegneria spicata</t>
  </si>
  <si>
    <t>Bluebunch-Wheat Grass</t>
  </si>
  <si>
    <t>Pteridium aquilinum</t>
  </si>
  <si>
    <t>Northern Bracken Fern</t>
  </si>
  <si>
    <t>Puccinellia andersonii</t>
  </si>
  <si>
    <t>Anderson's Alkali Grass</t>
  </si>
  <si>
    <t>Puccinellia angustata</t>
  </si>
  <si>
    <t>Northern Alkali Grass</t>
  </si>
  <si>
    <t>Puccinellia arctica</t>
  </si>
  <si>
    <t>Arctic Alkali Grass</t>
  </si>
  <si>
    <t>Puccinellia hultenii</t>
  </si>
  <si>
    <t>Port Hobron Alkali Grass</t>
  </si>
  <si>
    <t>Puccinellia kamtschatica</t>
  </si>
  <si>
    <t>Alaska Alkali Grass</t>
  </si>
  <si>
    <t>Puccinellia nutkaensis</t>
  </si>
  <si>
    <t>Nootka Alkali Grass</t>
  </si>
  <si>
    <t>Puccinellia nuttalliana</t>
  </si>
  <si>
    <t>Nuttall's Alkali Grass</t>
  </si>
  <si>
    <t>Puccinellia phryganodes</t>
  </si>
  <si>
    <t>Creeping Alkali Grass</t>
  </si>
  <si>
    <t>Puccinellia pumila</t>
  </si>
  <si>
    <t>Dwarf Alkali Grass</t>
  </si>
  <si>
    <t>Puccinellia tenella</t>
  </si>
  <si>
    <t>Tundra Alkali Grass</t>
  </si>
  <si>
    <t>Puccinellia vaginata</t>
  </si>
  <si>
    <t>Arctic Tussock Alkali Grass</t>
  </si>
  <si>
    <t>Puccinellia wrightii</t>
  </si>
  <si>
    <t>Wright's Alkali Grass</t>
  </si>
  <si>
    <t>Pyrola asarifolia</t>
  </si>
  <si>
    <t>Pink Wintergreen</t>
  </si>
  <si>
    <t>Pyrola chlorantha</t>
  </si>
  <si>
    <t>Green-Flower Wintergreen</t>
  </si>
  <si>
    <t>Pyrola grandiflora</t>
  </si>
  <si>
    <t>Arctic Wintergreen</t>
  </si>
  <si>
    <t>Pyrola minor</t>
  </si>
  <si>
    <t>Snowline Wintergreen</t>
  </si>
  <si>
    <t>Ranunculus abortivus</t>
  </si>
  <si>
    <t>Kidney-Leaf Buttercup</t>
  </si>
  <si>
    <t>Ranunculus aquatilis</t>
  </si>
  <si>
    <t>White Water-Crowfoot</t>
  </si>
  <si>
    <t>Ranunculus cymbalaria</t>
  </si>
  <si>
    <t>Alkali Buttercup</t>
  </si>
  <si>
    <t>Ranunculus eschscholtzii</t>
  </si>
  <si>
    <t>Spruce-Fir Buttercup</t>
  </si>
  <si>
    <t>Ranunculus flammula</t>
  </si>
  <si>
    <t>Greater Creeping Spearwort</t>
  </si>
  <si>
    <t>Ranunculus gelidus</t>
  </si>
  <si>
    <t>Arctic Buttercup</t>
  </si>
  <si>
    <t>Ranunculus glacialis</t>
  </si>
  <si>
    <t>Glacier Buttercup</t>
  </si>
  <si>
    <t>Ranunculus gmelinii</t>
  </si>
  <si>
    <t>Lesser Yellow Water Buttercup</t>
  </si>
  <si>
    <t>Ranunculus hyperboreus</t>
  </si>
  <si>
    <t>Far-Northern Buttercup</t>
  </si>
  <si>
    <t>Ranunculus kamchaticus</t>
  </si>
  <si>
    <t>Kamchatka Buttercup</t>
  </si>
  <si>
    <t>Ranunculus lapponicus</t>
  </si>
  <si>
    <t>Lapland Buttercup</t>
  </si>
  <si>
    <t>Ranunculus macounii</t>
  </si>
  <si>
    <t>Macoun's Buttercup</t>
  </si>
  <si>
    <t>Ranunculus nivalis</t>
  </si>
  <si>
    <t>Snow Buttercup</t>
  </si>
  <si>
    <t>Ranunculus occidentalis</t>
  </si>
  <si>
    <t>Western Buttercup</t>
  </si>
  <si>
    <t>Ranunculus orthorhynchus</t>
  </si>
  <si>
    <t>Straight-Beak Buttercup</t>
  </si>
  <si>
    <t>Ranunculus pacificus</t>
  </si>
  <si>
    <t>Ranunculus pallasii</t>
  </si>
  <si>
    <t>Pallas' Buttercup</t>
  </si>
  <si>
    <t>Ranunculus pedatifidus</t>
  </si>
  <si>
    <t>Northern Buttercup</t>
  </si>
  <si>
    <t>Ranunculus pensylvanicus</t>
  </si>
  <si>
    <t>Pennsylvania Buttercup</t>
  </si>
  <si>
    <t>Ranunculus pygmaeus</t>
  </si>
  <si>
    <t>Dwarf Buttercup</t>
  </si>
  <si>
    <t>Ranunculus sabinei</t>
  </si>
  <si>
    <t>Sardinian Buttercup</t>
  </si>
  <si>
    <t>Ranunculus sceleratus</t>
  </si>
  <si>
    <t>Cursed Buttercup</t>
  </si>
  <si>
    <t>Ranunculus sulphureus</t>
  </si>
  <si>
    <t>Sulphur Buttercup</t>
  </si>
  <si>
    <t>Ranunculus trichophyllus</t>
  </si>
  <si>
    <t>Thread-Leaf Water-Crowfoot</t>
  </si>
  <si>
    <t>Ranunculus uncinatus</t>
  </si>
  <si>
    <t>Woodland Buttercup</t>
  </si>
  <si>
    <t>Rhinanthus minor</t>
  </si>
  <si>
    <t>Little Yellow-Rattle</t>
  </si>
  <si>
    <t>Rhodiola integrifolia</t>
  </si>
  <si>
    <t>Entire-Leaf Rosewort</t>
  </si>
  <si>
    <t>Rhododendron groenlandicum</t>
  </si>
  <si>
    <t>Rhododendron lapponicum</t>
  </si>
  <si>
    <t>Lapland Rhododendron</t>
  </si>
  <si>
    <t>Rhynchospora alba</t>
  </si>
  <si>
    <t>White Beak Sedge</t>
  </si>
  <si>
    <t>Ribes bracteosum</t>
  </si>
  <si>
    <t>California Black Currant</t>
  </si>
  <si>
    <t>Ribes glandulosum</t>
  </si>
  <si>
    <t>Skunk Currant</t>
  </si>
  <si>
    <t>Ribes hudsonianum</t>
  </si>
  <si>
    <t>Northern Black Currant</t>
  </si>
  <si>
    <t>Ribes lacustre</t>
  </si>
  <si>
    <t>Bristly Black Gooseberry</t>
  </si>
  <si>
    <t>Ribes laxiflorum</t>
  </si>
  <si>
    <t>Trailing Black Currant</t>
  </si>
  <si>
    <t>Ribes oxyacanthoides</t>
  </si>
  <si>
    <t>Canadian Gooseberry</t>
  </si>
  <si>
    <t>Ribes triste</t>
  </si>
  <si>
    <t>Swamp Red Currant</t>
  </si>
  <si>
    <t>Romanzoffia sitchensis</t>
  </si>
  <si>
    <t>Sitka Mistmaiden</t>
  </si>
  <si>
    <t>Rorippa barbareifolia</t>
  </si>
  <si>
    <t>Hoary Yellowcress</t>
  </si>
  <si>
    <t>Rorippa curvipes</t>
  </si>
  <si>
    <t>Blunt-Leaf Yellowcress</t>
  </si>
  <si>
    <t>Rorippa curvisiliqua</t>
  </si>
  <si>
    <t>Curve-Pod Yellowcress</t>
  </si>
  <si>
    <t>Rorippa palustris</t>
  </si>
  <si>
    <t>Bog Yellowcress</t>
  </si>
  <si>
    <t>Rosa acicularis</t>
  </si>
  <si>
    <t>Prickly Rose</t>
  </si>
  <si>
    <t>Rosa gymnocarpa</t>
  </si>
  <si>
    <t>Bald-Hip Rose</t>
  </si>
  <si>
    <t>Rosa nutkana</t>
  </si>
  <si>
    <t>Nootka Rose</t>
  </si>
  <si>
    <t>Rosa woodsii</t>
  </si>
  <si>
    <t>Woods' Rose</t>
  </si>
  <si>
    <t>Rubus arcticus</t>
  </si>
  <si>
    <t>Northern Blackberry</t>
  </si>
  <si>
    <t>Rubus chamaemorus</t>
  </si>
  <si>
    <t>Cloudberry</t>
  </si>
  <si>
    <t>Rubus leucodermis</t>
  </si>
  <si>
    <t>White-Stem Raspberry</t>
  </si>
  <si>
    <t>Rubus parviflorus</t>
  </si>
  <si>
    <t>Western Thimble-Berry</t>
  </si>
  <si>
    <t>Rubus pedatus</t>
  </si>
  <si>
    <t>Strawberry-Leaf Raspberry</t>
  </si>
  <si>
    <t>Rubus pubescens</t>
  </si>
  <si>
    <t>Dwarf Red Raspberry</t>
  </si>
  <si>
    <t>Rubus spectabilis</t>
  </si>
  <si>
    <t>Salmon Raspberry</t>
  </si>
  <si>
    <t>Rumex arcticus</t>
  </si>
  <si>
    <t>Arctic Dock</t>
  </si>
  <si>
    <t>Rumex fueginus</t>
  </si>
  <si>
    <t>Tierra del Fuego Dock</t>
  </si>
  <si>
    <t>Rumex lapponicus</t>
  </si>
  <si>
    <t>Lapland Sorrel</t>
  </si>
  <si>
    <t>Rumex occidentalis</t>
  </si>
  <si>
    <t>Western Dock</t>
  </si>
  <si>
    <t>Rumex pseudoxyria</t>
  </si>
  <si>
    <t>Rumex salicifolius</t>
  </si>
  <si>
    <t>Rumex transitorius</t>
  </si>
  <si>
    <t>Pacific Willow Dock</t>
  </si>
  <si>
    <t>Ruppia cirrhosa</t>
  </si>
  <si>
    <t>Spiral Ditch-Grass</t>
  </si>
  <si>
    <t>Ruppia maritima</t>
  </si>
  <si>
    <t>Beaked Ditch-Grass</t>
  </si>
  <si>
    <t>Sagina decumbens</t>
  </si>
  <si>
    <t>Trailing Pearlwort</t>
  </si>
  <si>
    <t>Sagina maxima</t>
  </si>
  <si>
    <t>Sticky-Stem Pearlwort</t>
  </si>
  <si>
    <t>Sagina nivalis</t>
  </si>
  <si>
    <t>Snow Pearlwort</t>
  </si>
  <si>
    <t>Sagina saginoides</t>
  </si>
  <si>
    <t>Alpine Pearlwort</t>
  </si>
  <si>
    <t>Sagittaria cuneata</t>
  </si>
  <si>
    <t>Arum-Leaf Arrowhead</t>
  </si>
  <si>
    <t>Salicornia depressa</t>
  </si>
  <si>
    <t>Woody Saltwort</t>
  </si>
  <si>
    <t>Salicornia virginica</t>
  </si>
  <si>
    <t>Salix alaxensis</t>
  </si>
  <si>
    <t>Felt-Leaf Willow</t>
  </si>
  <si>
    <t>Salix arbusculoides</t>
  </si>
  <si>
    <t>Little-Tree Willow</t>
  </si>
  <si>
    <t>Salix arctica</t>
  </si>
  <si>
    <t>Arctic Willow</t>
  </si>
  <si>
    <t>Salix arctophila</t>
  </si>
  <si>
    <t>Northern Willow</t>
  </si>
  <si>
    <t>Salix athabascensis</t>
  </si>
  <si>
    <t>Athabasca Willow</t>
  </si>
  <si>
    <t>Salix barclayi</t>
  </si>
  <si>
    <t>Barclay's Willow</t>
  </si>
  <si>
    <t>Salix barrattiana</t>
  </si>
  <si>
    <t>Barratt's Willow</t>
  </si>
  <si>
    <t>Salix bebbiana</t>
  </si>
  <si>
    <t>Gray Willow</t>
  </si>
  <si>
    <t>Salix boothii</t>
  </si>
  <si>
    <t>Booth's Willow</t>
  </si>
  <si>
    <t>Salix brachycarpa</t>
  </si>
  <si>
    <t>Shortfruit Willow</t>
  </si>
  <si>
    <t>Salix candida</t>
  </si>
  <si>
    <t>Sage Willow</t>
  </si>
  <si>
    <t>Salix chamissonis</t>
  </si>
  <si>
    <t>Chamisso's Willow</t>
  </si>
  <si>
    <t>Salix commutata</t>
  </si>
  <si>
    <t>Under-Green Willow</t>
  </si>
  <si>
    <t>Salix exigua</t>
  </si>
  <si>
    <t>Salix farriae</t>
  </si>
  <si>
    <t>Farr's Willow</t>
  </si>
  <si>
    <t>Salix fuscescens</t>
  </si>
  <si>
    <t>Alaska Bog Willow</t>
  </si>
  <si>
    <t>Salix glauca</t>
  </si>
  <si>
    <t>Gray-Leaf Willow</t>
  </si>
  <si>
    <t>Salix hastata</t>
  </si>
  <si>
    <t>Halberd Willow</t>
  </si>
  <si>
    <t>Salix hookeriana</t>
  </si>
  <si>
    <t>Coastal Willow</t>
  </si>
  <si>
    <t>Salix interior</t>
  </si>
  <si>
    <t>Sandbar Willow</t>
  </si>
  <si>
    <t>Salix lasiandra</t>
  </si>
  <si>
    <t>Pacific Willow</t>
  </si>
  <si>
    <t>Salix lucida</t>
  </si>
  <si>
    <t>Salix myrtillifolia</t>
  </si>
  <si>
    <t>Blueberry Willow</t>
  </si>
  <si>
    <t>Salix ovalifolia</t>
  </si>
  <si>
    <t>Arctic Seashore Willow</t>
  </si>
  <si>
    <t>Salix phlebophylla</t>
  </si>
  <si>
    <t>Skeleton-Leaf Willow</t>
  </si>
  <si>
    <t>Salix planifolia</t>
  </si>
  <si>
    <t>Tea-Leaf Willow</t>
  </si>
  <si>
    <t>Salix polaris</t>
  </si>
  <si>
    <t>Polar Willow</t>
  </si>
  <si>
    <t>Salix prolixa</t>
  </si>
  <si>
    <t>Mackenzie's Willow</t>
  </si>
  <si>
    <t>Salix pseudomonticola</t>
  </si>
  <si>
    <t>False Mountain Willow</t>
  </si>
  <si>
    <t>Salix pulchra</t>
  </si>
  <si>
    <t>Diamond-Leaf Willow</t>
  </si>
  <si>
    <t>Salix reticulata</t>
  </si>
  <si>
    <t>Net-Vein Willow</t>
  </si>
  <si>
    <t>Salix richardsonii</t>
  </si>
  <si>
    <t>Richardson's Willow</t>
  </si>
  <si>
    <t>Salix rotundifolia</t>
  </si>
  <si>
    <t>Round-Leaf Willow</t>
  </si>
  <si>
    <t>Salix scouleriana</t>
  </si>
  <si>
    <t>Scouler's Willow</t>
  </si>
  <si>
    <t>Salix setchelliana</t>
  </si>
  <si>
    <t>Setchell's Willow</t>
  </si>
  <si>
    <t>Salix sitchensis</t>
  </si>
  <si>
    <t>Sitka Willow</t>
  </si>
  <si>
    <t>Salix sphenophylla</t>
  </si>
  <si>
    <t>Wedge-Leaf Willow</t>
  </si>
  <si>
    <t>Salix stolonifera</t>
  </si>
  <si>
    <t>Salix X sepulcralis</t>
  </si>
  <si>
    <t>Sambucus racemosa</t>
  </si>
  <si>
    <t>Red Elder</t>
  </si>
  <si>
    <t>Sanguisorba canadensis</t>
  </si>
  <si>
    <t>Canadian Burnet</t>
  </si>
  <si>
    <t>Sanguisorba menziesii</t>
  </si>
  <si>
    <t>Small-Head Burnet</t>
  </si>
  <si>
    <t>Sanguisorba officinalis</t>
  </si>
  <si>
    <t>Great Burnet</t>
  </si>
  <si>
    <t>Saussurea americana</t>
  </si>
  <si>
    <t>American Saw-Wort</t>
  </si>
  <si>
    <t>Saussurea angustifolia</t>
  </si>
  <si>
    <t>Narrow-Leaf Saw-Wort</t>
  </si>
  <si>
    <t>Saussurea nuda</t>
  </si>
  <si>
    <t>Dwarf Saw-Wort</t>
  </si>
  <si>
    <t>Saxifraga adscendens</t>
  </si>
  <si>
    <t>Wedge-Leaf Saxifrage</t>
  </si>
  <si>
    <t>Saxifraga aizoides</t>
  </si>
  <si>
    <t>Yellow Mountain Saxifrage</t>
  </si>
  <si>
    <t>Saxifraga bronchialis</t>
  </si>
  <si>
    <t>Yellow-Spot Saxifrage</t>
  </si>
  <si>
    <t>Saxifraga caespitosa</t>
  </si>
  <si>
    <t>Tufted Alpine Saxifrage</t>
  </si>
  <si>
    <t>Saxifraga cernua</t>
  </si>
  <si>
    <t>Nodding Saxifrage</t>
  </si>
  <si>
    <t>Saxifraga ferruginea</t>
  </si>
  <si>
    <t>Russet-Hair Saxifrage</t>
  </si>
  <si>
    <t>Saxifraga foliolosa</t>
  </si>
  <si>
    <t>Leafy-Stem Saxifrage</t>
  </si>
  <si>
    <t>Saxifraga hieraciifolia</t>
  </si>
  <si>
    <t>Stiff-Stem Saxifrage</t>
  </si>
  <si>
    <t>Saxifraga hirculus</t>
  </si>
  <si>
    <t>Yellow Marsh Saxifrage</t>
  </si>
  <si>
    <t>Saxifraga hyperborea</t>
  </si>
  <si>
    <t>Pygmy Saxifrage</t>
  </si>
  <si>
    <t>Saxifraga lyallii</t>
  </si>
  <si>
    <t>Red-Stem Saxifrage</t>
  </si>
  <si>
    <t>Saxifraga mertensiana</t>
  </si>
  <si>
    <t>Woodland Saxifrage</t>
  </si>
  <si>
    <t>Saxifraga nelsoniana</t>
  </si>
  <si>
    <t>Heart-Leaf Saxifrage</t>
  </si>
  <si>
    <t>Saxifraga nudicaulis</t>
  </si>
  <si>
    <t>Naked-Stem Saxifrage</t>
  </si>
  <si>
    <t>Saxifraga occidentalis</t>
  </si>
  <si>
    <t>Mountain Saxifrage</t>
  </si>
  <si>
    <t>Saxifraga oppositifolia</t>
  </si>
  <si>
    <t>Purple Mountain Saxifrage</t>
  </si>
  <si>
    <t>Saxifraga razshivinii</t>
  </si>
  <si>
    <t>Razshivin's Saxifrage</t>
  </si>
  <si>
    <t>Saxifraga rivularis</t>
  </si>
  <si>
    <t>Alpine-Brook Saxifrage</t>
  </si>
  <si>
    <t>Saxifraga sibirica</t>
  </si>
  <si>
    <t>Siberian Saxifrage</t>
  </si>
  <si>
    <t>Saxifraga tolmiei</t>
  </si>
  <si>
    <t>Tolmie's Alpine Saxifrage</t>
  </si>
  <si>
    <t>Saxifraga tricuspidata</t>
  </si>
  <si>
    <t>Prickly Saxifrage</t>
  </si>
  <si>
    <t>Sceptridium multifidum</t>
  </si>
  <si>
    <t>Leathery Grape Fern</t>
  </si>
  <si>
    <t>Sceptridium silaifolium</t>
  </si>
  <si>
    <t>Celery Grape Fern</t>
  </si>
  <si>
    <t>Scheuchzeria palustris</t>
  </si>
  <si>
    <t>Rannoch-Rush</t>
  </si>
  <si>
    <t>Schizachne purpurascens</t>
  </si>
  <si>
    <t>False Melic Grass</t>
  </si>
  <si>
    <t>Schoenoplectus acutus</t>
  </si>
  <si>
    <t>Hard-Stem Club-Rush</t>
  </si>
  <si>
    <t>Schoenoplectus americanus</t>
  </si>
  <si>
    <t>Chairmaker's Club-Rush</t>
  </si>
  <si>
    <t>Schoenoplectus maritimus</t>
  </si>
  <si>
    <t>Saltmarsh Club-Rush</t>
  </si>
  <si>
    <t>Schoenoplectus subterminalis</t>
  </si>
  <si>
    <t>Swaying Club-Rush</t>
  </si>
  <si>
    <t>Schoenoplectus tabernaemontani</t>
  </si>
  <si>
    <t>Soft-Stem Club-Rush</t>
  </si>
  <si>
    <t>Scirpus microcarpus</t>
  </si>
  <si>
    <t>Red-Tinge Bulrush</t>
  </si>
  <si>
    <t>Scirpus subterminalis</t>
  </si>
  <si>
    <t>Scolochloa festucacea</t>
  </si>
  <si>
    <t>Common River Grass</t>
  </si>
  <si>
    <t>Scutellaria galericulata</t>
  </si>
  <si>
    <t>Hooded Skullcap</t>
  </si>
  <si>
    <t>Scutellaria lateriflora</t>
  </si>
  <si>
    <t>Mad Dog Skullcap</t>
  </si>
  <si>
    <t>Sedum integrifolium</t>
  </si>
  <si>
    <t>Selaginella selaginoides</t>
  </si>
  <si>
    <t>Northern Spike-Moss</t>
  </si>
  <si>
    <t>Senecio lugens</t>
  </si>
  <si>
    <t>Small Black-Tip Ragwort</t>
  </si>
  <si>
    <t>Senecio pauciflorus</t>
  </si>
  <si>
    <t>Senecio pseudoarnica</t>
  </si>
  <si>
    <t>Seaside Ragwort</t>
  </si>
  <si>
    <t>Senecio triangularis</t>
  </si>
  <si>
    <t>Arrow-Leaf Ragwort</t>
  </si>
  <si>
    <t>Shepherdia canadensis</t>
  </si>
  <si>
    <t>Russet Buffalo-Berry</t>
  </si>
  <si>
    <t>Sibbaldia procumbens</t>
  </si>
  <si>
    <t>Creeping-Glow-Wort</t>
  </si>
  <si>
    <t>Sidalcea hendersonii</t>
  </si>
  <si>
    <t>Henderson's Checker-Mallow</t>
  </si>
  <si>
    <t>Silene acaulis</t>
  </si>
  <si>
    <t>Cushion-Pink</t>
  </si>
  <si>
    <t>Silene menziesii</t>
  </si>
  <si>
    <t>White Catchfly</t>
  </si>
  <si>
    <t>Silene uralensis</t>
  </si>
  <si>
    <t>Apetalous Catchfly</t>
  </si>
  <si>
    <t>Sisyrinchium littorale</t>
  </si>
  <si>
    <t>Alaska Blue-Eyed-Grass</t>
  </si>
  <si>
    <t>Sisyrinchium montanum</t>
  </si>
  <si>
    <t>Strict Blue-Eyed-Grass</t>
  </si>
  <si>
    <t>Sium suave</t>
  </si>
  <si>
    <t>Hemlock Water-Parsnip</t>
  </si>
  <si>
    <t>Solidago canadensis</t>
  </si>
  <si>
    <t>Solidago lepida</t>
  </si>
  <si>
    <t>Western Canada Goldenrod</t>
  </si>
  <si>
    <t>Solidago multiradiata</t>
  </si>
  <si>
    <t>Rocky Mountain Goldenrod</t>
  </si>
  <si>
    <t>Solidago simplex</t>
  </si>
  <si>
    <t>Mt. Albert Goldenrod</t>
  </si>
  <si>
    <t>Sorbus scopulina</t>
  </si>
  <si>
    <t>Cascade Mountain-Ash</t>
  </si>
  <si>
    <t>Sorbus sitchensis</t>
  </si>
  <si>
    <t>Sitka Mountain-Ash</t>
  </si>
  <si>
    <t>Sparganium angustifolium</t>
  </si>
  <si>
    <t>Narrow-Leaf Burr-Reed</t>
  </si>
  <si>
    <t>Sparganium emersum</t>
  </si>
  <si>
    <t>European Burr-Reed</t>
  </si>
  <si>
    <t>Sparganium hyperboreum</t>
  </si>
  <si>
    <t>Northern Burr-Reed</t>
  </si>
  <si>
    <t>Sparganium natans</t>
  </si>
  <si>
    <t>Arctic Burr-Reed</t>
  </si>
  <si>
    <t>Spergularia canadensis</t>
  </si>
  <si>
    <t>Canadian Sandspurry</t>
  </si>
  <si>
    <t>Spinulum annotinum</t>
  </si>
  <si>
    <t>Spiraea douglasii</t>
  </si>
  <si>
    <t>Douglas' Meadowsweet</t>
  </si>
  <si>
    <t>Spiraea stevenii</t>
  </si>
  <si>
    <t>Steven's Meadowsweet</t>
  </si>
  <si>
    <t>Spiranthes romanzoffiana</t>
  </si>
  <si>
    <t>Hooded Ladies'-Tresses</t>
  </si>
  <si>
    <t>Stachys chamissonis</t>
  </si>
  <si>
    <t>Coastal Hedge-Nettle</t>
  </si>
  <si>
    <t>Stachys mexicana</t>
  </si>
  <si>
    <t>Mexican Hedge-Nettle</t>
  </si>
  <si>
    <t>Stachys palustris</t>
  </si>
  <si>
    <t>Woundwort</t>
  </si>
  <si>
    <t>Stachys pilosa</t>
  </si>
  <si>
    <t>Hairy Hedge-Nettle</t>
  </si>
  <si>
    <t>Stellaria borealis</t>
  </si>
  <si>
    <t>Boreal Starwort</t>
  </si>
  <si>
    <t>Stellaria calycantha</t>
  </si>
  <si>
    <t>Northern Bog Starwort</t>
  </si>
  <si>
    <t>Stellaria crassifolia</t>
  </si>
  <si>
    <t>Fleshy Starwort</t>
  </si>
  <si>
    <t>Stellaria crispa</t>
  </si>
  <si>
    <t>Ruffled Starwort</t>
  </si>
  <si>
    <t>Stellaria humifusa</t>
  </si>
  <si>
    <t>Saltmarsh Starwort</t>
  </si>
  <si>
    <t>Stellaria longifolia</t>
  </si>
  <si>
    <t>Long-Leaf Starwort</t>
  </si>
  <si>
    <t>Stellaria longipes</t>
  </si>
  <si>
    <t>Long-Stalk Starwort</t>
  </si>
  <si>
    <t>Stellaria umbellata</t>
  </si>
  <si>
    <t>Umbrella Starwort</t>
  </si>
  <si>
    <t>Streptopus amplexifolius</t>
  </si>
  <si>
    <t>Clasping Twistedstalk</t>
  </si>
  <si>
    <t>Streptopus lanceolatus</t>
  </si>
  <si>
    <t>Lance-Leaf Twistedstalk</t>
  </si>
  <si>
    <t>Streptopus roseus</t>
  </si>
  <si>
    <t>Streptopus streptopoides</t>
  </si>
  <si>
    <t>Small Twistedstalk</t>
  </si>
  <si>
    <t>Stuckenia filiformis</t>
  </si>
  <si>
    <t>Slender-Leaf False Pondweed</t>
  </si>
  <si>
    <t>Stuckenia pectinata</t>
  </si>
  <si>
    <t>Sago False Pondweed</t>
  </si>
  <si>
    <t>Stuckenia vaginata</t>
  </si>
  <si>
    <t>Sheathed False Pondweed</t>
  </si>
  <si>
    <t>Suaeda calceoliformis</t>
  </si>
  <si>
    <t>Paiuteweed</t>
  </si>
  <si>
    <t>Suaeda maritima</t>
  </si>
  <si>
    <t>Herbaceous Seepweed</t>
  </si>
  <si>
    <t>Subularia aquatica</t>
  </si>
  <si>
    <t>American Water-Awlwort</t>
  </si>
  <si>
    <t>Swertia perennis</t>
  </si>
  <si>
    <t>Felwort</t>
  </si>
  <si>
    <t>Symphoricarpos albus</t>
  </si>
  <si>
    <t>Common Snowberry</t>
  </si>
  <si>
    <t>Symphyotrichum boreale</t>
  </si>
  <si>
    <t>Boreal American-Aster</t>
  </si>
  <si>
    <t>Symphyotrichum ciliatum</t>
  </si>
  <si>
    <t>Alkali American-Aster</t>
  </si>
  <si>
    <t>Symphyotrichum falcatum</t>
  </si>
  <si>
    <t>Rough White Prairie American-Aster</t>
  </si>
  <si>
    <t>Symphyotrichum foliaceum</t>
  </si>
  <si>
    <t>Alpine Leafy-Head American-Aster</t>
  </si>
  <si>
    <t>Symphyotrichum pygmaeum</t>
  </si>
  <si>
    <t>Pygmy American-Aster</t>
  </si>
  <si>
    <t>Symphyotrichum subspicatum</t>
  </si>
  <si>
    <t>Leafy-Bract American-Aster</t>
  </si>
  <si>
    <t>Symphyotrichum yukonense</t>
  </si>
  <si>
    <t>Yukon American-Aster</t>
  </si>
  <si>
    <t>Tanacetum bipinnatum</t>
  </si>
  <si>
    <t>Taraxacum ceratophorum</t>
  </si>
  <si>
    <t>Horned Dandelion</t>
  </si>
  <si>
    <t>Taxus brevifolia</t>
  </si>
  <si>
    <t>Pacific Yew</t>
  </si>
  <si>
    <t>Tellima grandiflora</t>
  </si>
  <si>
    <t>Fragrant Fringecup</t>
  </si>
  <si>
    <t>Tephroseris atropurpurea</t>
  </si>
  <si>
    <t>Dark-Purple Squaw-Weed</t>
  </si>
  <si>
    <t>Tephroseris frigida</t>
  </si>
  <si>
    <t>Arctic Squaw-Weed</t>
  </si>
  <si>
    <t>Tephroseris palustris</t>
  </si>
  <si>
    <t>Clustered Marsh Squaw-Weed</t>
  </si>
  <si>
    <t>Thalictrum alpinum</t>
  </si>
  <si>
    <t>Alpine Meadow-Rue</t>
  </si>
  <si>
    <t>Thalictrum occidentale</t>
  </si>
  <si>
    <t>Western Meadow-Rue</t>
  </si>
  <si>
    <t>Thalictrum sparsiflorum</t>
  </si>
  <si>
    <t>Few-Flower Meadow-Rue</t>
  </si>
  <si>
    <t>Thelypteris quelpaertensis</t>
  </si>
  <si>
    <t>Thuja plicata</t>
  </si>
  <si>
    <t>Western Arborvitae</t>
  </si>
  <si>
    <t>Tiarella trifoliata</t>
  </si>
  <si>
    <t>Three-Leaf Foamflower</t>
  </si>
  <si>
    <t>Tofieldia coccinea</t>
  </si>
  <si>
    <t>Purple Featherling</t>
  </si>
  <si>
    <t>Tofieldia glutinosa</t>
  </si>
  <si>
    <t>Tofieldia pusilla</t>
  </si>
  <si>
    <t>Scotch Featherling</t>
  </si>
  <si>
    <t>Tolmiea menziesii</t>
  </si>
  <si>
    <t>Piggyback-Plant</t>
  </si>
  <si>
    <t>Torreyochloa pallida</t>
  </si>
  <si>
    <t>Pale False Manna Grass</t>
  </si>
  <si>
    <t>Transberingia bursifolia</t>
  </si>
  <si>
    <t>False Fissurewort</t>
  </si>
  <si>
    <t>Triantha glutinosa</t>
  </si>
  <si>
    <t>Sticky False Asphodel</t>
  </si>
  <si>
    <t>Triantha occidentalis</t>
  </si>
  <si>
    <t>Western False Asphodel</t>
  </si>
  <si>
    <t>Trichophorum alpinum</t>
  </si>
  <si>
    <t>Alpine Leafless-Bulrush</t>
  </si>
  <si>
    <t>Trichophorum caespitosum</t>
  </si>
  <si>
    <t>Tufted Leafless-Bulrush</t>
  </si>
  <si>
    <t>Trichophorum pumilum</t>
  </si>
  <si>
    <t>Rolland's Leafless-Bulrush</t>
  </si>
  <si>
    <t>Trientalis arctica</t>
  </si>
  <si>
    <t>Trientalis borealis</t>
  </si>
  <si>
    <t>Maystar</t>
  </si>
  <si>
    <t>Trientalis europaea</t>
  </si>
  <si>
    <t>Arctic Starflower</t>
  </si>
  <si>
    <t>Trifolium cyathiferum</t>
  </si>
  <si>
    <t>Bowl Clover</t>
  </si>
  <si>
    <t>Trifolium wormskioldii</t>
  </si>
  <si>
    <t>Cow Clover</t>
  </si>
  <si>
    <t>Triglochin maritima</t>
  </si>
  <si>
    <t>Seaside Arrow-Grass</t>
  </si>
  <si>
    <t>Triglochin maritimum</t>
  </si>
  <si>
    <t>Triglochin palustre</t>
  </si>
  <si>
    <t>Triglochin palustris</t>
  </si>
  <si>
    <t>Marsh Arrow-Grass</t>
  </si>
  <si>
    <t>Tripleurospermum maritimum</t>
  </si>
  <si>
    <t>False Mayweed</t>
  </si>
  <si>
    <t>Trisetum cernuum</t>
  </si>
  <si>
    <t>Tall False Oat</t>
  </si>
  <si>
    <t>Trisetum sibiricum</t>
  </si>
  <si>
    <t>Siberian False Oat</t>
  </si>
  <si>
    <t>Trisetum spicatum</t>
  </si>
  <si>
    <t>Narrow False Oat</t>
  </si>
  <si>
    <t>Tsuga heterophylla</t>
  </si>
  <si>
    <t>Western Hemlock</t>
  </si>
  <si>
    <t>Tsuga mertensiana</t>
  </si>
  <si>
    <t>Mountain Hemlock</t>
  </si>
  <si>
    <t>Typha latifolia</t>
  </si>
  <si>
    <t>Broad-Leaf Cat-Tail</t>
  </si>
  <si>
    <t>Urtica dioica</t>
  </si>
  <si>
    <t>Stinging Nettle</t>
  </si>
  <si>
    <t>Utricularia intermedia</t>
  </si>
  <si>
    <t>Flat-Leaf Bladderwort</t>
  </si>
  <si>
    <t>Utricularia macrorhiza</t>
  </si>
  <si>
    <t>Greater Bladderwort</t>
  </si>
  <si>
    <t>Utricularia minor</t>
  </si>
  <si>
    <t>Lesser Bladderwort</t>
  </si>
  <si>
    <t>Utricularia ochroleuca</t>
  </si>
  <si>
    <t>Dwarf Bladderwort</t>
  </si>
  <si>
    <t>Utricularia stygia</t>
  </si>
  <si>
    <t>Arctic Bladderwort</t>
  </si>
  <si>
    <t>Vaccinium alaskaense</t>
  </si>
  <si>
    <t>*</t>
  </si>
  <si>
    <t>Alaska Blueberry</t>
  </si>
  <si>
    <t>Vaccinium caespitosum</t>
  </si>
  <si>
    <t>Dwarf Blueberry</t>
  </si>
  <si>
    <t>Vaccinium cespitosum</t>
  </si>
  <si>
    <t>Vaccinium macrocarpon</t>
  </si>
  <si>
    <t>Large Cranberry</t>
  </si>
  <si>
    <t>Vaccinium membranaceum</t>
  </si>
  <si>
    <t>Square-Twig Blueberry</t>
  </si>
  <si>
    <t>Vaccinium ovalifolium</t>
  </si>
  <si>
    <t>Oval-Leaf Blueberry</t>
  </si>
  <si>
    <t>Vaccinium oxycoccos</t>
  </si>
  <si>
    <t>Small Cranberry</t>
  </si>
  <si>
    <t>Vaccinium parvifolium</t>
  </si>
  <si>
    <t>Red Blueberry</t>
  </si>
  <si>
    <t>Vaccinium scoparium</t>
  </si>
  <si>
    <t>Grouse Whortleberry</t>
  </si>
  <si>
    <t>Vaccinium uliginosum</t>
  </si>
  <si>
    <t>Alpine Blueberry</t>
  </si>
  <si>
    <t>Vaccinium vitis-idaea</t>
  </si>
  <si>
    <t>Northern Mountain-Cranberry</t>
  </si>
  <si>
    <t>Vahlodea atropurpurea</t>
  </si>
  <si>
    <t>Arctic-Hair Grass</t>
  </si>
  <si>
    <t>Valeriana capitata</t>
  </si>
  <si>
    <t>Clustered Valerian</t>
  </si>
  <si>
    <t>Valeriana scouleri</t>
  </si>
  <si>
    <t>Scouler's Valerian</t>
  </si>
  <si>
    <t>Valeriana sitchensis</t>
  </si>
  <si>
    <t>Sitka Valerian</t>
  </si>
  <si>
    <t>Veratrum viride</t>
  </si>
  <si>
    <t>American False Hellebore</t>
  </si>
  <si>
    <t>Veronica americana</t>
  </si>
  <si>
    <t>American-Brooklime</t>
  </si>
  <si>
    <t>Veronica officinalis</t>
  </si>
  <si>
    <t>Common Gypsyweed</t>
  </si>
  <si>
    <t>Veronica scutellata</t>
  </si>
  <si>
    <t>Grass-Leaf Speedwell</t>
  </si>
  <si>
    <t>Veronica wormskjoldii</t>
  </si>
  <si>
    <t>American Alpine Speedwell</t>
  </si>
  <si>
    <t>Viburnum edule</t>
  </si>
  <si>
    <t>Squashberry</t>
  </si>
  <si>
    <t>Vicia americana</t>
  </si>
  <si>
    <t>American Purple Vetch</t>
  </si>
  <si>
    <t>Vicia nigricans</t>
  </si>
  <si>
    <t>Black Vetch</t>
  </si>
  <si>
    <t>Viola adunca</t>
  </si>
  <si>
    <t>Hook-Spur Violet</t>
  </si>
  <si>
    <t>Viola biflora</t>
  </si>
  <si>
    <t>Arctic Yellow Violet</t>
  </si>
  <si>
    <t>Viola canadensis</t>
  </si>
  <si>
    <t>Canadian White Violet</t>
  </si>
  <si>
    <t>Viola epipsila</t>
  </si>
  <si>
    <t>Dwarf Marsh Violet</t>
  </si>
  <si>
    <t>Viola glabella</t>
  </si>
  <si>
    <t>Pioneer Violet</t>
  </si>
  <si>
    <t>Viola langsdorffii</t>
  </si>
  <si>
    <t>Alaska Violet</t>
  </si>
  <si>
    <t>Viola langsdorfii</t>
  </si>
  <si>
    <t>Aleutian Violet</t>
  </si>
  <si>
    <t>Viola macloskeyi</t>
  </si>
  <si>
    <t>Small White Violet</t>
  </si>
  <si>
    <t>Viola nephrophylla</t>
  </si>
  <si>
    <t>Northern Bog Violet</t>
  </si>
  <si>
    <t>Viola palustris</t>
  </si>
  <si>
    <t>Alpine-Marsh Violet</t>
  </si>
  <si>
    <t>Viola renifolia</t>
  </si>
  <si>
    <t>Kidney-Leaf White Violet</t>
  </si>
  <si>
    <t>Wilhelmsia physodes</t>
  </si>
  <si>
    <t>Arctic-Flower</t>
  </si>
  <si>
    <t>Xanthocyparis nootkatensis</t>
  </si>
  <si>
    <t>Alaska-Cedar</t>
  </si>
  <si>
    <t>Zannichellia palustris</t>
  </si>
  <si>
    <t>Horned-Pondweed</t>
  </si>
  <si>
    <t>Zigadenus elegans</t>
  </si>
  <si>
    <t>Mountain Death Camas</t>
  </si>
  <si>
    <t>Zostera marina</t>
  </si>
  <si>
    <t>Seawrack</t>
  </si>
  <si>
    <t>Southeast Alaska</t>
  </si>
  <si>
    <r>
      <rPr>
        <b/>
        <sz val="10"/>
        <rFont val="Arial Narrow"/>
        <family val="2"/>
      </rPr>
      <t>Attributes of Alaskan Vascular Plants</t>
    </r>
    <r>
      <rPr>
        <sz val="10"/>
        <rFont val="Arial Narrow"/>
        <family val="2"/>
      </rPr>
      <t xml:space="preserve">. Species listed are mainly those for which a wetland indicator status has been assigned by federal agencies. Some species may be listed under both old and new nomenclature.  "Southeast" denotes those recorded in Southeastern Alaska (SE #recs is the number of records, according to Consortium of Pacific Northwest Herbaria).  </t>
    </r>
    <r>
      <rPr>
        <b/>
        <sz val="10"/>
        <rFont val="Arial Narrow"/>
        <family val="2"/>
      </rPr>
      <t>WIS</t>
    </r>
    <r>
      <rPr>
        <sz val="10"/>
        <rFont val="Arial Narrow"/>
        <family val="2"/>
      </rPr>
      <t xml:space="preserve">= Wetland Indicator Status.  </t>
    </r>
    <r>
      <rPr>
        <b/>
        <sz val="10"/>
        <rFont val="Arial Narrow"/>
        <family val="2"/>
      </rPr>
      <t>Non-Native</t>
    </r>
    <r>
      <rPr>
        <sz val="10"/>
        <rFont val="Arial Narrow"/>
        <family val="2"/>
      </rPr>
      <t>= species not native to Southeast Alaska; this list is</t>
    </r>
    <r>
      <rPr>
        <b/>
        <sz val="10"/>
        <rFont val="Arial Narrow"/>
        <family val="2"/>
      </rPr>
      <t xml:space="preserve"> not c</t>
    </r>
    <r>
      <rPr>
        <sz val="10"/>
        <rFont val="Arial Narrow"/>
        <family val="2"/>
      </rPr>
      <t xml:space="preserve">omplete.  </t>
    </r>
    <r>
      <rPr>
        <b/>
        <sz val="10"/>
        <rFont val="Arial Narrow"/>
        <family val="2"/>
      </rPr>
      <t>Invasive</t>
    </r>
    <r>
      <rPr>
        <sz val="10"/>
        <rFont val="Arial Narrow"/>
        <family val="2"/>
      </rPr>
      <t xml:space="preserve">= non-native species, where found, that have the greatest actual or potential adverse effect on native plant richness (Heutte et al. 2003).  </t>
    </r>
    <r>
      <rPr>
        <b/>
        <sz val="10"/>
        <rFont val="Arial Narrow"/>
        <family val="2"/>
      </rPr>
      <t>Rare</t>
    </r>
    <r>
      <rPr>
        <sz val="10"/>
        <rFont val="Arial Narrow"/>
        <family val="2"/>
      </rPr>
      <t>= species (1) or subspecies/varieties (2) designated by Alaska Natural Heritage Program as S1, S2, S3 or G1, G2, or G3.  Many other species are believed to be rare or very limited in their regional distribution (see SE #recs).</t>
    </r>
  </si>
  <si>
    <t>Function Score (normalized)</t>
  </si>
  <si>
    <t xml:space="preserve">Value Score (normalized) </t>
  </si>
  <si>
    <t>FUNCTION</t>
  </si>
  <si>
    <t>VALUE</t>
  </si>
  <si>
    <t>Function Rating</t>
  </si>
  <si>
    <t>Thresholds for Function Rating (normalized score)</t>
  </si>
  <si>
    <t>Value Rating</t>
  </si>
  <si>
    <t>Fmin</t>
  </si>
  <si>
    <t>Fmax</t>
  </si>
  <si>
    <t>Vmin</t>
  </si>
  <si>
    <t>Vmax</t>
  </si>
  <si>
    <t>SubSis</t>
  </si>
  <si>
    <t>Sens</t>
  </si>
  <si>
    <t>Scores will appear below after data are entered in worksheets OF, T, and S.  See Manual for definitions and descriptions of how scores were computed.</t>
  </si>
  <si>
    <t>The AA or waters that directly adjoin it:</t>
  </si>
  <si>
    <r>
      <t xml:space="preserve">is in Juneau or Ketchikan, and thus is a designated </t>
    </r>
    <r>
      <rPr>
        <b/>
        <sz val="10"/>
        <rFont val="Arial Narrow"/>
        <family val="2"/>
      </rPr>
      <t>Non</t>
    </r>
    <r>
      <rPr>
        <sz val="10"/>
        <rFont val="Arial Narrow"/>
        <family val="2"/>
      </rPr>
      <t>-subsistence Use Area (see WESPAK-SE Wetlands Module&gt; ADFG Nonsubsistence Use Areas for exact boundaries)</t>
    </r>
  </si>
  <si>
    <t>is accessible to salmon AND is a major salmon subsistence harvest area according to (a) Table B-6 of the manual, OR (b) Figures A2a-c of the manual (shown as a point on the maps)</t>
  </si>
  <si>
    <t>no data (outside of the regions shown on the maps, and not listed in Table B-6)</t>
  </si>
  <si>
    <t xml:space="preserve"> Stress Potential</t>
  </si>
  <si>
    <t>1) In the Module's Table of Contents menu, click on ShoreZone.
2) Expand the menu (click on +) and check Derived ShoreZone Attributes.
3) Expand (+) that menu, then check BC Class. Web site may take up to 20 seconds to respond. [SR, CS, OE, WBF, SBM, Sens]</t>
  </si>
  <si>
    <t>To see if the problem is related to metals, hydrocarbons, other toxic substances -- NOT to sediment, turbidity, TSS, bacteria, oxygen, or temperature: in the Wetlands Module, use the Identify tool to click on the line segment or area and scroll through all the text in the pop-up window to see the type of problem. If no quality-controlled sampling has been done, then a statement or rating documenting the problem and published in a recent agency report or official correspondence may be counted. Also, if time allows, query and retrieve water quality data from: http://www.waterqualitydata.us/   Do not speculate or infer toxic conditions from presence of potential pollution sources. The water quality problem must be ongoing, not only historical. [FA]</t>
  </si>
  <si>
    <t>voluntary= WRP, CRP, land trust easements with partial public funding, etc. Locations of some sites are shown online at: http://www.conservationregistry.org/  [PU]</t>
  </si>
  <si>
    <t xml:space="preserve">Do not include algae. If the AA is only part of a wetland and does not have an upland edge, measure this along the upland edge closest to the AA. [Sens] </t>
  </si>
  <si>
    <t xml:space="preserve"> an impounding dam, dike, levee, weir, berm, road fill, or tidegate -- within or downgradient from the wetland, or raising of outlet culvert elevation.</t>
  </si>
  <si>
    <t xml:space="preserve"> excavation within the wetland, e.g., artificial pond, dead-end ditch</t>
  </si>
  <si>
    <t xml:space="preserve"> excavation or reflooding of upland soils that adjoined the wetland, thus expanding the area of the wetland</t>
  </si>
  <si>
    <t xml:space="preserve"> plugging of ditches or drain tile that otherwise would drain the wetland (as part of intentional restoration, or due to lack of maintenance, sedimentation, etc.)</t>
  </si>
  <si>
    <t xml:space="preserve"> vegetation removal (e.g., logging) within the wetland</t>
  </si>
  <si>
    <t xml:space="preserve"> compaction (e.g., ruts) and/or subsidence of the wetland's substrate as a result of machinery, livestock, or off road vehicles</t>
  </si>
  <si>
    <t xml:space="preserve"> subsidies from stormwater, wastewater effluent, or septic system leakage</t>
  </si>
  <si>
    <t xml:space="preserve"> pavement, ditches, or drain tile in the CA that incidentally increase the transport of water into the wetland</t>
  </si>
  <si>
    <t xml:space="preserve"> removal of timber in the CA or along the wetland's tributaries</t>
  </si>
  <si>
    <t xml:space="preserve"> removal of a water control structure or blockage in tributary upstream from the wetland</t>
  </si>
  <si>
    <t xml:space="preserve"> ditches or drain tile in the wetland or along its edge that accelerate outflow from the wetland</t>
  </si>
  <si>
    <t xml:space="preserve"> lowering or enlargement of a surface water exit point (e.g., culvert) or modification of a water level control structure, resulting in quicker drainage</t>
  </si>
  <si>
    <t xml:space="preserve"> accelerated downcutting or channelization of an adjacent or internal channel (incised below the historical water table level)</t>
  </si>
  <si>
    <t xml:space="preserve"> placement of fill material</t>
  </si>
  <si>
    <t xml:space="preserve"> withdrawals (e.g., pumping) of natural surface or ground water directly out of the wetland (not its tributaries)</t>
  </si>
  <si>
    <t xml:space="preserve"> a dam, dike, levee, weir, berm, or tidegate that interferes with natural inflow to the wetland</t>
  </si>
  <si>
    <t xml:space="preserve"> relocation of natural tributaries whose water would otherwise reach the wetland</t>
  </si>
  <si>
    <t xml:space="preserve"> instream water withdrawals from tributaries whose water would otherwise reach the wetland</t>
  </si>
  <si>
    <t xml:space="preserve"> groundwater withdrawals that divert water that would otherwise reach the wetland</t>
  </si>
  <si>
    <t xml:space="preserve"> flow regulation in tributaries or water level regulation in adjoining water body, or tidegate or other control structure at water entry points that regulates inflow to the wetland</t>
  </si>
  <si>
    <t xml:space="preserve"> snow storage areas that drain directly to the wetland</t>
  </si>
  <si>
    <t xml:space="preserve"> increased pavement and other impervious surface in the CA</t>
  </si>
  <si>
    <t xml:space="preserve"> straightening, ditching, dredging, and/or lining of tributary channels in the CA</t>
  </si>
  <si>
    <t xml:space="preserve"> stormwater or wastewater effluent (including failing septic systems), landfills, industrial facilities</t>
  </si>
  <si>
    <t xml:space="preserve"> metals &amp; chemical wastes from mining, shooting ranges, snow storage areas, oil/ gas extraction, other sources (see: http://map.dec.state.ak.us/apps/ )</t>
  </si>
  <si>
    <t xml:space="preserve"> oil or chemical spills (not just chronic inputs) from nearby roads</t>
  </si>
  <si>
    <t xml:space="preserve"> spraying of pesticides, as applied to lawns, croplands, roadsides, or other areas in the CA</t>
  </si>
  <si>
    <t xml:space="preserve"> stormwater or wastewater effluent (including failing septic systems), landfills</t>
  </si>
  <si>
    <t xml:space="preserve"> fertilizers applied to lawns, ag lands, or other areas in the CA</t>
  </si>
  <si>
    <t xml:space="preserve"> livestock, dogs  </t>
  </si>
  <si>
    <t xml:space="preserve"> artificial drainage of upslope lands</t>
  </si>
  <si>
    <t xml:space="preserve"> erosion from plowed fields, fill, timber harvest, dirt roads, vegetation clearing, fires</t>
  </si>
  <si>
    <t xml:space="preserve"> erosion from construction, in-channel machinery in the CA </t>
  </si>
  <si>
    <t xml:space="preserve"> erosion from off-road vehicles in the CA</t>
  </si>
  <si>
    <t xml:space="preserve"> erosion from livestock or foot traffic in the CA</t>
  </si>
  <si>
    <t xml:space="preserve"> stormwater or wastewater effluent</t>
  </si>
  <si>
    <t xml:space="preserve"> sediment from road sanding, gravel mining, other mining, oil/ gas extraction</t>
  </si>
  <si>
    <t xml:space="preserve"> accelerated channel downcutting or headcutting of tributaries due to altered land use</t>
  </si>
  <si>
    <t xml:space="preserve"> other human-related disturbances within the CA</t>
  </si>
  <si>
    <t>In the last column, place a check mark next to any item present in the wetland that is likely to have compacted, eroded, or otherwise altered the wetland's soil.  Consider only items occurring within past 100 years or since wetland was created or restored (whichever is less). [CS, INV, NR, PH, STR]</t>
  </si>
  <si>
    <t xml:space="preserve"> compaction from machinery, off-road vehicles, or mountain bikes, especially during wetter periods</t>
  </si>
  <si>
    <t xml:space="preserve"> leveling or other grading not to the natural contour</t>
  </si>
  <si>
    <t xml:space="preserve"> tillage, plowing (but excluding disking for enhancement of native plants)</t>
  </si>
  <si>
    <t xml:space="preserve"> fill or riprap, excluding small amounts of upland soils containing organic amendments (compost, etc.) or small amounts of topsoil imported from another wetland</t>
  </si>
  <si>
    <t xml:space="preserve"> excavation</t>
  </si>
  <si>
    <t xml:space="preserve"> ditch cleaning or dredging in or adjacent to the wetland</t>
  </si>
  <si>
    <t xml:space="preserve"> boat traffic in or adjacent to the wetland and sufficient to cause shore erosion or stir bottom sediments</t>
  </si>
  <si>
    <t xml:space="preserve"> artificial water level or flow manipulations sufficient to cause erosion or stir bottom sediments</t>
  </si>
  <si>
    <t>Function       Indicators</t>
  </si>
  <si>
    <t>Values           Indicators</t>
  </si>
  <si>
    <t>Function   Indicators</t>
  </si>
  <si>
    <t>Organic    Nutrient        Export</t>
  </si>
  <si>
    <t>Function         Indicators</t>
  </si>
  <si>
    <t>Values            Indicators</t>
  </si>
  <si>
    <t>Waterbird        Feeding          Habitat</t>
  </si>
  <si>
    <t>Values         Indicators</t>
  </si>
  <si>
    <t>Songbird,         Raptor, &amp;          Mammal Habitat</t>
  </si>
  <si>
    <t>Function        Indicators</t>
  </si>
  <si>
    <t>Values   Indicators</t>
  </si>
  <si>
    <t>Native       Plant         Habitat</t>
  </si>
  <si>
    <t>Values          Indicators</t>
  </si>
  <si>
    <t>Public Use          and            Recognition</t>
  </si>
  <si>
    <t>Wetland   Sensitivity</t>
  </si>
  <si>
    <t xml:space="preserve">WIS      </t>
  </si>
  <si>
    <t>Non-   Native</t>
  </si>
  <si>
    <r>
      <t xml:space="preserve">IF((AreaTrend=expanding), AVERAGE(AreaTrend,MarshAge),
IF((AreaTrend=eroding1),0, </t>
    </r>
    <r>
      <rPr>
        <b/>
        <sz val="10"/>
        <rFont val="Arial Narrow"/>
        <family val="2"/>
      </rPr>
      <t>ELSE:</t>
    </r>
    <r>
      <rPr>
        <sz val="10"/>
        <rFont val="Arial Narrow"/>
        <family val="2"/>
      </rPr>
      <t xml:space="preserve">
AVERAGE(AreaTrend,SoilTex,VwidthLow,RiverBay, WoodyPct, DrierIn, DrierUp)
</t>
    </r>
  </si>
  <si>
    <t>Anadromous        Fish Habitat</t>
  </si>
  <si>
    <r>
      <t>Flaherty EA, Smith WP, Pyare S, Ben-David M.  2008.  Experimental trials of the Northern flying squirrel (</t>
    </r>
    <r>
      <rPr>
        <i/>
        <sz val="10"/>
        <rFont val="Arial Narrow"/>
        <family val="2"/>
      </rPr>
      <t>Glaucomys sabrinus</t>
    </r>
    <r>
      <rPr>
        <sz val="10"/>
        <rFont val="Arial Narrow"/>
        <family val="2"/>
      </rPr>
      <t>) traversing managed rainforest landscapes: perceptual range and fine-scale movements. Canadian Journal of Zoology 86(9):1050-1058.</t>
    </r>
  </si>
  <si>
    <t>Categorical Choices</t>
  </si>
  <si>
    <t>Other Values or Attributes:</t>
  </si>
  <si>
    <t>Function Score Raw</t>
  </si>
  <si>
    <t>Value Score Raw</t>
  </si>
  <si>
    <t>Median of Normalized F Scores</t>
  </si>
  <si>
    <t>Median of Normalized V Scores</t>
  </si>
  <si>
    <t>Low is &lt; or =</t>
  </si>
  <si>
    <t>High is &gt;</t>
  </si>
  <si>
    <t>High is &gt; or =</t>
  </si>
  <si>
    <t>Thresholds for Value Rating (normalized)</t>
  </si>
  <si>
    <t>Overall Rating:</t>
  </si>
  <si>
    <t>FVmin raw</t>
  </si>
  <si>
    <t>FVmax raw</t>
  </si>
  <si>
    <t>Site Name or Site ID#:</t>
  </si>
  <si>
    <r>
      <t xml:space="preserve">What percent (approx.) of the </t>
    </r>
    <r>
      <rPr>
        <b/>
        <sz val="10"/>
        <rFont val="Arial"/>
        <family val="2"/>
      </rPr>
      <t>wetland</t>
    </r>
    <r>
      <rPr>
        <sz val="10"/>
        <rFont val="Arial"/>
        <family val="2"/>
      </rPr>
      <t xml:space="preserve"> were you able to visit?</t>
    </r>
  </si>
  <si>
    <r>
      <t xml:space="preserve">What percent (approx.) of the </t>
    </r>
    <r>
      <rPr>
        <b/>
        <sz val="10"/>
        <rFont val="Arial"/>
        <family val="2"/>
      </rPr>
      <t xml:space="preserve">AA </t>
    </r>
    <r>
      <rPr>
        <sz val="10"/>
        <rFont val="Arial"/>
        <family val="2"/>
      </rPr>
      <t>were you able to visit?</t>
    </r>
  </si>
  <si>
    <t>FV Index</t>
  </si>
  <si>
    <t>FV Index (normalized)</t>
  </si>
  <si>
    <t>FV</t>
  </si>
  <si>
    <t xml:space="preserve">WESPAK-SE version 2 scores for this Tidal Wetland Assessment Area (AA):  </t>
  </si>
  <si>
    <r>
      <t xml:space="preserve">Wetland Sensitivity (Sens) </t>
    </r>
    <r>
      <rPr>
        <i/>
        <sz val="10"/>
        <rFont val="Arial"/>
        <family val="2"/>
      </rPr>
      <t>- not used in subsequent calculations</t>
    </r>
  </si>
  <si>
    <r>
      <t xml:space="preserve">Stress Potential (STR) </t>
    </r>
    <r>
      <rPr>
        <i/>
        <sz val="10"/>
        <rFont val="Arial"/>
        <family val="2"/>
      </rPr>
      <t>- not used in subsequent calculations</t>
    </r>
  </si>
  <si>
    <t>AVG w/o Social</t>
  </si>
  <si>
    <t>with Social</t>
  </si>
  <si>
    <t>selected Higher</t>
  </si>
  <si>
    <t>normalized</t>
  </si>
  <si>
    <r>
      <t xml:space="preserve">Overall Score </t>
    </r>
    <r>
      <rPr>
        <sz val="10"/>
        <rFont val="Arial"/>
        <family val="2"/>
      </rPr>
      <t>(see Manual for explanation of how the spreadsheet calculates it):</t>
    </r>
  </si>
  <si>
    <t>Office (OF) Data Form.  Tidal WESPAK-SE version 2.1</t>
  </si>
  <si>
    <r>
      <t xml:space="preserve">Tidal (T) Wetland Data Form.  WESPAK-SE version 2.1.  </t>
    </r>
    <r>
      <rPr>
        <sz val="10"/>
        <rFont val="Arial Narrow"/>
        <family val="2"/>
      </rPr>
      <t>Funded in part with qualified Outer Continental Shelf oil and gas revenues by the Coastal Impact Assistance Program, U.S. Fish &amp; Wildlife Service.</t>
    </r>
  </si>
  <si>
    <t>Stressor (S) Data Form for Tidal Wetlands.  WESPAK-SE version 2.1</t>
  </si>
  <si>
    <t>Step</t>
  </si>
  <si>
    <t>Description</t>
  </si>
  <si>
    <t>In most cases, for each indicator, the maximum of the products in column F is divided by the maximum weight to yield the indicator score shown in column G.  This is done so all indicator scores are placed on a 0 to 1 decimal scale.  A blank cell in column G means that indicator was not included in subsequent calculations because it was irrelevant in a specific context (e.g., open water percentage in a wetland type that never has surface water).  The context is described by the indicator scoring formula visible in column G by clicking on the cell.</t>
  </si>
  <si>
    <t>At the bottom of each worksheet, the indicator scores in column G are combined into a raw function score (green cells) or raw value score (blue cells).  For most functions, a series of intermediate calculations (shown in the orange box) that describe contributing ecological processes are first performed.</t>
  </si>
  <si>
    <t>Each raw function score and value score automatically transfers to columns B and C respectively of the Scores worksheet.</t>
  </si>
  <si>
    <t>The following steps are performed by the spreadsheet to compute an Overall score:</t>
  </si>
  <si>
    <t>Note:</t>
  </si>
  <si>
    <t>The spreadsheet was written such that if input data were incomplete (as presumed by lack of non-zero values for question 1 on form F), no scores are calculated and all score cells are made blank.  Also, in the unlikely event that some future calculation results in a divide-by-zero error, the spreadsheet was written to turn the involved cell blank.</t>
  </si>
  <si>
    <t>Data entered in column D of form OF and form F, and column F of form S, automatically transfer to column D of the worksheets SR through STR.</t>
  </si>
  <si>
    <t>In those worksheets SR through STR, data (usually 0 or 1) in each row is multiplied by the weight assigned to each condition of the indicator and the product is shown in column F.</t>
  </si>
  <si>
    <t>Each function rating (column E) and value rating (column G) is determined by automaticallly comparing the standardized score in columns D and F respectivly with the function and value break-points established for Higher, Moderate, and Lower. The break-points for standardized function scores are shown in columns L and M, and those for standaridzed value are shown in columns O and P.</t>
  </si>
  <si>
    <t>In column D, the raw function score is standardized to a full 0 to 10 scale using this formula:
                     10*(Raw - Min) / (max-min)
     Where Raw is the number from column B,
     Min is the smallest raw score for that function among all calibration wetlands (column U).
     Max is the largest raw score for that function among all calibration wetlands (column V).
This is necessary because for most functions the raw scores among the calibration wetlands did not completely fill out the intended 0 to 10 scale, and this formula achieves that.
In column F the same standization process is repeated for each raw value score, with corresponding min and max in columns W and X.</t>
  </si>
  <si>
    <t>In column J (FV Index Standardized), the number in column I is compared to the largest and smallest FV Index scores (columns AA and AB) determined previously from all calibration wetlands, in a manner similar to Step 6. This is necessary because for most functions the FV Index scores among the calibration wetlands did not completely fill out the intended 0 to 10 scale, and this formula achieves that.</t>
  </si>
  <si>
    <t>In column H (FV Raw), for each function the spreadsheet multiplies the normalized function score times the normalized value score.  If only function (e.g., Carbon Sequestration) or only value (e.g., Public Use) had been previously calculated, that result is shown.</t>
  </si>
  <si>
    <t>In column I (FV Index), if a normalized function score is larger than the normalized value score, only the normalized function score from column D is shown. Otherwise, the average of each normalized function score and each normalized value score is calculated and shown instead.</t>
  </si>
  <si>
    <t>In column G (AVG w/o Social, row 33) the "FVI Index Score" numbers excluding those for Public Use are averaged.  Column H does likewise but includes Public Use.   In column I the greater of the two is shown.  In column J that number is standardized to the range of that metric as determined previously from all calibration wetlands, similar to Step 6.  THIS IS THE OVERALL SCORE and is labeled as such in column B row 33.  An Overall Rating is determined by comparing with break-points for this metric, similar to Step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</si>
</sst>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83" x14ac:knownFonts="1">
    <font>
      <sz val="10"/>
      <name val="Times New Roman"/>
    </font>
    <font>
      <sz val="10"/>
      <color indexed="8"/>
      <name val="Arial Narrow"/>
      <family val="2"/>
    </font>
    <font>
      <sz val="8"/>
      <name val="Times New Roman"/>
      <family val="1"/>
    </font>
    <font>
      <sz val="10"/>
      <name val="Arial"/>
      <family val="2"/>
    </font>
    <font>
      <b/>
      <sz val="10"/>
      <name val="Arial"/>
      <family val="2"/>
    </font>
    <font>
      <sz val="10"/>
      <name val="Arial Narrow"/>
      <family val="2"/>
    </font>
    <font>
      <b/>
      <sz val="10"/>
      <name val="Arial Narrow"/>
      <family val="2"/>
    </font>
    <font>
      <u/>
      <sz val="10"/>
      <name val="Arial Narrow"/>
      <family val="2"/>
    </font>
    <font>
      <b/>
      <sz val="12"/>
      <name val="Arial Narrow"/>
      <family val="2"/>
    </font>
    <font>
      <sz val="12"/>
      <name val="Arial Narrow"/>
      <family val="2"/>
    </font>
    <font>
      <sz val="10"/>
      <name val="Times New Roman"/>
      <family val="1"/>
    </font>
    <font>
      <sz val="12"/>
      <name val="Arial"/>
      <family val="2"/>
    </font>
    <font>
      <b/>
      <sz val="14"/>
      <name val="Arial Narrow"/>
      <family val="2"/>
    </font>
    <font>
      <i/>
      <sz val="10"/>
      <name val="Arial Narrow"/>
      <family val="2"/>
    </font>
    <font>
      <b/>
      <sz val="12"/>
      <name val="Arial"/>
      <family val="2"/>
    </font>
    <font>
      <b/>
      <i/>
      <sz val="12"/>
      <name val="Arial"/>
      <family val="2"/>
    </font>
    <font>
      <sz val="11"/>
      <name val="Arial"/>
      <family val="2"/>
    </font>
    <font>
      <sz val="11"/>
      <color indexed="8"/>
      <name val="Arial Narrow"/>
      <family val="2"/>
    </font>
    <font>
      <i/>
      <sz val="10"/>
      <color indexed="8"/>
      <name val="Arial Narrow"/>
      <family val="2"/>
    </font>
    <font>
      <sz val="8"/>
      <name val="Times New Roman"/>
      <family val="1"/>
    </font>
    <font>
      <sz val="10"/>
      <name val="Arial Narrow"/>
      <family val="2"/>
    </font>
    <font>
      <b/>
      <sz val="16"/>
      <name val="Arial Narrow"/>
      <family val="2"/>
    </font>
    <font>
      <sz val="10"/>
      <name val="Arial Narrow"/>
      <family val="2"/>
    </font>
    <font>
      <b/>
      <sz val="12"/>
      <name val="Arial Narrow"/>
      <family val="2"/>
    </font>
    <font>
      <sz val="8"/>
      <name val="Times New Roman"/>
      <family val="1"/>
    </font>
    <font>
      <b/>
      <u/>
      <sz val="10"/>
      <name val="Arial Narrow"/>
      <family val="2"/>
    </font>
    <font>
      <sz val="11"/>
      <name val="Arial Narrow"/>
      <family val="2"/>
    </font>
    <font>
      <b/>
      <i/>
      <sz val="10"/>
      <name val="Arial Narrow"/>
      <family val="2"/>
    </font>
    <font>
      <b/>
      <sz val="10.5"/>
      <name val="Arial Narrow"/>
      <family val="2"/>
    </font>
    <font>
      <b/>
      <sz val="14"/>
      <name val="Arial"/>
      <family val="2"/>
    </font>
    <font>
      <b/>
      <sz val="13"/>
      <name val="Arial Narrow"/>
      <family val="2"/>
    </font>
    <font>
      <b/>
      <sz val="13"/>
      <name val="Arial"/>
      <family val="2"/>
    </font>
    <font>
      <sz val="11"/>
      <name val="Times New Roman"/>
      <family val="1"/>
    </font>
    <font>
      <b/>
      <sz val="9"/>
      <name val="Arial Narrow"/>
      <family val="2"/>
    </font>
    <font>
      <b/>
      <sz val="20"/>
      <name val="Arial Narrow"/>
      <family val="2"/>
    </font>
    <font>
      <i/>
      <sz val="10"/>
      <name val="Times New Roman"/>
      <family val="1"/>
    </font>
    <font>
      <sz val="10"/>
      <color indexed="10"/>
      <name val="Times New Roman"/>
      <family val="1"/>
    </font>
    <font>
      <sz val="10"/>
      <color indexed="10"/>
      <name val="Arial Narrow"/>
      <family val="2"/>
    </font>
    <font>
      <sz val="10"/>
      <name val="Arial Narrow"/>
      <family val="2"/>
    </font>
    <font>
      <sz val="10"/>
      <color indexed="63"/>
      <name val="Arial Narrow"/>
      <family val="2"/>
    </font>
    <font>
      <sz val="10"/>
      <color indexed="8"/>
      <name val="Arial Narrow"/>
      <family val="2"/>
    </font>
    <font>
      <sz val="11"/>
      <name val="Arial Narrow"/>
      <family val="2"/>
    </font>
    <font>
      <sz val="12"/>
      <color indexed="8"/>
      <name val="Arial Narrow"/>
      <family val="2"/>
    </font>
    <font>
      <sz val="8"/>
      <name val="Times New Roman"/>
      <family val="1"/>
    </font>
    <font>
      <u/>
      <sz val="10"/>
      <color theme="10"/>
      <name val="Times New Roman"/>
      <family val="1"/>
    </font>
    <font>
      <u/>
      <sz val="10"/>
      <color theme="11"/>
      <name val="Times New Roman"/>
      <family val="1"/>
    </font>
    <font>
      <sz val="10"/>
      <name val="Arial Narrow"/>
      <family val="2"/>
      <scheme val="minor"/>
    </font>
    <font>
      <sz val="10"/>
      <name val="Calibri"/>
      <family val="2"/>
    </font>
    <font>
      <sz val="10"/>
      <color rgb="FFFF0000"/>
      <name val="Arial Narrow"/>
      <family val="2"/>
    </font>
    <font>
      <sz val="10"/>
      <name val="Arial Narrow"/>
      <family val="2"/>
      <scheme val="major"/>
    </font>
    <font>
      <sz val="11"/>
      <name val="Calibri"/>
      <family val="2"/>
    </font>
    <font>
      <sz val="10.5"/>
      <name val="Arial Narrow"/>
      <family val="2"/>
    </font>
    <font>
      <b/>
      <sz val="10"/>
      <color rgb="FFFF0000"/>
      <name val="Arial Narrow"/>
      <family val="2"/>
    </font>
    <font>
      <sz val="12"/>
      <name val="Calibri"/>
      <family val="2"/>
    </font>
    <font>
      <b/>
      <sz val="11"/>
      <name val="Arial Narrow"/>
      <family val="2"/>
    </font>
    <font>
      <b/>
      <sz val="14"/>
      <name val="Times New Roman"/>
      <family val="1"/>
    </font>
    <font>
      <b/>
      <i/>
      <sz val="14"/>
      <name val="Arial Narrow"/>
      <family val="2"/>
    </font>
    <font>
      <u/>
      <sz val="7.5"/>
      <color theme="10"/>
      <name val="Times New Roman"/>
      <family val="1"/>
    </font>
    <font>
      <b/>
      <sz val="11"/>
      <name val="Calibri"/>
      <family val="2"/>
    </font>
    <font>
      <b/>
      <sz val="12"/>
      <name val="Calibri"/>
      <family val="2"/>
    </font>
    <font>
      <b/>
      <sz val="11"/>
      <name val="Arial"/>
      <family val="2"/>
    </font>
    <font>
      <b/>
      <sz val="16"/>
      <name val="Calibri"/>
      <family val="2"/>
    </font>
    <font>
      <b/>
      <sz val="10"/>
      <color indexed="8"/>
      <name val="Arial Narrow"/>
      <family val="2"/>
    </font>
    <font>
      <b/>
      <sz val="10"/>
      <name val="Calibri"/>
      <family val="2"/>
    </font>
    <font>
      <b/>
      <sz val="10"/>
      <color theme="1"/>
      <name val="Arial Narrow"/>
      <family val="2"/>
      <scheme val="minor"/>
    </font>
    <font>
      <b/>
      <sz val="10"/>
      <color indexed="8"/>
      <name val="Arial Narrow"/>
      <family val="2"/>
      <scheme val="minor"/>
    </font>
    <font>
      <b/>
      <sz val="10"/>
      <color indexed="8"/>
      <name val="Calibri"/>
      <family val="2"/>
    </font>
    <font>
      <i/>
      <sz val="10"/>
      <name val="Arial"/>
      <family val="2"/>
    </font>
    <font>
      <sz val="10"/>
      <color rgb="FFFF0000"/>
      <name val="Arial"/>
      <family val="2"/>
    </font>
    <font>
      <sz val="10"/>
      <color theme="1"/>
      <name val="Arial Narrow"/>
      <family val="2"/>
      <scheme val="minor"/>
    </font>
    <font>
      <sz val="14"/>
      <name val="Arial"/>
      <family val="2"/>
    </font>
    <font>
      <sz val="8"/>
      <name val="Arial"/>
      <family val="2"/>
    </font>
    <font>
      <sz val="8"/>
      <name val="Arial Narrow"/>
      <family val="2"/>
    </font>
    <font>
      <sz val="8"/>
      <name val="Arial Narrow"/>
      <family val="2"/>
      <scheme val="minor"/>
    </font>
    <font>
      <sz val="11"/>
      <name val="Arial Narrow"/>
      <family val="2"/>
      <scheme val="minor"/>
    </font>
    <font>
      <sz val="11"/>
      <color indexed="22"/>
      <name val="Arial Narrow"/>
      <family val="2"/>
      <scheme val="minor"/>
    </font>
    <font>
      <sz val="12"/>
      <color rgb="FFFF0000"/>
      <name val="Arial Narrow"/>
      <family val="2"/>
    </font>
    <font>
      <sz val="9"/>
      <name val="Arial"/>
      <family val="2"/>
    </font>
    <font>
      <i/>
      <sz val="8"/>
      <name val="Arial"/>
      <family val="2"/>
    </font>
    <font>
      <b/>
      <sz val="9"/>
      <name val="Arial"/>
      <family val="2"/>
    </font>
    <font>
      <b/>
      <sz val="8"/>
      <name val="Arial"/>
      <family val="2"/>
    </font>
    <font>
      <b/>
      <sz val="11"/>
      <color theme="1"/>
      <name val="Times New Roman"/>
      <family val="1"/>
    </font>
    <font>
      <sz val="11"/>
      <color theme="1"/>
      <name val="Times New Roman"/>
      <family val="1"/>
    </font>
  </fonts>
  <fills count="3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51"/>
        <bgColor indexed="64"/>
      </patternFill>
    </fill>
    <fill>
      <patternFill patternType="solid">
        <fgColor indexed="23"/>
        <bgColor indexed="64"/>
      </patternFill>
    </fill>
    <fill>
      <patternFill patternType="solid">
        <fgColor indexed="11"/>
        <bgColor indexed="64"/>
      </patternFill>
    </fill>
    <fill>
      <patternFill patternType="solid">
        <fgColor indexed="40"/>
        <bgColor indexed="64"/>
      </patternFill>
    </fill>
    <fill>
      <patternFill patternType="solid">
        <fgColor indexed="45"/>
        <bgColor indexed="64"/>
      </patternFill>
    </fill>
    <fill>
      <patternFill patternType="solid">
        <fgColor indexed="55"/>
        <bgColor indexed="64"/>
      </patternFill>
    </fill>
    <fill>
      <patternFill patternType="solid">
        <fgColor indexed="13"/>
        <bgColor indexed="8"/>
      </patternFill>
    </fill>
    <fill>
      <patternFill patternType="solid">
        <fgColor theme="1" tint="0.499984740745262"/>
        <bgColor indexed="64"/>
      </patternFill>
    </fill>
    <fill>
      <patternFill patternType="solid">
        <fgColor rgb="FF80808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00FF00"/>
        <bgColor indexed="64"/>
      </patternFill>
    </fill>
    <fill>
      <patternFill patternType="solid">
        <fgColor rgb="FF00CCFF"/>
        <bgColor indexed="64"/>
      </patternFill>
    </fill>
    <fill>
      <patternFill patternType="solid">
        <fgColor rgb="FFFFC000"/>
        <bgColor indexed="64"/>
      </patternFill>
    </fill>
    <fill>
      <patternFill patternType="solid">
        <fgColor rgb="FFE6B9B8"/>
        <bgColor indexed="64"/>
      </patternFill>
    </fill>
    <fill>
      <patternFill patternType="solid">
        <fgColor rgb="FFFF99CC"/>
        <bgColor indexed="64"/>
      </patternFill>
    </fill>
    <fill>
      <patternFill patternType="solid">
        <fgColor rgb="FF92D050"/>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indexed="3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66FF66"/>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s>
  <borders count="7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diagonal/>
    </border>
    <border>
      <left style="medium">
        <color auto="1"/>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thin">
        <color auto="1"/>
      </right>
      <top/>
      <bottom/>
      <diagonal/>
    </border>
    <border>
      <left style="thin">
        <color auto="1"/>
      </left>
      <right/>
      <top/>
      <bottom/>
      <diagonal/>
    </border>
    <border>
      <left style="thin">
        <color auto="1"/>
      </left>
      <right/>
      <top style="thin">
        <color auto="1"/>
      </top>
      <bottom/>
      <diagonal/>
    </border>
    <border>
      <left/>
      <right/>
      <top style="medium">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bottom style="thin">
        <color auto="1"/>
      </bottom>
      <diagonal/>
    </border>
    <border>
      <left/>
      <right/>
      <top style="thin">
        <color auto="1"/>
      </top>
      <bottom/>
      <diagonal/>
    </border>
    <border>
      <left style="thin">
        <color auto="1"/>
      </left>
      <right/>
      <top style="medium">
        <color auto="1"/>
      </top>
      <bottom style="medium">
        <color auto="1"/>
      </bottom>
      <diagonal/>
    </border>
    <border>
      <left style="medium">
        <color auto="1"/>
      </left>
      <right/>
      <top/>
      <bottom style="medium">
        <color auto="1"/>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style="medium">
        <color auto="1"/>
      </left>
      <right style="thin">
        <color auto="1"/>
      </right>
      <top/>
      <bottom/>
      <diagonal/>
    </border>
    <border>
      <left style="thin">
        <color auto="1"/>
      </left>
      <right style="thin">
        <color auto="1"/>
      </right>
      <top/>
      <bottom style="medium">
        <color auto="1"/>
      </bottom>
      <diagonal/>
    </border>
    <border>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thin">
        <color auto="1"/>
      </left>
      <right/>
      <top/>
      <bottom style="medium">
        <color auto="1"/>
      </bottom>
      <diagonal/>
    </border>
    <border>
      <left style="medium">
        <color auto="1"/>
      </left>
      <right style="medium">
        <color auto="1"/>
      </right>
      <top/>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right style="medium">
        <color auto="1"/>
      </right>
      <top style="medium">
        <color auto="1"/>
      </top>
      <bottom style="medium">
        <color auto="1"/>
      </bottom>
      <diagonal/>
    </border>
    <border>
      <left/>
      <right style="thin">
        <color auto="1"/>
      </right>
      <top style="thin">
        <color auto="1"/>
      </top>
      <bottom/>
      <diagonal/>
    </border>
    <border>
      <left style="medium">
        <color auto="1"/>
      </left>
      <right/>
      <top/>
      <bottom/>
      <diagonal/>
    </border>
    <border>
      <left style="medium">
        <color auto="1"/>
      </left>
      <right style="thin">
        <color auto="1"/>
      </right>
      <top style="medium">
        <color auto="1"/>
      </top>
      <bottom style="thin">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medium">
        <color auto="1"/>
      </top>
      <bottom/>
      <diagonal/>
    </border>
    <border>
      <left style="medium">
        <color auto="1"/>
      </left>
      <right style="medium">
        <color auto="1"/>
      </right>
      <top/>
      <bottom style="thin">
        <color auto="1"/>
      </bottom>
      <diagonal/>
    </border>
    <border>
      <left style="medium">
        <color indexed="64"/>
      </left>
      <right style="medium">
        <color indexed="64"/>
      </right>
      <top style="thin">
        <color indexed="64"/>
      </top>
      <bottom/>
      <diagonal/>
    </border>
    <border>
      <left style="medium">
        <color auto="1"/>
      </left>
      <right/>
      <top style="medium">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indexed="64"/>
      </right>
      <top style="thin">
        <color auto="1"/>
      </top>
      <bottom/>
      <diagonal/>
    </border>
    <border>
      <left style="medium">
        <color auto="1"/>
      </left>
      <right style="thin">
        <color auto="1"/>
      </right>
      <top style="thin">
        <color auto="1"/>
      </top>
      <bottom/>
      <diagonal/>
    </border>
  </borders>
  <cellStyleXfs count="4703">
    <xf numFmtId="0" fontId="0" fillId="0" borderId="0">
      <alignment vertical="top"/>
    </xf>
    <xf numFmtId="0" fontId="10" fillId="0" borderId="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57" fillId="0" borderId="0" applyNumberFormat="0" applyFill="0" applyBorder="0" applyAlignment="0" applyProtection="0">
      <alignment vertical="top"/>
      <protection locked="0"/>
    </xf>
  </cellStyleXfs>
  <cellXfs count="1123">
    <xf numFmtId="0" fontId="0" fillId="0" borderId="0" xfId="0">
      <alignment vertical="top"/>
    </xf>
    <xf numFmtId="0" fontId="5" fillId="0" borderId="1" xfId="0" applyFont="1" applyBorder="1" applyAlignment="1">
      <alignment vertical="top" wrapText="1"/>
    </xf>
    <xf numFmtId="0" fontId="5" fillId="0" borderId="0" xfId="0" applyFont="1">
      <alignment vertical="top"/>
    </xf>
    <xf numFmtId="0" fontId="5" fillId="0" borderId="0" xfId="0" applyFont="1" applyBorder="1" applyAlignment="1">
      <alignment vertical="top" wrapText="1"/>
    </xf>
    <xf numFmtId="0" fontId="5" fillId="0" borderId="2"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5" fillId="0" borderId="4" xfId="0" applyFont="1" applyFill="1" applyBorder="1" applyAlignment="1">
      <alignment vertical="top" wrapText="1"/>
    </xf>
    <xf numFmtId="0" fontId="5" fillId="0" borderId="0" xfId="0" applyFont="1" applyAlignment="1">
      <alignment vertical="top" wrapText="1"/>
    </xf>
    <xf numFmtId="0" fontId="5" fillId="0" borderId="0" xfId="0" applyFont="1" applyFill="1" applyAlignment="1">
      <alignment vertical="top" wrapText="1"/>
    </xf>
    <xf numFmtId="0" fontId="5" fillId="0" borderId="5" xfId="0" applyFont="1" applyBorder="1" applyAlignment="1">
      <alignment vertical="top" wrapText="1"/>
    </xf>
    <xf numFmtId="0" fontId="3" fillId="0" borderId="0" xfId="0" applyFont="1" applyFill="1">
      <alignment vertical="top"/>
    </xf>
    <xf numFmtId="2" fontId="3" fillId="0" borderId="0" xfId="0" applyNumberFormat="1" applyFont="1" applyFill="1" applyAlignment="1">
      <alignment horizontal="right"/>
    </xf>
    <xf numFmtId="0" fontId="5" fillId="0" borderId="0" xfId="0" applyFont="1" applyAlignment="1">
      <alignment horizontal="center" vertical="top" wrapText="1"/>
    </xf>
    <xf numFmtId="0" fontId="10" fillId="0" borderId="0" xfId="1" applyFont="1" applyAlignment="1">
      <alignment vertical="top"/>
    </xf>
    <xf numFmtId="0" fontId="5" fillId="2" borderId="0" xfId="0" applyFont="1" applyFill="1" applyAlignment="1">
      <alignment vertical="top" wrapText="1"/>
    </xf>
    <xf numFmtId="0" fontId="20" fillId="0" borderId="0" xfId="0" applyFont="1" applyFill="1" applyAlignment="1">
      <alignment vertical="top" wrapText="1"/>
    </xf>
    <xf numFmtId="1" fontId="5" fillId="0" borderId="0" xfId="0" applyNumberFormat="1" applyFont="1" applyFill="1" applyAlignment="1" applyProtection="1">
      <alignment horizontal="center" vertical="top" wrapText="1"/>
      <protection locked="0"/>
    </xf>
    <xf numFmtId="0" fontId="0" fillId="0" borderId="0" xfId="0" applyAlignment="1">
      <alignment vertical="top" wrapText="1"/>
    </xf>
    <xf numFmtId="2" fontId="5" fillId="0" borderId="0" xfId="0" applyNumberFormat="1" applyFont="1" applyAlignment="1">
      <alignment vertical="top" wrapText="1"/>
    </xf>
    <xf numFmtId="0" fontId="5" fillId="0" borderId="0" xfId="0" applyFont="1" applyAlignment="1">
      <alignment horizontal="left" vertical="top" wrapText="1"/>
    </xf>
    <xf numFmtId="17" fontId="5" fillId="0" borderId="1" xfId="0" applyNumberFormat="1" applyFont="1" applyBorder="1" applyAlignment="1">
      <alignment vertical="top" wrapText="1"/>
    </xf>
    <xf numFmtId="0" fontId="22" fillId="0" borderId="0" xfId="0" applyFont="1" applyAlignment="1">
      <alignment vertical="top" wrapText="1"/>
    </xf>
    <xf numFmtId="0" fontId="22" fillId="0" borderId="0" xfId="0" applyFont="1" applyAlignment="1">
      <alignment horizontal="left" vertical="top" wrapText="1"/>
    </xf>
    <xf numFmtId="0" fontId="22" fillId="0" borderId="0" xfId="0" applyFont="1" applyBorder="1" applyAlignment="1">
      <alignment vertical="top" wrapText="1"/>
    </xf>
    <xf numFmtId="0" fontId="5" fillId="0" borderId="0" xfId="0" applyFont="1" applyAlignment="1">
      <alignment vertical="top"/>
    </xf>
    <xf numFmtId="0" fontId="5" fillId="0" borderId="0" xfId="0" applyFont="1" applyAlignment="1">
      <alignment horizontal="left" vertical="top"/>
    </xf>
    <xf numFmtId="0" fontId="5" fillId="0" borderId="9" xfId="0" applyFont="1" applyBorder="1" applyAlignment="1">
      <alignment horizontal="left" vertical="top" wrapText="1"/>
    </xf>
    <xf numFmtId="0" fontId="5" fillId="0" borderId="0" xfId="0" applyFont="1" applyFill="1" applyAlignment="1">
      <alignment horizontal="left" vertical="top" wrapText="1"/>
    </xf>
    <xf numFmtId="0" fontId="5" fillId="0" borderId="4" xfId="0" applyFont="1" applyFill="1" applyBorder="1" applyAlignment="1">
      <alignment horizontal="left" vertical="top" wrapText="1"/>
    </xf>
    <xf numFmtId="0" fontId="5" fillId="0" borderId="13" xfId="0" applyFont="1" applyBorder="1" applyAlignment="1">
      <alignment vertical="top" wrapText="1"/>
    </xf>
    <xf numFmtId="0" fontId="0" fillId="0" borderId="0" xfId="0" applyAlignment="1">
      <alignment vertical="top"/>
    </xf>
    <xf numFmtId="0" fontId="36" fillId="0" borderId="0" xfId="0" applyFont="1">
      <alignment vertical="top"/>
    </xf>
    <xf numFmtId="0" fontId="5" fillId="0" borderId="0" xfId="0" applyFont="1" applyFill="1" applyAlignment="1">
      <alignment vertical="top"/>
    </xf>
    <xf numFmtId="0" fontId="37" fillId="0" borderId="0" xfId="0" applyFont="1" applyAlignment="1">
      <alignment vertical="top" wrapText="1"/>
    </xf>
    <xf numFmtId="0" fontId="37" fillId="0" borderId="0" xfId="0" applyFont="1" applyAlignment="1">
      <alignment horizontal="left" vertical="top" wrapText="1"/>
    </xf>
    <xf numFmtId="0" fontId="38" fillId="0" borderId="0" xfId="0" applyFont="1" applyBorder="1" applyAlignment="1">
      <alignment vertical="top" wrapText="1"/>
    </xf>
    <xf numFmtId="0" fontId="0" fillId="0" borderId="0" xfId="0" applyFont="1" applyBorder="1" applyAlignment="1">
      <alignment vertical="top" wrapText="1"/>
    </xf>
    <xf numFmtId="0" fontId="0" fillId="0" borderId="31" xfId="0" applyFont="1" applyBorder="1" applyAlignment="1">
      <alignment vertical="top" wrapText="1"/>
    </xf>
    <xf numFmtId="0" fontId="0" fillId="0" borderId="0" xfId="0" applyBorder="1" applyAlignment="1">
      <alignment vertical="top"/>
    </xf>
    <xf numFmtId="0" fontId="5" fillId="0" borderId="0" xfId="0" applyFont="1" applyAlignment="1">
      <alignment horizontal="center" vertical="center" wrapText="1"/>
    </xf>
    <xf numFmtId="0" fontId="26" fillId="0" borderId="0" xfId="0" applyFont="1" applyFill="1" applyAlignment="1">
      <alignment vertical="top" wrapText="1"/>
    </xf>
    <xf numFmtId="0" fontId="26" fillId="0" borderId="0" xfId="0" applyFont="1" applyAlignment="1">
      <alignment vertical="top" wrapText="1"/>
    </xf>
    <xf numFmtId="0" fontId="5" fillId="0" borderId="6" xfId="0" applyFont="1" applyBorder="1" applyAlignment="1">
      <alignment vertical="top" wrapText="1"/>
    </xf>
    <xf numFmtId="0" fontId="5" fillId="0" borderId="45" xfId="0" applyFont="1" applyBorder="1" applyAlignment="1">
      <alignment vertical="top" wrapText="1"/>
    </xf>
    <xf numFmtId="49" fontId="5" fillId="0" borderId="27" xfId="0" applyNumberFormat="1" applyFont="1" applyFill="1" applyBorder="1" applyAlignment="1">
      <alignment horizontal="left" vertical="top" wrapText="1"/>
    </xf>
    <xf numFmtId="49" fontId="5" fillId="0" borderId="21" xfId="0" applyNumberFormat="1" applyFont="1" applyFill="1" applyBorder="1" applyAlignment="1">
      <alignment horizontal="left" vertical="top" wrapText="1"/>
    </xf>
    <xf numFmtId="49" fontId="5" fillId="0" borderId="28" xfId="0" applyNumberFormat="1"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28" xfId="0" applyFont="1" applyFill="1" applyBorder="1" applyAlignment="1">
      <alignment horizontal="left" vertical="top" wrapText="1"/>
    </xf>
    <xf numFmtId="0" fontId="5" fillId="0" borderId="26" xfId="0" applyFont="1" applyFill="1" applyBorder="1" applyAlignment="1">
      <alignment horizontal="left" vertical="top" wrapText="1"/>
    </xf>
    <xf numFmtId="0" fontId="5" fillId="0" borderId="21" xfId="0" applyFont="1" applyFill="1" applyBorder="1" applyAlignment="1">
      <alignment horizontal="left" vertical="top" wrapText="1"/>
    </xf>
    <xf numFmtId="0" fontId="5" fillId="0" borderId="22"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2" borderId="27" xfId="0" applyFont="1" applyFill="1" applyBorder="1" applyAlignment="1">
      <alignment horizontal="left" vertical="top" wrapText="1"/>
    </xf>
    <xf numFmtId="0" fontId="5" fillId="2" borderId="21" xfId="0" applyFont="1" applyFill="1" applyBorder="1" applyAlignment="1">
      <alignment horizontal="left" vertical="top" wrapText="1"/>
    </xf>
    <xf numFmtId="0" fontId="5" fillId="2" borderId="22" xfId="0" applyFont="1" applyFill="1" applyBorder="1" applyAlignment="1">
      <alignment horizontal="left" vertical="top" wrapText="1"/>
    </xf>
    <xf numFmtId="0" fontId="5" fillId="0" borderId="15" xfId="0" applyFont="1" applyFill="1" applyBorder="1" applyAlignment="1">
      <alignment horizontal="left" vertical="top" wrapText="1"/>
    </xf>
    <xf numFmtId="17" fontId="5" fillId="0" borderId="27" xfId="0" applyNumberFormat="1" applyFont="1" applyFill="1" applyBorder="1" applyAlignment="1">
      <alignment horizontal="left" vertical="top" wrapText="1"/>
    </xf>
    <xf numFmtId="17" fontId="5" fillId="0" borderId="21" xfId="0" applyNumberFormat="1" applyFont="1" applyFill="1" applyBorder="1" applyAlignment="1">
      <alignment horizontal="left" vertical="top" wrapText="1"/>
    </xf>
    <xf numFmtId="17" fontId="5" fillId="0" borderId="28" xfId="0" applyNumberFormat="1" applyFont="1" applyFill="1" applyBorder="1" applyAlignment="1">
      <alignment horizontal="left" vertical="top" wrapText="1"/>
    </xf>
    <xf numFmtId="0" fontId="26" fillId="0" borderId="0" xfId="0" applyFont="1" applyAlignment="1">
      <alignment horizontal="center" vertical="center" wrapText="1"/>
    </xf>
    <xf numFmtId="0" fontId="10" fillId="0" borderId="0" xfId="1" applyFont="1" applyAlignment="1">
      <alignment vertical="center"/>
    </xf>
    <xf numFmtId="49" fontId="10" fillId="0" borderId="0" xfId="1" applyNumberFormat="1" applyFont="1" applyBorder="1" applyAlignment="1">
      <alignment vertical="center"/>
    </xf>
    <xf numFmtId="0" fontId="28" fillId="7" borderId="42" xfId="0" applyFont="1" applyFill="1" applyBorder="1" applyAlignment="1">
      <alignment horizontal="center" vertical="center" wrapText="1"/>
    </xf>
    <xf numFmtId="1" fontId="28" fillId="7" borderId="42" xfId="0" applyNumberFormat="1" applyFont="1" applyFill="1" applyBorder="1" applyAlignment="1" applyProtection="1">
      <alignment horizontal="center" vertical="center" wrapText="1"/>
      <protection hidden="1"/>
    </xf>
    <xf numFmtId="0" fontId="28" fillId="7" borderId="42" xfId="0" applyFont="1" applyFill="1" applyBorder="1" applyAlignment="1" applyProtection="1">
      <alignment horizontal="center" vertical="center" wrapText="1"/>
      <protection hidden="1"/>
    </xf>
    <xf numFmtId="2" fontId="6" fillId="8" borderId="42" xfId="0" applyNumberFormat="1" applyFont="1" applyFill="1" applyBorder="1" applyAlignment="1">
      <alignment horizontal="center" vertical="center" wrapText="1"/>
    </xf>
    <xf numFmtId="0" fontId="11" fillId="4" borderId="4" xfId="0" applyFont="1" applyFill="1" applyBorder="1" applyAlignment="1">
      <alignment vertical="top" wrapText="1"/>
    </xf>
    <xf numFmtId="1" fontId="30"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17" fontId="5" fillId="0" borderId="11" xfId="0" applyNumberFormat="1" applyFont="1" applyBorder="1" applyAlignment="1">
      <alignment vertical="top" wrapText="1"/>
    </xf>
    <xf numFmtId="0" fontId="5" fillId="0" borderId="11" xfId="0" applyFont="1" applyBorder="1" applyAlignment="1">
      <alignment vertical="top" wrapText="1"/>
    </xf>
    <xf numFmtId="0" fontId="5" fillId="0" borderId="41" xfId="0" applyFont="1" applyBorder="1" applyAlignment="1">
      <alignment vertical="top" wrapText="1"/>
    </xf>
    <xf numFmtId="0" fontId="5" fillId="0" borderId="42" xfId="0" applyFont="1" applyBorder="1" applyAlignment="1">
      <alignment vertical="top" wrapText="1"/>
    </xf>
    <xf numFmtId="0" fontId="5" fillId="0" borderId="29" xfId="0" applyFont="1" applyBorder="1" applyAlignment="1">
      <alignment vertical="top" wrapText="1"/>
    </xf>
    <xf numFmtId="0" fontId="11" fillId="4" borderId="24" xfId="0" applyFont="1" applyFill="1" applyBorder="1" applyAlignment="1">
      <alignment vertical="top" wrapText="1"/>
    </xf>
    <xf numFmtId="1" fontId="30" fillId="0" borderId="24" xfId="0" applyNumberFormat="1" applyFont="1" applyBorder="1" applyAlignment="1">
      <alignment horizontal="center" vertical="top" wrapText="1"/>
    </xf>
    <xf numFmtId="0" fontId="26" fillId="0" borderId="0" xfId="0" applyFont="1" applyAlignment="1">
      <alignment horizontal="left" vertical="top" wrapText="1"/>
    </xf>
    <xf numFmtId="0" fontId="5" fillId="0" borderId="4" xfId="0" applyFont="1" applyFill="1" applyBorder="1" applyAlignment="1">
      <alignment horizontal="left" vertical="center" wrapText="1"/>
    </xf>
    <xf numFmtId="0" fontId="6" fillId="0" borderId="4" xfId="0" applyFont="1" applyBorder="1" applyAlignment="1">
      <alignment horizontal="center" vertical="center" wrapText="1"/>
    </xf>
    <xf numFmtId="0" fontId="5" fillId="0" borderId="53" xfId="0" applyFont="1" applyBorder="1" applyAlignment="1">
      <alignment horizontal="left" vertical="top" wrapText="1"/>
    </xf>
    <xf numFmtId="0" fontId="39" fillId="0" borderId="20" xfId="0" applyFont="1" applyBorder="1" applyAlignment="1">
      <alignment vertical="top" wrapText="1"/>
    </xf>
    <xf numFmtId="0" fontId="5" fillId="0" borderId="20" xfId="0" applyFont="1" applyBorder="1" applyAlignment="1">
      <alignment horizontal="left" vertical="top" wrapText="1"/>
    </xf>
    <xf numFmtId="0" fontId="5" fillId="0" borderId="23" xfId="0" applyFont="1" applyBorder="1" applyAlignment="1">
      <alignment horizontal="left" vertical="top" wrapText="1"/>
    </xf>
    <xf numFmtId="0" fontId="22" fillId="0" borderId="4" xfId="0" applyFont="1" applyBorder="1" applyAlignment="1">
      <alignment vertical="top" wrapText="1"/>
    </xf>
    <xf numFmtId="0" fontId="5" fillId="0" borderId="20" xfId="0" applyFont="1" applyBorder="1" applyAlignment="1">
      <alignment vertical="top" wrapText="1"/>
    </xf>
    <xf numFmtId="0" fontId="5" fillId="0" borderId="23" xfId="0" applyFont="1" applyBorder="1" applyAlignment="1">
      <alignment vertical="top" wrapText="1"/>
    </xf>
    <xf numFmtId="0" fontId="22" fillId="0" borderId="0" xfId="0" applyFont="1" applyFill="1" applyAlignment="1">
      <alignment vertical="top" wrapText="1"/>
    </xf>
    <xf numFmtId="0" fontId="5" fillId="0" borderId="53" xfId="0" applyFont="1" applyBorder="1" applyAlignment="1">
      <alignment vertical="top" wrapText="1"/>
    </xf>
    <xf numFmtId="0" fontId="40" fillId="0" borderId="20" xfId="0" applyFont="1" applyBorder="1" applyAlignment="1">
      <alignment horizontal="left" vertical="top" wrapText="1"/>
    </xf>
    <xf numFmtId="0" fontId="5" fillId="5" borderId="56" xfId="0" applyFont="1" applyFill="1" applyBorder="1" applyAlignment="1">
      <alignment horizontal="left" vertical="center" wrapText="1"/>
    </xf>
    <xf numFmtId="0" fontId="5" fillId="5" borderId="49" xfId="0" applyFont="1" applyFill="1" applyBorder="1" applyAlignment="1">
      <alignment horizontal="left" vertical="center" wrapText="1"/>
    </xf>
    <xf numFmtId="0" fontId="22" fillId="5" borderId="50" xfId="0" applyFont="1" applyFill="1" applyBorder="1" applyAlignment="1">
      <alignment horizontal="left" vertical="center" wrapText="1"/>
    </xf>
    <xf numFmtId="1" fontId="31" fillId="0" borderId="57" xfId="0" applyNumberFormat="1" applyFont="1" applyBorder="1" applyAlignment="1">
      <alignment horizontal="center" vertical="top" wrapText="1"/>
    </xf>
    <xf numFmtId="0" fontId="32" fillId="0" borderId="0" xfId="0" applyFont="1" applyAlignment="1">
      <alignment vertical="top" wrapText="1"/>
    </xf>
    <xf numFmtId="0" fontId="5" fillId="0" borderId="0" xfId="0" applyFont="1" applyAlignment="1">
      <alignment wrapText="1"/>
    </xf>
    <xf numFmtId="0" fontId="26" fillId="0" borderId="0" xfId="0" applyFont="1" applyAlignment="1">
      <alignment wrapText="1"/>
    </xf>
    <xf numFmtId="0" fontId="5" fillId="5" borderId="50" xfId="0" applyFont="1" applyFill="1" applyBorder="1" applyAlignment="1">
      <alignment horizontal="left" vertical="center" wrapText="1"/>
    </xf>
    <xf numFmtId="0" fontId="5" fillId="0" borderId="26" xfId="0" applyFont="1" applyBorder="1" applyAlignment="1">
      <alignment horizontal="left" vertical="top" wrapText="1"/>
    </xf>
    <xf numFmtId="1" fontId="5" fillId="0" borderId="4" xfId="0" applyNumberFormat="1" applyFont="1" applyBorder="1" applyAlignment="1">
      <alignment horizontal="left" vertical="top" wrapText="1"/>
    </xf>
    <xf numFmtId="0" fontId="6" fillId="0" borderId="4" xfId="0" applyFont="1" applyBorder="1" applyAlignment="1">
      <alignment horizontal="center" vertical="center"/>
    </xf>
    <xf numFmtId="0" fontId="9" fillId="0" borderId="0" xfId="0" applyFont="1" applyAlignment="1">
      <alignment vertical="top" wrapText="1"/>
    </xf>
    <xf numFmtId="0" fontId="26" fillId="0" borderId="0" xfId="0" applyFont="1" applyAlignment="1">
      <alignment horizontal="fill" vertical="distributed" wrapText="1"/>
    </xf>
    <xf numFmtId="0" fontId="41" fillId="0" borderId="0" xfId="0" applyFont="1" applyBorder="1" applyAlignment="1">
      <alignment horizontal="fill" vertical="distributed" wrapText="1"/>
    </xf>
    <xf numFmtId="0" fontId="26" fillId="0" borderId="0" xfId="0" applyFont="1" applyAlignment="1">
      <alignment horizontal="fill" vertical="center" wrapText="1"/>
    </xf>
    <xf numFmtId="0" fontId="38" fillId="0" borderId="53" xfId="0" applyFont="1" applyBorder="1" applyAlignment="1">
      <alignment vertical="top" wrapText="1"/>
    </xf>
    <xf numFmtId="0" fontId="38" fillId="0" borderId="20" xfId="0" applyFont="1" applyBorder="1" applyAlignment="1">
      <alignment vertical="top" wrapText="1"/>
    </xf>
    <xf numFmtId="0" fontId="38" fillId="0" borderId="20" xfId="0" applyFont="1" applyFill="1" applyBorder="1" applyAlignment="1">
      <alignment vertical="top" wrapText="1"/>
    </xf>
    <xf numFmtId="1" fontId="12" fillId="0" borderId="24" xfId="0" applyNumberFormat="1" applyFont="1" applyBorder="1" applyAlignment="1">
      <alignment horizontal="center" vertical="top"/>
    </xf>
    <xf numFmtId="1" fontId="31" fillId="0" borderId="4" xfId="0" applyNumberFormat="1" applyFont="1" applyBorder="1" applyAlignment="1">
      <alignment horizontal="center" vertical="top"/>
    </xf>
    <xf numFmtId="0" fontId="9" fillId="0" borderId="0" xfId="0" applyFont="1" applyFill="1" applyBorder="1" applyAlignment="1">
      <alignment horizontal="left" vertical="top" wrapText="1"/>
    </xf>
    <xf numFmtId="0" fontId="9" fillId="0" borderId="0" xfId="0" applyFont="1" applyBorder="1" applyAlignment="1">
      <alignment vertical="top" wrapText="1"/>
    </xf>
    <xf numFmtId="0" fontId="26" fillId="0" borderId="0" xfId="0" applyFont="1" applyBorder="1" applyAlignment="1">
      <alignment vertical="top" wrapText="1"/>
    </xf>
    <xf numFmtId="0" fontId="32" fillId="0" borderId="0" xfId="0" applyFont="1" applyBorder="1" applyAlignment="1">
      <alignment vertical="top"/>
    </xf>
    <xf numFmtId="0" fontId="26" fillId="0" borderId="0" xfId="0" applyFont="1" applyAlignment="1">
      <alignment vertical="top"/>
    </xf>
    <xf numFmtId="0" fontId="32" fillId="0" borderId="0" xfId="0" applyFont="1" applyBorder="1" applyAlignment="1">
      <alignment vertical="top" wrapText="1"/>
    </xf>
    <xf numFmtId="0" fontId="5" fillId="5" borderId="56" xfId="0" applyFont="1" applyFill="1" applyBorder="1" applyAlignment="1">
      <alignment horizontal="left" vertical="top" wrapText="1"/>
    </xf>
    <xf numFmtId="0" fontId="5" fillId="5" borderId="49" xfId="0" applyFont="1" applyFill="1" applyBorder="1" applyAlignment="1">
      <alignment horizontal="left" vertical="top" wrapText="1"/>
    </xf>
    <xf numFmtId="0" fontId="5" fillId="5" borderId="50" xfId="0" applyFont="1" applyFill="1" applyBorder="1" applyAlignment="1">
      <alignment horizontal="left" vertical="top" wrapText="1"/>
    </xf>
    <xf numFmtId="0" fontId="31" fillId="0" borderId="58" xfId="0" applyFont="1" applyBorder="1" applyAlignment="1">
      <alignment horizontal="center" vertical="top"/>
    </xf>
    <xf numFmtId="0" fontId="9" fillId="0" borderId="0" xfId="0" applyFont="1" applyFill="1">
      <alignment vertical="top"/>
    </xf>
    <xf numFmtId="0" fontId="26" fillId="0" borderId="0" xfId="0" applyFont="1">
      <alignment vertical="top"/>
    </xf>
    <xf numFmtId="0" fontId="9" fillId="0" borderId="0" xfId="0" applyFont="1">
      <alignment vertical="top"/>
    </xf>
    <xf numFmtId="0" fontId="6" fillId="0" borderId="24" xfId="0" applyFont="1" applyBorder="1" applyAlignment="1">
      <alignment horizontal="center" vertical="center" wrapText="1"/>
    </xf>
    <xf numFmtId="0" fontId="9" fillId="0" borderId="0" xfId="0" applyFont="1" applyAlignment="1">
      <alignment wrapText="1"/>
    </xf>
    <xf numFmtId="0" fontId="33" fillId="0" borderId="1" xfId="0" applyFont="1" applyBorder="1" applyAlignment="1">
      <alignment horizontal="center" vertical="top" wrapText="1"/>
    </xf>
    <xf numFmtId="0" fontId="11" fillId="11" borderId="26" xfId="0" applyFont="1" applyFill="1" applyBorder="1" applyAlignment="1">
      <alignment vertical="top" wrapText="1"/>
    </xf>
    <xf numFmtId="2" fontId="26" fillId="0" borderId="0" xfId="0" applyNumberFormat="1" applyFont="1" applyAlignment="1">
      <alignment vertical="top" wrapText="1"/>
    </xf>
    <xf numFmtId="0" fontId="11" fillId="4" borderId="25" xfId="0" applyFont="1" applyFill="1" applyBorder="1" applyAlignment="1">
      <alignment horizontal="left" vertical="top" wrapText="1"/>
    </xf>
    <xf numFmtId="1" fontId="31" fillId="0" borderId="24" xfId="0" applyNumberFormat="1" applyFont="1" applyBorder="1" applyAlignment="1">
      <alignment horizontal="center" vertical="top"/>
    </xf>
    <xf numFmtId="0" fontId="5" fillId="0" borderId="1" xfId="0" applyFont="1" applyBorder="1" applyAlignment="1">
      <alignment horizontal="center" vertical="top" wrapText="1"/>
    </xf>
    <xf numFmtId="1" fontId="5" fillId="0" borderId="1" xfId="0" applyNumberFormat="1" applyFont="1" applyBorder="1" applyAlignment="1">
      <alignment horizontal="center" vertical="top" wrapText="1"/>
    </xf>
    <xf numFmtId="1" fontId="5" fillId="0" borderId="11" xfId="0" applyNumberFormat="1" applyFont="1" applyBorder="1" applyAlignment="1">
      <alignment horizontal="center" vertical="top" wrapText="1"/>
    </xf>
    <xf numFmtId="0" fontId="5" fillId="0" borderId="0" xfId="0" applyFont="1" applyFill="1" applyAlignment="1">
      <alignment horizontal="center" vertical="top" wrapText="1"/>
    </xf>
    <xf numFmtId="0" fontId="5" fillId="0" borderId="0" xfId="0" applyFont="1" applyFill="1" applyBorder="1" applyAlignment="1">
      <alignment vertical="top" wrapText="1"/>
    </xf>
    <xf numFmtId="49" fontId="10" fillId="0" borderId="39" xfId="1" applyNumberFormat="1" applyFont="1" applyBorder="1" applyAlignment="1">
      <alignment vertical="center"/>
    </xf>
    <xf numFmtId="49" fontId="1" fillId="0" borderId="1" xfId="1" applyNumberFormat="1" applyFont="1" applyBorder="1" applyAlignment="1">
      <alignment horizontal="center" vertical="center" wrapText="1"/>
    </xf>
    <xf numFmtId="49" fontId="1" fillId="0" borderId="8" xfId="1" applyNumberFormat="1" applyFont="1" applyBorder="1" applyAlignment="1">
      <alignment horizontal="center" vertical="center" wrapText="1"/>
    </xf>
    <xf numFmtId="49" fontId="1" fillId="0" borderId="3" xfId="1" applyNumberFormat="1" applyFont="1" applyBorder="1" applyAlignment="1">
      <alignment horizontal="center" vertical="center" wrapText="1"/>
    </xf>
    <xf numFmtId="49" fontId="1" fillId="0" borderId="9" xfId="1" applyNumberFormat="1" applyFont="1" applyBorder="1" applyAlignment="1">
      <alignment horizontal="center" vertical="center" wrapText="1"/>
    </xf>
    <xf numFmtId="49" fontId="1" fillId="0" borderId="39" xfId="1" applyNumberFormat="1" applyFont="1" applyBorder="1" applyAlignment="1">
      <alignment vertical="center" wrapText="1"/>
    </xf>
    <xf numFmtId="49" fontId="5" fillId="0" borderId="39" xfId="1" applyNumberFormat="1" applyFont="1" applyBorder="1" applyAlignment="1">
      <alignment vertical="center"/>
    </xf>
    <xf numFmtId="0" fontId="5" fillId="0" borderId="0" xfId="1" applyFont="1" applyAlignment="1">
      <alignment vertical="center"/>
    </xf>
    <xf numFmtId="49" fontId="1" fillId="0" borderId="5" xfId="1" applyNumberFormat="1" applyFont="1" applyBorder="1" applyAlignment="1">
      <alignment horizontal="center" vertical="center" wrapText="1"/>
    </xf>
    <xf numFmtId="49" fontId="10" fillId="0" borderId="13" xfId="1" applyNumberFormat="1" applyFont="1" applyBorder="1" applyAlignment="1">
      <alignment vertical="center"/>
    </xf>
    <xf numFmtId="49" fontId="1" fillId="0" borderId="10" xfId="1" applyNumberFormat="1" applyFont="1" applyBorder="1" applyAlignment="1">
      <alignment horizontal="center" vertical="center" wrapText="1"/>
    </xf>
    <xf numFmtId="0" fontId="5" fillId="0" borderId="0" xfId="1" applyFont="1" applyAlignment="1">
      <alignment vertical="top"/>
    </xf>
    <xf numFmtId="1" fontId="49" fillId="0" borderId="53" xfId="1" applyNumberFormat="1" applyFont="1" applyBorder="1" applyAlignment="1" applyProtection="1">
      <alignment horizontal="center" vertical="center"/>
      <protection locked="0"/>
    </xf>
    <xf numFmtId="1" fontId="49" fillId="0" borderId="20" xfId="1" applyNumberFormat="1" applyFont="1" applyBorder="1" applyAlignment="1" applyProtection="1">
      <alignment horizontal="center" vertical="center"/>
      <protection locked="0"/>
    </xf>
    <xf numFmtId="1" fontId="49" fillId="13" borderId="20" xfId="1" applyNumberFormat="1" applyFont="1" applyFill="1" applyBorder="1" applyAlignment="1" applyProtection="1">
      <alignment horizontal="center" vertical="center"/>
      <protection locked="0"/>
    </xf>
    <xf numFmtId="1" fontId="49" fillId="0" borderId="23" xfId="1" applyNumberFormat="1" applyFont="1" applyBorder="1" applyAlignment="1" applyProtection="1">
      <alignment horizontal="center" vertical="center"/>
      <protection locked="0"/>
    </xf>
    <xf numFmtId="1" fontId="49" fillId="0" borderId="20" xfId="1" applyNumberFormat="1" applyFont="1" applyFill="1" applyBorder="1" applyAlignment="1" applyProtection="1">
      <alignment horizontal="center" vertical="center"/>
      <protection locked="0"/>
    </xf>
    <xf numFmtId="0" fontId="5" fillId="0" borderId="0" xfId="1" applyFont="1" applyFill="1" applyAlignment="1">
      <alignment vertical="top"/>
    </xf>
    <xf numFmtId="0" fontId="10" fillId="0" borderId="0" xfId="1" applyFont="1" applyFill="1" applyAlignment="1">
      <alignment vertical="top"/>
    </xf>
    <xf numFmtId="0" fontId="10" fillId="0" borderId="0" xfId="1" applyFont="1" applyFill="1" applyBorder="1" applyAlignment="1">
      <alignment vertical="top"/>
    </xf>
    <xf numFmtId="0" fontId="49" fillId="0" borderId="0" xfId="1" applyFont="1" applyAlignment="1">
      <alignment horizontal="center" vertical="center"/>
    </xf>
    <xf numFmtId="0" fontId="5" fillId="0" borderId="0" xfId="1" applyFont="1" applyFill="1" applyBorder="1" applyAlignment="1">
      <alignment vertical="top"/>
    </xf>
    <xf numFmtId="0" fontId="49" fillId="0" borderId="0" xfId="1" applyFont="1" applyFill="1" applyBorder="1" applyAlignment="1">
      <alignment horizontal="center" vertical="center"/>
    </xf>
    <xf numFmtId="0" fontId="50" fillId="0" borderId="0" xfId="1" applyFont="1" applyAlignment="1">
      <alignment horizontal="center" vertical="center"/>
    </xf>
    <xf numFmtId="2" fontId="10" fillId="0" borderId="0" xfId="1" applyNumberFormat="1" applyFont="1" applyAlignment="1">
      <alignment vertical="center"/>
    </xf>
    <xf numFmtId="2" fontId="10" fillId="0" borderId="0" xfId="1" applyNumberFormat="1" applyFont="1" applyAlignment="1">
      <alignment vertical="top"/>
    </xf>
    <xf numFmtId="0" fontId="5" fillId="0" borderId="57" xfId="0" applyFont="1" applyFill="1" applyBorder="1" applyAlignment="1">
      <alignment vertical="top" wrapText="1"/>
    </xf>
    <xf numFmtId="2" fontId="5" fillId="7" borderId="26" xfId="0" applyNumberFormat="1" applyFont="1" applyFill="1" applyBorder="1" applyAlignment="1">
      <alignment horizontal="center" vertical="top" wrapText="1"/>
    </xf>
    <xf numFmtId="0" fontId="5" fillId="0" borderId="6" xfId="0" applyFont="1" applyBorder="1" applyAlignment="1">
      <alignment horizontal="center" vertical="top" wrapText="1"/>
    </xf>
    <xf numFmtId="0" fontId="10" fillId="0" borderId="0" xfId="0" applyFont="1" applyAlignment="1">
      <alignment vertical="top" wrapText="1"/>
    </xf>
    <xf numFmtId="49" fontId="10" fillId="0" borderId="37" xfId="1" applyNumberFormat="1" applyFont="1" applyBorder="1" applyAlignment="1">
      <alignment vertical="center"/>
    </xf>
    <xf numFmtId="0" fontId="5" fillId="0" borderId="15" xfId="0" applyFont="1" applyFill="1" applyBorder="1" applyAlignment="1">
      <alignment vertical="top" wrapText="1"/>
    </xf>
    <xf numFmtId="0" fontId="5" fillId="0" borderId="27" xfId="0" applyFont="1" applyFill="1" applyBorder="1" applyAlignment="1">
      <alignment vertical="top" wrapText="1"/>
    </xf>
    <xf numFmtId="0" fontId="5" fillId="0" borderId="21" xfId="0" applyFont="1" applyFill="1" applyBorder="1" applyAlignment="1">
      <alignment vertical="top" wrapText="1"/>
    </xf>
    <xf numFmtId="0" fontId="20" fillId="0" borderId="21" xfId="0" applyFont="1" applyFill="1" applyBorder="1" applyAlignment="1">
      <alignment vertical="top" wrapText="1"/>
    </xf>
    <xf numFmtId="0" fontId="5" fillId="0" borderId="22" xfId="0" applyFont="1" applyFill="1" applyBorder="1" applyAlignment="1">
      <alignment vertical="top" wrapText="1"/>
    </xf>
    <xf numFmtId="0" fontId="5" fillId="0" borderId="57" xfId="4702" applyFont="1" applyFill="1" applyBorder="1" applyAlignment="1" applyProtection="1">
      <alignment vertical="top" wrapText="1"/>
    </xf>
    <xf numFmtId="0" fontId="5" fillId="0" borderId="31" xfId="0" applyFont="1" applyFill="1" applyBorder="1" applyAlignment="1" applyProtection="1">
      <alignment vertical="top" wrapText="1"/>
    </xf>
    <xf numFmtId="0" fontId="5" fillId="0" borderId="31" xfId="0" applyFont="1" applyFill="1" applyBorder="1" applyAlignment="1">
      <alignment vertical="top" wrapText="1"/>
    </xf>
    <xf numFmtId="0" fontId="16" fillId="0" borderId="16" xfId="0" applyFont="1" applyFill="1" applyBorder="1">
      <alignment vertical="top"/>
    </xf>
    <xf numFmtId="0" fontId="16" fillId="0" borderId="17" xfId="0" applyFont="1" applyFill="1" applyBorder="1">
      <alignment vertical="top"/>
    </xf>
    <xf numFmtId="0" fontId="16" fillId="0" borderId="72" xfId="0" applyFont="1" applyFill="1" applyBorder="1">
      <alignment vertical="top"/>
    </xf>
    <xf numFmtId="0" fontId="60" fillId="0" borderId="59" xfId="0" applyFont="1" applyFill="1" applyBorder="1" applyAlignment="1">
      <alignment horizontal="center" vertical="top"/>
    </xf>
    <xf numFmtId="2" fontId="49" fillId="16" borderId="4" xfId="1" applyNumberFormat="1" applyFont="1" applyFill="1" applyBorder="1" applyAlignment="1">
      <alignment horizontal="center" vertical="center"/>
    </xf>
    <xf numFmtId="0" fontId="5" fillId="0" borderId="31" xfId="0" applyFont="1" applyBorder="1" applyAlignment="1">
      <alignment vertical="top" wrapText="1"/>
    </xf>
    <xf numFmtId="0" fontId="5" fillId="0" borderId="33" xfId="0" applyFont="1" applyBorder="1" applyAlignment="1">
      <alignment vertical="top" wrapText="1"/>
    </xf>
    <xf numFmtId="0" fontId="5" fillId="0" borderId="31" xfId="0" applyFont="1" applyFill="1" applyBorder="1" applyAlignment="1">
      <alignment vertical="top" wrapText="1"/>
    </xf>
    <xf numFmtId="0" fontId="5" fillId="0" borderId="33" xfId="0" applyFont="1" applyFill="1" applyBorder="1" applyAlignment="1">
      <alignment horizontal="left" vertical="top" wrapText="1"/>
    </xf>
    <xf numFmtId="0" fontId="5" fillId="0" borderId="21" xfId="0" applyFont="1" applyBorder="1" applyAlignment="1">
      <alignment vertical="top" wrapText="1"/>
    </xf>
    <xf numFmtId="0" fontId="5" fillId="0" borderId="10" xfId="0" applyFont="1" applyBorder="1" applyAlignment="1">
      <alignment vertical="top" wrapText="1"/>
    </xf>
    <xf numFmtId="0" fontId="5" fillId="0" borderId="12" xfId="0" applyFont="1" applyBorder="1" applyAlignment="1">
      <alignment vertical="top" wrapText="1"/>
    </xf>
    <xf numFmtId="0" fontId="12" fillId="0" borderId="4" xfId="0" applyFont="1" applyBorder="1" applyAlignment="1">
      <alignment horizontal="center" vertical="top" wrapText="1"/>
    </xf>
    <xf numFmtId="2" fontId="6" fillId="8" borderId="26" xfId="0" applyNumberFormat="1" applyFont="1" applyFill="1" applyBorder="1" applyAlignment="1">
      <alignment horizontal="center" vertical="center" wrapText="1"/>
    </xf>
    <xf numFmtId="2" fontId="6" fillId="8" borderId="4" xfId="0" applyNumberFormat="1" applyFont="1" applyFill="1" applyBorder="1" applyAlignment="1">
      <alignment horizontal="center" vertical="center" wrapText="1"/>
    </xf>
    <xf numFmtId="2" fontId="6" fillId="8" borderId="15" xfId="0" applyNumberFormat="1" applyFont="1" applyFill="1" applyBorder="1" applyAlignment="1">
      <alignment horizontal="center" vertical="center" wrapText="1"/>
    </xf>
    <xf numFmtId="0" fontId="5" fillId="0" borderId="33" xfId="0" applyFont="1" applyBorder="1" applyAlignment="1">
      <alignment vertical="top" wrapText="1"/>
    </xf>
    <xf numFmtId="0" fontId="5" fillId="0" borderId="45" xfId="0" applyFont="1" applyBorder="1" applyAlignment="1">
      <alignment horizontal="left" vertical="top" wrapText="1"/>
    </xf>
    <xf numFmtId="0" fontId="5" fillId="0" borderId="6" xfId="0" applyFont="1" applyBorder="1" applyAlignment="1">
      <alignment horizontal="left" vertical="top" wrapText="1"/>
    </xf>
    <xf numFmtId="0" fontId="5" fillId="0" borderId="6" xfId="0" applyFont="1" applyBorder="1" applyAlignment="1">
      <alignment vertical="top" wrapText="1"/>
    </xf>
    <xf numFmtId="0" fontId="5" fillId="0" borderId="10" xfId="0" applyFont="1" applyBorder="1" applyAlignment="1">
      <alignment vertical="top" wrapText="1"/>
    </xf>
    <xf numFmtId="0" fontId="5" fillId="0" borderId="13" xfId="0" applyFont="1" applyBorder="1" applyAlignment="1">
      <alignment vertical="top" wrapText="1"/>
    </xf>
    <xf numFmtId="0" fontId="5" fillId="0" borderId="13" xfId="0" applyFont="1" applyBorder="1" applyAlignment="1">
      <alignment horizontal="left" vertical="top" wrapText="1"/>
    </xf>
    <xf numFmtId="0" fontId="5" fillId="0" borderId="24" xfId="0" applyFont="1" applyBorder="1" applyAlignment="1">
      <alignment vertical="top" wrapText="1"/>
    </xf>
    <xf numFmtId="0" fontId="22" fillId="0" borderId="45" xfId="0" applyFont="1" applyBorder="1" applyAlignment="1">
      <alignment vertical="top" wrapText="1"/>
    </xf>
    <xf numFmtId="0" fontId="5" fillId="0" borderId="45" xfId="0" applyFont="1" applyBorder="1" applyAlignment="1">
      <alignment vertical="top" wrapText="1"/>
    </xf>
    <xf numFmtId="0" fontId="22" fillId="0" borderId="13" xfId="0" applyFont="1" applyBorder="1" applyAlignment="1">
      <alignment horizontal="left" vertical="top" wrapText="1"/>
    </xf>
    <xf numFmtId="0" fontId="5" fillId="0" borderId="12" xfId="0" applyFont="1" applyBorder="1" applyAlignment="1">
      <alignment vertical="top" wrapText="1"/>
    </xf>
    <xf numFmtId="0" fontId="5" fillId="0" borderId="14" xfId="0" applyFont="1" applyBorder="1" applyAlignment="1">
      <alignment horizontal="left" vertical="top" wrapText="1"/>
    </xf>
    <xf numFmtId="0" fontId="5" fillId="0" borderId="70" xfId="0" applyFont="1" applyBorder="1" applyAlignment="1">
      <alignment horizontal="left" vertical="top" wrapText="1"/>
    </xf>
    <xf numFmtId="0" fontId="5" fillId="0" borderId="5" xfId="0" applyFont="1" applyBorder="1" applyAlignment="1">
      <alignment horizontal="center" vertical="top" wrapText="1"/>
    </xf>
    <xf numFmtId="1" fontId="5" fillId="0" borderId="12" xfId="0" applyNumberFormat="1" applyFont="1" applyBorder="1" applyAlignment="1">
      <alignment horizontal="left" vertical="top" wrapText="1"/>
    </xf>
    <xf numFmtId="0" fontId="5" fillId="0" borderId="7" xfId="0" applyFont="1" applyBorder="1" applyAlignment="1">
      <alignment horizontal="left" vertical="top" wrapText="1"/>
    </xf>
    <xf numFmtId="0" fontId="5" fillId="0" borderId="9" xfId="0" applyFont="1" applyBorder="1" applyAlignment="1">
      <alignment vertical="top" wrapText="1"/>
    </xf>
    <xf numFmtId="0" fontId="5" fillId="0" borderId="0" xfId="0" applyFont="1" applyAlignment="1">
      <alignment horizontal="center" vertical="top" wrapText="1"/>
    </xf>
    <xf numFmtId="0" fontId="5" fillId="0" borderId="31" xfId="4702" applyFont="1" applyFill="1" applyBorder="1" applyAlignment="1" applyProtection="1">
      <alignment vertical="top" wrapText="1"/>
    </xf>
    <xf numFmtId="0" fontId="47" fillId="0" borderId="0" xfId="0" applyFont="1" applyAlignment="1">
      <alignment horizontal="center" vertical="center" wrapText="1"/>
    </xf>
    <xf numFmtId="1" fontId="59" fillId="17" borderId="69" xfId="0" applyNumberFormat="1" applyFont="1" applyFill="1" applyBorder="1" applyAlignment="1">
      <alignment horizontal="center" vertical="center" wrapText="1"/>
    </xf>
    <xf numFmtId="0" fontId="59" fillId="17" borderId="34" xfId="0" applyFont="1" applyFill="1" applyBorder="1" applyAlignment="1">
      <alignment horizontal="center" vertical="center" wrapText="1"/>
    </xf>
    <xf numFmtId="0" fontId="59" fillId="17" borderId="4" xfId="0" applyFont="1" applyFill="1" applyBorder="1" applyAlignment="1">
      <alignment horizontal="center" vertical="center" wrapText="1"/>
    </xf>
    <xf numFmtId="0" fontId="5" fillId="0" borderId="59" xfId="0" applyFont="1" applyFill="1" applyBorder="1" applyAlignment="1">
      <alignment horizontal="left" vertical="top" wrapText="1"/>
    </xf>
    <xf numFmtId="0" fontId="5" fillId="0" borderId="32" xfId="0" applyFont="1" applyFill="1" applyBorder="1" applyAlignment="1">
      <alignment horizontal="left" vertical="top" wrapText="1"/>
    </xf>
    <xf numFmtId="0" fontId="20" fillId="0" borderId="28" xfId="0" applyFont="1" applyFill="1" applyBorder="1" applyAlignment="1">
      <alignment horizontal="left" vertical="top" wrapText="1"/>
    </xf>
    <xf numFmtId="0" fontId="20" fillId="0" borderId="27" xfId="0" applyFont="1" applyFill="1" applyBorder="1" applyAlignment="1">
      <alignment vertical="top" wrapText="1"/>
    </xf>
    <xf numFmtId="0" fontId="20" fillId="0" borderId="22" xfId="0" applyFont="1" applyFill="1" applyBorder="1" applyAlignment="1">
      <alignment vertical="top" wrapText="1"/>
    </xf>
    <xf numFmtId="0" fontId="20" fillId="0" borderId="15" xfId="0" applyFont="1" applyFill="1" applyBorder="1" applyAlignment="1">
      <alignment vertical="top" wrapText="1"/>
    </xf>
    <xf numFmtId="0" fontId="20" fillId="0" borderId="28" xfId="0" applyFont="1" applyFill="1" applyBorder="1" applyAlignment="1">
      <alignment vertical="top" wrapText="1"/>
    </xf>
    <xf numFmtId="0" fontId="20" fillId="0" borderId="32" xfId="0" applyFont="1" applyFill="1" applyBorder="1" applyAlignment="1">
      <alignment vertical="top" wrapText="1"/>
    </xf>
    <xf numFmtId="0" fontId="5" fillId="0" borderId="32" xfId="0" applyFont="1" applyFill="1" applyBorder="1" applyAlignment="1">
      <alignment vertical="top" wrapText="1"/>
    </xf>
    <xf numFmtId="0" fontId="5" fillId="0" borderId="28" xfId="0" applyFont="1" applyFill="1" applyBorder="1" applyAlignment="1">
      <alignment vertical="top" wrapText="1"/>
    </xf>
    <xf numFmtId="16" fontId="5" fillId="0" borderId="21" xfId="0" applyNumberFormat="1" applyFont="1" applyFill="1" applyBorder="1" applyAlignment="1">
      <alignment horizontal="left" vertical="top" wrapText="1"/>
    </xf>
    <xf numFmtId="0" fontId="9" fillId="0" borderId="27" xfId="0" applyFont="1" applyFill="1" applyBorder="1" applyAlignment="1">
      <alignment vertical="top" wrapText="1"/>
    </xf>
    <xf numFmtId="16" fontId="9" fillId="0" borderId="21" xfId="0" applyNumberFormat="1" applyFont="1" applyFill="1" applyBorder="1" applyAlignment="1">
      <alignment vertical="top" wrapText="1"/>
    </xf>
    <xf numFmtId="0" fontId="9" fillId="0" borderId="21" xfId="0" applyFont="1" applyFill="1" applyBorder="1" applyAlignment="1">
      <alignment vertical="top" wrapText="1"/>
    </xf>
    <xf numFmtId="0" fontId="42" fillId="0" borderId="28" xfId="0" applyFont="1" applyBorder="1" applyAlignment="1"/>
    <xf numFmtId="0" fontId="5" fillId="0" borderId="22" xfId="0" applyFont="1" applyBorder="1" applyAlignment="1">
      <alignment vertical="top" wrapText="1"/>
    </xf>
    <xf numFmtId="0" fontId="5" fillId="0" borderId="15" xfId="0" applyFont="1" applyBorder="1" applyAlignment="1">
      <alignment vertical="top" wrapText="1"/>
    </xf>
    <xf numFmtId="0" fontId="5" fillId="0" borderId="27" xfId="0" applyFont="1" applyBorder="1" applyAlignment="1">
      <alignment vertical="top" wrapText="1"/>
    </xf>
    <xf numFmtId="0" fontId="5" fillId="2" borderId="15" xfId="0" applyFont="1" applyFill="1" applyBorder="1" applyAlignment="1">
      <alignment vertical="top" wrapText="1"/>
    </xf>
    <xf numFmtId="0" fontId="5" fillId="0" borderId="15" xfId="0" applyNumberFormat="1" applyFont="1" applyFill="1" applyBorder="1" applyAlignment="1">
      <alignment horizontal="left" vertical="top" wrapText="1"/>
    </xf>
    <xf numFmtId="49" fontId="20" fillId="0" borderId="22" xfId="0" applyNumberFormat="1" applyFont="1" applyFill="1" applyBorder="1" applyAlignment="1">
      <alignment horizontal="left" vertical="top" wrapText="1"/>
    </xf>
    <xf numFmtId="49" fontId="5" fillId="0" borderId="32" xfId="0" applyNumberFormat="1" applyFont="1" applyFill="1" applyBorder="1" applyAlignment="1">
      <alignment horizontal="left" vertical="top" wrapText="1"/>
    </xf>
    <xf numFmtId="0" fontId="5" fillId="0" borderId="27" xfId="0" applyNumberFormat="1" applyFont="1" applyFill="1" applyBorder="1" applyAlignment="1">
      <alignment horizontal="left" vertical="top" wrapText="1"/>
    </xf>
    <xf numFmtId="49" fontId="5" fillId="0" borderId="15" xfId="0" applyNumberFormat="1" applyFont="1" applyFill="1" applyBorder="1" applyAlignment="1">
      <alignment horizontal="left" vertical="top" wrapText="1"/>
    </xf>
    <xf numFmtId="49" fontId="20" fillId="0" borderId="21" xfId="0" applyNumberFormat="1" applyFont="1" applyFill="1" applyBorder="1" applyAlignment="1">
      <alignment horizontal="left" vertical="top" wrapText="1"/>
    </xf>
    <xf numFmtId="49" fontId="20" fillId="0" borderId="27" xfId="0" applyNumberFormat="1" applyFont="1" applyFill="1" applyBorder="1" applyAlignment="1">
      <alignment horizontal="left" vertical="top" wrapText="1"/>
    </xf>
    <xf numFmtId="0" fontId="5" fillId="0" borderId="22" xfId="0" applyFont="1" applyBorder="1">
      <alignment vertical="top"/>
    </xf>
    <xf numFmtId="0" fontId="5" fillId="2" borderId="0" xfId="0" applyFont="1" applyFill="1" applyBorder="1" applyAlignment="1">
      <alignment vertical="top" wrapText="1"/>
    </xf>
    <xf numFmtId="0" fontId="5" fillId="0" borderId="45" xfId="0" applyFont="1" applyFill="1" applyBorder="1" applyAlignment="1">
      <alignment vertical="top" wrapText="1"/>
    </xf>
    <xf numFmtId="0" fontId="20" fillId="0" borderId="4" xfId="0" applyFont="1" applyFill="1" applyBorder="1" applyAlignment="1">
      <alignment horizontal="left" vertical="top" wrapText="1"/>
    </xf>
    <xf numFmtId="0" fontId="20" fillId="0" borderId="45" xfId="0" applyFont="1" applyFill="1" applyBorder="1" applyAlignment="1">
      <alignment vertical="top" wrapText="1"/>
    </xf>
    <xf numFmtId="0" fontId="20" fillId="0" borderId="4" xfId="0" applyFont="1" applyFill="1" applyBorder="1" applyAlignment="1">
      <alignment vertical="top" wrapText="1"/>
    </xf>
    <xf numFmtId="0" fontId="59" fillId="17" borderId="25" xfId="0" applyFont="1" applyFill="1" applyBorder="1" applyAlignment="1">
      <alignment horizontal="center" vertical="center" wrapText="1"/>
    </xf>
    <xf numFmtId="0" fontId="5" fillId="0" borderId="30" xfId="0" applyFont="1" applyBorder="1" applyAlignment="1">
      <alignment vertical="top" wrapText="1"/>
    </xf>
    <xf numFmtId="0" fontId="59" fillId="18" borderId="4" xfId="0" applyFont="1" applyFill="1" applyBorder="1" applyAlignment="1">
      <alignment horizontal="center" vertical="center" wrapText="1"/>
    </xf>
    <xf numFmtId="0" fontId="47" fillId="0" borderId="0" xfId="0" applyFont="1" applyFill="1" applyAlignment="1">
      <alignment horizontal="center" vertical="center" textRotation="180" wrapText="1"/>
    </xf>
    <xf numFmtId="0" fontId="5" fillId="0" borderId="0" xfId="0" applyFont="1" applyFill="1" applyAlignment="1">
      <alignment vertical="center" wrapText="1"/>
    </xf>
    <xf numFmtId="1" fontId="53" fillId="18" borderId="26" xfId="0" applyNumberFormat="1" applyFont="1" applyFill="1" applyBorder="1" applyAlignment="1">
      <alignment horizontal="center" vertical="center" wrapText="1"/>
    </xf>
    <xf numFmtId="0" fontId="5" fillId="0" borderId="30" xfId="0" applyFont="1" applyBorder="1" applyAlignment="1">
      <alignment horizontal="left" vertical="top" wrapText="1"/>
    </xf>
    <xf numFmtId="0" fontId="5" fillId="0" borderId="26" xfId="0" applyFont="1" applyFill="1" applyBorder="1" applyAlignment="1">
      <alignment horizontal="left" vertical="top"/>
    </xf>
    <xf numFmtId="0" fontId="59" fillId="18" borderId="52" xfId="0" applyFont="1" applyFill="1" applyBorder="1" applyAlignment="1">
      <alignment horizontal="center" vertical="center" wrapText="1"/>
    </xf>
    <xf numFmtId="0" fontId="38" fillId="0" borderId="32" xfId="0" applyFont="1" applyBorder="1" applyAlignment="1">
      <alignment horizontal="left" vertical="top" wrapText="1"/>
    </xf>
    <xf numFmtId="0" fontId="38" fillId="0" borderId="27" xfId="0" applyFont="1" applyFill="1" applyBorder="1" applyAlignment="1">
      <alignment horizontal="left" vertical="top" wrapText="1"/>
    </xf>
    <xf numFmtId="0" fontId="38" fillId="0" borderId="21" xfId="0" applyFont="1" applyFill="1" applyBorder="1" applyAlignment="1">
      <alignment horizontal="left" vertical="top" wrapText="1"/>
    </xf>
    <xf numFmtId="0" fontId="38" fillId="0" borderId="28" xfId="0" applyFont="1" applyFill="1" applyBorder="1" applyAlignment="1">
      <alignment horizontal="left" vertical="top" wrapText="1"/>
    </xf>
    <xf numFmtId="0" fontId="5" fillId="0" borderId="57" xfId="0" applyFont="1" applyFill="1" applyBorder="1" applyAlignment="1">
      <alignment horizontal="left" vertical="top" wrapText="1"/>
    </xf>
    <xf numFmtId="0" fontId="5" fillId="2" borderId="57" xfId="0" applyFont="1" applyFill="1" applyBorder="1" applyAlignment="1">
      <alignment horizontal="left" vertical="top" wrapText="1"/>
    </xf>
    <xf numFmtId="0" fontId="5" fillId="0" borderId="58" xfId="0" applyFont="1" applyFill="1" applyBorder="1" applyAlignment="1">
      <alignment horizontal="left" vertical="top" wrapText="1"/>
    </xf>
    <xf numFmtId="0" fontId="5" fillId="0" borderId="52" xfId="0" applyFont="1" applyBorder="1" applyAlignment="1">
      <alignment horizontal="left" vertical="top" wrapText="1"/>
    </xf>
    <xf numFmtId="0" fontId="5" fillId="0" borderId="22" xfId="0" applyFont="1" applyBorder="1" applyAlignment="1">
      <alignment horizontal="left" vertical="top" wrapText="1"/>
    </xf>
    <xf numFmtId="0" fontId="59" fillId="18" borderId="57" xfId="0" applyFont="1" applyFill="1" applyBorder="1" applyAlignment="1">
      <alignment horizontal="center" vertical="center" wrapText="1"/>
    </xf>
    <xf numFmtId="0" fontId="5" fillId="0" borderId="57" xfId="0" applyFont="1" applyFill="1" applyBorder="1" applyAlignment="1">
      <alignment vertical="top"/>
    </xf>
    <xf numFmtId="0" fontId="5" fillId="18" borderId="31" xfId="0" applyFont="1" applyFill="1" applyBorder="1" applyAlignment="1">
      <alignment horizontal="left" vertical="center" wrapText="1"/>
    </xf>
    <xf numFmtId="0" fontId="5" fillId="0" borderId="31" xfId="0" applyFont="1" applyBorder="1" applyAlignment="1">
      <alignment horizontal="left" vertical="top" wrapText="1"/>
    </xf>
    <xf numFmtId="0" fontId="5" fillId="0" borderId="33" xfId="0" applyFont="1" applyBorder="1" applyAlignment="1">
      <alignment horizontal="left" vertical="top" wrapText="1"/>
    </xf>
    <xf numFmtId="0" fontId="10" fillId="0" borderId="0" xfId="1" applyFont="1" applyAlignment="1"/>
    <xf numFmtId="0" fontId="10" fillId="0" borderId="0" xfId="1" applyFont="1" applyAlignment="1">
      <alignment horizontal="left"/>
    </xf>
    <xf numFmtId="0" fontId="10" fillId="20" borderId="0" xfId="1" applyFont="1" applyFill="1" applyAlignment="1">
      <alignment vertical="center"/>
    </xf>
    <xf numFmtId="0" fontId="5" fillId="0" borderId="34" xfId="0" applyFont="1" applyBorder="1" applyAlignment="1">
      <alignment vertical="top" wrapText="1"/>
    </xf>
    <xf numFmtId="0" fontId="28" fillId="17" borderId="26" xfId="0" applyFont="1" applyFill="1" applyBorder="1" applyAlignment="1">
      <alignment horizontal="center" vertical="center" wrapText="1"/>
    </xf>
    <xf numFmtId="0" fontId="5" fillId="0" borderId="57" xfId="0" applyFont="1" applyBorder="1" applyAlignment="1">
      <alignment vertical="top" wrapText="1"/>
    </xf>
    <xf numFmtId="0" fontId="5" fillId="0" borderId="58" xfId="0" applyFont="1" applyBorder="1" applyAlignment="1">
      <alignment vertical="top" wrapText="1"/>
    </xf>
    <xf numFmtId="0" fontId="5" fillId="0" borderId="43" xfId="0" applyFont="1" applyBorder="1" applyAlignment="1">
      <alignment vertical="top" wrapText="1"/>
    </xf>
    <xf numFmtId="0" fontId="5" fillId="0" borderId="7" xfId="0" applyFont="1" applyBorder="1" applyAlignment="1">
      <alignment vertical="top" wrapText="1"/>
    </xf>
    <xf numFmtId="49" fontId="5" fillId="0" borderId="33" xfId="0" applyNumberFormat="1" applyFont="1" applyBorder="1" applyAlignment="1">
      <alignment vertical="top" wrapText="1"/>
    </xf>
    <xf numFmtId="49" fontId="5" fillId="0" borderId="7" xfId="0" applyNumberFormat="1" applyFont="1" applyBorder="1" applyAlignment="1">
      <alignment vertical="top" wrapText="1"/>
    </xf>
    <xf numFmtId="0" fontId="5" fillId="0" borderId="10" xfId="0" applyNumberFormat="1" applyFont="1" applyBorder="1" applyAlignment="1">
      <alignment vertical="top" wrapText="1"/>
    </xf>
    <xf numFmtId="49" fontId="5" fillId="0" borderId="10" xfId="0" applyNumberFormat="1" applyFont="1" applyBorder="1" applyAlignment="1">
      <alignment vertical="top" wrapText="1"/>
    </xf>
    <xf numFmtId="49" fontId="5" fillId="0" borderId="58" xfId="0" applyNumberFormat="1" applyFont="1" applyBorder="1" applyAlignment="1">
      <alignment vertical="top" wrapText="1"/>
    </xf>
    <xf numFmtId="1" fontId="5" fillId="0" borderId="57" xfId="0" applyNumberFormat="1" applyFont="1" applyBorder="1" applyAlignment="1">
      <alignment vertical="top" wrapText="1"/>
    </xf>
    <xf numFmtId="1" fontId="5" fillId="0" borderId="7" xfId="0" applyNumberFormat="1" applyFont="1" applyBorder="1" applyAlignment="1">
      <alignment vertical="top" wrapText="1"/>
    </xf>
    <xf numFmtId="1" fontId="5" fillId="0" borderId="10" xfId="0" applyNumberFormat="1" applyFont="1" applyBorder="1" applyAlignment="1">
      <alignment vertical="top" wrapText="1"/>
    </xf>
    <xf numFmtId="1" fontId="5" fillId="0" borderId="43" xfId="0" applyNumberFormat="1" applyFont="1" applyBorder="1" applyAlignment="1">
      <alignment vertical="top" wrapText="1"/>
    </xf>
    <xf numFmtId="0" fontId="28" fillId="7" borderId="4" xfId="0" applyFont="1" applyFill="1" applyBorder="1" applyAlignment="1">
      <alignment horizontal="center" vertical="center" wrapText="1"/>
    </xf>
    <xf numFmtId="49" fontId="28" fillId="7" borderId="15" xfId="0" applyNumberFormat="1" applyFont="1" applyFill="1" applyBorder="1" applyAlignment="1">
      <alignment horizontal="center" vertical="center" wrapText="1"/>
    </xf>
    <xf numFmtId="1" fontId="28" fillId="7" borderId="15" xfId="0" applyNumberFormat="1" applyFont="1" applyFill="1" applyBorder="1" applyAlignment="1" applyProtection="1">
      <alignment horizontal="center" vertical="center" wrapText="1"/>
      <protection hidden="1"/>
    </xf>
    <xf numFmtId="0" fontId="28" fillId="7" borderId="4" xfId="0" applyFont="1" applyFill="1" applyBorder="1" applyAlignment="1" applyProtection="1">
      <alignment horizontal="center" vertical="center" wrapText="1"/>
      <protection hidden="1"/>
    </xf>
    <xf numFmtId="2" fontId="28" fillId="7" borderId="15" xfId="0" applyNumberFormat="1" applyFont="1" applyFill="1" applyBorder="1" applyAlignment="1" applyProtection="1">
      <alignment horizontal="center" vertical="center" wrapText="1"/>
    </xf>
    <xf numFmtId="0" fontId="28" fillId="7" borderId="26" xfId="0" applyFont="1" applyFill="1" applyBorder="1" applyAlignment="1">
      <alignment horizontal="center" vertical="center" wrapText="1"/>
    </xf>
    <xf numFmtId="0" fontId="22" fillId="0" borderId="33" xfId="0" applyFont="1" applyBorder="1" applyAlignment="1">
      <alignment vertical="top" wrapText="1"/>
    </xf>
    <xf numFmtId="0" fontId="22" fillId="0" borderId="7" xfId="0" applyFont="1" applyBorder="1" applyAlignment="1">
      <alignment vertical="top" wrapText="1"/>
    </xf>
    <xf numFmtId="0" fontId="22" fillId="0" borderId="10" xfId="0" applyFont="1" applyBorder="1" applyAlignment="1">
      <alignment vertical="top" wrapText="1"/>
    </xf>
    <xf numFmtId="0" fontId="22" fillId="0" borderId="58" xfId="0" applyFont="1" applyBorder="1" applyAlignment="1">
      <alignment vertical="top" wrapText="1"/>
    </xf>
    <xf numFmtId="0" fontId="22" fillId="0" borderId="57" xfId="0" applyFont="1" applyBorder="1" applyAlignment="1">
      <alignment vertical="top" wrapText="1"/>
    </xf>
    <xf numFmtId="0" fontId="22" fillId="0" borderId="43" xfId="0" applyFont="1" applyBorder="1" applyAlignment="1">
      <alignment vertical="top" wrapText="1"/>
    </xf>
    <xf numFmtId="49" fontId="22" fillId="0" borderId="57" xfId="0" applyNumberFormat="1" applyFont="1" applyBorder="1" applyAlignment="1">
      <alignment vertical="top" wrapText="1"/>
    </xf>
    <xf numFmtId="49" fontId="22" fillId="0" borderId="7" xfId="0" applyNumberFormat="1" applyFont="1" applyBorder="1" applyAlignment="1">
      <alignment vertical="top" wrapText="1"/>
    </xf>
    <xf numFmtId="0" fontId="22" fillId="0" borderId="10" xfId="0" applyNumberFormat="1" applyFont="1" applyBorder="1" applyAlignment="1">
      <alignment vertical="top" wrapText="1"/>
    </xf>
    <xf numFmtId="49" fontId="22" fillId="0" borderId="10" xfId="0" applyNumberFormat="1" applyFont="1" applyBorder="1" applyAlignment="1">
      <alignment vertical="top" wrapText="1"/>
    </xf>
    <xf numFmtId="49" fontId="22" fillId="0" borderId="43" xfId="0" applyNumberFormat="1" applyFont="1" applyBorder="1" applyAlignment="1">
      <alignment vertical="top" wrapText="1"/>
    </xf>
    <xf numFmtId="49" fontId="22" fillId="0" borderId="33" xfId="0" applyNumberFormat="1" applyFont="1" applyBorder="1" applyAlignment="1">
      <alignment vertical="top" wrapText="1"/>
    </xf>
    <xf numFmtId="49" fontId="22" fillId="0" borderId="58" xfId="0" applyNumberFormat="1" applyFont="1" applyBorder="1" applyAlignment="1">
      <alignment vertical="top" wrapText="1"/>
    </xf>
    <xf numFmtId="0" fontId="22" fillId="0" borderId="52" xfId="0" applyFont="1" applyBorder="1" applyAlignment="1">
      <alignment vertical="top" wrapText="1"/>
    </xf>
    <xf numFmtId="0" fontId="22" fillId="0" borderId="0" xfId="0" applyFont="1" applyAlignment="1">
      <alignment horizontal="center" vertical="top" wrapText="1"/>
    </xf>
    <xf numFmtId="0" fontId="5" fillId="0" borderId="6" xfId="0" applyFont="1" applyBorder="1" applyAlignment="1">
      <alignment horizontal="left" vertical="top" wrapText="1"/>
    </xf>
    <xf numFmtId="49" fontId="28" fillId="7" borderId="52" xfId="0" applyNumberFormat="1" applyFont="1" applyFill="1" applyBorder="1" applyAlignment="1">
      <alignment horizontal="center" vertical="center" wrapText="1"/>
    </xf>
    <xf numFmtId="0" fontId="5" fillId="0" borderId="10" xfId="0" applyFont="1" applyBorder="1" applyAlignment="1">
      <alignment horizontal="left" vertical="top" wrapText="1"/>
    </xf>
    <xf numFmtId="0" fontId="5" fillId="0" borderId="58" xfId="0" applyFont="1" applyBorder="1" applyAlignment="1">
      <alignment horizontal="left" vertical="top" wrapText="1"/>
    </xf>
    <xf numFmtId="0" fontId="5" fillId="0" borderId="15" xfId="0" applyFont="1" applyBorder="1" applyAlignment="1">
      <alignment horizontal="left" vertical="top" wrapText="1"/>
    </xf>
    <xf numFmtId="49" fontId="5" fillId="0" borderId="7" xfId="0" applyNumberFormat="1" applyFont="1" applyBorder="1" applyAlignment="1">
      <alignment horizontal="left" vertical="top" wrapText="1"/>
    </xf>
    <xf numFmtId="49" fontId="5" fillId="0" borderId="10" xfId="0" applyNumberFormat="1" applyFont="1" applyBorder="1" applyAlignment="1">
      <alignment horizontal="left" vertical="top" wrapText="1"/>
    </xf>
    <xf numFmtId="49" fontId="5" fillId="0" borderId="58" xfId="0" applyNumberFormat="1" applyFont="1" applyBorder="1" applyAlignment="1">
      <alignment horizontal="left" vertical="top" wrapText="1"/>
    </xf>
    <xf numFmtId="0" fontId="5" fillId="0" borderId="57" xfId="0" applyFont="1" applyBorder="1" applyAlignment="1">
      <alignment horizontal="left" vertical="top" wrapText="1"/>
    </xf>
    <xf numFmtId="0" fontId="5" fillId="0" borderId="43" xfId="0" applyFont="1" applyBorder="1" applyAlignment="1">
      <alignment horizontal="left" vertical="top" wrapText="1"/>
    </xf>
    <xf numFmtId="2" fontId="28" fillId="7" borderId="29" xfId="0" applyNumberFormat="1" applyFont="1" applyFill="1" applyBorder="1" applyAlignment="1" applyProtection="1">
      <alignment horizontal="center" vertical="center" wrapText="1"/>
    </xf>
    <xf numFmtId="2" fontId="5" fillId="7" borderId="30" xfId="0" applyNumberFormat="1" applyFont="1" applyFill="1" applyBorder="1" applyAlignment="1">
      <alignment horizontal="center" vertical="top" wrapText="1"/>
    </xf>
    <xf numFmtId="0" fontId="51" fillId="0" borderId="70" xfId="0" applyFont="1" applyFill="1" applyBorder="1" applyAlignment="1">
      <alignment horizontal="left" vertical="top" wrapText="1"/>
    </xf>
    <xf numFmtId="0" fontId="5" fillId="0" borderId="20" xfId="0" applyFont="1" applyBorder="1" applyAlignment="1">
      <alignment vertical="top" wrapText="1"/>
    </xf>
    <xf numFmtId="0" fontId="5" fillId="10" borderId="7" xfId="0" applyFont="1" applyFill="1" applyBorder="1" applyAlignment="1">
      <alignment horizontal="center" vertical="top" wrapText="1"/>
    </xf>
    <xf numFmtId="1" fontId="5" fillId="10" borderId="3" xfId="0" applyNumberFormat="1" applyFont="1" applyFill="1" applyBorder="1" applyAlignment="1">
      <alignment horizontal="center" vertical="top" wrapText="1"/>
    </xf>
    <xf numFmtId="0" fontId="5" fillId="0" borderId="2" xfId="0" applyFont="1" applyBorder="1" applyAlignment="1">
      <alignment horizontal="center" vertical="top" wrapText="1"/>
    </xf>
    <xf numFmtId="0" fontId="5" fillId="10" borderId="10" xfId="0" applyFont="1" applyFill="1" applyBorder="1" applyAlignment="1">
      <alignment horizontal="center" vertical="top" wrapText="1"/>
    </xf>
    <xf numFmtId="1" fontId="5" fillId="10" borderId="1" xfId="0" applyNumberFormat="1" applyFont="1" applyFill="1" applyBorder="1" applyAlignment="1">
      <alignment horizontal="center" vertical="top" wrapText="1"/>
    </xf>
    <xf numFmtId="0" fontId="5" fillId="0" borderId="11" xfId="0" applyFont="1" applyBorder="1" applyAlignment="1">
      <alignment horizontal="center" vertical="top" wrapText="1"/>
    </xf>
    <xf numFmtId="0" fontId="5" fillId="10" borderId="43" xfId="0" applyFont="1" applyFill="1" applyBorder="1" applyAlignment="1">
      <alignment horizontal="center" vertical="top" wrapText="1"/>
    </xf>
    <xf numFmtId="1" fontId="5" fillId="10" borderId="11" xfId="0" applyNumberFormat="1" applyFont="1" applyFill="1" applyBorder="1" applyAlignment="1">
      <alignment horizontal="center" vertical="top" wrapText="1"/>
    </xf>
    <xf numFmtId="0" fontId="5" fillId="10" borderId="3" xfId="0" applyFont="1" applyFill="1" applyBorder="1" applyAlignment="1">
      <alignment horizontal="center" vertical="top" wrapText="1"/>
    </xf>
    <xf numFmtId="0" fontId="5" fillId="10" borderId="9" xfId="0" applyFont="1" applyFill="1" applyBorder="1" applyAlignment="1">
      <alignment horizontal="center" vertical="top" wrapText="1"/>
    </xf>
    <xf numFmtId="0" fontId="5" fillId="10" borderId="1" xfId="0" applyFont="1" applyFill="1" applyBorder="1" applyAlignment="1">
      <alignment horizontal="center" vertical="top" wrapText="1"/>
    </xf>
    <xf numFmtId="1" fontId="5" fillId="0" borderId="2" xfId="0" applyNumberFormat="1" applyFont="1" applyBorder="1" applyAlignment="1">
      <alignment horizontal="center" vertical="top" wrapText="1"/>
    </xf>
    <xf numFmtId="0" fontId="5" fillId="10" borderId="2" xfId="0" applyFont="1" applyFill="1" applyBorder="1" applyAlignment="1">
      <alignment horizontal="center" vertical="top" wrapText="1"/>
    </xf>
    <xf numFmtId="0" fontId="5" fillId="10" borderId="42" xfId="0" applyFont="1" applyFill="1" applyBorder="1" applyAlignment="1">
      <alignment horizontal="center" vertical="top" wrapText="1"/>
    </xf>
    <xf numFmtId="0" fontId="5" fillId="10" borderId="52" xfId="0" applyFont="1" applyFill="1" applyBorder="1" applyAlignment="1">
      <alignment horizontal="center" vertical="top" wrapText="1"/>
    </xf>
    <xf numFmtId="0" fontId="5" fillId="10" borderId="51" xfId="0" applyFont="1" applyFill="1" applyBorder="1" applyAlignment="1">
      <alignment horizontal="center" vertical="top" wrapText="1"/>
    </xf>
    <xf numFmtId="0" fontId="5" fillId="10" borderId="47" xfId="0" applyFont="1" applyFill="1" applyBorder="1" applyAlignment="1">
      <alignment horizontal="center" vertical="top" wrapText="1"/>
    </xf>
    <xf numFmtId="0" fontId="5" fillId="10" borderId="39" xfId="0" applyFont="1" applyFill="1" applyBorder="1" applyAlignment="1">
      <alignment horizontal="center" vertical="top" wrapText="1"/>
    </xf>
    <xf numFmtId="0" fontId="5" fillId="10" borderId="11" xfId="0" applyFont="1" applyFill="1" applyBorder="1" applyAlignment="1">
      <alignment horizontal="center" vertical="top" wrapText="1"/>
    </xf>
    <xf numFmtId="0" fontId="5" fillId="10" borderId="12" xfId="0" applyFont="1" applyFill="1" applyBorder="1" applyAlignment="1">
      <alignment horizontal="center" vertical="top" wrapText="1"/>
    </xf>
    <xf numFmtId="0" fontId="5" fillId="10" borderId="5" xfId="0" applyFont="1" applyFill="1" applyBorder="1" applyAlignment="1">
      <alignment horizontal="center" vertical="top" wrapText="1"/>
    </xf>
    <xf numFmtId="0" fontId="21" fillId="0" borderId="4" xfId="0" applyFont="1" applyBorder="1" applyAlignment="1">
      <alignment horizontal="center" vertical="top" wrapText="1"/>
    </xf>
    <xf numFmtId="0" fontId="0" fillId="0" borderId="0" xfId="0" applyAlignment="1">
      <alignment vertical="center" wrapText="1"/>
    </xf>
    <xf numFmtId="0" fontId="32" fillId="0" borderId="0" xfId="0" applyFont="1" applyAlignment="1">
      <alignment vertical="center" wrapText="1"/>
    </xf>
    <xf numFmtId="0" fontId="0" fillId="0" borderId="0" xfId="0" applyAlignment="1">
      <alignment horizontal="center" vertical="center" wrapText="1"/>
    </xf>
    <xf numFmtId="0" fontId="32" fillId="0" borderId="0" xfId="0" applyFont="1" applyAlignment="1">
      <alignment horizontal="center" vertical="center" wrapText="1"/>
    </xf>
    <xf numFmtId="2" fontId="5" fillId="10" borderId="14" xfId="0" applyNumberFormat="1" applyFont="1" applyFill="1" applyBorder="1" applyAlignment="1">
      <alignment horizontal="center" vertical="top" wrapText="1"/>
    </xf>
    <xf numFmtId="2" fontId="5" fillId="10" borderId="38" xfId="0" applyNumberFormat="1" applyFont="1" applyFill="1" applyBorder="1" applyAlignment="1">
      <alignment horizontal="center" vertical="top" wrapText="1"/>
    </xf>
    <xf numFmtId="2" fontId="5" fillId="10" borderId="9" xfId="0" applyNumberFormat="1" applyFont="1" applyFill="1" applyBorder="1" applyAlignment="1">
      <alignment horizontal="center" vertical="top" wrapText="1"/>
    </xf>
    <xf numFmtId="2" fontId="5" fillId="10" borderId="8" xfId="0" applyNumberFormat="1" applyFont="1" applyFill="1" applyBorder="1" applyAlignment="1">
      <alignment horizontal="center" vertical="top" wrapText="1"/>
    </xf>
    <xf numFmtId="2" fontId="5" fillId="7" borderId="59" xfId="0" applyNumberFormat="1" applyFont="1" applyFill="1" applyBorder="1" applyAlignment="1">
      <alignment horizontal="center" vertical="top" wrapText="1"/>
    </xf>
    <xf numFmtId="2" fontId="5" fillId="5" borderId="47" xfId="0" applyNumberFormat="1" applyFont="1" applyFill="1" applyBorder="1" applyAlignment="1">
      <alignment horizontal="center" vertical="top" wrapText="1"/>
    </xf>
    <xf numFmtId="2" fontId="5" fillId="5" borderId="1" xfId="0" applyNumberFormat="1" applyFont="1" applyFill="1" applyBorder="1" applyAlignment="1">
      <alignment horizontal="center" vertical="top" wrapText="1"/>
    </xf>
    <xf numFmtId="2" fontId="5" fillId="5" borderId="11" xfId="0" applyNumberFormat="1" applyFont="1" applyFill="1" applyBorder="1" applyAlignment="1">
      <alignment horizontal="center" vertical="top" wrapText="1"/>
    </xf>
    <xf numFmtId="2" fontId="5" fillId="7" borderId="4" xfId="0" applyNumberFormat="1" applyFont="1" applyFill="1" applyBorder="1" applyAlignment="1">
      <alignment horizontal="center" vertical="top" wrapText="1"/>
    </xf>
    <xf numFmtId="2" fontId="5" fillId="0" borderId="0" xfId="0" applyNumberFormat="1" applyFont="1" applyAlignment="1">
      <alignment horizontal="center" vertical="top" wrapText="1"/>
    </xf>
    <xf numFmtId="1" fontId="5" fillId="10" borderId="47" xfId="0" applyNumberFormat="1" applyFont="1" applyFill="1" applyBorder="1" applyAlignment="1">
      <alignment horizontal="center" vertical="top" wrapText="1"/>
    </xf>
    <xf numFmtId="0" fontId="22" fillId="10" borderId="7" xfId="0" applyFont="1" applyFill="1" applyBorder="1" applyAlignment="1">
      <alignment horizontal="center" vertical="top" wrapText="1"/>
    </xf>
    <xf numFmtId="0" fontId="22" fillId="10" borderId="3" xfId="0" applyFont="1" applyFill="1" applyBorder="1" applyAlignment="1">
      <alignment horizontal="center" vertical="top" wrapText="1"/>
    </xf>
    <xf numFmtId="0" fontId="22" fillId="10" borderId="9" xfId="0" applyFont="1" applyFill="1" applyBorder="1" applyAlignment="1">
      <alignment horizontal="center" vertical="top" wrapText="1"/>
    </xf>
    <xf numFmtId="2" fontId="22" fillId="7" borderId="30" xfId="0" applyNumberFormat="1" applyFont="1" applyFill="1" applyBorder="1" applyAlignment="1">
      <alignment horizontal="center" vertical="top" wrapText="1"/>
    </xf>
    <xf numFmtId="1" fontId="22" fillId="0" borderId="1" xfId="0" applyNumberFormat="1" applyFont="1" applyBorder="1" applyAlignment="1">
      <alignment horizontal="center" vertical="top" wrapText="1"/>
    </xf>
    <xf numFmtId="0" fontId="22" fillId="10" borderId="1" xfId="0" applyFont="1" applyFill="1" applyBorder="1" applyAlignment="1">
      <alignment horizontal="center" vertical="top" wrapText="1"/>
    </xf>
    <xf numFmtId="2" fontId="22" fillId="10" borderId="9" xfId="0" applyNumberFormat="1" applyFont="1" applyFill="1" applyBorder="1" applyAlignment="1">
      <alignment horizontal="center" vertical="top" wrapText="1"/>
    </xf>
    <xf numFmtId="2" fontId="22" fillId="10" borderId="8" xfId="0" applyNumberFormat="1" applyFont="1" applyFill="1" applyBorder="1" applyAlignment="1">
      <alignment horizontal="center" vertical="top" wrapText="1"/>
    </xf>
    <xf numFmtId="1" fontId="22" fillId="0" borderId="2" xfId="0" applyNumberFormat="1" applyFont="1" applyBorder="1" applyAlignment="1">
      <alignment horizontal="center" vertical="top" wrapText="1"/>
    </xf>
    <xf numFmtId="0" fontId="22" fillId="10" borderId="2" xfId="0" applyFont="1" applyFill="1" applyBorder="1" applyAlignment="1">
      <alignment horizontal="center" vertical="top" wrapText="1"/>
    </xf>
    <xf numFmtId="2" fontId="22" fillId="10" borderId="14" xfId="0" applyNumberFormat="1" applyFont="1" applyFill="1" applyBorder="1" applyAlignment="1">
      <alignment horizontal="center" vertical="top" wrapText="1"/>
    </xf>
    <xf numFmtId="0" fontId="22" fillId="10" borderId="51" xfId="0" applyFont="1" applyFill="1" applyBorder="1" applyAlignment="1">
      <alignment horizontal="center" vertical="top" wrapText="1"/>
    </xf>
    <xf numFmtId="0" fontId="22" fillId="10" borderId="47" xfId="0" applyFont="1" applyFill="1" applyBorder="1" applyAlignment="1">
      <alignment horizontal="center" vertical="top" wrapText="1"/>
    </xf>
    <xf numFmtId="0" fontId="22" fillId="10" borderId="39" xfId="0" applyFont="1" applyFill="1" applyBorder="1" applyAlignment="1">
      <alignment horizontal="center" vertical="top" wrapText="1"/>
    </xf>
    <xf numFmtId="2" fontId="22" fillId="7" borderId="26" xfId="0" applyNumberFormat="1" applyFont="1" applyFill="1" applyBorder="1" applyAlignment="1">
      <alignment horizontal="center" vertical="top" wrapText="1"/>
    </xf>
    <xf numFmtId="0" fontId="22" fillId="0" borderId="1" xfId="0" applyFont="1" applyBorder="1" applyAlignment="1">
      <alignment horizontal="center" vertical="top" wrapText="1"/>
    </xf>
    <xf numFmtId="0" fontId="22" fillId="0" borderId="11" xfId="0" applyFont="1" applyBorder="1" applyAlignment="1">
      <alignment horizontal="center" vertical="top" wrapText="1"/>
    </xf>
    <xf numFmtId="0" fontId="22" fillId="10" borderId="11" xfId="0" applyFont="1" applyFill="1" applyBorder="1" applyAlignment="1">
      <alignment horizontal="center" vertical="top" wrapText="1"/>
    </xf>
    <xf numFmtId="2" fontId="22" fillId="10" borderId="38" xfId="0" applyNumberFormat="1" applyFont="1" applyFill="1" applyBorder="1" applyAlignment="1">
      <alignment horizontal="center" vertical="top" wrapText="1"/>
    </xf>
    <xf numFmtId="1" fontId="22" fillId="0" borderId="11" xfId="0" applyNumberFormat="1" applyFont="1" applyBorder="1" applyAlignment="1">
      <alignment horizontal="center" vertical="top" wrapText="1"/>
    </xf>
    <xf numFmtId="0" fontId="22" fillId="0" borderId="2" xfId="0" applyFont="1" applyBorder="1" applyAlignment="1">
      <alignment horizontal="center" vertical="top" wrapText="1"/>
    </xf>
    <xf numFmtId="2" fontId="22" fillId="10" borderId="7" xfId="0" applyNumberFormat="1" applyFont="1" applyFill="1" applyBorder="1" applyAlignment="1">
      <alignment horizontal="center" vertical="top" wrapText="1"/>
    </xf>
    <xf numFmtId="2" fontId="5" fillId="0" borderId="42" xfId="0" applyNumberFormat="1" applyFont="1" applyBorder="1" applyAlignment="1">
      <alignment horizontal="center" vertical="top" wrapText="1"/>
    </xf>
    <xf numFmtId="0" fontId="22" fillId="10" borderId="42" xfId="0" applyFont="1" applyFill="1" applyBorder="1" applyAlignment="1">
      <alignment horizontal="center" vertical="top" wrapText="1"/>
    </xf>
    <xf numFmtId="0" fontId="22" fillId="10" borderId="29" xfId="0" applyFont="1" applyFill="1" applyBorder="1" applyAlignment="1">
      <alignment horizontal="center" vertical="top" wrapText="1"/>
    </xf>
    <xf numFmtId="2" fontId="22" fillId="0" borderId="42" xfId="0" applyNumberFormat="1" applyFont="1" applyBorder="1" applyAlignment="1">
      <alignment horizontal="center" vertical="top" wrapText="1"/>
    </xf>
    <xf numFmtId="2" fontId="22" fillId="5" borderId="47" xfId="0" applyNumberFormat="1" applyFont="1" applyFill="1" applyBorder="1" applyAlignment="1">
      <alignment horizontal="center" vertical="top" wrapText="1"/>
    </xf>
    <xf numFmtId="2" fontId="22" fillId="5" borderId="1" xfId="0" applyNumberFormat="1" applyFont="1" applyFill="1" applyBorder="1" applyAlignment="1">
      <alignment horizontal="center" vertical="top" wrapText="1"/>
    </xf>
    <xf numFmtId="2" fontId="22" fillId="5" borderId="11" xfId="0" applyNumberFormat="1" applyFont="1" applyFill="1" applyBorder="1" applyAlignment="1">
      <alignment horizontal="center" vertical="top" wrapText="1"/>
    </xf>
    <xf numFmtId="2" fontId="22" fillId="7" borderId="4" xfId="0" applyNumberFormat="1" applyFont="1" applyFill="1" applyBorder="1" applyAlignment="1">
      <alignment horizontal="center" vertical="top" wrapText="1"/>
    </xf>
    <xf numFmtId="2" fontId="22" fillId="0" borderId="0" xfId="0" applyNumberFormat="1" applyFont="1" applyAlignment="1">
      <alignment horizontal="center" vertical="top" wrapText="1"/>
    </xf>
    <xf numFmtId="0" fontId="22" fillId="0" borderId="0" xfId="0" applyFont="1" applyAlignment="1">
      <alignment vertical="center" wrapText="1"/>
    </xf>
    <xf numFmtId="0" fontId="26" fillId="0" borderId="0" xfId="0" applyFont="1" applyAlignment="1">
      <alignment vertical="center" wrapText="1"/>
    </xf>
    <xf numFmtId="1" fontId="5" fillId="10" borderId="7" xfId="0" applyNumberFormat="1" applyFont="1" applyFill="1" applyBorder="1" applyAlignment="1">
      <alignment horizontal="center" vertical="top" wrapText="1"/>
    </xf>
    <xf numFmtId="1" fontId="5" fillId="10" borderId="9" xfId="0" applyNumberFormat="1" applyFont="1" applyFill="1" applyBorder="1" applyAlignment="1">
      <alignment horizontal="center" vertical="top" wrapText="1"/>
    </xf>
    <xf numFmtId="1" fontId="5" fillId="10" borderId="2" xfId="0" applyNumberFormat="1" applyFont="1" applyFill="1" applyBorder="1" applyAlignment="1">
      <alignment horizontal="center" vertical="top" wrapText="1"/>
    </xf>
    <xf numFmtId="1" fontId="5" fillId="10" borderId="51" xfId="0" applyNumberFormat="1" applyFont="1" applyFill="1" applyBorder="1" applyAlignment="1">
      <alignment horizontal="center" vertical="top" wrapText="1"/>
    </xf>
    <xf numFmtId="1" fontId="5" fillId="10" borderId="39" xfId="0" applyNumberFormat="1" applyFont="1" applyFill="1" applyBorder="1" applyAlignment="1">
      <alignment horizontal="center" vertical="top" wrapText="1"/>
    </xf>
    <xf numFmtId="1" fontId="5" fillId="10" borderId="0" xfId="0" applyNumberFormat="1" applyFont="1" applyFill="1" applyAlignment="1">
      <alignment horizontal="center" vertical="top" wrapText="1"/>
    </xf>
    <xf numFmtId="2" fontId="5" fillId="8" borderId="30" xfId="0" applyNumberFormat="1" applyFont="1" applyFill="1" applyBorder="1" applyAlignment="1">
      <alignment horizontal="center" vertical="top" wrapText="1"/>
    </xf>
    <xf numFmtId="1" fontId="5" fillId="10" borderId="34" xfId="0" applyNumberFormat="1" applyFont="1" applyFill="1" applyBorder="1" applyAlignment="1">
      <alignment horizontal="center" vertical="top" wrapText="1"/>
    </xf>
    <xf numFmtId="2" fontId="5" fillId="8" borderId="26" xfId="0" applyNumberFormat="1" applyFont="1" applyFill="1" applyBorder="1" applyAlignment="1">
      <alignment horizontal="center" vertical="top" wrapText="1"/>
    </xf>
    <xf numFmtId="0" fontId="5" fillId="10" borderId="54" xfId="0" applyFont="1" applyFill="1" applyBorder="1" applyAlignment="1">
      <alignment horizontal="center" vertical="top" wrapText="1"/>
    </xf>
    <xf numFmtId="0" fontId="5" fillId="10" borderId="55" xfId="0" applyFont="1" applyFill="1" applyBorder="1" applyAlignment="1">
      <alignment horizontal="center" vertical="top" wrapText="1"/>
    </xf>
    <xf numFmtId="0" fontId="21" fillId="0" borderId="4" xfId="0" applyFont="1" applyBorder="1" applyAlignment="1">
      <alignment horizontal="center" vertical="top"/>
    </xf>
    <xf numFmtId="2" fontId="5" fillId="7" borderId="4" xfId="0" applyNumberFormat="1" applyFont="1" applyFill="1" applyBorder="1" applyAlignment="1">
      <alignment horizontal="center" vertical="top"/>
    </xf>
    <xf numFmtId="2" fontId="5" fillId="8" borderId="4" xfId="0" applyNumberFormat="1" applyFont="1" applyFill="1" applyBorder="1" applyAlignment="1">
      <alignment horizontal="center" vertical="top" wrapText="1"/>
    </xf>
    <xf numFmtId="1" fontId="5" fillId="0" borderId="0" xfId="0" applyNumberFormat="1" applyFont="1" applyAlignment="1">
      <alignment horizontal="center" vertical="top" wrapText="1"/>
    </xf>
    <xf numFmtId="0" fontId="5" fillId="0" borderId="0" xfId="0" applyFont="1" applyFill="1" applyAlignment="1">
      <alignment horizontal="left" vertical="center" wrapText="1"/>
    </xf>
    <xf numFmtId="0" fontId="26" fillId="0" borderId="0" xfId="0" applyFont="1" applyAlignment="1">
      <alignment horizontal="left" vertical="center" wrapText="1"/>
    </xf>
    <xf numFmtId="0" fontId="5" fillId="0" borderId="0" xfId="0" applyFont="1" applyAlignment="1">
      <alignment horizontal="left" vertical="center" wrapText="1"/>
    </xf>
    <xf numFmtId="0" fontId="5" fillId="0" borderId="25" xfId="0" applyFont="1" applyBorder="1" applyAlignment="1">
      <alignment horizontal="left" vertical="top" wrapText="1"/>
    </xf>
    <xf numFmtId="1" fontId="5" fillId="0" borderId="58" xfId="0" applyNumberFormat="1" applyFont="1" applyBorder="1" applyAlignment="1">
      <alignment horizontal="left" vertical="top" wrapText="1"/>
    </xf>
    <xf numFmtId="1" fontId="5" fillId="0" borderId="43" xfId="0" applyNumberFormat="1" applyFont="1" applyBorder="1" applyAlignment="1">
      <alignment horizontal="left" vertical="top" wrapText="1"/>
    </xf>
    <xf numFmtId="0" fontId="5" fillId="0" borderId="0" xfId="0" applyFont="1" applyBorder="1" applyAlignment="1">
      <alignment horizontal="left" vertical="top" wrapText="1"/>
    </xf>
    <xf numFmtId="49" fontId="5" fillId="0" borderId="43" xfId="0" applyNumberFormat="1" applyFont="1" applyBorder="1" applyAlignment="1">
      <alignment horizontal="left" vertical="top" wrapText="1"/>
    </xf>
    <xf numFmtId="0" fontId="5" fillId="0" borderId="27" xfId="0" applyFont="1" applyBorder="1" applyAlignment="1">
      <alignment horizontal="left" vertical="top" wrapText="1"/>
    </xf>
    <xf numFmtId="2" fontId="6" fillId="18" borderId="52" xfId="0" applyNumberFormat="1" applyFont="1" applyFill="1" applyBorder="1" applyAlignment="1">
      <alignment horizontal="center" vertical="center" wrapText="1"/>
    </xf>
    <xf numFmtId="1" fontId="5" fillId="0" borderId="51" xfId="0" applyNumberFormat="1" applyFont="1" applyBorder="1" applyAlignment="1">
      <alignment horizontal="left" vertical="top" wrapText="1"/>
    </xf>
    <xf numFmtId="1" fontId="5" fillId="0" borderId="10" xfId="0" applyNumberFormat="1" applyFont="1" applyBorder="1" applyAlignment="1">
      <alignment horizontal="left" vertical="top" wrapText="1"/>
    </xf>
    <xf numFmtId="0" fontId="5" fillId="0" borderId="62" xfId="0" applyFont="1" applyBorder="1" applyAlignment="1">
      <alignment horizontal="left" vertical="top" wrapText="1"/>
    </xf>
    <xf numFmtId="2" fontId="6" fillId="8" borderId="29" xfId="0" applyNumberFormat="1" applyFont="1" applyFill="1" applyBorder="1" applyAlignment="1">
      <alignment horizontal="center" vertical="center" wrapText="1"/>
    </xf>
    <xf numFmtId="0" fontId="5" fillId="0" borderId="34" xfId="0" applyFont="1" applyBorder="1" applyAlignment="1">
      <alignment horizontal="left" vertical="top" wrapText="1"/>
    </xf>
    <xf numFmtId="2" fontId="5" fillId="10" borderId="13" xfId="0" applyNumberFormat="1" applyFont="1" applyFill="1" applyBorder="1" applyAlignment="1">
      <alignment horizontal="center" vertical="top" wrapText="1"/>
    </xf>
    <xf numFmtId="0" fontId="5" fillId="0" borderId="58" xfId="0" applyFont="1" applyBorder="1" applyAlignment="1">
      <alignment horizontal="center" vertical="top" wrapText="1"/>
    </xf>
    <xf numFmtId="0" fontId="5" fillId="10" borderId="58" xfId="0" applyFont="1" applyFill="1" applyBorder="1" applyAlignment="1">
      <alignment horizontal="center" vertical="top" wrapText="1"/>
    </xf>
    <xf numFmtId="0" fontId="5" fillId="10" borderId="13" xfId="0" applyFont="1" applyFill="1" applyBorder="1" applyAlignment="1">
      <alignment horizontal="center" vertical="top" wrapText="1"/>
    </xf>
    <xf numFmtId="0" fontId="5" fillId="10" borderId="36" xfId="0" applyFont="1" applyFill="1" applyBorder="1" applyAlignment="1">
      <alignment horizontal="center" vertical="top" wrapText="1"/>
    </xf>
    <xf numFmtId="0" fontId="5" fillId="10" borderId="8" xfId="0" applyFont="1" applyFill="1" applyBorder="1" applyAlignment="1">
      <alignment horizontal="center" vertical="top" wrapText="1"/>
    </xf>
    <xf numFmtId="0" fontId="5" fillId="10" borderId="62" xfId="0" applyFont="1" applyFill="1" applyBorder="1" applyAlignment="1">
      <alignment horizontal="center" vertical="top" wrapText="1"/>
    </xf>
    <xf numFmtId="0" fontId="5" fillId="0" borderId="0" xfId="0" applyFont="1" applyAlignment="1">
      <alignment horizontal="center" vertical="top"/>
    </xf>
    <xf numFmtId="2" fontId="5" fillId="0" borderId="0" xfId="0" applyNumberFormat="1" applyFont="1" applyAlignment="1">
      <alignment horizontal="center" vertical="top"/>
    </xf>
    <xf numFmtId="2" fontId="5" fillId="5" borderId="47" xfId="0" applyNumberFormat="1" applyFont="1" applyFill="1" applyBorder="1" applyAlignment="1">
      <alignment horizontal="center" vertical="top"/>
    </xf>
    <xf numFmtId="2" fontId="5" fillId="5" borderId="1" xfId="0" applyNumberFormat="1" applyFont="1" applyFill="1" applyBorder="1" applyAlignment="1">
      <alignment horizontal="center" vertical="top"/>
    </xf>
    <xf numFmtId="2" fontId="5" fillId="5" borderId="11" xfId="0" applyNumberFormat="1" applyFont="1" applyFill="1" applyBorder="1" applyAlignment="1">
      <alignment horizontal="center" vertical="top"/>
    </xf>
    <xf numFmtId="2" fontId="5" fillId="8" borderId="4" xfId="0" applyNumberFormat="1" applyFont="1" applyFill="1" applyBorder="1" applyAlignment="1">
      <alignment horizontal="center" vertical="top"/>
    </xf>
    <xf numFmtId="0" fontId="5" fillId="0" borderId="0" xfId="0" applyFont="1" applyAlignment="1">
      <alignment vertical="center" wrapText="1"/>
    </xf>
    <xf numFmtId="0" fontId="5" fillId="0" borderId="6" xfId="0" applyFont="1" applyBorder="1" applyAlignment="1">
      <alignment horizontal="left" vertical="top"/>
    </xf>
    <xf numFmtId="0" fontId="28" fillId="7" borderId="25" xfId="0" applyFont="1" applyFill="1" applyBorder="1" applyAlignment="1">
      <alignment horizontal="center" vertical="center" wrapText="1"/>
    </xf>
    <xf numFmtId="49" fontId="28" fillId="7" borderId="34" xfId="0" applyNumberFormat="1" applyFont="1" applyFill="1" applyBorder="1" applyAlignment="1">
      <alignment horizontal="center" vertical="center" wrapText="1"/>
    </xf>
    <xf numFmtId="0" fontId="28" fillId="7" borderId="24" xfId="0" applyFont="1" applyFill="1" applyBorder="1" applyAlignment="1">
      <alignment horizontal="center" vertical="center" wrapText="1"/>
    </xf>
    <xf numFmtId="1" fontId="28" fillId="7" borderId="34" xfId="0" applyNumberFormat="1" applyFont="1" applyFill="1" applyBorder="1" applyAlignment="1" applyProtection="1">
      <alignment horizontal="center" vertical="center" wrapText="1"/>
      <protection hidden="1"/>
    </xf>
    <xf numFmtId="0" fontId="28" fillId="7" borderId="24" xfId="0" applyFont="1" applyFill="1" applyBorder="1" applyAlignment="1" applyProtection="1">
      <alignment horizontal="center" vertical="center" wrapText="1"/>
      <protection hidden="1"/>
    </xf>
    <xf numFmtId="2" fontId="28" fillId="7" borderId="34" xfId="0" applyNumberFormat="1" applyFont="1" applyFill="1" applyBorder="1" applyAlignment="1" applyProtection="1">
      <alignment horizontal="center" vertical="center" wrapText="1"/>
    </xf>
    <xf numFmtId="0" fontId="5" fillId="0" borderId="14" xfId="0" applyFont="1" applyBorder="1" applyAlignment="1">
      <alignment horizontal="center" vertical="top" wrapText="1"/>
    </xf>
    <xf numFmtId="0" fontId="5" fillId="0" borderId="42" xfId="0" applyFont="1" applyBorder="1" applyAlignment="1">
      <alignment horizontal="center" vertical="top" wrapText="1"/>
    </xf>
    <xf numFmtId="0" fontId="5" fillId="0" borderId="26" xfId="0" applyFont="1" applyBorder="1" applyAlignment="1">
      <alignment vertical="top" wrapText="1"/>
    </xf>
    <xf numFmtId="0" fontId="5" fillId="0" borderId="62" xfId="0" applyFont="1" applyBorder="1" applyAlignment="1">
      <alignment vertical="top" wrapText="1"/>
    </xf>
    <xf numFmtId="17" fontId="5" fillId="0" borderId="10" xfId="0" applyNumberFormat="1" applyFont="1" applyBorder="1" applyAlignment="1">
      <alignment vertical="top" wrapText="1"/>
    </xf>
    <xf numFmtId="17" fontId="5" fillId="0" borderId="58" xfId="0" applyNumberFormat="1" applyFont="1" applyBorder="1" applyAlignment="1">
      <alignment vertical="top" wrapText="1"/>
    </xf>
    <xf numFmtId="0" fontId="5" fillId="0" borderId="54" xfId="0" applyFont="1" applyFill="1" applyBorder="1" applyAlignment="1">
      <alignment vertical="top" wrapText="1"/>
    </xf>
    <xf numFmtId="0" fontId="5" fillId="0" borderId="52" xfId="0" applyFont="1" applyBorder="1" applyAlignment="1">
      <alignment vertical="top" wrapText="1"/>
    </xf>
    <xf numFmtId="2" fontId="6" fillId="8" borderId="52" xfId="0" applyNumberFormat="1" applyFont="1" applyFill="1" applyBorder="1" applyAlignment="1">
      <alignment horizontal="center" vertical="center" wrapText="1"/>
    </xf>
    <xf numFmtId="0" fontId="5" fillId="0" borderId="70" xfId="0" applyFont="1" applyBorder="1" applyAlignment="1">
      <alignment vertical="top" wrapText="1"/>
    </xf>
    <xf numFmtId="0" fontId="5" fillId="0" borderId="3" xfId="0" applyFont="1" applyBorder="1" applyAlignment="1">
      <alignment horizontal="center" vertical="top" wrapText="1"/>
    </xf>
    <xf numFmtId="0" fontId="5" fillId="0" borderId="36" xfId="0" applyFont="1" applyBorder="1" applyAlignment="1">
      <alignment horizontal="center" vertical="top" wrapText="1"/>
    </xf>
    <xf numFmtId="1" fontId="5" fillId="0" borderId="58" xfId="0" applyNumberFormat="1" applyFont="1" applyBorder="1" applyAlignment="1">
      <alignment horizontal="center" vertical="top" wrapText="1"/>
    </xf>
    <xf numFmtId="1" fontId="5" fillId="0" borderId="58" xfId="0" applyNumberFormat="1" applyFont="1" applyBorder="1" applyAlignment="1">
      <alignment vertical="top" wrapText="1"/>
    </xf>
    <xf numFmtId="0" fontId="5" fillId="0" borderId="55" xfId="0" applyFont="1" applyBorder="1" applyAlignment="1">
      <alignment horizontal="center" vertical="top" wrapText="1"/>
    </xf>
    <xf numFmtId="0" fontId="5" fillId="0" borderId="69" xfId="0" applyFont="1" applyFill="1" applyBorder="1" applyAlignment="1">
      <alignment vertical="top" wrapText="1"/>
    </xf>
    <xf numFmtId="0" fontId="5" fillId="0" borderId="24" xfId="0" applyFont="1" applyFill="1" applyBorder="1" applyAlignment="1">
      <alignment vertical="top" wrapText="1"/>
    </xf>
    <xf numFmtId="2" fontId="5" fillId="7" borderId="69" xfId="0" applyNumberFormat="1" applyFont="1" applyFill="1" applyBorder="1" applyAlignment="1">
      <alignment horizontal="center" vertical="top" wrapText="1"/>
    </xf>
    <xf numFmtId="0" fontId="5" fillId="0" borderId="26" xfId="0" applyFont="1" applyBorder="1" applyAlignment="1">
      <alignment horizontal="center" vertical="top" wrapText="1"/>
    </xf>
    <xf numFmtId="0" fontId="5" fillId="10" borderId="29" xfId="0" applyFont="1" applyFill="1" applyBorder="1" applyAlignment="1">
      <alignment horizontal="center" vertical="top" wrapText="1"/>
    </xf>
    <xf numFmtId="1" fontId="5" fillId="0" borderId="42" xfId="0" applyNumberFormat="1" applyFont="1" applyBorder="1" applyAlignment="1">
      <alignment horizontal="center" vertical="top" wrapText="1"/>
    </xf>
    <xf numFmtId="0" fontId="5" fillId="0" borderId="28" xfId="0" applyFont="1" applyBorder="1" applyAlignment="1">
      <alignment vertical="top" wrapText="1"/>
    </xf>
    <xf numFmtId="0" fontId="5" fillId="0" borderId="28" xfId="0" applyFont="1" applyBorder="1" applyAlignment="1">
      <alignment horizontal="left" vertical="top" wrapText="1"/>
    </xf>
    <xf numFmtId="0" fontId="5" fillId="0" borderId="21" xfId="0" applyFont="1" applyBorder="1" applyAlignment="1">
      <alignment horizontal="left" vertical="top" wrapText="1"/>
    </xf>
    <xf numFmtId="49" fontId="5" fillId="0" borderId="57" xfId="0" applyNumberFormat="1" applyFont="1" applyBorder="1" applyAlignment="1">
      <alignment horizontal="left" vertical="top" wrapText="1"/>
    </xf>
    <xf numFmtId="49" fontId="5" fillId="0" borderId="27" xfId="0" applyNumberFormat="1" applyFont="1" applyBorder="1" applyAlignment="1">
      <alignment horizontal="left" vertical="top" wrapText="1"/>
    </xf>
    <xf numFmtId="49" fontId="5" fillId="0" borderId="21" xfId="0" applyNumberFormat="1" applyFont="1" applyBorder="1" applyAlignment="1">
      <alignment horizontal="left" vertical="top" wrapText="1"/>
    </xf>
    <xf numFmtId="49" fontId="5" fillId="0" borderId="22" xfId="0" applyNumberFormat="1" applyFont="1" applyBorder="1" applyAlignment="1">
      <alignment horizontal="left" vertical="top" wrapText="1"/>
    </xf>
    <xf numFmtId="0" fontId="5" fillId="0" borderId="71" xfId="0" applyFont="1" applyBorder="1" applyAlignment="1">
      <alignment horizontal="left" vertical="top" wrapText="1"/>
    </xf>
    <xf numFmtId="2" fontId="5" fillId="7" borderId="29" xfId="0" applyNumberFormat="1" applyFont="1" applyFill="1" applyBorder="1" applyAlignment="1">
      <alignment horizontal="center" vertical="top" wrapText="1"/>
    </xf>
    <xf numFmtId="2" fontId="5" fillId="8" borderId="69" xfId="0" applyNumberFormat="1" applyFont="1" applyFill="1" applyBorder="1" applyAlignment="1">
      <alignment horizontal="center" vertical="top" wrapText="1"/>
    </xf>
    <xf numFmtId="1" fontId="9" fillId="0" borderId="0" xfId="0" applyNumberFormat="1" applyFont="1" applyAlignment="1">
      <alignment horizontal="center" vertical="top" wrapText="1"/>
    </xf>
    <xf numFmtId="0" fontId="9" fillId="0" borderId="0" xfId="0" applyFont="1" applyAlignment="1">
      <alignment horizontal="center" vertical="top" wrapText="1"/>
    </xf>
    <xf numFmtId="2" fontId="9" fillId="0" borderId="0" xfId="0" applyNumberFormat="1" applyFont="1" applyAlignment="1">
      <alignment horizontal="center" vertical="top" wrapText="1"/>
    </xf>
    <xf numFmtId="17" fontId="5" fillId="0" borderId="10" xfId="0" applyNumberFormat="1" applyFont="1" applyBorder="1" applyAlignment="1">
      <alignment horizontal="left" vertical="top" wrapText="1"/>
    </xf>
    <xf numFmtId="17" fontId="5" fillId="0" borderId="58" xfId="0" applyNumberFormat="1" applyFont="1" applyBorder="1" applyAlignment="1">
      <alignment horizontal="left" vertical="top" wrapText="1"/>
    </xf>
    <xf numFmtId="49" fontId="5" fillId="0" borderId="33" xfId="0" applyNumberFormat="1" applyFont="1" applyBorder="1" applyAlignment="1">
      <alignment horizontal="left" vertical="top" wrapText="1"/>
    </xf>
    <xf numFmtId="2" fontId="5" fillId="8" borderId="8" xfId="0" applyNumberFormat="1" applyFont="1" applyFill="1" applyBorder="1" applyAlignment="1">
      <alignment horizontal="center" vertical="top" wrapText="1"/>
    </xf>
    <xf numFmtId="1" fontId="5" fillId="0" borderId="7" xfId="0" applyNumberFormat="1" applyFont="1" applyBorder="1" applyAlignment="1">
      <alignment horizontal="left" vertical="top" wrapText="1"/>
    </xf>
    <xf numFmtId="0" fontId="5" fillId="10" borderId="14" xfId="0" applyFont="1" applyFill="1" applyBorder="1" applyAlignment="1">
      <alignment horizontal="center" vertical="top" wrapText="1"/>
    </xf>
    <xf numFmtId="2" fontId="5" fillId="10" borderId="1" xfId="0" applyNumberFormat="1" applyFont="1" applyFill="1" applyBorder="1" applyAlignment="1">
      <alignment horizontal="center" vertical="top" wrapText="1"/>
    </xf>
    <xf numFmtId="0" fontId="5" fillId="5" borderId="56" xfId="0" applyFont="1" applyFill="1" applyBorder="1" applyAlignment="1">
      <alignment vertical="top"/>
    </xf>
    <xf numFmtId="0" fontId="5" fillId="5" borderId="49" xfId="0" applyFont="1" applyFill="1" applyBorder="1" applyAlignment="1">
      <alignment vertical="top"/>
    </xf>
    <xf numFmtId="0" fontId="5" fillId="5" borderId="50" xfId="0" applyFont="1" applyFill="1" applyBorder="1" applyAlignment="1">
      <alignment vertical="top"/>
    </xf>
    <xf numFmtId="0" fontId="9" fillId="0" borderId="0" xfId="0" applyFont="1" applyBorder="1" applyAlignment="1">
      <alignment horizontal="center" vertical="top" wrapText="1"/>
    </xf>
    <xf numFmtId="2" fontId="5" fillId="8" borderId="59" xfId="0" applyNumberFormat="1" applyFont="1" applyFill="1" applyBorder="1" applyAlignment="1">
      <alignment horizontal="center" vertical="top" wrapText="1"/>
    </xf>
    <xf numFmtId="0" fontId="5" fillId="0" borderId="53" xfId="0" applyFont="1" applyBorder="1" applyAlignment="1">
      <alignment horizontal="left" vertical="top" wrapText="1"/>
    </xf>
    <xf numFmtId="0" fontId="5" fillId="10" borderId="38" xfId="0" applyFont="1" applyFill="1" applyBorder="1" applyAlignment="1">
      <alignment horizontal="center" vertical="top" wrapText="1"/>
    </xf>
    <xf numFmtId="0" fontId="22" fillId="10" borderId="8" xfId="0" applyFont="1" applyFill="1" applyBorder="1" applyAlignment="1">
      <alignment horizontal="center" vertical="top" wrapText="1"/>
    </xf>
    <xf numFmtId="2" fontId="22" fillId="8" borderId="26" xfId="0" applyNumberFormat="1" applyFont="1" applyFill="1" applyBorder="1" applyAlignment="1">
      <alignment horizontal="center" vertical="top" wrapText="1"/>
    </xf>
    <xf numFmtId="2" fontId="22" fillId="8" borderId="30" xfId="0" applyNumberFormat="1" applyFont="1" applyFill="1" applyBorder="1" applyAlignment="1">
      <alignment horizontal="center" vertical="top" wrapText="1"/>
    </xf>
    <xf numFmtId="0" fontId="22" fillId="0" borderId="42" xfId="0" applyFont="1" applyBorder="1" applyAlignment="1">
      <alignment horizontal="center" vertical="top" wrapText="1"/>
    </xf>
    <xf numFmtId="2" fontId="22" fillId="8" borderId="4" xfId="0" applyNumberFormat="1" applyFont="1" applyFill="1" applyBorder="1" applyAlignment="1">
      <alignment horizontal="center" vertical="top" wrapText="1"/>
    </xf>
    <xf numFmtId="0" fontId="22" fillId="10" borderId="38" xfId="0" applyFont="1" applyFill="1" applyBorder="1" applyAlignment="1">
      <alignment horizontal="center" vertical="top" wrapText="1"/>
    </xf>
    <xf numFmtId="0" fontId="22" fillId="10" borderId="55" xfId="0" applyFont="1" applyFill="1" applyBorder="1" applyAlignment="1">
      <alignment horizontal="center" vertical="top" wrapText="1"/>
    </xf>
    <xf numFmtId="0" fontId="22" fillId="10" borderId="12" xfId="0" applyFont="1" applyFill="1" applyBorder="1" applyAlignment="1">
      <alignment horizontal="center" vertical="top" wrapText="1"/>
    </xf>
    <xf numFmtId="0" fontId="22" fillId="10" borderId="5" xfId="0" applyFont="1" applyFill="1" applyBorder="1" applyAlignment="1">
      <alignment horizontal="center" vertical="top" wrapText="1"/>
    </xf>
    <xf numFmtId="0" fontId="22" fillId="10" borderId="52" xfId="0" applyFont="1" applyFill="1" applyBorder="1" applyAlignment="1">
      <alignment horizontal="center" vertical="top" wrapText="1"/>
    </xf>
    <xf numFmtId="0" fontId="22" fillId="0" borderId="26" xfId="0" applyFont="1" applyBorder="1" applyAlignment="1">
      <alignment vertical="top" wrapText="1"/>
    </xf>
    <xf numFmtId="0" fontId="22" fillId="0" borderId="26" xfId="0" applyFont="1" applyBorder="1" applyAlignment="1">
      <alignment horizontal="left" vertical="top" wrapText="1"/>
    </xf>
    <xf numFmtId="0" fontId="22" fillId="0" borderId="15" xfId="0" applyFont="1" applyBorder="1" applyAlignment="1">
      <alignment vertical="top" wrapText="1"/>
    </xf>
    <xf numFmtId="2" fontId="22" fillId="8" borderId="59" xfId="0" applyNumberFormat="1" applyFont="1" applyFill="1" applyBorder="1" applyAlignment="1">
      <alignment horizontal="center" vertical="top" wrapText="1"/>
    </xf>
    <xf numFmtId="2" fontId="6" fillId="9" borderId="26" xfId="0" applyNumberFormat="1" applyFont="1" applyFill="1" applyBorder="1" applyAlignment="1">
      <alignment horizontal="center" vertical="center" wrapText="1"/>
    </xf>
    <xf numFmtId="17" fontId="5" fillId="0" borderId="43" xfId="0" applyNumberFormat="1" applyFont="1" applyBorder="1" applyAlignment="1">
      <alignment vertical="top" wrapText="1"/>
    </xf>
    <xf numFmtId="0" fontId="5" fillId="0" borderId="15" xfId="0" applyFont="1" applyBorder="1" applyAlignment="1">
      <alignment horizontal="right" vertical="center" wrapText="1"/>
    </xf>
    <xf numFmtId="0" fontId="5" fillId="0" borderId="0" xfId="0" applyFont="1" applyBorder="1" applyAlignment="1">
      <alignment horizontal="right" vertical="center" wrapText="1"/>
    </xf>
    <xf numFmtId="2" fontId="6" fillId="9" borderId="4" xfId="0" applyNumberFormat="1" applyFont="1" applyFill="1" applyBorder="1" applyAlignment="1">
      <alignment horizontal="center" vertical="center" wrapText="1"/>
    </xf>
    <xf numFmtId="0" fontId="5" fillId="0" borderId="23" xfId="0" applyFont="1" applyBorder="1" applyAlignment="1">
      <alignment vertical="top" wrapText="1"/>
    </xf>
    <xf numFmtId="49" fontId="5" fillId="0" borderId="45" xfId="0" applyNumberFormat="1" applyFont="1" applyBorder="1" applyAlignment="1">
      <alignment vertical="top" wrapText="1"/>
    </xf>
    <xf numFmtId="2" fontId="6" fillId="21" borderId="4" xfId="0" applyNumberFormat="1" applyFont="1" applyFill="1" applyBorder="1" applyAlignment="1">
      <alignment horizontal="center" vertical="center" wrapText="1"/>
    </xf>
    <xf numFmtId="2" fontId="6" fillId="21" borderId="15" xfId="0" applyNumberFormat="1" applyFont="1" applyFill="1" applyBorder="1" applyAlignment="1">
      <alignment horizontal="center" vertical="center" wrapText="1"/>
    </xf>
    <xf numFmtId="2" fontId="6" fillId="9" borderId="15" xfId="0" applyNumberFormat="1" applyFont="1" applyFill="1" applyBorder="1" applyAlignment="1">
      <alignment horizontal="center" vertical="center" wrapText="1"/>
    </xf>
    <xf numFmtId="0" fontId="6" fillId="0" borderId="4" xfId="0" applyFont="1" applyFill="1" applyBorder="1" applyAlignment="1">
      <alignment horizontal="right" vertical="top" wrapText="1"/>
    </xf>
    <xf numFmtId="0" fontId="5" fillId="0" borderId="0" xfId="0" applyFont="1" applyBorder="1" applyAlignment="1">
      <alignment horizontal="center" vertical="top" wrapText="1"/>
    </xf>
    <xf numFmtId="0" fontId="34" fillId="0" borderId="15" xfId="0" applyFont="1" applyBorder="1" applyAlignment="1">
      <alignment horizontal="center" vertical="top" wrapText="1"/>
    </xf>
    <xf numFmtId="2" fontId="5" fillId="9" borderId="4" xfId="0" applyNumberFormat="1" applyFont="1" applyFill="1" applyBorder="1" applyAlignment="1">
      <alignment horizontal="center" vertical="top" wrapText="1"/>
    </xf>
    <xf numFmtId="2" fontId="5" fillId="9" borderId="26" xfId="0" applyNumberFormat="1" applyFont="1" applyFill="1" applyBorder="1" applyAlignment="1">
      <alignment horizontal="center" vertical="top" wrapText="1"/>
    </xf>
    <xf numFmtId="2" fontId="5" fillId="9" borderId="30" xfId="0" applyNumberFormat="1" applyFont="1" applyFill="1" applyBorder="1" applyAlignment="1">
      <alignment horizontal="center" vertical="top" wrapText="1"/>
    </xf>
    <xf numFmtId="2" fontId="5" fillId="10" borderId="29" xfId="0" applyNumberFormat="1" applyFont="1" applyFill="1" applyBorder="1" applyAlignment="1">
      <alignment horizontal="center" vertical="top" wrapText="1"/>
    </xf>
    <xf numFmtId="2" fontId="5" fillId="9" borderId="45" xfId="0" applyNumberFormat="1" applyFont="1" applyFill="1" applyBorder="1" applyAlignment="1">
      <alignment horizontal="center" vertical="top" wrapText="1"/>
    </xf>
    <xf numFmtId="0" fontId="5" fillId="0" borderId="57" xfId="0" applyFont="1" applyBorder="1" applyAlignment="1">
      <alignment horizontal="center" vertical="top" wrapText="1"/>
    </xf>
    <xf numFmtId="49" fontId="17" fillId="0" borderId="10" xfId="1" applyNumberFormat="1" applyFont="1" applyFill="1" applyBorder="1" applyAlignment="1">
      <alignment vertical="center" wrapText="1"/>
    </xf>
    <xf numFmtId="49" fontId="1" fillId="0" borderId="1" xfId="1" applyNumberFormat="1" applyFont="1" applyFill="1" applyBorder="1" applyAlignment="1">
      <alignment horizontal="center" vertical="center" wrapText="1"/>
    </xf>
    <xf numFmtId="49" fontId="1" fillId="0" borderId="8" xfId="1" applyNumberFormat="1" applyFont="1" applyFill="1" applyBorder="1" applyAlignment="1">
      <alignment horizontal="center" vertical="center" wrapText="1"/>
    </xf>
    <xf numFmtId="49" fontId="1" fillId="0" borderId="3" xfId="1" applyNumberFormat="1" applyFont="1" applyFill="1" applyBorder="1" applyAlignment="1">
      <alignment horizontal="center" vertical="center" wrapText="1"/>
    </xf>
    <xf numFmtId="49" fontId="1" fillId="0" borderId="9" xfId="1" applyNumberFormat="1" applyFont="1" applyFill="1" applyBorder="1" applyAlignment="1">
      <alignment horizontal="center" vertical="center" wrapText="1"/>
    </xf>
    <xf numFmtId="49" fontId="1" fillId="0" borderId="14" xfId="1" applyNumberFormat="1" applyFont="1" applyFill="1" applyBorder="1" applyAlignment="1">
      <alignment horizontal="center" vertical="center" wrapText="1"/>
    </xf>
    <xf numFmtId="49" fontId="17" fillId="0" borderId="1" xfId="1" applyNumberFormat="1" applyFont="1" applyFill="1" applyBorder="1" applyAlignment="1">
      <alignment vertical="center" wrapText="1"/>
    </xf>
    <xf numFmtId="49" fontId="17" fillId="0" borderId="58" xfId="1" applyNumberFormat="1" applyFont="1" applyFill="1" applyBorder="1" applyAlignment="1">
      <alignment vertical="center" wrapText="1"/>
    </xf>
    <xf numFmtId="49" fontId="62" fillId="0" borderId="4" xfId="1" applyNumberFormat="1" applyFont="1" applyFill="1" applyBorder="1" applyAlignment="1">
      <alignment horizontal="center" vertical="center" wrapText="1"/>
    </xf>
    <xf numFmtId="49" fontId="62" fillId="0" borderId="32" xfId="1" applyNumberFormat="1" applyFont="1" applyFill="1" applyBorder="1" applyAlignment="1">
      <alignment horizontal="center" vertical="center" wrapText="1"/>
    </xf>
    <xf numFmtId="49" fontId="62" fillId="0" borderId="22" xfId="1" applyNumberFormat="1" applyFont="1" applyFill="1" applyBorder="1" applyAlignment="1">
      <alignment horizontal="center" vertical="center" wrapText="1"/>
    </xf>
    <xf numFmtId="49" fontId="62" fillId="0" borderId="26" xfId="1" applyNumberFormat="1" applyFont="1" applyFill="1" applyBorder="1" applyAlignment="1">
      <alignment horizontal="center" vertical="center" wrapText="1"/>
    </xf>
    <xf numFmtId="49" fontId="1" fillId="0" borderId="39" xfId="1" applyNumberFormat="1" applyFont="1" applyBorder="1" applyAlignment="1">
      <alignment horizontal="center" vertical="center" wrapText="1"/>
    </xf>
    <xf numFmtId="49" fontId="1" fillId="0" borderId="28" xfId="1" applyNumberFormat="1" applyFont="1" applyBorder="1" applyAlignment="1">
      <alignment horizontal="right" vertical="center" wrapText="1"/>
    </xf>
    <xf numFmtId="49" fontId="62" fillId="0" borderId="30" xfId="1" applyNumberFormat="1" applyFont="1" applyFill="1" applyBorder="1" applyAlignment="1">
      <alignment horizontal="center" vertical="center" wrapText="1"/>
    </xf>
    <xf numFmtId="49" fontId="5" fillId="0" borderId="8" xfId="1" applyNumberFormat="1" applyFont="1" applyBorder="1" applyAlignment="1">
      <alignment horizontal="center" vertical="center" wrapText="1"/>
    </xf>
    <xf numFmtId="0" fontId="10" fillId="13" borderId="24" xfId="0" applyFont="1" applyFill="1" applyBorder="1" applyAlignment="1">
      <alignment horizontal="left"/>
    </xf>
    <xf numFmtId="49" fontId="49" fillId="0" borderId="20" xfId="1" applyNumberFormat="1" applyFont="1" applyBorder="1" applyAlignment="1" applyProtection="1">
      <alignment horizontal="center" vertical="center" wrapText="1"/>
      <protection locked="0"/>
    </xf>
    <xf numFmtId="49" fontId="49" fillId="13" borderId="70" xfId="1" applyNumberFormat="1" applyFont="1" applyFill="1" applyBorder="1" applyAlignment="1" applyProtection="1">
      <alignment horizontal="center" vertical="center" wrapText="1"/>
      <protection locked="0"/>
    </xf>
    <xf numFmtId="49" fontId="5" fillId="6" borderId="70" xfId="1" applyNumberFormat="1" applyFont="1" applyFill="1" applyBorder="1" applyAlignment="1" applyProtection="1">
      <alignment horizontal="center" vertical="center" wrapText="1"/>
      <protection locked="0"/>
    </xf>
    <xf numFmtId="1" fontId="49" fillId="16" borderId="45" xfId="1" applyNumberFormat="1" applyFont="1" applyFill="1" applyBorder="1" applyAlignment="1">
      <alignment horizontal="center" vertical="center"/>
    </xf>
    <xf numFmtId="0" fontId="49" fillId="13" borderId="70" xfId="1" applyFont="1" applyFill="1" applyBorder="1" applyAlignment="1">
      <alignment horizontal="center"/>
    </xf>
    <xf numFmtId="0" fontId="10" fillId="13" borderId="20" xfId="0" applyFont="1" applyFill="1" applyBorder="1" applyAlignment="1">
      <alignment vertical="center"/>
    </xf>
    <xf numFmtId="49" fontId="49" fillId="0" borderId="70" xfId="1" applyNumberFormat="1" applyFont="1" applyBorder="1" applyAlignment="1" applyProtection="1">
      <alignment horizontal="center" vertical="center" wrapText="1"/>
      <protection locked="0"/>
    </xf>
    <xf numFmtId="49" fontId="49" fillId="13" borderId="70" xfId="1" applyNumberFormat="1" applyFont="1" applyFill="1" applyBorder="1" applyAlignment="1">
      <alignment horizontal="center" wrapText="1"/>
    </xf>
    <xf numFmtId="0" fontId="10" fillId="13" borderId="45" xfId="0" applyFont="1" applyFill="1" applyBorder="1" applyAlignment="1">
      <alignment vertical="center"/>
    </xf>
    <xf numFmtId="0" fontId="49" fillId="13" borderId="20" xfId="1" applyFont="1" applyFill="1" applyBorder="1" applyAlignment="1" applyProtection="1">
      <alignment horizontal="center" vertical="center" wrapText="1"/>
      <protection locked="0"/>
    </xf>
    <xf numFmtId="0" fontId="10" fillId="13" borderId="45" xfId="0" applyFont="1" applyFill="1" applyBorder="1" applyAlignment="1"/>
    <xf numFmtId="0" fontId="49" fillId="13" borderId="70" xfId="1" applyFont="1" applyFill="1" applyBorder="1" applyAlignment="1">
      <alignment horizontal="center" wrapText="1"/>
    </xf>
    <xf numFmtId="0" fontId="63" fillId="0" borderId="2" xfId="0" applyFont="1" applyFill="1" applyBorder="1" applyAlignment="1">
      <alignment horizontal="center" wrapText="1"/>
    </xf>
    <xf numFmtId="0" fontId="5" fillId="0" borderId="0" xfId="0" applyFont="1" applyBorder="1" applyAlignment="1">
      <alignment vertical="top"/>
    </xf>
    <xf numFmtId="1" fontId="64" fillId="22" borderId="41" xfId="0" applyNumberFormat="1" applyFont="1" applyFill="1" applyBorder="1" applyAlignment="1">
      <alignment wrapText="1"/>
    </xf>
    <xf numFmtId="0" fontId="65" fillId="14" borderId="42" xfId="0" applyFont="1" applyFill="1" applyBorder="1" applyAlignment="1">
      <alignment wrapText="1"/>
    </xf>
    <xf numFmtId="1" fontId="46" fillId="0" borderId="3" xfId="0" applyNumberFormat="1" applyFont="1" applyFill="1" applyBorder="1" applyAlignment="1"/>
    <xf numFmtId="1" fontId="46" fillId="0" borderId="3" xfId="0" applyNumberFormat="1" applyFont="1" applyBorder="1" applyAlignment="1"/>
    <xf numFmtId="1" fontId="46" fillId="0" borderId="1" xfId="0" applyNumberFormat="1" applyFont="1" applyFill="1" applyBorder="1" applyAlignment="1"/>
    <xf numFmtId="1" fontId="46" fillId="0" borderId="1" xfId="0" applyNumberFormat="1" applyFont="1" applyBorder="1" applyAlignment="1"/>
    <xf numFmtId="0" fontId="46" fillId="0" borderId="1" xfId="0" applyFont="1" applyFill="1" applyBorder="1" applyAlignment="1"/>
    <xf numFmtId="1" fontId="64" fillId="23" borderId="42" xfId="0" applyNumberFormat="1" applyFont="1" applyFill="1" applyBorder="1" applyAlignment="1">
      <alignment horizontal="center" wrapText="1"/>
    </xf>
    <xf numFmtId="49" fontId="65" fillId="23" borderId="42" xfId="0" applyNumberFormat="1" applyFont="1" applyFill="1" applyBorder="1" applyAlignment="1">
      <alignment horizontal="center" wrapText="1"/>
    </xf>
    <xf numFmtId="1" fontId="64" fillId="22" borderId="42" xfId="0" applyNumberFormat="1" applyFont="1" applyFill="1" applyBorder="1" applyAlignment="1">
      <alignment horizontal="center" wrapText="1"/>
    </xf>
    <xf numFmtId="0" fontId="66" fillId="5" borderId="42" xfId="0" applyNumberFormat="1" applyFont="1" applyFill="1" applyBorder="1" applyAlignment="1">
      <alignment horizontal="center" wrapText="1"/>
    </xf>
    <xf numFmtId="49" fontId="65" fillId="24" borderId="42" xfId="0" applyNumberFormat="1" applyFont="1" applyFill="1" applyBorder="1" applyAlignment="1">
      <alignment horizontal="center" wrapText="1"/>
    </xf>
    <xf numFmtId="49" fontId="65" fillId="25" borderId="42" xfId="0" applyNumberFormat="1" applyFont="1" applyFill="1" applyBorder="1" applyAlignment="1">
      <alignment horizontal="center" wrapText="1"/>
    </xf>
    <xf numFmtId="1" fontId="46" fillId="0" borderId="3" xfId="0" applyNumberFormat="1" applyFont="1" applyBorder="1" applyAlignment="1">
      <alignment horizontal="center"/>
    </xf>
    <xf numFmtId="1" fontId="47" fillId="0" borderId="3" xfId="0" applyNumberFormat="1" applyFont="1" applyBorder="1" applyAlignment="1">
      <alignment horizontal="center"/>
    </xf>
    <xf numFmtId="1" fontId="46" fillId="0" borderId="1" xfId="0" applyNumberFormat="1" applyFont="1" applyBorder="1" applyAlignment="1">
      <alignment horizontal="center"/>
    </xf>
    <xf numFmtId="1" fontId="47" fillId="0" borderId="1" xfId="0" applyNumberFormat="1" applyFont="1" applyBorder="1" applyAlignment="1">
      <alignment horizontal="center"/>
    </xf>
    <xf numFmtId="1" fontId="46" fillId="0" borderId="1" xfId="0" applyNumberFormat="1" applyFont="1" applyFill="1" applyBorder="1" applyAlignment="1">
      <alignment horizontal="center"/>
    </xf>
    <xf numFmtId="1" fontId="47" fillId="0" borderId="1" xfId="0" applyNumberFormat="1" applyFont="1" applyFill="1" applyBorder="1" applyAlignment="1">
      <alignment horizontal="center"/>
    </xf>
    <xf numFmtId="0" fontId="0" fillId="0" borderId="0" xfId="0" applyFill="1">
      <alignment vertical="top"/>
    </xf>
    <xf numFmtId="0" fontId="0" fillId="0" borderId="0" xfId="0" applyAlignment="1">
      <alignment horizontal="center"/>
    </xf>
    <xf numFmtId="1" fontId="46" fillId="0" borderId="0" xfId="0" applyNumberFormat="1" applyFont="1" applyFill="1" applyAlignment="1"/>
    <xf numFmtId="1" fontId="46" fillId="0" borderId="0" xfId="0" applyNumberFormat="1" applyFont="1" applyAlignment="1">
      <alignment horizontal="center"/>
    </xf>
    <xf numFmtId="1" fontId="46" fillId="0" borderId="0" xfId="0" applyNumberFormat="1" applyFont="1" applyAlignment="1"/>
    <xf numFmtId="1" fontId="9" fillId="0" borderId="32" xfId="0" applyNumberFormat="1" applyFont="1" applyBorder="1" applyAlignment="1">
      <alignment vertical="top" wrapText="1"/>
    </xf>
    <xf numFmtId="1" fontId="64" fillId="22" borderId="61" xfId="0" applyNumberFormat="1" applyFont="1" applyFill="1" applyBorder="1" applyAlignment="1">
      <alignment wrapText="1"/>
    </xf>
    <xf numFmtId="1" fontId="5" fillId="0" borderId="1" xfId="0" applyNumberFormat="1" applyFont="1" applyBorder="1" applyAlignment="1">
      <alignment vertical="top" wrapText="1"/>
    </xf>
    <xf numFmtId="0" fontId="3" fillId="0" borderId="59" xfId="0" applyFont="1" applyFill="1" applyBorder="1" applyAlignment="1">
      <alignment vertical="top"/>
    </xf>
    <xf numFmtId="0" fontId="3" fillId="0" borderId="0" xfId="0" applyFont="1" applyFill="1" applyProtection="1">
      <alignment vertical="top"/>
    </xf>
    <xf numFmtId="0" fontId="3" fillId="0" borderId="0" xfId="0" applyFont="1" applyFill="1" applyAlignment="1" applyProtection="1">
      <alignment vertical="center"/>
    </xf>
    <xf numFmtId="0" fontId="3" fillId="0" borderId="0" xfId="0" applyFont="1" applyFill="1" applyBorder="1" applyAlignment="1">
      <alignment vertical="top"/>
    </xf>
    <xf numFmtId="2" fontId="3" fillId="0" borderId="0" xfId="0" applyNumberFormat="1" applyFont="1" applyFill="1" applyBorder="1" applyAlignment="1"/>
    <xf numFmtId="2" fontId="3" fillId="0" borderId="0" xfId="0" applyNumberFormat="1" applyFont="1" applyFill="1" applyBorder="1" applyAlignment="1">
      <alignment horizontal="center" wrapText="1"/>
    </xf>
    <xf numFmtId="2" fontId="3" fillId="0" borderId="0" xfId="0" applyNumberFormat="1" applyFont="1" applyFill="1" applyBorder="1" applyAlignment="1">
      <alignment horizontal="right"/>
    </xf>
    <xf numFmtId="0" fontId="3" fillId="0" borderId="0" xfId="0" applyFont="1" applyFill="1" applyBorder="1">
      <alignment vertical="top"/>
    </xf>
    <xf numFmtId="2" fontId="68" fillId="0" borderId="0" xfId="0" applyNumberFormat="1" applyFont="1" applyFill="1" applyBorder="1" applyAlignment="1" applyProtection="1">
      <alignment horizontal="center" vertical="top"/>
    </xf>
    <xf numFmtId="2" fontId="3" fillId="0" borderId="0" xfId="0" applyNumberFormat="1" applyFont="1" applyFill="1" applyBorder="1" applyAlignment="1" applyProtection="1">
      <alignment horizontal="right" vertical="center"/>
    </xf>
    <xf numFmtId="2" fontId="3" fillId="0" borderId="0" xfId="0" applyNumberFormat="1" applyFont="1" applyFill="1" applyBorder="1" applyAlignment="1" applyProtection="1">
      <alignment vertical="center"/>
    </xf>
    <xf numFmtId="2" fontId="3" fillId="0" borderId="0" xfId="0" applyNumberFormat="1" applyFont="1" applyFill="1" applyBorder="1" applyAlignment="1" applyProtection="1">
      <alignment horizontal="center"/>
    </xf>
    <xf numFmtId="2" fontId="3" fillId="0" borderId="0" xfId="0" applyNumberFormat="1" applyFont="1" applyFill="1" applyBorder="1" applyAlignment="1" applyProtection="1">
      <alignment horizontal="center" vertical="center"/>
    </xf>
    <xf numFmtId="2" fontId="3" fillId="0" borderId="0" xfId="0" applyNumberFormat="1" applyFont="1" applyFill="1" applyBorder="1">
      <alignment vertical="top"/>
    </xf>
    <xf numFmtId="0" fontId="16" fillId="0" borderId="0" xfId="0" applyFont="1" applyFill="1" applyBorder="1" applyAlignment="1">
      <alignment vertical="top" wrapText="1"/>
    </xf>
    <xf numFmtId="0" fontId="6" fillId="0" borderId="0" xfId="0" applyFont="1" applyFill="1" applyBorder="1" applyAlignment="1" applyProtection="1">
      <alignment horizontal="left" wrapText="1"/>
      <protection locked="0"/>
    </xf>
    <xf numFmtId="2" fontId="2" fillId="0" borderId="0" xfId="0" applyNumberFormat="1" applyFont="1" applyFill="1" applyBorder="1" applyProtection="1">
      <alignment vertical="top"/>
      <protection hidden="1"/>
    </xf>
    <xf numFmtId="0" fontId="2" fillId="0" borderId="0" xfId="0" applyFont="1" applyFill="1" applyBorder="1" applyProtection="1">
      <alignment vertical="top"/>
      <protection hidden="1"/>
    </xf>
    <xf numFmtId="0" fontId="3" fillId="0" borderId="0" xfId="0" applyFont="1" applyFill="1" applyBorder="1" applyProtection="1">
      <alignment vertical="top"/>
    </xf>
    <xf numFmtId="0" fontId="3" fillId="0" borderId="0" xfId="0" applyFont="1" applyFill="1" applyBorder="1" applyAlignment="1" applyProtection="1">
      <alignment vertical="center"/>
    </xf>
    <xf numFmtId="2" fontId="2" fillId="0" borderId="0" xfId="0" applyNumberFormat="1" applyFont="1" applyBorder="1" applyAlignment="1" applyProtection="1">
      <protection hidden="1"/>
    </xf>
    <xf numFmtId="0" fontId="2" fillId="0" borderId="0" xfId="0" applyFont="1" applyBorder="1" applyProtection="1">
      <alignment vertical="top"/>
      <protection hidden="1"/>
    </xf>
    <xf numFmtId="2" fontId="0" fillId="0" borderId="0" xfId="0" applyNumberFormat="1" applyFill="1" applyBorder="1">
      <alignment vertical="top"/>
    </xf>
    <xf numFmtId="0" fontId="5" fillId="0" borderId="30" xfId="0" applyFont="1" applyFill="1" applyBorder="1" applyAlignment="1">
      <alignment horizontal="left" vertical="top" wrapText="1"/>
    </xf>
    <xf numFmtId="0" fontId="50" fillId="0" borderId="0" xfId="1" applyFont="1" applyFill="1" applyAlignment="1">
      <alignment horizontal="center" vertical="center"/>
    </xf>
    <xf numFmtId="0" fontId="10" fillId="0" borderId="0" xfId="1" applyFont="1" applyFill="1" applyAlignment="1">
      <alignment horizontal="left"/>
    </xf>
    <xf numFmtId="0" fontId="10" fillId="0" borderId="0" xfId="1" applyFont="1" applyFill="1" applyAlignment="1">
      <alignment vertical="center"/>
    </xf>
    <xf numFmtId="2" fontId="10" fillId="0" borderId="0" xfId="1" applyNumberFormat="1" applyFont="1" applyFill="1" applyAlignment="1">
      <alignment vertical="center"/>
    </xf>
    <xf numFmtId="0" fontId="10" fillId="0" borderId="0" xfId="1" applyFont="1" applyFill="1" applyAlignment="1"/>
    <xf numFmtId="2" fontId="10" fillId="0" borderId="0" xfId="1" applyNumberFormat="1" applyFont="1" applyFill="1" applyAlignment="1">
      <alignment vertical="top"/>
    </xf>
    <xf numFmtId="0" fontId="5" fillId="0" borderId="0" xfId="1" applyFont="1" applyFill="1" applyAlignment="1">
      <alignment vertical="center"/>
    </xf>
    <xf numFmtId="2" fontId="1" fillId="0" borderId="26" xfId="1" applyNumberFormat="1" applyFont="1" applyFill="1" applyBorder="1" applyAlignment="1">
      <alignment horizontal="right" vertical="center" wrapText="1"/>
    </xf>
    <xf numFmtId="0" fontId="5" fillId="0" borderId="72"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20" xfId="0" applyFont="1" applyBorder="1" applyAlignment="1">
      <alignment horizontal="left" vertical="top" wrapText="1"/>
    </xf>
    <xf numFmtId="0" fontId="54" fillId="17" borderId="24" xfId="0" applyFont="1" applyFill="1" applyBorder="1" applyAlignment="1" applyProtection="1">
      <alignment horizontal="center" vertical="center" wrapText="1"/>
      <protection locked="0"/>
    </xf>
    <xf numFmtId="0" fontId="58" fillId="18" borderId="53" xfId="0" applyFont="1" applyFill="1" applyBorder="1" applyAlignment="1" applyProtection="1">
      <alignment horizontal="center" vertical="center" wrapText="1"/>
      <protection locked="0"/>
    </xf>
    <xf numFmtId="0" fontId="70" fillId="14" borderId="24" xfId="0" applyFont="1" applyFill="1" applyBorder="1" applyAlignment="1">
      <alignment vertical="center" wrapText="1"/>
    </xf>
    <xf numFmtId="0" fontId="70" fillId="14" borderId="26" xfId="0" applyFont="1" applyFill="1" applyBorder="1" applyAlignment="1">
      <alignment vertical="center"/>
    </xf>
    <xf numFmtId="0" fontId="16" fillId="0" borderId="74" xfId="0" applyFont="1" applyFill="1" applyBorder="1">
      <alignment vertical="top"/>
    </xf>
    <xf numFmtId="0" fontId="60" fillId="0" borderId="26" xfId="0" applyFont="1" applyFill="1" applyBorder="1" applyAlignment="1">
      <alignment horizontal="center"/>
    </xf>
    <xf numFmtId="0" fontId="3" fillId="0" borderId="0" xfId="0" applyFont="1" applyFill="1" applyAlignment="1" applyProtection="1">
      <alignment horizontal="center" vertical="center"/>
    </xf>
    <xf numFmtId="0" fontId="3" fillId="0" borderId="0" xfId="0" applyFont="1" applyFill="1" applyAlignment="1">
      <alignment horizontal="center" vertical="center"/>
    </xf>
    <xf numFmtId="0" fontId="3" fillId="0" borderId="3" xfId="0" applyFont="1" applyBorder="1" applyAlignment="1">
      <alignment vertical="top" wrapText="1"/>
    </xf>
    <xf numFmtId="0" fontId="3" fillId="0" borderId="1" xfId="0" applyFont="1" applyBorder="1" applyAlignment="1">
      <alignment vertical="top" wrapText="1"/>
    </xf>
    <xf numFmtId="0" fontId="3" fillId="0" borderId="1" xfId="0" applyFont="1" applyFill="1" applyBorder="1" applyAlignment="1">
      <alignment vertical="top" wrapText="1"/>
    </xf>
    <xf numFmtId="0" fontId="3" fillId="0" borderId="34" xfId="0" applyFont="1" applyFill="1" applyBorder="1" applyAlignment="1">
      <alignment vertical="top"/>
    </xf>
    <xf numFmtId="0" fontId="5" fillId="6" borderId="1" xfId="0" applyFont="1" applyFill="1" applyBorder="1" applyAlignment="1" applyProtection="1">
      <alignment horizontal="center" vertical="top" wrapText="1"/>
      <protection locked="0"/>
    </xf>
    <xf numFmtId="0" fontId="5" fillId="0" borderId="1" xfId="0" applyFont="1" applyFill="1" applyBorder="1" applyAlignment="1" applyProtection="1">
      <alignment horizontal="center" vertical="top" wrapText="1"/>
      <protection locked="0"/>
    </xf>
    <xf numFmtId="0" fontId="5" fillId="0" borderId="1" xfId="0" applyFont="1" applyBorder="1" applyAlignment="1" applyProtection="1">
      <alignment horizontal="center" vertical="top" wrapText="1"/>
      <protection locked="0"/>
    </xf>
    <xf numFmtId="0" fontId="5" fillId="0" borderId="2" xfId="0" applyFont="1" applyBorder="1" applyAlignment="1" applyProtection="1">
      <alignment horizontal="center" vertical="top" wrapText="1"/>
      <protection locked="0"/>
    </xf>
    <xf numFmtId="1" fontId="5" fillId="0" borderId="42" xfId="0" applyNumberFormat="1" applyFont="1" applyFill="1" applyBorder="1" applyAlignment="1" applyProtection="1">
      <alignment horizontal="center" vertical="top" wrapText="1"/>
      <protection locked="0"/>
    </xf>
    <xf numFmtId="0" fontId="5" fillId="6" borderId="3" xfId="0" applyFont="1" applyFill="1" applyBorder="1" applyAlignment="1" applyProtection="1">
      <alignment horizontal="center" vertical="top" wrapText="1"/>
      <protection locked="0"/>
    </xf>
    <xf numFmtId="0" fontId="9" fillId="0" borderId="1" xfId="0" applyFont="1" applyFill="1" applyBorder="1" applyAlignment="1" applyProtection="1">
      <alignment horizontal="center" vertical="top" wrapText="1"/>
      <protection locked="0"/>
    </xf>
    <xf numFmtId="0" fontId="5" fillId="0" borderId="2" xfId="0" applyFont="1" applyFill="1" applyBorder="1" applyAlignment="1" applyProtection="1">
      <alignment horizontal="center" vertical="top" wrapText="1"/>
      <protection locked="0"/>
    </xf>
    <xf numFmtId="0" fontId="5" fillId="0" borderId="42" xfId="0" applyFont="1" applyFill="1" applyBorder="1" applyAlignment="1" applyProtection="1">
      <alignment horizontal="center" vertical="top" wrapText="1"/>
      <protection locked="0"/>
    </xf>
    <xf numFmtId="1" fontId="5" fillId="6" borderId="3" xfId="0" applyNumberFormat="1" applyFont="1" applyFill="1" applyBorder="1" applyAlignment="1" applyProtection="1">
      <alignment horizontal="center" vertical="top" wrapText="1"/>
      <protection locked="0"/>
    </xf>
    <xf numFmtId="1" fontId="5" fillId="6" borderId="1" xfId="0" applyNumberFormat="1" applyFont="1" applyFill="1" applyBorder="1" applyAlignment="1" applyProtection="1">
      <alignment horizontal="center" vertical="top" wrapText="1"/>
      <protection locked="0"/>
    </xf>
    <xf numFmtId="1" fontId="5" fillId="2" borderId="1" xfId="0" applyNumberFormat="1" applyFont="1" applyFill="1" applyBorder="1" applyAlignment="1" applyProtection="1">
      <alignment horizontal="center" vertical="top" wrapText="1"/>
      <protection locked="0"/>
    </xf>
    <xf numFmtId="0" fontId="72" fillId="6" borderId="1" xfId="0" applyFont="1" applyFill="1" applyBorder="1" applyAlignment="1" applyProtection="1">
      <alignment horizontal="center" vertical="top" wrapText="1"/>
      <protection locked="0"/>
    </xf>
    <xf numFmtId="1" fontId="5" fillId="0" borderId="1" xfId="0" applyNumberFormat="1" applyFont="1" applyFill="1" applyBorder="1" applyAlignment="1" applyProtection="1">
      <alignment horizontal="center" vertical="top" wrapText="1"/>
      <protection locked="0"/>
    </xf>
    <xf numFmtId="0" fontId="6" fillId="6" borderId="1" xfId="0" applyFont="1" applyFill="1" applyBorder="1" applyAlignment="1" applyProtection="1">
      <alignment horizontal="center" vertical="top" wrapText="1"/>
      <protection locked="0"/>
    </xf>
    <xf numFmtId="0" fontId="5" fillId="0" borderId="1" xfId="0" applyFont="1" applyFill="1" applyBorder="1" applyAlignment="1">
      <alignment horizontal="center" vertical="top" wrapText="1"/>
    </xf>
    <xf numFmtId="0" fontId="5" fillId="14" borderId="42" xfId="0" applyFont="1" applyFill="1" applyBorder="1" applyAlignment="1" applyProtection="1">
      <alignment horizontal="center" vertical="top" wrapText="1"/>
      <protection locked="0"/>
    </xf>
    <xf numFmtId="0" fontId="5" fillId="0" borderId="5" xfId="0" applyFont="1" applyFill="1" applyBorder="1" applyAlignment="1" applyProtection="1">
      <alignment horizontal="center" vertical="top" wrapText="1"/>
      <protection locked="0"/>
    </xf>
    <xf numFmtId="0" fontId="5" fillId="0" borderId="47" xfId="0" applyFont="1" applyFill="1" applyBorder="1" applyAlignment="1" applyProtection="1">
      <alignment horizontal="center" vertical="top" wrapText="1"/>
      <protection locked="0"/>
    </xf>
    <xf numFmtId="0" fontId="5" fillId="0" borderId="11" xfId="0" applyFont="1" applyFill="1" applyBorder="1" applyAlignment="1" applyProtection="1">
      <alignment horizontal="center" vertical="top" wrapText="1"/>
      <protection locked="0"/>
    </xf>
    <xf numFmtId="1" fontId="6" fillId="10" borderId="1" xfId="0" applyNumberFormat="1" applyFont="1" applyFill="1" applyBorder="1" applyAlignment="1" applyProtection="1">
      <alignment horizontal="center" vertical="top" wrapText="1"/>
      <protection locked="0"/>
    </xf>
    <xf numFmtId="1" fontId="6" fillId="12" borderId="1" xfId="0" applyNumberFormat="1" applyFont="1" applyFill="1" applyBorder="1" applyAlignment="1" applyProtection="1">
      <alignment horizontal="center" vertical="top" wrapText="1"/>
      <protection locked="0"/>
    </xf>
    <xf numFmtId="0" fontId="46" fillId="0" borderId="1" xfId="0" applyFont="1" applyBorder="1" applyAlignment="1" applyProtection="1">
      <alignment horizontal="center" vertical="top" wrapText="1"/>
      <protection locked="0"/>
    </xf>
    <xf numFmtId="1" fontId="5" fillId="0" borderId="1" xfId="0" applyNumberFormat="1" applyFont="1" applyBorder="1" applyAlignment="1" applyProtection="1">
      <alignment horizontal="center" vertical="top" wrapText="1"/>
      <protection locked="0"/>
    </xf>
    <xf numFmtId="0" fontId="46" fillId="0" borderId="1" xfId="0" applyFont="1" applyFill="1" applyBorder="1" applyAlignment="1" applyProtection="1">
      <alignment horizontal="center" vertical="top" wrapText="1"/>
      <protection locked="0"/>
    </xf>
    <xf numFmtId="1" fontId="5" fillId="0" borderId="2" xfId="0" applyNumberFormat="1" applyFont="1" applyFill="1" applyBorder="1" applyAlignment="1" applyProtection="1">
      <alignment horizontal="center" vertical="top" wrapText="1"/>
      <protection locked="0"/>
    </xf>
    <xf numFmtId="1" fontId="6" fillId="10" borderId="3" xfId="0" applyNumberFormat="1" applyFont="1" applyFill="1" applyBorder="1" applyAlignment="1" applyProtection="1">
      <alignment horizontal="center" vertical="top" wrapText="1"/>
      <protection locked="0"/>
    </xf>
    <xf numFmtId="0" fontId="5" fillId="0" borderId="11" xfId="0" applyFont="1" applyBorder="1" applyAlignment="1" applyProtection="1">
      <alignment horizontal="center" vertical="top" wrapText="1"/>
      <protection locked="0"/>
    </xf>
    <xf numFmtId="2" fontId="3" fillId="0" borderId="1" xfId="0" applyNumberFormat="1" applyFont="1" applyFill="1" applyBorder="1" applyAlignment="1">
      <alignment horizontal="center" vertical="center"/>
    </xf>
    <xf numFmtId="2" fontId="14" fillId="0" borderId="4" xfId="0" applyNumberFormat="1" applyFont="1" applyFill="1" applyBorder="1" applyAlignment="1">
      <alignment horizontal="center" vertical="center" wrapText="1"/>
    </xf>
    <xf numFmtId="0" fontId="76" fillId="0" borderId="4" xfId="0" applyFont="1" applyBorder="1" applyAlignment="1">
      <alignment horizontal="center" vertical="center"/>
    </xf>
    <xf numFmtId="2" fontId="5" fillId="0" borderId="60" xfId="0" applyNumberFormat="1" applyFont="1" applyFill="1" applyBorder="1" applyAlignment="1" applyProtection="1">
      <alignment horizontal="center" vertical="center"/>
    </xf>
    <xf numFmtId="2" fontId="5" fillId="0" borderId="63" xfId="0" applyNumberFormat="1" applyFont="1" applyFill="1" applyBorder="1" applyAlignment="1" applyProtection="1">
      <alignment horizontal="center" vertical="center"/>
    </xf>
    <xf numFmtId="0" fontId="16" fillId="0" borderId="17" xfId="0" applyFont="1" applyFill="1" applyBorder="1" applyAlignment="1">
      <alignment vertical="top" wrapText="1"/>
    </xf>
    <xf numFmtId="2" fontId="3" fillId="0" borderId="66" xfId="0" applyNumberFormat="1" applyFont="1" applyFill="1" applyBorder="1" applyAlignment="1" applyProtection="1">
      <alignment horizontal="center" vertical="center"/>
    </xf>
    <xf numFmtId="2" fontId="3" fillId="0" borderId="72" xfId="0" applyNumberFormat="1" applyFont="1" applyFill="1" applyBorder="1" applyAlignment="1" applyProtection="1">
      <alignment horizontal="center" vertical="center"/>
    </xf>
    <xf numFmtId="2" fontId="5" fillId="0" borderId="1" xfId="0" applyNumberFormat="1" applyFont="1" applyBorder="1" applyAlignment="1">
      <alignment horizontal="center" vertical="center"/>
    </xf>
    <xf numFmtId="2" fontId="3" fillId="0" borderId="63" xfId="0" applyNumberFormat="1" applyFont="1" applyFill="1" applyBorder="1" applyAlignment="1" applyProtection="1">
      <alignment horizontal="center" vertical="center"/>
    </xf>
    <xf numFmtId="2" fontId="3" fillId="0" borderId="16" xfId="0" applyNumberFormat="1" applyFont="1" applyFill="1" applyBorder="1" applyAlignment="1" applyProtection="1">
      <alignment horizontal="center" vertical="center"/>
    </xf>
    <xf numFmtId="2" fontId="3" fillId="12" borderId="77" xfId="0" applyNumberFormat="1" applyFont="1" applyFill="1" applyBorder="1" applyAlignment="1">
      <alignment vertical="center"/>
    </xf>
    <xf numFmtId="2" fontId="3" fillId="0" borderId="17" xfId="0" applyNumberFormat="1" applyFont="1" applyFill="1" applyBorder="1" applyAlignment="1" applyProtection="1">
      <alignment horizontal="center" vertical="center"/>
    </xf>
    <xf numFmtId="0" fontId="48" fillId="29" borderId="48" xfId="0" applyFont="1" applyFill="1" applyBorder="1" applyAlignment="1">
      <alignment horizontal="center" vertical="center"/>
    </xf>
    <xf numFmtId="0" fontId="48" fillId="0" borderId="56" xfId="0" applyFont="1" applyBorder="1" applyAlignment="1">
      <alignment horizontal="center" vertical="center"/>
    </xf>
    <xf numFmtId="0" fontId="48" fillId="29" borderId="49" xfId="0" applyFont="1" applyFill="1" applyBorder="1" applyAlignment="1">
      <alignment horizontal="center" vertical="center"/>
    </xf>
    <xf numFmtId="2" fontId="3" fillId="3" borderId="16" xfId="0" applyNumberFormat="1" applyFont="1" applyFill="1" applyBorder="1" applyAlignment="1">
      <alignment horizontal="right" vertical="center"/>
    </xf>
    <xf numFmtId="2" fontId="3" fillId="3" borderId="49" xfId="0" applyNumberFormat="1" applyFont="1" applyFill="1" applyBorder="1" applyAlignment="1">
      <alignment horizontal="right" vertical="center"/>
    </xf>
    <xf numFmtId="0" fontId="48" fillId="0" borderId="49" xfId="0" applyFont="1" applyBorder="1" applyAlignment="1">
      <alignment horizontal="center" vertical="center"/>
    </xf>
    <xf numFmtId="2" fontId="3" fillId="3" borderId="53" xfId="0" applyNumberFormat="1" applyFont="1" applyFill="1" applyBorder="1" applyAlignment="1">
      <alignment horizontal="right" vertical="center"/>
    </xf>
    <xf numFmtId="0" fontId="3" fillId="3" borderId="23" xfId="0" applyFont="1" applyFill="1" applyBorder="1" applyAlignment="1">
      <alignment horizontal="right" vertical="center"/>
    </xf>
    <xf numFmtId="0" fontId="3" fillId="3" borderId="19" xfId="0" applyFont="1" applyFill="1" applyBorder="1" applyAlignment="1">
      <alignment horizontal="right" vertical="center"/>
    </xf>
    <xf numFmtId="0" fontId="48" fillId="0" borderId="50" xfId="0" applyFont="1" applyBorder="1" applyAlignment="1">
      <alignment horizontal="center" vertical="center"/>
    </xf>
    <xf numFmtId="2" fontId="3" fillId="12" borderId="78" xfId="0" applyNumberFormat="1" applyFont="1" applyFill="1" applyBorder="1" applyAlignment="1">
      <alignment vertical="center"/>
    </xf>
    <xf numFmtId="2" fontId="3" fillId="12" borderId="73" xfId="0" applyNumberFormat="1" applyFont="1" applyFill="1" applyBorder="1" applyAlignment="1">
      <alignment vertical="center"/>
    </xf>
    <xf numFmtId="2" fontId="3" fillId="12" borderId="2" xfId="0" applyNumberFormat="1" applyFont="1" applyFill="1" applyBorder="1" applyAlignment="1">
      <alignment vertical="center"/>
    </xf>
    <xf numFmtId="0" fontId="16" fillId="0" borderId="74" xfId="0" applyFont="1" applyFill="1" applyBorder="1" applyAlignment="1">
      <alignment vertical="top" wrapText="1"/>
    </xf>
    <xf numFmtId="0" fontId="3" fillId="3" borderId="70" xfId="0" applyFont="1" applyFill="1" applyBorder="1" applyAlignment="1">
      <alignment horizontal="right" vertical="center"/>
    </xf>
    <xf numFmtId="0" fontId="3" fillId="3" borderId="68" xfId="0" applyFont="1" applyFill="1" applyBorder="1" applyAlignment="1">
      <alignment horizontal="right" vertical="center"/>
    </xf>
    <xf numFmtId="2" fontId="3" fillId="0" borderId="74" xfId="0" applyNumberFormat="1" applyFont="1" applyFill="1" applyBorder="1" applyAlignment="1" applyProtection="1">
      <alignment horizontal="center" vertical="center"/>
    </xf>
    <xf numFmtId="0" fontId="48" fillId="0" borderId="48" xfId="0" applyFont="1" applyBorder="1" applyAlignment="1">
      <alignment horizontal="center" vertical="center"/>
    </xf>
    <xf numFmtId="2" fontId="5" fillId="0" borderId="66" xfId="0" applyNumberFormat="1" applyFont="1" applyFill="1" applyBorder="1" applyAlignment="1" applyProtection="1">
      <alignment horizontal="center" vertical="center"/>
    </xf>
    <xf numFmtId="2" fontId="5" fillId="0" borderId="3" xfId="0" applyNumberFormat="1" applyFont="1" applyBorder="1" applyAlignment="1">
      <alignment horizontal="center" vertical="center"/>
    </xf>
    <xf numFmtId="2" fontId="3" fillId="3" borderId="75" xfId="0" applyNumberFormat="1" applyFont="1" applyFill="1" applyBorder="1" applyAlignment="1">
      <alignment horizontal="right" vertical="center"/>
    </xf>
    <xf numFmtId="2" fontId="5" fillId="0" borderId="47" xfId="0" applyNumberFormat="1" applyFont="1" applyBorder="1" applyAlignment="1">
      <alignment horizontal="center" vertical="center"/>
    </xf>
    <xf numFmtId="2" fontId="3" fillId="3" borderId="23" xfId="0" applyNumberFormat="1" applyFont="1" applyFill="1" applyBorder="1" applyAlignment="1">
      <alignment horizontal="right" vertical="center"/>
    </xf>
    <xf numFmtId="2" fontId="3" fillId="3" borderId="19" xfId="0" applyNumberFormat="1" applyFont="1" applyFill="1" applyBorder="1" applyAlignment="1">
      <alignment horizontal="right" vertical="center"/>
    </xf>
    <xf numFmtId="2" fontId="5" fillId="0" borderId="64" xfId="0" applyNumberFormat="1" applyFont="1" applyFill="1" applyBorder="1" applyAlignment="1" applyProtection="1">
      <alignment horizontal="center" vertical="center"/>
    </xf>
    <xf numFmtId="2" fontId="5" fillId="0" borderId="11" xfId="0" applyNumberFormat="1" applyFont="1" applyBorder="1" applyAlignment="1">
      <alignment horizontal="center" vertical="center"/>
    </xf>
    <xf numFmtId="2" fontId="3" fillId="28" borderId="15" xfId="0" applyNumberFormat="1" applyFont="1" applyFill="1" applyBorder="1" applyAlignment="1" applyProtection="1">
      <alignment horizontal="center" wrapText="1"/>
    </xf>
    <xf numFmtId="2" fontId="77" fillId="0" borderId="1" xfId="0" applyNumberFormat="1" applyFont="1" applyFill="1" applyBorder="1" applyAlignment="1">
      <alignment horizontal="center" vertical="center"/>
    </xf>
    <xf numFmtId="2" fontId="3" fillId="0" borderId="3" xfId="0" applyNumberFormat="1" applyFont="1" applyFill="1" applyBorder="1" applyAlignment="1">
      <alignment horizontal="center" wrapText="1"/>
    </xf>
    <xf numFmtId="2" fontId="3" fillId="0" borderId="14" xfId="0" applyNumberFormat="1" applyFont="1" applyFill="1" applyBorder="1" applyAlignment="1" applyProtection="1">
      <alignment wrapText="1"/>
    </xf>
    <xf numFmtId="2" fontId="3" fillId="0" borderId="40" xfId="0" applyNumberFormat="1" applyFont="1" applyFill="1" applyBorder="1" applyAlignment="1" applyProtection="1">
      <alignment wrapText="1"/>
    </xf>
    <xf numFmtId="2" fontId="5" fillId="0" borderId="8" xfId="0" applyNumberFormat="1" applyFont="1" applyBorder="1" applyAlignment="1">
      <alignment horizontal="center" vertical="center"/>
    </xf>
    <xf numFmtId="2" fontId="3" fillId="13" borderId="14" xfId="0" applyNumberFormat="1" applyFont="1" applyFill="1" applyBorder="1" applyAlignment="1">
      <alignment vertical="center"/>
    </xf>
    <xf numFmtId="2" fontId="5" fillId="0" borderId="39" xfId="0" applyNumberFormat="1" applyFont="1" applyBorder="1" applyAlignment="1">
      <alignment horizontal="center" vertical="center"/>
    </xf>
    <xf numFmtId="2" fontId="5" fillId="0" borderId="38" xfId="0" applyNumberFormat="1" applyFont="1" applyBorder="1" applyAlignment="1">
      <alignment horizontal="center" vertical="center"/>
    </xf>
    <xf numFmtId="2" fontId="5" fillId="0" borderId="9" xfId="0" applyNumberFormat="1" applyFont="1" applyBorder="1" applyAlignment="1">
      <alignment horizontal="center" vertical="center"/>
    </xf>
    <xf numFmtId="0" fontId="5" fillId="0" borderId="0" xfId="0" applyFont="1" applyAlignment="1">
      <alignment horizontal="center" vertical="top" wrapText="1"/>
    </xf>
    <xf numFmtId="0" fontId="5" fillId="0" borderId="32" xfId="0" applyFont="1" applyBorder="1" applyAlignment="1">
      <alignment horizontal="center" vertical="top" wrapText="1"/>
    </xf>
    <xf numFmtId="0" fontId="5" fillId="0" borderId="59" xfId="0" applyFont="1" applyBorder="1" applyAlignment="1" applyProtection="1">
      <alignment horizontal="center" vertical="top" wrapText="1"/>
      <protection locked="0"/>
    </xf>
    <xf numFmtId="0" fontId="5" fillId="0" borderId="30" xfId="0" applyFont="1" applyBorder="1" applyAlignment="1" applyProtection="1">
      <alignment horizontal="center" vertical="top" wrapText="1"/>
      <protection locked="0"/>
    </xf>
    <xf numFmtId="0" fontId="9" fillId="15" borderId="26" xfId="0" applyFont="1" applyFill="1" applyBorder="1" applyAlignment="1">
      <alignment horizontal="left" vertical="center" wrapText="1"/>
    </xf>
    <xf numFmtId="0" fontId="9" fillId="15" borderId="15" xfId="0" applyFont="1" applyFill="1" applyBorder="1" applyAlignment="1">
      <alignment horizontal="left" vertical="center" wrapText="1"/>
    </xf>
    <xf numFmtId="0" fontId="9" fillId="15" borderId="57" xfId="0" applyFont="1" applyFill="1" applyBorder="1" applyAlignment="1">
      <alignment horizontal="left" vertical="center" wrapText="1"/>
    </xf>
    <xf numFmtId="0" fontId="21" fillId="14" borderId="26" xfId="0" applyFont="1" applyFill="1" applyBorder="1" applyAlignment="1">
      <alignment horizontal="left" vertical="center" wrapText="1"/>
    </xf>
    <xf numFmtId="0" fontId="21" fillId="14" borderId="15" xfId="0" applyFont="1" applyFill="1" applyBorder="1" applyAlignment="1">
      <alignment horizontal="left" vertical="center" wrapText="1"/>
    </xf>
    <xf numFmtId="0" fontId="21" fillId="14" borderId="57" xfId="0" applyFont="1" applyFill="1" applyBorder="1" applyAlignment="1">
      <alignment horizontal="left" vertical="center" wrapText="1"/>
    </xf>
    <xf numFmtId="0" fontId="5" fillId="0" borderId="69" xfId="0" applyFont="1" applyFill="1" applyBorder="1" applyAlignment="1">
      <alignment horizontal="left" vertical="top"/>
    </xf>
    <xf numFmtId="0" fontId="5" fillId="0" borderId="59" xfId="0" applyFont="1" applyFill="1" applyBorder="1" applyAlignment="1">
      <alignment horizontal="left" vertical="top"/>
    </xf>
    <xf numFmtId="0" fontId="5" fillId="0" borderId="30" xfId="0" applyFont="1" applyFill="1" applyBorder="1" applyAlignment="1">
      <alignment horizontal="left" vertical="top"/>
    </xf>
    <xf numFmtId="0" fontId="5" fillId="0" borderId="59" xfId="0" applyFont="1" applyFill="1" applyBorder="1" applyAlignment="1">
      <alignment horizontal="left" vertical="top" wrapText="1"/>
    </xf>
    <xf numFmtId="0" fontId="5" fillId="0" borderId="69" xfId="0" applyFont="1" applyFill="1" applyBorder="1" applyAlignment="1">
      <alignment horizontal="left" vertical="top" wrapText="1"/>
    </xf>
    <xf numFmtId="0" fontId="5" fillId="0" borderId="30" xfId="0" applyFont="1" applyFill="1" applyBorder="1" applyAlignment="1">
      <alignment horizontal="left" vertical="top" wrapText="1"/>
    </xf>
    <xf numFmtId="0" fontId="5" fillId="0" borderId="24" xfId="0" applyFont="1" applyFill="1" applyBorder="1" applyAlignment="1">
      <alignment horizontal="left" vertical="top" wrapText="1"/>
    </xf>
    <xf numFmtId="0" fontId="20" fillId="0" borderId="45" xfId="0" applyFont="1" applyFill="1" applyBorder="1" applyAlignment="1">
      <alignment horizontal="left" vertical="top" wrapText="1"/>
    </xf>
    <xf numFmtId="0" fontId="20" fillId="0" borderId="6" xfId="0" applyFont="1" applyFill="1" applyBorder="1" applyAlignment="1">
      <alignment horizontal="left" vertical="top" wrapText="1"/>
    </xf>
    <xf numFmtId="0" fontId="20" fillId="0" borderId="24" xfId="0" applyFont="1" applyFill="1" applyBorder="1" applyAlignment="1">
      <alignment horizontal="left" vertical="top" wrapText="1"/>
    </xf>
    <xf numFmtId="1" fontId="5" fillId="0" borderId="59" xfId="0" applyNumberFormat="1" applyFont="1" applyFill="1" applyBorder="1" applyAlignment="1">
      <alignment horizontal="left" vertical="top" wrapText="1"/>
    </xf>
    <xf numFmtId="1" fontId="5" fillId="0" borderId="69" xfId="0" applyNumberFormat="1" applyFont="1" applyFill="1" applyBorder="1" applyAlignment="1">
      <alignment horizontal="left" vertical="top" wrapText="1"/>
    </xf>
    <xf numFmtId="1" fontId="5" fillId="0" borderId="30" xfId="0" applyNumberFormat="1" applyFont="1" applyFill="1" applyBorder="1" applyAlignment="1">
      <alignment horizontal="left" vertical="top" wrapText="1"/>
    </xf>
    <xf numFmtId="0" fontId="5" fillId="0" borderId="45"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3" xfId="0" applyFont="1" applyFill="1" applyBorder="1" applyAlignment="1">
      <alignment horizontal="left" vertical="top" wrapText="1"/>
    </xf>
    <xf numFmtId="0" fontId="5" fillId="0" borderId="20" xfId="0" applyFont="1" applyFill="1" applyBorder="1" applyAlignment="1">
      <alignment horizontal="left" vertical="top" wrapText="1"/>
    </xf>
    <xf numFmtId="0" fontId="5" fillId="0" borderId="23" xfId="0" applyFont="1" applyFill="1" applyBorder="1" applyAlignment="1">
      <alignment horizontal="left" vertical="top" wrapText="1"/>
    </xf>
    <xf numFmtId="0" fontId="0" fillId="0" borderId="45" xfId="0" applyFill="1" applyBorder="1">
      <alignment vertical="top"/>
    </xf>
    <xf numFmtId="0" fontId="5" fillId="0" borderId="25" xfId="0" applyFont="1" applyBorder="1" applyAlignment="1">
      <alignment vertical="top" wrapText="1"/>
    </xf>
    <xf numFmtId="0" fontId="5" fillId="0" borderId="31" xfId="0" applyFont="1" applyBorder="1" applyAlignment="1">
      <alignment vertical="top" wrapText="1"/>
    </xf>
    <xf numFmtId="0" fontId="5" fillId="0" borderId="33" xfId="0" applyFont="1" applyBorder="1" applyAlignment="1">
      <alignment vertical="top" wrapText="1"/>
    </xf>
    <xf numFmtId="0" fontId="5" fillId="0" borderId="31" xfId="0" applyFont="1" applyFill="1" applyBorder="1" applyAlignment="1">
      <alignment vertical="top" wrapText="1"/>
    </xf>
    <xf numFmtId="0" fontId="5" fillId="0" borderId="25" xfId="0" applyFont="1" applyFill="1" applyBorder="1" applyAlignment="1">
      <alignment vertical="top" wrapText="1"/>
    </xf>
    <xf numFmtId="0" fontId="5" fillId="0" borderId="33" xfId="0" applyFont="1" applyFill="1" applyBorder="1" applyAlignment="1">
      <alignment vertical="top" wrapText="1"/>
    </xf>
    <xf numFmtId="0" fontId="6" fillId="0" borderId="31" xfId="0" applyFont="1" applyFill="1" applyBorder="1" applyAlignment="1">
      <alignment vertical="top" wrapText="1"/>
    </xf>
    <xf numFmtId="0" fontId="6" fillId="0" borderId="33" xfId="0" applyFont="1" applyFill="1" applyBorder="1" applyAlignment="1">
      <alignment vertical="top" wrapText="1"/>
    </xf>
    <xf numFmtId="0" fontId="5" fillId="0" borderId="31" xfId="0" applyFont="1" applyFill="1" applyBorder="1" applyAlignment="1">
      <alignment horizontal="left" vertical="top" wrapText="1"/>
    </xf>
    <xf numFmtId="0" fontId="5" fillId="2" borderId="31" xfId="0" applyFont="1" applyFill="1" applyBorder="1" applyAlignment="1" applyProtection="1">
      <alignment vertical="top" wrapText="1"/>
    </xf>
    <xf numFmtId="0" fontId="5" fillId="0" borderId="25" xfId="0" applyFont="1" applyFill="1" applyBorder="1" applyAlignment="1" applyProtection="1">
      <alignment vertical="top" wrapText="1"/>
    </xf>
    <xf numFmtId="0" fontId="5" fillId="0" borderId="31" xfId="0" applyFont="1" applyFill="1" applyBorder="1" applyAlignment="1" applyProtection="1">
      <alignment vertical="top" wrapText="1"/>
    </xf>
    <xf numFmtId="0" fontId="5" fillId="0" borderId="33" xfId="0" applyFont="1" applyFill="1" applyBorder="1" applyAlignment="1" applyProtection="1">
      <alignment vertical="top" wrapText="1"/>
    </xf>
    <xf numFmtId="0" fontId="5" fillId="0" borderId="25" xfId="0" applyFont="1" applyFill="1" applyBorder="1" applyAlignment="1">
      <alignment horizontal="left" vertical="top" wrapText="1"/>
    </xf>
    <xf numFmtId="0" fontId="5" fillId="0" borderId="33" xfId="0" applyFont="1" applyFill="1" applyBorder="1" applyAlignment="1">
      <alignment horizontal="left" vertical="top" wrapText="1"/>
    </xf>
    <xf numFmtId="0" fontId="5" fillId="0" borderId="0" xfId="0" applyFont="1" applyFill="1" applyAlignment="1">
      <alignment horizontal="center" vertical="top" wrapText="1"/>
    </xf>
    <xf numFmtId="0" fontId="5" fillId="0" borderId="32" xfId="0" applyFont="1" applyFill="1" applyBorder="1" applyAlignment="1">
      <alignment horizontal="center" vertical="top" wrapText="1"/>
    </xf>
    <xf numFmtId="1" fontId="5" fillId="0" borderId="0" xfId="0" applyNumberFormat="1" applyFont="1" applyFill="1" applyAlignment="1" applyProtection="1">
      <alignment horizontal="center" vertical="top" wrapText="1"/>
      <protection locked="0"/>
    </xf>
    <xf numFmtId="1" fontId="5" fillId="0" borderId="32" xfId="0" applyNumberFormat="1" applyFont="1" applyFill="1" applyBorder="1" applyAlignment="1" applyProtection="1">
      <alignment horizontal="center" vertical="top" wrapText="1"/>
      <protection locked="0"/>
    </xf>
    <xf numFmtId="0" fontId="5" fillId="19" borderId="69" xfId="0" applyFont="1" applyFill="1" applyBorder="1" applyAlignment="1">
      <alignment horizontal="left" vertical="top" wrapText="1"/>
    </xf>
    <xf numFmtId="0" fontId="5" fillId="19" borderId="59" xfId="0" applyFont="1" applyFill="1" applyBorder="1" applyAlignment="1">
      <alignment horizontal="left" vertical="top" wrapText="1"/>
    </xf>
    <xf numFmtId="0" fontId="5" fillId="19" borderId="30" xfId="0" applyFont="1" applyFill="1" applyBorder="1" applyAlignment="1">
      <alignment horizontal="left" vertical="top" wrapText="1"/>
    </xf>
    <xf numFmtId="0" fontId="9" fillId="15" borderId="26" xfId="0" applyFont="1" applyFill="1" applyBorder="1" applyAlignment="1">
      <alignment vertical="top" wrapText="1"/>
    </xf>
    <xf numFmtId="0" fontId="8" fillId="15" borderId="15" xfId="0" applyFont="1" applyFill="1" applyBorder="1" applyAlignment="1">
      <alignment vertical="top" wrapText="1"/>
    </xf>
    <xf numFmtId="0" fontId="8" fillId="15" borderId="57" xfId="0" applyFont="1" applyFill="1" applyBorder="1" applyAlignment="1">
      <alignment vertical="top" wrapText="1"/>
    </xf>
    <xf numFmtId="0" fontId="0" fillId="0" borderId="59" xfId="0" applyBorder="1" applyAlignment="1">
      <alignment horizontal="left" vertical="top"/>
    </xf>
    <xf numFmtId="0" fontId="0" fillId="0" borderId="30" xfId="0" applyBorder="1" applyAlignment="1">
      <alignment horizontal="left" vertical="top"/>
    </xf>
    <xf numFmtId="0" fontId="5" fillId="2" borderId="69" xfId="0" applyFont="1" applyFill="1" applyBorder="1" applyAlignment="1">
      <alignment horizontal="left" vertical="top" wrapText="1"/>
    </xf>
    <xf numFmtId="0" fontId="5" fillId="2" borderId="59" xfId="0" applyFont="1" applyFill="1" applyBorder="1" applyAlignment="1">
      <alignment horizontal="left" vertical="top" wrapText="1"/>
    </xf>
    <xf numFmtId="0" fontId="5" fillId="2" borderId="30" xfId="0" applyFont="1" applyFill="1" applyBorder="1" applyAlignment="1">
      <alignment horizontal="left" vertical="top" wrapText="1"/>
    </xf>
    <xf numFmtId="0" fontId="5" fillId="0" borderId="34" xfId="0" applyFont="1" applyFill="1" applyBorder="1" applyAlignment="1">
      <alignment horizontal="left" vertical="top" wrapText="1"/>
    </xf>
    <xf numFmtId="0" fontId="5" fillId="0" borderId="32" xfId="0" applyFont="1" applyFill="1" applyBorder="1" applyAlignment="1">
      <alignment horizontal="left" vertical="top" wrapText="1"/>
    </xf>
    <xf numFmtId="0" fontId="5" fillId="0" borderId="30" xfId="0" applyFont="1" applyBorder="1" applyAlignment="1">
      <alignment horizontal="left" vertical="top" wrapText="1"/>
    </xf>
    <xf numFmtId="0" fontId="0" fillId="0" borderId="45" xfId="0" applyBorder="1" applyAlignment="1">
      <alignment horizontal="left" vertical="top"/>
    </xf>
    <xf numFmtId="0" fontId="0" fillId="0" borderId="6" xfId="0" applyBorder="1" applyAlignment="1">
      <alignment horizontal="left" vertical="top"/>
    </xf>
    <xf numFmtId="0" fontId="5" fillId="2" borderId="24" xfId="0" applyFont="1" applyFill="1" applyBorder="1" applyAlignment="1">
      <alignment horizontal="left" vertical="top" wrapText="1"/>
    </xf>
    <xf numFmtId="0" fontId="5" fillId="2" borderId="45"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0" borderId="6" xfId="0" applyFont="1" applyBorder="1" applyAlignment="1">
      <alignment horizontal="left" vertical="top" wrapText="1"/>
    </xf>
    <xf numFmtId="0" fontId="38" fillId="0" borderId="70" xfId="0" applyFont="1" applyFill="1" applyBorder="1" applyAlignment="1">
      <alignment horizontal="left" vertical="top" wrapText="1"/>
    </xf>
    <xf numFmtId="0" fontId="38" fillId="0" borderId="20" xfId="0" applyFont="1" applyFill="1" applyBorder="1" applyAlignment="1">
      <alignment horizontal="left" vertical="top" wrapText="1"/>
    </xf>
    <xf numFmtId="0" fontId="38" fillId="0" borderId="71" xfId="0" applyFont="1" applyFill="1" applyBorder="1" applyAlignment="1">
      <alignment horizontal="left" vertical="top" wrapText="1"/>
    </xf>
    <xf numFmtId="0" fontId="38" fillId="0" borderId="74" xfId="0" applyFont="1" applyFill="1" applyBorder="1" applyAlignment="1">
      <alignment horizontal="left" vertical="top" wrapText="1"/>
    </xf>
    <xf numFmtId="0" fontId="38" fillId="0" borderId="16" xfId="0" applyFont="1" applyFill="1" applyBorder="1" applyAlignment="1">
      <alignment horizontal="left" vertical="top" wrapText="1"/>
    </xf>
    <xf numFmtId="0" fontId="38" fillId="0" borderId="73" xfId="0" applyFont="1" applyFill="1" applyBorder="1" applyAlignment="1">
      <alignment horizontal="left" vertical="top" wrapText="1"/>
    </xf>
    <xf numFmtId="0" fontId="26" fillId="18" borderId="59" xfId="0" applyFont="1" applyFill="1" applyBorder="1" applyAlignment="1">
      <alignment horizontal="left" vertical="center" wrapText="1"/>
    </xf>
    <xf numFmtId="0" fontId="26" fillId="18" borderId="0" xfId="0" applyFont="1" applyFill="1" applyBorder="1" applyAlignment="1">
      <alignment horizontal="left" vertical="center" wrapText="1"/>
    </xf>
    <xf numFmtId="0" fontId="9" fillId="0" borderId="24" xfId="0" applyFont="1" applyFill="1" applyBorder="1" applyAlignment="1" applyProtection="1">
      <alignment horizontal="left" vertical="top" wrapText="1"/>
    </xf>
    <xf numFmtId="0" fontId="8" fillId="0" borderId="45" xfId="0" applyFont="1" applyFill="1" applyBorder="1" applyAlignment="1" applyProtection="1">
      <alignment horizontal="left" vertical="top" wrapText="1"/>
    </xf>
    <xf numFmtId="0" fontId="8" fillId="0" borderId="6" xfId="0" applyFont="1" applyFill="1" applyBorder="1" applyAlignment="1" applyProtection="1">
      <alignment horizontal="left" vertical="top" wrapText="1"/>
    </xf>
    <xf numFmtId="0" fontId="46" fillId="0" borderId="68" xfId="0" applyFont="1" applyFill="1" applyBorder="1" applyAlignment="1">
      <alignment horizontal="left" vertical="top" wrapText="1"/>
    </xf>
    <xf numFmtId="0" fontId="46" fillId="0" borderId="18" xfId="0" applyFont="1" applyFill="1" applyBorder="1" applyAlignment="1">
      <alignment horizontal="left" vertical="top" wrapText="1"/>
    </xf>
    <xf numFmtId="0" fontId="46" fillId="0" borderId="67" xfId="0" applyFont="1" applyFill="1" applyBorder="1" applyAlignment="1">
      <alignment horizontal="left" vertical="top" wrapText="1"/>
    </xf>
    <xf numFmtId="0" fontId="0" fillId="0" borderId="31" xfId="0" applyBorder="1">
      <alignment vertical="top"/>
    </xf>
    <xf numFmtId="0" fontId="0" fillId="0" borderId="33" xfId="0" applyBorder="1">
      <alignment vertical="top"/>
    </xf>
    <xf numFmtId="0" fontId="5" fillId="2" borderId="25" xfId="0" applyFont="1" applyFill="1" applyBorder="1" applyAlignment="1">
      <alignment horizontal="left" vertical="top" wrapText="1"/>
    </xf>
    <xf numFmtId="0" fontId="5" fillId="2" borderId="31" xfId="0" applyFont="1" applyFill="1" applyBorder="1" applyAlignment="1">
      <alignment horizontal="left" vertical="top" wrapText="1"/>
    </xf>
    <xf numFmtId="0" fontId="5" fillId="2" borderId="33" xfId="0" applyFont="1" applyFill="1" applyBorder="1" applyAlignment="1">
      <alignment horizontal="left" vertical="top" wrapText="1"/>
    </xf>
    <xf numFmtId="0" fontId="5" fillId="0" borderId="31" xfId="0" applyFont="1" applyBorder="1" applyAlignment="1">
      <alignment horizontal="left" vertical="top" wrapText="1"/>
    </xf>
    <xf numFmtId="0" fontId="5" fillId="0" borderId="33" xfId="0" applyFont="1" applyBorder="1" applyAlignment="1">
      <alignment horizontal="left" vertical="top" wrapText="1"/>
    </xf>
    <xf numFmtId="49" fontId="1" fillId="0" borderId="8" xfId="1" applyNumberFormat="1" applyFont="1" applyBorder="1" applyAlignment="1">
      <alignment horizontal="right" vertical="center" wrapText="1"/>
    </xf>
    <xf numFmtId="49" fontId="1" fillId="0" borderId="21" xfId="1" applyNumberFormat="1" applyFont="1" applyBorder="1" applyAlignment="1">
      <alignment horizontal="right" vertical="center" wrapText="1"/>
    </xf>
    <xf numFmtId="49" fontId="1" fillId="0" borderId="28" xfId="1" applyNumberFormat="1" applyFont="1" applyBorder="1" applyAlignment="1">
      <alignment horizontal="right" vertical="center" wrapText="1"/>
    </xf>
    <xf numFmtId="2" fontId="1" fillId="0" borderId="44" xfId="1" applyNumberFormat="1" applyFont="1" applyFill="1" applyBorder="1" applyAlignment="1">
      <alignment horizontal="right" vertical="center" wrapText="1"/>
    </xf>
    <xf numFmtId="2" fontId="0" fillId="0" borderId="32" xfId="0" applyNumberFormat="1" applyBorder="1" applyAlignment="1">
      <alignment horizontal="right" vertical="center" wrapText="1"/>
    </xf>
    <xf numFmtId="0" fontId="5" fillId="0" borderId="8" xfId="1" applyFont="1" applyFill="1" applyBorder="1" applyAlignment="1">
      <alignment vertical="center" wrapText="1"/>
    </xf>
    <xf numFmtId="0" fontId="0" fillId="0" borderId="21" xfId="0" applyFill="1" applyBorder="1" applyAlignment="1">
      <alignment vertical="center" wrapText="1"/>
    </xf>
    <xf numFmtId="0" fontId="5" fillId="0" borderId="8" xfId="1" applyFont="1" applyBorder="1" applyAlignment="1">
      <alignment vertical="center" wrapText="1"/>
    </xf>
    <xf numFmtId="0" fontId="0" fillId="0" borderId="21" xfId="0" applyBorder="1" applyAlignment="1">
      <alignment vertical="center" wrapText="1"/>
    </xf>
    <xf numFmtId="0" fontId="5" fillId="0" borderId="69" xfId="1" applyFont="1" applyBorder="1" applyAlignment="1">
      <alignment vertical="top" wrapText="1"/>
    </xf>
    <xf numFmtId="0" fontId="0" fillId="0" borderId="59" xfId="0" applyBorder="1" applyAlignment="1">
      <alignment vertical="top" wrapText="1"/>
    </xf>
    <xf numFmtId="0" fontId="0" fillId="0" borderId="35" xfId="0" applyBorder="1" applyAlignment="1">
      <alignment vertical="top" wrapText="1"/>
    </xf>
    <xf numFmtId="0" fontId="0" fillId="0" borderId="61" xfId="0" applyBorder="1" applyAlignment="1">
      <alignment vertical="top" wrapText="1"/>
    </xf>
    <xf numFmtId="0" fontId="14" fillId="0" borderId="26" xfId="1" applyFont="1" applyBorder="1" applyAlignment="1">
      <alignment wrapText="1"/>
    </xf>
    <xf numFmtId="0" fontId="0" fillId="0" borderId="15" xfId="0" applyBorder="1" applyAlignment="1">
      <alignment wrapText="1"/>
    </xf>
    <xf numFmtId="0" fontId="13" fillId="0" borderId="26" xfId="1" applyFont="1" applyFill="1" applyBorder="1" applyAlignment="1">
      <alignment vertical="center" wrapText="1"/>
    </xf>
    <xf numFmtId="0" fontId="35" fillId="0" borderId="15" xfId="0" applyFont="1" applyFill="1" applyBorder="1" applyAlignment="1">
      <alignment vertical="center" wrapText="1"/>
    </xf>
    <xf numFmtId="0" fontId="5" fillId="0" borderId="39" xfId="1" applyFont="1" applyBorder="1" applyAlignment="1">
      <alignment vertical="center" wrapText="1"/>
    </xf>
    <xf numFmtId="0" fontId="0" fillId="0" borderId="37" xfId="0" applyBorder="1" applyAlignment="1">
      <alignment vertical="center" wrapText="1"/>
    </xf>
    <xf numFmtId="0" fontId="13" fillId="0" borderId="15" xfId="1" applyFont="1" applyFill="1" applyBorder="1" applyAlignment="1">
      <alignment vertical="center" wrapText="1"/>
    </xf>
    <xf numFmtId="0" fontId="5" fillId="0" borderId="26" xfId="1" applyFont="1" applyBorder="1" applyAlignment="1">
      <alignment vertical="center" wrapText="1"/>
    </xf>
    <xf numFmtId="0" fontId="0" fillId="0" borderId="15" xfId="0" applyBorder="1" applyAlignment="1">
      <alignment vertical="center" wrapText="1"/>
    </xf>
    <xf numFmtId="0" fontId="0" fillId="0" borderId="57" xfId="0" applyBorder="1" applyAlignment="1">
      <alignment vertical="center" wrapText="1"/>
    </xf>
    <xf numFmtId="0" fontId="0" fillId="0" borderId="30" xfId="0" applyBorder="1" applyAlignment="1">
      <alignment vertical="top" wrapText="1"/>
    </xf>
    <xf numFmtId="0" fontId="3" fillId="0" borderId="15" xfId="0" applyFont="1" applyBorder="1" applyAlignment="1">
      <alignment wrapText="1"/>
    </xf>
    <xf numFmtId="49" fontId="18" fillId="20" borderId="8" xfId="1" applyNumberFormat="1" applyFont="1" applyFill="1" applyBorder="1" applyAlignment="1">
      <alignment horizontal="left" vertical="center" wrapText="1"/>
    </xf>
    <xf numFmtId="49" fontId="18" fillId="20" borderId="21" xfId="1" applyNumberFormat="1" applyFont="1" applyFill="1" applyBorder="1" applyAlignment="1">
      <alignment horizontal="left" vertical="center" wrapText="1"/>
    </xf>
    <xf numFmtId="0" fontId="5" fillId="0" borderId="69" xfId="1" applyFont="1" applyBorder="1" applyAlignment="1">
      <alignment horizontal="center" vertical="top" wrapText="1"/>
    </xf>
    <xf numFmtId="0" fontId="5" fillId="0" borderId="59" xfId="1" applyFont="1" applyBorder="1" applyAlignment="1">
      <alignment horizontal="center" vertical="top" wrapText="1"/>
    </xf>
    <xf numFmtId="0" fontId="5" fillId="0" borderId="30" xfId="1" applyFont="1" applyBorder="1" applyAlignment="1">
      <alignment horizontal="center" vertical="top" wrapText="1"/>
    </xf>
    <xf numFmtId="0" fontId="14" fillId="0" borderId="26" xfId="1" applyFont="1" applyBorder="1" applyAlignment="1">
      <alignment horizontal="left" wrapText="1"/>
    </xf>
    <xf numFmtId="0" fontId="14" fillId="0" borderId="15" xfId="1" applyFont="1" applyBorder="1" applyAlignment="1">
      <alignment horizontal="left" wrapText="1"/>
    </xf>
    <xf numFmtId="0" fontId="35" fillId="0" borderId="15" xfId="1" applyFont="1" applyFill="1" applyBorder="1" applyAlignment="1">
      <alignment vertical="center" wrapText="1"/>
    </xf>
    <xf numFmtId="0" fontId="5" fillId="0" borderId="8" xfId="1" applyFont="1" applyBorder="1" applyAlignment="1">
      <alignment horizontal="left" vertical="center" wrapText="1"/>
    </xf>
    <xf numFmtId="0" fontId="5" fillId="0" borderId="21" xfId="1" applyFont="1" applyBorder="1" applyAlignment="1">
      <alignment horizontal="left" vertical="center" wrapText="1"/>
    </xf>
    <xf numFmtId="2" fontId="5" fillId="0" borderId="69" xfId="1" applyNumberFormat="1" applyFont="1" applyBorder="1" applyAlignment="1">
      <alignment vertical="top" wrapText="1"/>
    </xf>
    <xf numFmtId="2" fontId="0" fillId="0" borderId="59" xfId="0" applyNumberFormat="1" applyBorder="1" applyAlignment="1">
      <alignment vertical="top" wrapText="1"/>
    </xf>
    <xf numFmtId="2" fontId="0" fillId="0" borderId="30" xfId="0" applyNumberFormat="1" applyBorder="1" applyAlignment="1">
      <alignment vertical="top" wrapText="1"/>
    </xf>
    <xf numFmtId="2" fontId="1" fillId="0" borderId="8" xfId="1" applyNumberFormat="1" applyFont="1" applyBorder="1" applyAlignment="1">
      <alignment horizontal="right" vertical="center" wrapText="1"/>
    </xf>
    <xf numFmtId="2" fontId="1" fillId="0" borderId="21" xfId="1" applyNumberFormat="1" applyFont="1" applyBorder="1" applyAlignment="1">
      <alignment horizontal="right" vertical="center" wrapText="1"/>
    </xf>
    <xf numFmtId="2" fontId="1" fillId="0" borderId="28" xfId="1" applyNumberFormat="1" applyFont="1" applyBorder="1" applyAlignment="1">
      <alignment horizontal="right" vertical="center" wrapText="1"/>
    </xf>
    <xf numFmtId="0" fontId="5" fillId="0" borderId="3" xfId="1" applyFont="1" applyBorder="1" applyAlignment="1">
      <alignment vertical="center" wrapText="1"/>
    </xf>
    <xf numFmtId="0" fontId="0" fillId="0" borderId="3" xfId="0" applyBorder="1" applyAlignment="1">
      <alignment vertical="center" wrapText="1"/>
    </xf>
    <xf numFmtId="0" fontId="0" fillId="0" borderId="9" xfId="0" applyBorder="1" applyAlignment="1">
      <alignment vertical="center" wrapText="1"/>
    </xf>
    <xf numFmtId="0" fontId="61" fillId="20" borderId="26" xfId="1" applyFont="1" applyFill="1" applyBorder="1" applyAlignment="1">
      <alignment horizontal="left" vertical="center"/>
    </xf>
    <xf numFmtId="0" fontId="61" fillId="20" borderId="15" xfId="1" applyFont="1" applyFill="1" applyBorder="1" applyAlignment="1">
      <alignment horizontal="left" vertical="center"/>
    </xf>
    <xf numFmtId="0" fontId="61" fillId="20" borderId="57" xfId="1" applyFont="1" applyFill="1" applyBorder="1" applyAlignment="1">
      <alignment horizontal="left" vertical="center"/>
    </xf>
    <xf numFmtId="49" fontId="18" fillId="0" borderId="21" xfId="1" applyNumberFormat="1" applyFont="1" applyFill="1" applyBorder="1" applyAlignment="1">
      <alignment horizontal="left" vertical="center" wrapText="1"/>
    </xf>
    <xf numFmtId="2" fontId="1" fillId="0" borderId="32" xfId="1" applyNumberFormat="1" applyFont="1" applyFill="1" applyBorder="1" applyAlignment="1">
      <alignment horizontal="right" vertical="center" wrapText="1"/>
    </xf>
    <xf numFmtId="0" fontId="5" fillId="0" borderId="69" xfId="1" applyFont="1" applyFill="1" applyBorder="1" applyAlignment="1">
      <alignment vertical="top" wrapText="1"/>
    </xf>
    <xf numFmtId="0" fontId="0" fillId="0" borderId="59" xfId="0" applyFill="1" applyBorder="1" applyAlignment="1">
      <alignment vertical="top" wrapText="1"/>
    </xf>
    <xf numFmtId="0" fontId="0" fillId="0" borderId="30" xfId="0" applyFill="1" applyBorder="1" applyAlignment="1">
      <alignment vertical="top" wrapText="1"/>
    </xf>
    <xf numFmtId="0" fontId="13" fillId="0" borderId="41" xfId="1" applyFont="1" applyFill="1" applyBorder="1" applyAlignment="1">
      <alignment vertical="top" wrapText="1"/>
    </xf>
    <xf numFmtId="0" fontId="35" fillId="0" borderId="42" xfId="0" applyFont="1" applyFill="1" applyBorder="1" applyAlignment="1">
      <alignment vertical="top" wrapText="1"/>
    </xf>
    <xf numFmtId="0" fontId="35" fillId="0" borderId="29" xfId="0" applyFont="1" applyFill="1" applyBorder="1" applyAlignment="1">
      <alignment vertical="top" wrapText="1"/>
    </xf>
    <xf numFmtId="0" fontId="5" fillId="0" borderId="9" xfId="1" applyFont="1" applyBorder="1" applyAlignment="1">
      <alignment vertical="top" wrapText="1"/>
    </xf>
    <xf numFmtId="0" fontId="0" fillId="0" borderId="27" xfId="0" applyBorder="1" applyAlignment="1">
      <alignment vertical="top" wrapText="1"/>
    </xf>
    <xf numFmtId="0" fontId="5" fillId="0" borderId="8" xfId="1" applyFont="1" applyBorder="1" applyAlignment="1">
      <alignment vertical="top" wrapText="1"/>
    </xf>
    <xf numFmtId="0" fontId="0" fillId="0" borderId="21" xfId="0" applyBorder="1" applyAlignment="1">
      <alignment vertical="top" wrapText="1"/>
    </xf>
    <xf numFmtId="0" fontId="5" fillId="0" borderId="21" xfId="0" applyFont="1" applyBorder="1" applyAlignment="1">
      <alignment vertical="top" wrapText="1"/>
    </xf>
    <xf numFmtId="0" fontId="5" fillId="0" borderId="1" xfId="1" applyFont="1" applyBorder="1" applyAlignment="1">
      <alignment vertical="top" wrapText="1"/>
    </xf>
    <xf numFmtId="0" fontId="0" fillId="0" borderId="1" xfId="0" applyBorder="1" applyAlignment="1">
      <alignment vertical="top" wrapText="1"/>
    </xf>
    <xf numFmtId="0" fontId="0" fillId="0" borderId="8" xfId="0" applyBorder="1" applyAlignment="1">
      <alignment vertical="top" wrapText="1"/>
    </xf>
    <xf numFmtId="2" fontId="1" fillId="0" borderId="44" xfId="1" applyNumberFormat="1" applyFont="1" applyFill="1" applyBorder="1" applyAlignment="1">
      <alignment horizontal="right" vertical="top" wrapText="1"/>
    </xf>
    <xf numFmtId="2" fontId="0" fillId="0" borderId="32" xfId="0" applyNumberFormat="1" applyBorder="1" applyAlignment="1">
      <alignment horizontal="right" vertical="top" wrapText="1"/>
    </xf>
    <xf numFmtId="0" fontId="46" fillId="0" borderId="24" xfId="0" applyFont="1" applyBorder="1" applyAlignment="1">
      <alignment horizontal="left" vertical="top" wrapText="1"/>
    </xf>
    <xf numFmtId="0" fontId="46" fillId="0" borderId="45" xfId="0" applyFont="1" applyBorder="1" applyAlignment="1">
      <alignment horizontal="left" vertical="top" wrapText="1"/>
    </xf>
    <xf numFmtId="0" fontId="46" fillId="0" borderId="6" xfId="0" applyFont="1" applyBorder="1" applyAlignment="1">
      <alignment horizontal="left" vertical="top" wrapText="1"/>
    </xf>
    <xf numFmtId="0" fontId="12" fillId="0" borderId="15" xfId="1" applyFont="1" applyBorder="1" applyAlignment="1">
      <alignment horizontal="left" wrapText="1"/>
    </xf>
    <xf numFmtId="0" fontId="55" fillId="0" borderId="15" xfId="0" applyFont="1" applyBorder="1" applyAlignment="1">
      <alignment horizontal="left" wrapText="1"/>
    </xf>
    <xf numFmtId="0" fontId="5" fillId="0" borderId="37" xfId="1" applyFont="1" applyBorder="1" applyAlignment="1">
      <alignment vertical="center" wrapText="1"/>
    </xf>
    <xf numFmtId="0" fontId="5" fillId="0" borderId="21" xfId="1" applyFont="1" applyBorder="1" applyAlignment="1">
      <alignment vertical="center" wrapText="1"/>
    </xf>
    <xf numFmtId="0" fontId="14" fillId="7" borderId="26" xfId="0" applyFont="1" applyFill="1" applyBorder="1" applyAlignment="1">
      <alignment horizontal="left" vertical="center" wrapText="1"/>
    </xf>
    <xf numFmtId="0" fontId="14" fillId="7" borderId="15" xfId="0" applyFont="1" applyFill="1" applyBorder="1" applyAlignment="1">
      <alignment horizontal="left" vertical="center" wrapText="1"/>
    </xf>
    <xf numFmtId="0" fontId="14" fillId="7" borderId="57" xfId="0" applyFont="1" applyFill="1" applyBorder="1" applyAlignment="1">
      <alignment horizontal="left" vertical="center" wrapText="1"/>
    </xf>
    <xf numFmtId="0" fontId="6" fillId="0" borderId="3" xfId="0" applyFont="1" applyFill="1" applyBorder="1" applyAlignment="1" applyProtection="1">
      <alignment horizontal="left" wrapText="1"/>
      <protection locked="0"/>
    </xf>
    <xf numFmtId="0" fontId="6" fillId="0" borderId="1" xfId="0" applyFont="1" applyFill="1" applyBorder="1" applyAlignment="1" applyProtection="1">
      <alignment horizontal="left" wrapText="1"/>
      <protection locked="0"/>
    </xf>
    <xf numFmtId="0" fontId="14" fillId="31" borderId="26" xfId="0" applyFont="1" applyFill="1" applyBorder="1" applyAlignment="1">
      <alignment horizontal="left" vertical="center" wrapText="1"/>
    </xf>
    <xf numFmtId="0" fontId="14" fillId="31" borderId="15" xfId="0" applyFont="1" applyFill="1" applyBorder="1" applyAlignment="1">
      <alignment horizontal="left" vertical="center" wrapText="1"/>
    </xf>
    <xf numFmtId="0" fontId="14" fillId="31" borderId="57" xfId="0" applyFont="1" applyFill="1" applyBorder="1" applyAlignment="1">
      <alignment horizontal="left" vertical="center" wrapText="1"/>
    </xf>
    <xf numFmtId="0" fontId="4" fillId="32" borderId="69" xfId="0" applyFont="1" applyFill="1" applyBorder="1" applyAlignment="1" applyProtection="1">
      <alignment horizontal="center" vertical="center" wrapText="1"/>
    </xf>
    <xf numFmtId="0" fontId="4" fillId="32" borderId="34" xfId="0" applyFont="1" applyFill="1" applyBorder="1" applyAlignment="1" applyProtection="1">
      <alignment horizontal="center" vertical="center" wrapText="1"/>
    </xf>
    <xf numFmtId="0" fontId="4" fillId="32" borderId="25" xfId="0" applyFont="1" applyFill="1" applyBorder="1" applyAlignment="1" applyProtection="1">
      <alignment horizontal="center" vertical="center" wrapText="1"/>
    </xf>
    <xf numFmtId="0" fontId="4" fillId="32" borderId="69" xfId="0" applyFont="1" applyFill="1" applyBorder="1" applyAlignment="1" applyProtection="1">
      <alignment horizontal="center" vertical="center"/>
    </xf>
    <xf numFmtId="0" fontId="4" fillId="32" borderId="34" xfId="0" applyFont="1" applyFill="1" applyBorder="1" applyAlignment="1" applyProtection="1">
      <alignment horizontal="center" vertical="center"/>
    </xf>
    <xf numFmtId="0" fontId="4" fillId="32" borderId="25" xfId="0" applyFont="1" applyFill="1" applyBorder="1" applyAlignment="1" applyProtection="1">
      <alignment horizontal="center" vertical="center"/>
    </xf>
    <xf numFmtId="0" fontId="67" fillId="0" borderId="69" xfId="0" applyFont="1" applyBorder="1" applyAlignment="1" applyProtection="1">
      <alignment horizontal="left" vertical="center" wrapText="1"/>
    </xf>
    <xf numFmtId="0" fontId="67" fillId="0" borderId="34" xfId="0" applyFont="1" applyBorder="1" applyAlignment="1" applyProtection="1">
      <alignment horizontal="left" vertical="center" wrapText="1"/>
    </xf>
    <xf numFmtId="1" fontId="9" fillId="0" borderId="30" xfId="0" applyNumberFormat="1" applyFont="1" applyBorder="1" applyAlignment="1">
      <alignment horizontal="center" vertical="center" wrapText="1"/>
    </xf>
    <xf numFmtId="1" fontId="9" fillId="0" borderId="32" xfId="0" applyNumberFormat="1" applyFont="1" applyBorder="1" applyAlignment="1">
      <alignment horizontal="center" vertical="center" wrapText="1"/>
    </xf>
    <xf numFmtId="0" fontId="5" fillId="0" borderId="15" xfId="0" applyFont="1" applyBorder="1" applyAlignment="1">
      <alignment horizontal="center" vertical="top" wrapText="1"/>
    </xf>
    <xf numFmtId="0" fontId="5" fillId="0" borderId="34" xfId="0" applyFont="1" applyBorder="1" applyAlignment="1">
      <alignment horizontal="center" vertical="top" wrapText="1"/>
    </xf>
    <xf numFmtId="0" fontId="29" fillId="4" borderId="26" xfId="0" applyFont="1" applyFill="1" applyBorder="1" applyAlignment="1">
      <alignment horizontal="center" vertical="top" wrapText="1"/>
    </xf>
    <xf numFmtId="0" fontId="29" fillId="4" borderId="57" xfId="0" applyFont="1" applyFill="1" applyBorder="1" applyAlignment="1">
      <alignment horizontal="center" vertical="top" wrapText="1"/>
    </xf>
    <xf numFmtId="0" fontId="5" fillId="0" borderId="13" xfId="0" applyFont="1" applyBorder="1" applyAlignment="1">
      <alignment horizontal="left" vertical="top" wrapText="1"/>
    </xf>
    <xf numFmtId="1" fontId="5" fillId="0" borderId="69" xfId="0" applyNumberFormat="1" applyFont="1" applyBorder="1" applyAlignment="1">
      <alignment horizontal="left" vertical="top" wrapText="1"/>
    </xf>
    <xf numFmtId="1" fontId="5" fillId="0" borderId="59" xfId="0" applyNumberFormat="1" applyFont="1" applyBorder="1" applyAlignment="1">
      <alignment horizontal="left" vertical="top" wrapText="1"/>
    </xf>
    <xf numFmtId="1" fontId="5" fillId="0" borderId="30" xfId="0" applyNumberFormat="1" applyFont="1" applyBorder="1" applyAlignment="1">
      <alignment horizontal="left" vertical="top" wrapText="1"/>
    </xf>
    <xf numFmtId="49" fontId="6" fillId="0" borderId="26" xfId="0" applyNumberFormat="1" applyFont="1" applyFill="1" applyBorder="1" applyAlignment="1">
      <alignment horizontal="left" vertical="top" wrapText="1"/>
    </xf>
    <xf numFmtId="49" fontId="6" fillId="0" borderId="15" xfId="0" applyNumberFormat="1" applyFont="1" applyFill="1" applyBorder="1" applyAlignment="1">
      <alignment horizontal="left" vertical="top" wrapText="1"/>
    </xf>
    <xf numFmtId="49" fontId="6" fillId="0" borderId="57" xfId="0" applyNumberFormat="1" applyFont="1" applyFill="1" applyBorder="1" applyAlignment="1">
      <alignment horizontal="left" vertical="top" wrapText="1"/>
    </xf>
    <xf numFmtId="0" fontId="5" fillId="0" borderId="45" xfId="0" applyFont="1" applyBorder="1" applyAlignment="1">
      <alignment vertical="top" wrapText="1"/>
    </xf>
    <xf numFmtId="1" fontId="5" fillId="0" borderId="24" xfId="0" applyNumberFormat="1" applyFont="1" applyBorder="1" applyAlignment="1">
      <alignment vertical="top" wrapText="1"/>
    </xf>
    <xf numFmtId="1" fontId="5" fillId="0" borderId="45" xfId="0" applyNumberFormat="1" applyFont="1" applyBorder="1" applyAlignment="1">
      <alignment vertical="top" wrapText="1"/>
    </xf>
    <xf numFmtId="1" fontId="5" fillId="0" borderId="6" xfId="0" applyNumberFormat="1" applyFont="1" applyBorder="1" applyAlignment="1">
      <alignment vertical="top" wrapText="1"/>
    </xf>
    <xf numFmtId="0" fontId="5" fillId="0" borderId="13" xfId="0" applyFont="1" applyBorder="1" applyAlignment="1">
      <alignment vertical="top" wrapText="1"/>
    </xf>
    <xf numFmtId="0" fontId="5" fillId="0" borderId="69" xfId="0" applyFont="1" applyBorder="1" applyAlignment="1">
      <alignment vertical="top" wrapText="1"/>
    </xf>
    <xf numFmtId="0" fontId="5" fillId="0" borderId="59" xfId="0" applyFont="1" applyBorder="1" applyAlignment="1">
      <alignment vertical="top" wrapText="1"/>
    </xf>
    <xf numFmtId="0" fontId="5" fillId="0" borderId="30" xfId="0" applyFont="1" applyBorder="1" applyAlignment="1">
      <alignment vertical="top" wrapText="1"/>
    </xf>
    <xf numFmtId="0" fontId="5" fillId="0" borderId="24" xfId="0" applyFont="1" applyBorder="1" applyAlignment="1">
      <alignment vertical="top" wrapText="1"/>
    </xf>
    <xf numFmtId="0" fontId="5" fillId="0" borderId="6" xfId="0" applyFont="1" applyBorder="1" applyAlignment="1">
      <alignment vertical="top" wrapText="1"/>
    </xf>
    <xf numFmtId="0" fontId="5" fillId="0" borderId="45" xfId="0" applyFont="1" applyBorder="1" applyAlignment="1">
      <alignment horizontal="left" vertical="top" wrapText="1"/>
    </xf>
    <xf numFmtId="0" fontId="5" fillId="0" borderId="24" xfId="0" applyFont="1" applyBorder="1" applyAlignment="1">
      <alignment horizontal="left" vertical="top" wrapText="1"/>
    </xf>
    <xf numFmtId="0" fontId="5" fillId="0" borderId="69" xfId="0" applyFont="1" applyBorder="1" applyAlignment="1">
      <alignment horizontal="left" vertical="top" wrapText="1"/>
    </xf>
    <xf numFmtId="0" fontId="5" fillId="0" borderId="59" xfId="0" applyFont="1" applyBorder="1" applyAlignment="1">
      <alignment horizontal="left" vertical="top" wrapText="1"/>
    </xf>
    <xf numFmtId="1" fontId="5" fillId="0" borderId="69" xfId="0" applyNumberFormat="1" applyFont="1" applyBorder="1" applyAlignment="1">
      <alignment vertical="top" wrapText="1"/>
    </xf>
    <xf numFmtId="1" fontId="5" fillId="0" borderId="59" xfId="0" applyNumberFormat="1" applyFont="1" applyBorder="1" applyAlignment="1">
      <alignment vertical="top" wrapText="1"/>
    </xf>
    <xf numFmtId="1" fontId="5" fillId="0" borderId="30" xfId="0" applyNumberFormat="1" applyFont="1" applyBorder="1" applyAlignment="1">
      <alignment vertical="top" wrapText="1"/>
    </xf>
    <xf numFmtId="0" fontId="5" fillId="0" borderId="40" xfId="0" applyFont="1" applyBorder="1" applyAlignment="1">
      <alignment vertical="top" wrapText="1"/>
    </xf>
    <xf numFmtId="0" fontId="5" fillId="0" borderId="44" xfId="0" applyFont="1" applyBorder="1" applyAlignment="1">
      <alignment vertical="top" wrapText="1"/>
    </xf>
    <xf numFmtId="1" fontId="5" fillId="0" borderId="30" xfId="0" applyNumberFormat="1" applyFont="1" applyBorder="1" applyAlignment="1">
      <alignment horizontal="center" vertical="center" wrapText="1"/>
    </xf>
    <xf numFmtId="1" fontId="5" fillId="0" borderId="32" xfId="0" applyNumberFormat="1" applyFont="1" applyBorder="1" applyAlignment="1">
      <alignment horizontal="center" vertical="center" wrapText="1"/>
    </xf>
    <xf numFmtId="0" fontId="22" fillId="0" borderId="15"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0" xfId="0" applyFont="1" applyAlignment="1">
      <alignment horizontal="center" vertical="top" wrapText="1"/>
    </xf>
    <xf numFmtId="0" fontId="22" fillId="0" borderId="0" xfId="0" applyFont="1" applyBorder="1" applyAlignment="1">
      <alignment horizontal="center" vertical="top" wrapText="1"/>
    </xf>
    <xf numFmtId="0" fontId="29" fillId="4" borderId="38" xfId="0" applyFont="1" applyFill="1" applyBorder="1" applyAlignment="1">
      <alignment horizontal="center" vertical="top" wrapText="1"/>
    </xf>
    <xf numFmtId="0" fontId="55" fillId="0" borderId="19" xfId="0" applyFont="1" applyBorder="1" applyAlignment="1">
      <alignment horizontal="center" vertical="top" wrapText="1"/>
    </xf>
    <xf numFmtId="0" fontId="22" fillId="0" borderId="13" xfId="0" applyFont="1" applyBorder="1" applyAlignment="1">
      <alignment horizontal="left" vertical="top" wrapText="1"/>
    </xf>
    <xf numFmtId="0" fontId="22" fillId="0" borderId="45" xfId="0" applyFont="1" applyBorder="1" applyAlignment="1">
      <alignment horizontal="left" vertical="top" wrapText="1"/>
    </xf>
    <xf numFmtId="1" fontId="22" fillId="0" borderId="13" xfId="0" applyNumberFormat="1" applyFont="1" applyBorder="1" applyAlignment="1">
      <alignment vertical="top" wrapText="1"/>
    </xf>
    <xf numFmtId="0" fontId="22" fillId="0" borderId="45" xfId="0" applyFont="1" applyBorder="1" applyAlignment="1">
      <alignment vertical="top" wrapText="1"/>
    </xf>
    <xf numFmtId="0" fontId="8" fillId="0" borderId="26"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57" xfId="0" applyFont="1" applyFill="1" applyBorder="1" applyAlignment="1">
      <alignment horizontal="left" vertical="top" wrapText="1"/>
    </xf>
    <xf numFmtId="0" fontId="22" fillId="0" borderId="69" xfId="0" applyFont="1" applyBorder="1" applyAlignment="1">
      <alignment horizontal="left" vertical="top" wrapText="1"/>
    </xf>
    <xf numFmtId="0" fontId="22" fillId="0" borderId="59" xfId="0" applyFont="1" applyBorder="1" applyAlignment="1">
      <alignment horizontal="left" vertical="top" wrapText="1"/>
    </xf>
    <xf numFmtId="0" fontId="22" fillId="0" borderId="30" xfId="0" applyFont="1" applyBorder="1" applyAlignment="1">
      <alignment horizontal="left" vertical="top" wrapText="1"/>
    </xf>
    <xf numFmtId="0" fontId="22" fillId="5" borderId="60" xfId="0" applyFont="1" applyFill="1" applyBorder="1" applyAlignment="1">
      <alignment horizontal="left" vertical="top" wrapText="1"/>
    </xf>
    <xf numFmtId="0" fontId="22" fillId="5" borderId="47" xfId="0" applyFont="1" applyFill="1" applyBorder="1" applyAlignment="1">
      <alignment horizontal="left" vertical="top" wrapText="1"/>
    </xf>
    <xf numFmtId="0" fontId="22" fillId="5" borderId="63" xfId="0" applyFont="1" applyFill="1" applyBorder="1" applyAlignment="1">
      <alignment horizontal="left" vertical="top" wrapText="1"/>
    </xf>
    <xf numFmtId="0" fontId="22" fillId="5" borderId="1" xfId="0" applyFont="1" applyFill="1" applyBorder="1" applyAlignment="1">
      <alignment horizontal="left" vertical="top" wrapText="1"/>
    </xf>
    <xf numFmtId="0" fontId="22" fillId="5" borderId="64" xfId="0" applyFont="1" applyFill="1" applyBorder="1" applyAlignment="1">
      <alignment horizontal="left" vertical="top" wrapText="1"/>
    </xf>
    <xf numFmtId="0" fontId="22" fillId="5" borderId="11" xfId="0" applyFont="1" applyFill="1" applyBorder="1" applyAlignment="1">
      <alignment horizontal="left" vertical="top" wrapText="1"/>
    </xf>
    <xf numFmtId="0" fontId="22" fillId="0" borderId="24" xfId="0" applyFont="1" applyBorder="1" applyAlignment="1">
      <alignment vertical="top" wrapText="1"/>
    </xf>
    <xf numFmtId="0" fontId="22" fillId="0" borderId="6" xfId="0" applyFont="1" applyBorder="1" applyAlignment="1">
      <alignment vertical="top" wrapText="1"/>
    </xf>
    <xf numFmtId="1" fontId="22" fillId="0" borderId="69" xfId="0" applyNumberFormat="1" applyFont="1" applyBorder="1" applyAlignment="1">
      <alignment vertical="top" wrapText="1"/>
    </xf>
    <xf numFmtId="1" fontId="22" fillId="0" borderId="59" xfId="0" applyNumberFormat="1" applyFont="1" applyBorder="1" applyAlignment="1">
      <alignment vertical="top" wrapText="1"/>
    </xf>
    <xf numFmtId="1" fontId="22" fillId="0" borderId="30" xfId="0" applyNumberFormat="1" applyFont="1" applyBorder="1" applyAlignment="1">
      <alignment vertical="top" wrapText="1"/>
    </xf>
    <xf numFmtId="0" fontId="22" fillId="0" borderId="13" xfId="0" applyFont="1" applyBorder="1" applyAlignment="1">
      <alignment vertical="top" wrapText="1"/>
    </xf>
    <xf numFmtId="0" fontId="22" fillId="0" borderId="69" xfId="0" applyFont="1" applyBorder="1" applyAlignment="1">
      <alignment vertical="top" wrapText="1"/>
    </xf>
    <xf numFmtId="0" fontId="22" fillId="0" borderId="59" xfId="0" applyFont="1" applyBorder="1" applyAlignment="1">
      <alignment vertical="top" wrapText="1"/>
    </xf>
    <xf numFmtId="0" fontId="22" fillId="0" borderId="30" xfId="0" applyFont="1" applyBorder="1" applyAlignment="1">
      <alignment vertical="top" wrapText="1"/>
    </xf>
    <xf numFmtId="0" fontId="22" fillId="0" borderId="24" xfId="0" applyFont="1" applyBorder="1" applyAlignment="1">
      <alignment horizontal="left" vertical="top" wrapText="1"/>
    </xf>
    <xf numFmtId="0" fontId="22" fillId="0" borderId="6" xfId="0" applyFont="1" applyBorder="1" applyAlignment="1">
      <alignment horizontal="left" vertical="top" wrapText="1"/>
    </xf>
    <xf numFmtId="0" fontId="5" fillId="0" borderId="15" xfId="0" applyFont="1" applyBorder="1" applyAlignment="1">
      <alignment horizontal="center" vertical="center" wrapText="1"/>
    </xf>
    <xf numFmtId="0" fontId="29" fillId="4" borderId="41" xfId="0" applyFont="1" applyFill="1" applyBorder="1" applyAlignment="1">
      <alignment horizontal="center" vertical="top" wrapText="1"/>
    </xf>
    <xf numFmtId="0" fontId="29" fillId="4" borderId="46" xfId="0" applyFont="1" applyFill="1" applyBorder="1" applyAlignment="1">
      <alignment horizontal="center" vertical="top" wrapText="1"/>
    </xf>
    <xf numFmtId="1" fontId="5" fillId="0" borderId="13" xfId="0" applyNumberFormat="1" applyFont="1" applyBorder="1" applyAlignment="1">
      <alignment horizontal="left" vertical="top" wrapText="1"/>
    </xf>
    <xf numFmtId="0" fontId="5" fillId="0" borderId="20" xfId="0" applyFont="1" applyBorder="1" applyAlignment="1">
      <alignment vertical="top" wrapText="1"/>
    </xf>
    <xf numFmtId="0" fontId="5" fillId="0" borderId="71" xfId="0" applyFont="1" applyBorder="1" applyAlignment="1">
      <alignment vertical="top" wrapText="1"/>
    </xf>
    <xf numFmtId="0" fontId="5" fillId="0" borderId="0" xfId="0" applyFont="1" applyAlignment="1">
      <alignment horizontal="center" vertical="center" wrapText="1"/>
    </xf>
    <xf numFmtId="0" fontId="5" fillId="0" borderId="31" xfId="0" applyFont="1" applyBorder="1" applyAlignment="1">
      <alignment horizontal="center" vertical="center" wrapText="1"/>
    </xf>
    <xf numFmtId="0" fontId="5" fillId="5" borderId="64" xfId="0" applyFont="1" applyFill="1" applyBorder="1" applyAlignment="1">
      <alignment horizontal="left" vertical="top" wrapText="1"/>
    </xf>
    <xf numFmtId="0" fontId="5" fillId="5" borderId="11" xfId="0" applyFont="1" applyFill="1" applyBorder="1" applyAlignment="1">
      <alignment horizontal="left" vertical="top" wrapText="1"/>
    </xf>
    <xf numFmtId="0" fontId="23" fillId="0" borderId="15" xfId="0" applyFont="1" applyFill="1" applyBorder="1" applyAlignment="1">
      <alignment horizontal="left" vertical="top" wrapText="1"/>
    </xf>
    <xf numFmtId="0" fontId="5" fillId="5" borderId="60" xfId="0" applyFont="1" applyFill="1" applyBorder="1" applyAlignment="1">
      <alignment horizontal="left" vertical="top" wrapText="1"/>
    </xf>
    <xf numFmtId="0" fontId="5" fillId="5" borderId="47" xfId="0" applyFont="1" applyFill="1" applyBorder="1" applyAlignment="1">
      <alignment horizontal="left" vertical="top" wrapText="1"/>
    </xf>
    <xf numFmtId="0" fontId="5" fillId="5" borderId="63" xfId="0" applyFont="1" applyFill="1" applyBorder="1" applyAlignment="1">
      <alignment horizontal="left" vertical="top" wrapText="1"/>
    </xf>
    <xf numFmtId="0" fontId="5" fillId="5" borderId="1" xfId="0" applyFont="1" applyFill="1" applyBorder="1" applyAlignment="1">
      <alignment horizontal="left" vertical="top" wrapText="1"/>
    </xf>
    <xf numFmtId="1" fontId="5" fillId="0" borderId="24" xfId="0" applyNumberFormat="1" applyFont="1" applyBorder="1" applyAlignment="1">
      <alignment horizontal="left" vertical="top" wrapText="1"/>
    </xf>
    <xf numFmtId="1" fontId="5" fillId="0" borderId="45" xfId="0" applyNumberFormat="1" applyFont="1" applyBorder="1" applyAlignment="1">
      <alignment horizontal="left" vertical="top" wrapText="1"/>
    </xf>
    <xf numFmtId="1" fontId="5" fillId="0" borderId="6" xfId="0" applyNumberFormat="1" applyFont="1" applyBorder="1" applyAlignment="1">
      <alignment horizontal="left" vertical="top" wrapText="1"/>
    </xf>
    <xf numFmtId="0" fontId="5" fillId="0" borderId="15" xfId="0" applyFont="1" applyBorder="1" applyAlignment="1">
      <alignment horizontal="center" vertical="top"/>
    </xf>
    <xf numFmtId="0" fontId="5" fillId="0" borderId="0" xfId="0" applyFont="1" applyAlignment="1">
      <alignment horizontal="center" vertical="top"/>
    </xf>
    <xf numFmtId="0" fontId="5" fillId="0" borderId="31" xfId="0" applyFont="1" applyBorder="1" applyAlignment="1">
      <alignment horizontal="center" vertical="top"/>
    </xf>
    <xf numFmtId="0" fontId="5" fillId="5" borderId="64" xfId="0" applyFont="1" applyFill="1" applyBorder="1" applyAlignment="1">
      <alignment horizontal="left" vertical="top"/>
    </xf>
    <xf numFmtId="0" fontId="5" fillId="5" borderId="11" xfId="0" applyFont="1" applyFill="1" applyBorder="1" applyAlignment="1">
      <alignment horizontal="left" vertical="top"/>
    </xf>
    <xf numFmtId="0" fontId="5" fillId="5" borderId="63" xfId="0" applyFont="1" applyFill="1" applyBorder="1" applyAlignment="1">
      <alignment horizontal="left" vertical="top"/>
    </xf>
    <xf numFmtId="0" fontId="5" fillId="5" borderId="1" xfId="0" applyFont="1" applyFill="1" applyBorder="1" applyAlignment="1">
      <alignment horizontal="left" vertical="top"/>
    </xf>
    <xf numFmtId="0" fontId="29" fillId="4" borderId="14" xfId="0" applyFont="1" applyFill="1" applyBorder="1" applyAlignment="1">
      <alignment horizontal="center" vertical="top" wrapText="1"/>
    </xf>
    <xf numFmtId="0" fontId="29" fillId="4" borderId="19" xfId="0" applyFont="1" applyFill="1" applyBorder="1" applyAlignment="1">
      <alignment horizontal="center" vertical="top" wrapText="1"/>
    </xf>
    <xf numFmtId="0" fontId="5" fillId="5" borderId="60" xfId="0" applyFont="1" applyFill="1" applyBorder="1" applyAlignment="1">
      <alignment horizontal="left" vertical="top"/>
    </xf>
    <xf numFmtId="0" fontId="5" fillId="5" borderId="47" xfId="0" applyFont="1" applyFill="1" applyBorder="1" applyAlignment="1">
      <alignment horizontal="left" vertical="top"/>
    </xf>
    <xf numFmtId="0" fontId="5" fillId="0" borderId="34" xfId="0" applyFont="1" applyBorder="1" applyAlignment="1">
      <alignment horizontal="center" vertical="top"/>
    </xf>
    <xf numFmtId="0" fontId="5" fillId="0" borderId="14" xfId="0" applyFont="1" applyBorder="1" applyAlignment="1">
      <alignment horizontal="left" vertical="top" wrapText="1"/>
    </xf>
    <xf numFmtId="1" fontId="9" fillId="0" borderId="30" xfId="0" applyNumberFormat="1" applyFont="1" applyBorder="1" applyAlignment="1">
      <alignment horizontal="center" vertical="top"/>
    </xf>
    <xf numFmtId="1" fontId="9" fillId="0" borderId="32" xfId="0" applyNumberFormat="1" applyFont="1" applyBorder="1" applyAlignment="1">
      <alignment horizontal="center" vertical="top"/>
    </xf>
    <xf numFmtId="0" fontId="5" fillId="0" borderId="71" xfId="0" applyFont="1" applyBorder="1" applyAlignment="1">
      <alignment horizontal="left" vertical="top" wrapText="1"/>
    </xf>
    <xf numFmtId="0" fontId="5" fillId="5" borderId="60" xfId="0" applyFont="1" applyFill="1" applyBorder="1" applyAlignment="1">
      <alignment horizontal="center" vertical="top" wrapText="1"/>
    </xf>
    <xf numFmtId="0" fontId="5" fillId="5" borderId="47" xfId="0" applyFont="1" applyFill="1" applyBorder="1" applyAlignment="1">
      <alignment horizontal="center" vertical="top" wrapText="1"/>
    </xf>
    <xf numFmtId="0" fontId="29" fillId="4" borderId="28" xfId="0" applyFont="1" applyFill="1" applyBorder="1" applyAlignment="1">
      <alignment vertical="top" wrapText="1"/>
    </xf>
    <xf numFmtId="0" fontId="5" fillId="5" borderId="63" xfId="0" applyFont="1" applyFill="1" applyBorder="1" applyAlignment="1">
      <alignment horizontal="center" vertical="top" wrapText="1"/>
    </xf>
    <xf numFmtId="0" fontId="5" fillId="5" borderId="1" xfId="0" applyFont="1" applyFill="1" applyBorder="1" applyAlignment="1">
      <alignment horizontal="center" vertical="top" wrapText="1"/>
    </xf>
    <xf numFmtId="0" fontId="5" fillId="5" borderId="64" xfId="0" applyFont="1" applyFill="1" applyBorder="1" applyAlignment="1">
      <alignment horizontal="center" vertical="top" wrapText="1"/>
    </xf>
    <xf numFmtId="0" fontId="5" fillId="5" borderId="11" xfId="0" applyFont="1" applyFill="1" applyBorder="1" applyAlignment="1">
      <alignment horizontal="center" vertical="top" wrapText="1"/>
    </xf>
    <xf numFmtId="1" fontId="5" fillId="0" borderId="13" xfId="0" applyNumberFormat="1" applyFont="1" applyBorder="1" applyAlignment="1">
      <alignment vertical="top" wrapText="1"/>
    </xf>
    <xf numFmtId="0" fontId="5" fillId="0" borderId="31" xfId="0" applyFont="1" applyBorder="1" applyAlignment="1">
      <alignment horizontal="center" vertical="top" wrapText="1"/>
    </xf>
    <xf numFmtId="0" fontId="5" fillId="0" borderId="9" xfId="0" applyFont="1" applyBorder="1" applyAlignment="1">
      <alignment horizontal="left" vertical="top" wrapText="1"/>
    </xf>
    <xf numFmtId="0" fontId="5" fillId="0" borderId="70" xfId="0" applyFont="1" applyBorder="1" applyAlignment="1">
      <alignment horizontal="left" vertical="top" wrapText="1"/>
    </xf>
    <xf numFmtId="0" fontId="5" fillId="0" borderId="15" xfId="0" applyFont="1" applyBorder="1" applyAlignment="1">
      <alignment horizontal="center" vertical="center"/>
    </xf>
    <xf numFmtId="1" fontId="5" fillId="0" borderId="30" xfId="0" applyNumberFormat="1" applyFont="1" applyBorder="1" applyAlignment="1">
      <alignment horizontal="center" vertical="top" wrapText="1"/>
    </xf>
    <xf numFmtId="1" fontId="5" fillId="0" borderId="32" xfId="0" applyNumberFormat="1" applyFont="1" applyBorder="1" applyAlignment="1">
      <alignment horizontal="center" vertical="top" wrapText="1"/>
    </xf>
    <xf numFmtId="49" fontId="29" fillId="4" borderId="38" xfId="0" applyNumberFormat="1" applyFont="1" applyFill="1" applyBorder="1" applyAlignment="1">
      <alignment horizontal="center" vertical="top" wrapText="1"/>
    </xf>
    <xf numFmtId="49" fontId="29" fillId="4" borderId="22" xfId="0" applyNumberFormat="1" applyFont="1" applyFill="1" applyBorder="1" applyAlignment="1">
      <alignment horizontal="center" vertical="top" wrapText="1"/>
    </xf>
    <xf numFmtId="1" fontId="5" fillId="0" borderId="0" xfId="0" applyNumberFormat="1" applyFont="1" applyBorder="1" applyAlignment="1">
      <alignment horizontal="left" vertical="top" wrapText="1"/>
    </xf>
    <xf numFmtId="1" fontId="5" fillId="0" borderId="69" xfId="0" applyNumberFormat="1" applyFont="1" applyBorder="1" applyAlignment="1">
      <alignment horizontal="left" vertical="top"/>
    </xf>
    <xf numFmtId="1" fontId="5" fillId="0" borderId="59" xfId="0" applyNumberFormat="1" applyFont="1" applyBorder="1" applyAlignment="1">
      <alignment horizontal="left" vertical="top"/>
    </xf>
    <xf numFmtId="1" fontId="5" fillId="0" borderId="30" xfId="0" applyNumberFormat="1" applyFont="1" applyBorder="1" applyAlignment="1">
      <alignment horizontal="left" vertical="top"/>
    </xf>
    <xf numFmtId="0" fontId="5" fillId="0" borderId="45" xfId="0" applyFont="1" applyBorder="1" applyAlignment="1">
      <alignment horizontal="center" vertical="top" wrapText="1"/>
    </xf>
    <xf numFmtId="0" fontId="5" fillId="0" borderId="2" xfId="0" applyFont="1" applyBorder="1" applyAlignment="1">
      <alignment horizontal="left" vertical="top" wrapText="1"/>
    </xf>
    <xf numFmtId="0" fontId="5" fillId="0" borderId="5" xfId="0" applyFont="1" applyBorder="1" applyAlignment="1">
      <alignment horizontal="left" vertical="top" wrapText="1"/>
    </xf>
    <xf numFmtId="0" fontId="5" fillId="0" borderId="3" xfId="0" applyFont="1" applyBorder="1" applyAlignment="1">
      <alignment horizontal="left" vertical="top" wrapText="1"/>
    </xf>
    <xf numFmtId="0" fontId="5" fillId="0" borderId="45" xfId="0" applyFont="1" applyBorder="1" applyAlignment="1">
      <alignment vertical="top"/>
    </xf>
    <xf numFmtId="0" fontId="5" fillId="0" borderId="5" xfId="0" applyFont="1" applyBorder="1" applyAlignment="1">
      <alignment vertical="top" wrapText="1"/>
    </xf>
    <xf numFmtId="0" fontId="5" fillId="0" borderId="65" xfId="0" applyFont="1" applyBorder="1" applyAlignment="1">
      <alignment vertical="top" wrapText="1"/>
    </xf>
    <xf numFmtId="0" fontId="5" fillId="0" borderId="35" xfId="0" applyFont="1" applyBorder="1" applyAlignment="1">
      <alignment vertical="top" wrapText="1"/>
    </xf>
    <xf numFmtId="0" fontId="5" fillId="0" borderId="36" xfId="0" applyFont="1" applyBorder="1" applyAlignment="1">
      <alignment vertical="top" wrapText="1"/>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xf>
    <xf numFmtId="0" fontId="29" fillId="4" borderId="69" xfId="0" applyFont="1" applyFill="1" applyBorder="1" applyAlignment="1">
      <alignment horizontal="center" vertical="top" wrapText="1"/>
    </xf>
    <xf numFmtId="0" fontId="29" fillId="4" borderId="57" xfId="0" applyFont="1" applyFill="1" applyBorder="1" applyAlignment="1">
      <alignment horizontal="left" vertical="top" wrapText="1"/>
    </xf>
    <xf numFmtId="0" fontId="5" fillId="0" borderId="61" xfId="0" applyFont="1" applyBorder="1" applyAlignment="1">
      <alignment vertical="top" wrapText="1"/>
    </xf>
    <xf numFmtId="0" fontId="29" fillId="11" borderId="69" xfId="0" applyFont="1" applyFill="1" applyBorder="1" applyAlignment="1">
      <alignment horizontal="center" vertical="top" wrapText="1"/>
    </xf>
    <xf numFmtId="0" fontId="29" fillId="11" borderId="57" xfId="0" applyFont="1" applyFill="1" applyBorder="1" applyAlignment="1">
      <alignment horizontal="left" vertical="top" wrapText="1"/>
    </xf>
    <xf numFmtId="0" fontId="5" fillId="0" borderId="53" xfId="0" applyFont="1" applyBorder="1" applyAlignment="1">
      <alignment horizontal="left" vertical="top" wrapText="1"/>
    </xf>
    <xf numFmtId="0" fontId="5" fillId="0" borderId="20" xfId="0" applyFont="1" applyBorder="1" applyAlignment="1">
      <alignment horizontal="left" vertical="top" wrapText="1"/>
    </xf>
    <xf numFmtId="0" fontId="5" fillId="0" borderId="23" xfId="0" applyFont="1" applyBorder="1" applyAlignment="1">
      <alignment horizontal="left" vertical="top" wrapText="1"/>
    </xf>
    <xf numFmtId="1" fontId="22" fillId="0" borderId="69" xfId="0" applyNumberFormat="1" applyFont="1" applyBorder="1" applyAlignment="1">
      <alignment horizontal="left" vertical="top" wrapText="1"/>
    </xf>
    <xf numFmtId="1" fontId="22" fillId="0" borderId="59" xfId="0" applyNumberFormat="1" applyFont="1" applyBorder="1" applyAlignment="1">
      <alignment horizontal="left" vertical="top" wrapText="1"/>
    </xf>
    <xf numFmtId="1" fontId="22" fillId="0" borderId="14" xfId="0" applyNumberFormat="1" applyFont="1" applyBorder="1" applyAlignment="1">
      <alignment horizontal="left" vertical="top" wrapText="1"/>
    </xf>
    <xf numFmtId="1" fontId="22" fillId="0" borderId="13" xfId="0" applyNumberFormat="1" applyFont="1" applyBorder="1" applyAlignment="1">
      <alignment horizontal="left" vertical="top" wrapText="1"/>
    </xf>
    <xf numFmtId="1" fontId="22" fillId="0" borderId="30" xfId="0" applyNumberFormat="1" applyFont="1" applyBorder="1" applyAlignment="1">
      <alignment horizontal="left" vertical="top" wrapText="1"/>
    </xf>
    <xf numFmtId="1" fontId="9" fillId="0" borderId="30" xfId="0" applyNumberFormat="1" applyFont="1" applyBorder="1" applyAlignment="1">
      <alignment horizontal="center" vertical="center"/>
    </xf>
    <xf numFmtId="1" fontId="9" fillId="0" borderId="32" xfId="0" applyNumberFormat="1" applyFont="1" applyBorder="1" applyAlignment="1">
      <alignment horizontal="center" vertical="center"/>
    </xf>
    <xf numFmtId="0" fontId="22" fillId="0" borderId="15" xfId="0" applyFont="1" applyBorder="1" applyAlignment="1">
      <alignment horizontal="center" vertical="top" wrapText="1"/>
    </xf>
    <xf numFmtId="0" fontId="22" fillId="0" borderId="34" xfId="0" applyFont="1" applyBorder="1" applyAlignment="1">
      <alignment horizontal="center" vertical="top" wrapText="1"/>
    </xf>
    <xf numFmtId="0" fontId="22" fillId="0" borderId="71" xfId="0" applyFont="1" applyBorder="1" applyAlignment="1">
      <alignment vertical="top" wrapText="1"/>
    </xf>
    <xf numFmtId="0" fontId="29" fillId="4" borderId="28" xfId="0" applyFont="1" applyFill="1" applyBorder="1" applyAlignment="1">
      <alignment horizontal="left" vertical="top" wrapText="1"/>
    </xf>
    <xf numFmtId="0" fontId="5" fillId="0" borderId="53" xfId="0" applyFont="1" applyBorder="1" applyAlignment="1">
      <alignment vertical="top" wrapText="1"/>
    </xf>
    <xf numFmtId="0" fontId="5" fillId="0" borderId="23" xfId="0" applyFont="1" applyBorder="1" applyAlignment="1">
      <alignment vertical="top" wrapText="1"/>
    </xf>
    <xf numFmtId="0" fontId="5" fillId="0" borderId="8" xfId="0" applyFont="1" applyBorder="1" applyAlignment="1">
      <alignment vertical="top" wrapText="1"/>
    </xf>
    <xf numFmtId="0" fontId="5" fillId="0" borderId="14" xfId="0" applyFont="1" applyBorder="1" applyAlignment="1">
      <alignment vertical="top" wrapText="1"/>
    </xf>
    <xf numFmtId="0" fontId="5" fillId="0" borderId="72" xfId="0" applyFont="1" applyBorder="1" applyAlignment="1">
      <alignment vertical="top" wrapText="1"/>
    </xf>
    <xf numFmtId="0" fontId="5" fillId="0" borderId="16" xfId="0" applyFont="1" applyBorder="1" applyAlignment="1">
      <alignment vertical="top" wrapText="1"/>
    </xf>
    <xf numFmtId="0" fontId="5" fillId="0" borderId="17" xfId="0" applyFont="1" applyBorder="1" applyAlignment="1">
      <alignment vertical="top" wrapText="1"/>
    </xf>
    <xf numFmtId="0" fontId="5" fillId="0" borderId="70" xfId="0" applyFont="1" applyBorder="1" applyAlignment="1">
      <alignment vertical="top" wrapText="1"/>
    </xf>
    <xf numFmtId="0" fontId="5" fillId="0" borderId="9" xfId="0" applyFont="1" applyBorder="1" applyAlignment="1">
      <alignment vertical="top" wrapText="1"/>
    </xf>
    <xf numFmtId="2" fontId="79" fillId="7" borderId="4" xfId="0" applyNumberFormat="1" applyFont="1" applyFill="1" applyBorder="1" applyAlignment="1" applyProtection="1">
      <alignment horizontal="center" wrapText="1"/>
    </xf>
    <xf numFmtId="2" fontId="79" fillId="7" borderId="57" xfId="0" applyNumberFormat="1" applyFont="1" applyFill="1" applyBorder="1" applyAlignment="1" applyProtection="1">
      <alignment horizontal="center" wrapText="1"/>
    </xf>
    <xf numFmtId="2" fontId="79" fillId="26" borderId="26" xfId="0" applyNumberFormat="1" applyFont="1" applyFill="1" applyBorder="1" applyAlignment="1" applyProtection="1">
      <alignment horizontal="center" wrapText="1"/>
    </xf>
    <xf numFmtId="2" fontId="79" fillId="26" borderId="46" xfId="0" applyNumberFormat="1" applyFont="1" applyFill="1" applyBorder="1" applyAlignment="1" applyProtection="1">
      <alignment horizontal="center" wrapText="1"/>
    </xf>
    <xf numFmtId="0" fontId="16" fillId="0" borderId="0" xfId="0" applyFont="1" applyBorder="1" applyAlignment="1" applyProtection="1">
      <alignment horizontal="left" vertical="top" wrapText="1"/>
      <protection locked="0"/>
    </xf>
    <xf numFmtId="0" fontId="2" fillId="33" borderId="14" xfId="0" applyFont="1" applyFill="1" applyBorder="1" applyAlignment="1" applyProtection="1">
      <alignment vertical="center"/>
      <protection hidden="1"/>
    </xf>
    <xf numFmtId="2" fontId="73" fillId="33" borderId="28" xfId="0" applyNumberFormat="1" applyFont="1" applyFill="1" applyBorder="1" applyAlignment="1" applyProtection="1">
      <alignment horizontal="center" vertical="center"/>
      <protection hidden="1"/>
    </xf>
    <xf numFmtId="2" fontId="73" fillId="33" borderId="58" xfId="0" applyNumberFormat="1" applyFont="1" applyFill="1" applyBorder="1" applyAlignment="1" applyProtection="1">
      <alignment horizontal="center" vertical="center"/>
      <protection hidden="1"/>
    </xf>
    <xf numFmtId="0" fontId="73" fillId="33" borderId="13" xfId="0" applyFont="1" applyFill="1" applyBorder="1" applyAlignment="1" applyProtection="1">
      <alignment vertical="center"/>
      <protection hidden="1"/>
    </xf>
    <xf numFmtId="2" fontId="2" fillId="33" borderId="0" xfId="0" applyNumberFormat="1" applyFont="1" applyFill="1" applyBorder="1" applyAlignment="1" applyProtection="1">
      <alignment horizontal="center" vertical="center"/>
      <protection hidden="1"/>
    </xf>
    <xf numFmtId="2" fontId="2" fillId="33" borderId="12" xfId="0" applyNumberFormat="1" applyFont="1" applyFill="1" applyBorder="1" applyAlignment="1" applyProtection="1">
      <alignment horizontal="center" vertical="center"/>
      <protection hidden="1"/>
    </xf>
    <xf numFmtId="0" fontId="73" fillId="33" borderId="9" xfId="0" applyFont="1" applyFill="1" applyBorder="1" applyAlignment="1" applyProtection="1">
      <alignment vertical="center"/>
      <protection hidden="1"/>
    </xf>
    <xf numFmtId="2" fontId="2" fillId="33" borderId="27" xfId="0" applyNumberFormat="1" applyFont="1" applyFill="1" applyBorder="1" applyAlignment="1" applyProtection="1">
      <alignment horizontal="center" vertical="center"/>
      <protection hidden="1"/>
    </xf>
    <xf numFmtId="2" fontId="2" fillId="33" borderId="7" xfId="0" applyNumberFormat="1" applyFont="1" applyFill="1" applyBorder="1" applyAlignment="1" applyProtection="1">
      <alignment horizontal="center" vertical="center"/>
      <protection hidden="1"/>
    </xf>
    <xf numFmtId="0" fontId="71" fillId="33" borderId="14" xfId="0" applyFont="1" applyFill="1" applyBorder="1" applyAlignment="1" applyProtection="1">
      <alignment horizontal="center" vertical="center" wrapText="1"/>
      <protection hidden="1"/>
    </xf>
    <xf numFmtId="2" fontId="71" fillId="33" borderId="28" xfId="0" applyNumberFormat="1" applyFont="1" applyFill="1" applyBorder="1" applyAlignment="1" applyProtection="1">
      <alignment horizontal="center" vertical="center" wrapText="1"/>
      <protection hidden="1"/>
    </xf>
    <xf numFmtId="2" fontId="71" fillId="33" borderId="58" xfId="0" applyNumberFormat="1" applyFont="1" applyFill="1" applyBorder="1" applyAlignment="1" applyProtection="1">
      <alignment horizontal="center" vertical="center" wrapText="1"/>
      <protection hidden="1"/>
    </xf>
    <xf numFmtId="0" fontId="73" fillId="33" borderId="13" xfId="0" applyFont="1" applyFill="1" applyBorder="1" applyAlignment="1" applyProtection="1">
      <alignment horizontal="center" vertical="center"/>
      <protection hidden="1"/>
    </xf>
    <xf numFmtId="2" fontId="2" fillId="33" borderId="0" xfId="0" applyNumberFormat="1" applyFont="1" applyFill="1" applyBorder="1" applyAlignment="1">
      <alignment horizontal="center" vertical="center"/>
    </xf>
    <xf numFmtId="2" fontId="2" fillId="33" borderId="12" xfId="0" applyNumberFormat="1" applyFont="1" applyFill="1" applyBorder="1" applyAlignment="1">
      <alignment horizontal="center" vertical="center"/>
    </xf>
    <xf numFmtId="0" fontId="71" fillId="33" borderId="13" xfId="0" applyFont="1" applyFill="1" applyBorder="1" applyAlignment="1" applyProtection="1">
      <alignment horizontal="center" vertical="center"/>
      <protection hidden="1"/>
    </xf>
    <xf numFmtId="2" fontId="71" fillId="33" borderId="0" xfId="0" applyNumberFormat="1" applyFont="1" applyFill="1" applyBorder="1" applyAlignment="1" applyProtection="1">
      <alignment horizontal="center" vertical="center"/>
      <protection hidden="1"/>
    </xf>
    <xf numFmtId="2" fontId="71" fillId="33" borderId="12" xfId="0" applyNumberFormat="1" applyFont="1" applyFill="1" applyBorder="1" applyAlignment="1" applyProtection="1">
      <alignment horizontal="center" vertical="center"/>
      <protection hidden="1"/>
    </xf>
    <xf numFmtId="0" fontId="73" fillId="33" borderId="9" xfId="0" applyFont="1" applyFill="1" applyBorder="1" applyAlignment="1" applyProtection="1">
      <alignment horizontal="center" vertical="center"/>
      <protection hidden="1"/>
    </xf>
    <xf numFmtId="2" fontId="74" fillId="33" borderId="70" xfId="0" applyNumberFormat="1" applyFont="1" applyFill="1" applyBorder="1" applyAlignment="1">
      <alignment horizontal="center" vertical="center"/>
    </xf>
    <xf numFmtId="2" fontId="74" fillId="33" borderId="68" xfId="0" applyNumberFormat="1" applyFont="1" applyFill="1" applyBorder="1" applyAlignment="1">
      <alignment horizontal="center" vertical="center"/>
    </xf>
    <xf numFmtId="2" fontId="74" fillId="33" borderId="20" xfId="0" applyNumberFormat="1" applyFont="1" applyFill="1" applyBorder="1" applyAlignment="1">
      <alignment horizontal="center" vertical="center"/>
    </xf>
    <xf numFmtId="0" fontId="74" fillId="33" borderId="18" xfId="0" applyFont="1" applyFill="1" applyBorder="1" applyAlignment="1">
      <alignment horizontal="center" vertical="center"/>
    </xf>
    <xf numFmtId="2" fontId="74" fillId="33" borderId="18" xfId="0" applyNumberFormat="1" applyFont="1" applyFill="1" applyBorder="1" applyAlignment="1">
      <alignment horizontal="center" vertical="center"/>
    </xf>
    <xf numFmtId="2" fontId="74" fillId="33" borderId="23" xfId="0" applyNumberFormat="1" applyFont="1" applyFill="1" applyBorder="1" applyAlignment="1">
      <alignment horizontal="center" vertical="center"/>
    </xf>
    <xf numFmtId="2" fontId="74" fillId="33" borderId="19" xfId="0" applyNumberFormat="1" applyFont="1" applyFill="1" applyBorder="1" applyAlignment="1">
      <alignment horizontal="center" vertical="center"/>
    </xf>
    <xf numFmtId="164" fontId="75" fillId="33" borderId="59" xfId="0" applyNumberFormat="1" applyFont="1" applyFill="1" applyBorder="1" applyAlignment="1">
      <alignment horizontal="center" vertical="center"/>
    </xf>
    <xf numFmtId="2" fontId="74" fillId="33" borderId="76" xfId="0" applyNumberFormat="1" applyFont="1" applyFill="1" applyBorder="1" applyAlignment="1">
      <alignment horizontal="center" vertical="center"/>
    </xf>
    <xf numFmtId="2" fontId="74" fillId="33" borderId="53" xfId="0" applyNumberFormat="1" applyFont="1" applyFill="1" applyBorder="1" applyAlignment="1">
      <alignment horizontal="center" vertical="center"/>
    </xf>
    <xf numFmtId="2" fontId="74" fillId="33" borderId="75" xfId="0" applyNumberFormat="1" applyFont="1" applyFill="1" applyBorder="1" applyAlignment="1">
      <alignment horizontal="center" vertical="center"/>
    </xf>
    <xf numFmtId="0" fontId="74" fillId="33" borderId="70" xfId="0" applyFont="1" applyFill="1" applyBorder="1" applyAlignment="1">
      <alignment horizontal="center" vertical="center"/>
    </xf>
    <xf numFmtId="0" fontId="74" fillId="33" borderId="23" xfId="0" applyFont="1" applyFill="1" applyBorder="1" applyAlignment="1">
      <alignment horizontal="center" vertical="center"/>
    </xf>
    <xf numFmtId="2" fontId="71" fillId="33" borderId="24" xfId="0" applyNumberFormat="1" applyFont="1" applyFill="1" applyBorder="1" applyAlignment="1" applyProtection="1">
      <alignment horizontal="center" wrapText="1"/>
    </xf>
    <xf numFmtId="2" fontId="78" fillId="33" borderId="26" xfId="0" applyNumberFormat="1" applyFont="1" applyFill="1" applyBorder="1" applyAlignment="1" applyProtection="1">
      <alignment horizontal="left" vertical="center" wrapText="1"/>
    </xf>
    <xf numFmtId="2" fontId="78" fillId="33" borderId="57" xfId="0" applyNumberFormat="1" applyFont="1" applyFill="1" applyBorder="1" applyAlignment="1" applyProtection="1">
      <alignment horizontal="left" vertical="center" wrapText="1"/>
    </xf>
    <xf numFmtId="2" fontId="71" fillId="33" borderId="6" xfId="0" applyNumberFormat="1" applyFont="1" applyFill="1" applyBorder="1" applyAlignment="1" applyProtection="1">
      <alignment horizontal="center" wrapText="1"/>
    </xf>
    <xf numFmtId="2" fontId="71" fillId="33" borderId="41" xfId="0" applyNumberFormat="1" applyFont="1" applyFill="1" applyBorder="1" applyAlignment="1" applyProtection="1">
      <alignment horizontal="center" wrapText="1"/>
    </xf>
    <xf numFmtId="2" fontId="71" fillId="33" borderId="46" xfId="0" applyNumberFormat="1" applyFont="1" applyFill="1" applyBorder="1" applyAlignment="1" applyProtection="1">
      <alignment horizontal="center" wrapText="1"/>
    </xf>
    <xf numFmtId="2" fontId="69" fillId="33" borderId="59" xfId="0" applyNumberFormat="1" applyFont="1" applyFill="1" applyBorder="1" applyAlignment="1">
      <alignment horizontal="center" vertical="center"/>
    </xf>
    <xf numFmtId="2" fontId="46" fillId="33" borderId="55" xfId="0" applyNumberFormat="1" applyFont="1" applyFill="1" applyBorder="1" applyAlignment="1" applyProtection="1">
      <alignment horizontal="center" vertical="center"/>
    </xf>
    <xf numFmtId="2" fontId="46" fillId="33" borderId="2" xfId="0" applyNumberFormat="1" applyFont="1" applyFill="1" applyBorder="1" applyAlignment="1" applyProtection="1">
      <alignment horizontal="center" vertical="center"/>
    </xf>
    <xf numFmtId="2" fontId="69" fillId="33" borderId="31" xfId="0" applyNumberFormat="1" applyFont="1" applyFill="1" applyBorder="1" applyAlignment="1">
      <alignment horizontal="center" vertical="center"/>
    </xf>
    <xf numFmtId="2" fontId="46" fillId="33" borderId="77" xfId="0" applyNumberFormat="1" applyFont="1" applyFill="1" applyBorder="1" applyAlignment="1" applyProtection="1">
      <alignment horizontal="center" vertical="center"/>
    </xf>
    <xf numFmtId="2" fontId="69" fillId="33" borderId="16" xfId="0" applyNumberFormat="1" applyFont="1" applyFill="1" applyBorder="1" applyAlignment="1">
      <alignment horizontal="center" vertical="center"/>
    </xf>
    <xf numFmtId="2" fontId="46" fillId="33" borderId="1" xfId="0" applyNumberFormat="1" applyFont="1" applyFill="1" applyBorder="1" applyAlignment="1" applyProtection="1">
      <alignment horizontal="center" vertical="center"/>
    </xf>
    <xf numFmtId="2" fontId="3" fillId="33" borderId="49" xfId="0" applyNumberFormat="1" applyFont="1" applyFill="1" applyBorder="1" applyAlignment="1">
      <alignment horizontal="center" vertical="center"/>
    </xf>
    <xf numFmtId="2" fontId="3" fillId="33" borderId="1" xfId="0" applyNumberFormat="1" applyFont="1" applyFill="1" applyBorder="1" applyAlignment="1">
      <alignment horizontal="center" vertical="center"/>
    </xf>
    <xf numFmtId="0" fontId="46" fillId="33" borderId="1" xfId="0" applyFont="1" applyFill="1" applyBorder="1" applyAlignment="1" applyProtection="1">
      <alignment horizontal="center" vertical="center"/>
    </xf>
    <xf numFmtId="2" fontId="69" fillId="33" borderId="49" xfId="0" applyNumberFormat="1" applyFont="1" applyFill="1" applyBorder="1" applyAlignment="1">
      <alignment horizontal="center" vertical="center"/>
    </xf>
    <xf numFmtId="2" fontId="46" fillId="33" borderId="49" xfId="0" applyNumberFormat="1" applyFont="1" applyFill="1" applyBorder="1" applyAlignment="1" applyProtection="1">
      <alignment horizontal="center" vertical="center"/>
    </xf>
    <xf numFmtId="2" fontId="69" fillId="33" borderId="56" xfId="0" applyNumberFormat="1" applyFont="1" applyFill="1" applyBorder="1" applyAlignment="1">
      <alignment horizontal="center" vertical="center"/>
    </xf>
    <xf numFmtId="2" fontId="46" fillId="33" borderId="47" xfId="0" applyNumberFormat="1" applyFont="1" applyFill="1" applyBorder="1" applyAlignment="1" applyProtection="1">
      <alignment horizontal="center" vertical="center"/>
    </xf>
    <xf numFmtId="2" fontId="46" fillId="33" borderId="56" xfId="0" applyNumberFormat="1" applyFont="1" applyFill="1" applyBorder="1" applyAlignment="1" applyProtection="1">
      <alignment horizontal="center" vertical="center"/>
    </xf>
    <xf numFmtId="2" fontId="69" fillId="33" borderId="50" xfId="0" applyNumberFormat="1" applyFont="1" applyFill="1" applyBorder="1" applyAlignment="1">
      <alignment horizontal="center" vertical="center"/>
    </xf>
    <xf numFmtId="2" fontId="46" fillId="33" borderId="11" xfId="0" applyNumberFormat="1" applyFont="1" applyFill="1" applyBorder="1" applyAlignment="1" applyProtection="1">
      <alignment horizontal="center" vertical="center"/>
    </xf>
    <xf numFmtId="2" fontId="46" fillId="33" borderId="50" xfId="0" applyNumberFormat="1" applyFont="1" applyFill="1" applyBorder="1" applyAlignment="1" applyProtection="1">
      <alignment horizontal="center" vertical="center"/>
    </xf>
    <xf numFmtId="2" fontId="69" fillId="33" borderId="48" xfId="0" applyNumberFormat="1" applyFont="1" applyFill="1" applyBorder="1" applyAlignment="1">
      <alignment horizontal="center" vertical="center"/>
    </xf>
    <xf numFmtId="2" fontId="46" fillId="33" borderId="3" xfId="0" applyNumberFormat="1" applyFont="1" applyFill="1" applyBorder="1" applyAlignment="1" applyProtection="1">
      <alignment horizontal="center" vertical="center"/>
    </xf>
    <xf numFmtId="2" fontId="46" fillId="33" borderId="48" xfId="0" applyNumberFormat="1" applyFont="1" applyFill="1" applyBorder="1" applyAlignment="1" applyProtection="1">
      <alignment horizontal="center" vertical="center"/>
    </xf>
    <xf numFmtId="2" fontId="3" fillId="27" borderId="26" xfId="0" applyNumberFormat="1" applyFont="1" applyFill="1" applyBorder="1" applyAlignment="1" applyProtection="1">
      <alignment horizontal="center" wrapText="1"/>
    </xf>
    <xf numFmtId="2" fontId="80" fillId="30" borderId="4" xfId="0" applyNumberFormat="1" applyFont="1" applyFill="1" applyBorder="1" applyAlignment="1" applyProtection="1">
      <alignment horizontal="center" wrapText="1"/>
    </xf>
    <xf numFmtId="2" fontId="77" fillId="33" borderId="26" xfId="0" applyNumberFormat="1" applyFont="1" applyFill="1" applyBorder="1" applyAlignment="1" applyProtection="1">
      <alignment horizontal="center" wrapText="1"/>
    </xf>
    <xf numFmtId="2" fontId="77" fillId="33" borderId="46" xfId="0" applyNumberFormat="1" applyFont="1" applyFill="1" applyBorder="1" applyAlignment="1" applyProtection="1">
      <alignment horizontal="center" wrapText="1"/>
    </xf>
    <xf numFmtId="0" fontId="81" fillId="0" borderId="69" xfId="0" applyFont="1" applyBorder="1" applyAlignment="1">
      <alignment horizontal="center" vertical="top"/>
    </xf>
    <xf numFmtId="0" fontId="81" fillId="0" borderId="4" xfId="0" applyFont="1" applyBorder="1" applyAlignment="1">
      <alignment vertical="top" wrapText="1"/>
    </xf>
    <xf numFmtId="0" fontId="82" fillId="0" borderId="60" xfId="0" applyFont="1" applyBorder="1" applyAlignment="1">
      <alignment horizontal="center" vertical="top"/>
    </xf>
    <xf numFmtId="0" fontId="82" fillId="0" borderId="56" xfId="0" applyFont="1" applyBorder="1" applyAlignment="1">
      <alignment vertical="top" wrapText="1"/>
    </xf>
    <xf numFmtId="0" fontId="82" fillId="0" borderId="63" xfId="0" applyFont="1" applyBorder="1" applyAlignment="1">
      <alignment horizontal="center" vertical="top"/>
    </xf>
    <xf numFmtId="0" fontId="82" fillId="0" borderId="49" xfId="0" applyFont="1" applyBorder="1" applyAlignment="1">
      <alignment vertical="top" wrapText="1"/>
    </xf>
    <xf numFmtId="0" fontId="82" fillId="0" borderId="50" xfId="0" applyFont="1" applyBorder="1" applyAlignment="1">
      <alignment vertical="top" wrapText="1"/>
    </xf>
    <xf numFmtId="0" fontId="82" fillId="34" borderId="59" xfId="0" applyFont="1" applyFill="1" applyBorder="1" applyAlignment="1">
      <alignment horizontal="center" vertical="top"/>
    </xf>
    <xf numFmtId="0" fontId="81" fillId="0" borderId="76" xfId="0" applyFont="1" applyBorder="1" applyAlignment="1">
      <alignment vertical="top" wrapText="1"/>
    </xf>
    <xf numFmtId="0" fontId="82" fillId="0" borderId="18" xfId="0" applyFont="1" applyBorder="1" applyAlignment="1">
      <alignment vertical="top" wrapText="1"/>
    </xf>
    <xf numFmtId="0" fontId="82" fillId="0" borderId="64" xfId="0" applyFont="1" applyBorder="1" applyAlignment="1">
      <alignment horizontal="center" vertical="top"/>
    </xf>
  </cellXfs>
  <cellStyles count="470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5"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1"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1" builtinId="9" hidden="1"/>
    <cellStyle name="Followed Hyperlink" xfId="1043" builtinId="9" hidden="1"/>
    <cellStyle name="Followed Hyperlink" xfId="1045" builtinId="9" hidden="1"/>
    <cellStyle name="Followed Hyperlink" xfId="1047" builtinId="9" hidden="1"/>
    <cellStyle name="Followed Hyperlink" xfId="1049" builtinId="9" hidden="1"/>
    <cellStyle name="Followed Hyperlink" xfId="1051" builtinId="9" hidden="1"/>
    <cellStyle name="Followed Hyperlink" xfId="1053" builtinId="9" hidden="1"/>
    <cellStyle name="Followed Hyperlink" xfId="1055" builtinId="9" hidden="1"/>
    <cellStyle name="Followed Hyperlink" xfId="1057" builtinId="9" hidden="1"/>
    <cellStyle name="Followed Hyperlink" xfId="1059" builtinId="9" hidden="1"/>
    <cellStyle name="Followed Hyperlink" xfId="1061" builtinId="9" hidden="1"/>
    <cellStyle name="Followed Hyperlink" xfId="1063" builtinId="9" hidden="1"/>
    <cellStyle name="Followed Hyperlink" xfId="1065" builtinId="9" hidden="1"/>
    <cellStyle name="Followed Hyperlink" xfId="1067" builtinId="9" hidden="1"/>
    <cellStyle name="Followed Hyperlink" xfId="1069" builtinId="9" hidden="1"/>
    <cellStyle name="Followed Hyperlink" xfId="1071" builtinId="9" hidden="1"/>
    <cellStyle name="Followed Hyperlink" xfId="1073" builtinId="9" hidden="1"/>
    <cellStyle name="Followed Hyperlink" xfId="1075" builtinId="9" hidden="1"/>
    <cellStyle name="Followed Hyperlink" xfId="1077" builtinId="9" hidden="1"/>
    <cellStyle name="Followed Hyperlink" xfId="1079" builtinId="9" hidden="1"/>
    <cellStyle name="Followed Hyperlink" xfId="1081" builtinId="9" hidden="1"/>
    <cellStyle name="Followed Hyperlink" xfId="1083" builtinId="9" hidden="1"/>
    <cellStyle name="Followed Hyperlink" xfId="1085" builtinId="9" hidden="1"/>
    <cellStyle name="Followed Hyperlink" xfId="1087" builtinId="9" hidden="1"/>
    <cellStyle name="Followed Hyperlink" xfId="1089" builtinId="9" hidden="1"/>
    <cellStyle name="Followed Hyperlink" xfId="1091" builtinId="9" hidden="1"/>
    <cellStyle name="Followed Hyperlink" xfId="1093" builtinId="9" hidden="1"/>
    <cellStyle name="Followed Hyperlink" xfId="1095" builtinId="9" hidden="1"/>
    <cellStyle name="Followed Hyperlink" xfId="1097" builtinId="9" hidden="1"/>
    <cellStyle name="Followed Hyperlink" xfId="1099" builtinId="9" hidden="1"/>
    <cellStyle name="Followed Hyperlink" xfId="1101" builtinId="9" hidden="1"/>
    <cellStyle name="Followed Hyperlink" xfId="1103" builtinId="9" hidden="1"/>
    <cellStyle name="Followed Hyperlink" xfId="1105" builtinId="9" hidden="1"/>
    <cellStyle name="Followed Hyperlink" xfId="1107" builtinId="9" hidden="1"/>
    <cellStyle name="Followed Hyperlink" xfId="1109" builtinId="9" hidden="1"/>
    <cellStyle name="Followed Hyperlink" xfId="1111" builtinId="9" hidden="1"/>
    <cellStyle name="Followed Hyperlink" xfId="1113" builtinId="9" hidden="1"/>
    <cellStyle name="Followed Hyperlink" xfId="1115" builtinId="9" hidden="1"/>
    <cellStyle name="Followed Hyperlink" xfId="1117" builtinId="9" hidden="1"/>
    <cellStyle name="Followed Hyperlink" xfId="1119" builtinId="9" hidden="1"/>
    <cellStyle name="Followed Hyperlink" xfId="1121" builtinId="9" hidden="1"/>
    <cellStyle name="Followed Hyperlink" xfId="1123" builtinId="9" hidden="1"/>
    <cellStyle name="Followed Hyperlink" xfId="1125" builtinId="9" hidden="1"/>
    <cellStyle name="Followed Hyperlink" xfId="1127" builtinId="9" hidden="1"/>
    <cellStyle name="Followed Hyperlink" xfId="1129" builtinId="9" hidden="1"/>
    <cellStyle name="Followed Hyperlink" xfId="1131" builtinId="9" hidden="1"/>
    <cellStyle name="Followed Hyperlink" xfId="1133" builtinId="9" hidden="1"/>
    <cellStyle name="Followed Hyperlink" xfId="1135" builtinId="9" hidden="1"/>
    <cellStyle name="Followed Hyperlink" xfId="1137" builtinId="9" hidden="1"/>
    <cellStyle name="Followed Hyperlink" xfId="1139" builtinId="9" hidden="1"/>
    <cellStyle name="Followed Hyperlink" xfId="1141" builtinId="9" hidden="1"/>
    <cellStyle name="Followed Hyperlink" xfId="1143" builtinId="9" hidden="1"/>
    <cellStyle name="Followed Hyperlink" xfId="1145" builtinId="9" hidden="1"/>
    <cellStyle name="Followed Hyperlink" xfId="1147" builtinId="9" hidden="1"/>
    <cellStyle name="Followed Hyperlink" xfId="1149" builtinId="9" hidden="1"/>
    <cellStyle name="Followed Hyperlink" xfId="1151" builtinId="9" hidden="1"/>
    <cellStyle name="Followed Hyperlink" xfId="1153" builtinId="9" hidden="1"/>
    <cellStyle name="Followed Hyperlink" xfId="1155" builtinId="9" hidden="1"/>
    <cellStyle name="Followed Hyperlink" xfId="1157" builtinId="9" hidden="1"/>
    <cellStyle name="Followed Hyperlink" xfId="1159" builtinId="9" hidden="1"/>
    <cellStyle name="Followed Hyperlink" xfId="1161" builtinId="9" hidden="1"/>
    <cellStyle name="Followed Hyperlink" xfId="1163" builtinId="9" hidden="1"/>
    <cellStyle name="Followed Hyperlink" xfId="1165" builtinId="9" hidden="1"/>
    <cellStyle name="Followed Hyperlink" xfId="1167" builtinId="9" hidden="1"/>
    <cellStyle name="Followed Hyperlink" xfId="1169" builtinId="9" hidden="1"/>
    <cellStyle name="Followed Hyperlink" xfId="1171" builtinId="9" hidden="1"/>
    <cellStyle name="Followed Hyperlink" xfId="1173" builtinId="9" hidden="1"/>
    <cellStyle name="Followed Hyperlink" xfId="1175" builtinId="9" hidden="1"/>
    <cellStyle name="Followed Hyperlink" xfId="1177" builtinId="9" hidden="1"/>
    <cellStyle name="Followed Hyperlink" xfId="1179" builtinId="9" hidden="1"/>
    <cellStyle name="Followed Hyperlink" xfId="1181" builtinId="9" hidden="1"/>
    <cellStyle name="Followed Hyperlink" xfId="1183" builtinId="9" hidden="1"/>
    <cellStyle name="Followed Hyperlink" xfId="1185" builtinId="9" hidden="1"/>
    <cellStyle name="Followed Hyperlink" xfId="1187" builtinId="9" hidden="1"/>
    <cellStyle name="Followed Hyperlink" xfId="1189" builtinId="9" hidden="1"/>
    <cellStyle name="Followed Hyperlink" xfId="1191" builtinId="9" hidden="1"/>
    <cellStyle name="Followed Hyperlink" xfId="1193" builtinId="9" hidden="1"/>
    <cellStyle name="Followed Hyperlink" xfId="1195" builtinId="9" hidden="1"/>
    <cellStyle name="Followed Hyperlink" xfId="1197" builtinId="9" hidden="1"/>
    <cellStyle name="Followed Hyperlink" xfId="1199" builtinId="9" hidden="1"/>
    <cellStyle name="Followed Hyperlink" xfId="1201" builtinId="9" hidden="1"/>
    <cellStyle name="Followed Hyperlink" xfId="1203" builtinId="9" hidden="1"/>
    <cellStyle name="Followed Hyperlink" xfId="1205" builtinId="9" hidden="1"/>
    <cellStyle name="Followed Hyperlink" xfId="1207" builtinId="9" hidden="1"/>
    <cellStyle name="Followed Hyperlink" xfId="1209" builtinId="9" hidden="1"/>
    <cellStyle name="Followed Hyperlink" xfId="1211" builtinId="9" hidden="1"/>
    <cellStyle name="Followed Hyperlink" xfId="1213" builtinId="9" hidden="1"/>
    <cellStyle name="Followed Hyperlink" xfId="1215" builtinId="9" hidden="1"/>
    <cellStyle name="Followed Hyperlink" xfId="1217" builtinId="9" hidden="1"/>
    <cellStyle name="Followed Hyperlink" xfId="1219" builtinId="9" hidden="1"/>
    <cellStyle name="Followed Hyperlink" xfId="1221" builtinId="9" hidden="1"/>
    <cellStyle name="Followed Hyperlink" xfId="1223" builtinId="9" hidden="1"/>
    <cellStyle name="Followed Hyperlink" xfId="1225" builtinId="9" hidden="1"/>
    <cellStyle name="Followed Hyperlink" xfId="1227" builtinId="9" hidden="1"/>
    <cellStyle name="Followed Hyperlink" xfId="1229" builtinId="9" hidden="1"/>
    <cellStyle name="Followed Hyperlink" xfId="1231" builtinId="9" hidden="1"/>
    <cellStyle name="Followed Hyperlink" xfId="1233" builtinId="9" hidden="1"/>
    <cellStyle name="Followed Hyperlink" xfId="1235" builtinId="9" hidden="1"/>
    <cellStyle name="Followed Hyperlink" xfId="1237" builtinId="9" hidden="1"/>
    <cellStyle name="Followed Hyperlink" xfId="1239" builtinId="9" hidden="1"/>
    <cellStyle name="Followed Hyperlink" xfId="1241" builtinId="9" hidden="1"/>
    <cellStyle name="Followed Hyperlink" xfId="1243" builtinId="9" hidden="1"/>
    <cellStyle name="Followed Hyperlink" xfId="1245" builtinId="9" hidden="1"/>
    <cellStyle name="Followed Hyperlink" xfId="1247" builtinId="9" hidden="1"/>
    <cellStyle name="Followed Hyperlink" xfId="1249" builtinId="9" hidden="1"/>
    <cellStyle name="Followed Hyperlink" xfId="1251" builtinId="9" hidden="1"/>
    <cellStyle name="Followed Hyperlink" xfId="1253" builtinId="9" hidden="1"/>
    <cellStyle name="Followed Hyperlink" xfId="1255" builtinId="9" hidden="1"/>
    <cellStyle name="Followed Hyperlink" xfId="1257" builtinId="9" hidden="1"/>
    <cellStyle name="Followed Hyperlink" xfId="1259" builtinId="9" hidden="1"/>
    <cellStyle name="Followed Hyperlink" xfId="1261" builtinId="9" hidden="1"/>
    <cellStyle name="Followed Hyperlink" xfId="1263" builtinId="9" hidden="1"/>
    <cellStyle name="Followed Hyperlink" xfId="1265" builtinId="9" hidden="1"/>
    <cellStyle name="Followed Hyperlink" xfId="1267" builtinId="9" hidden="1"/>
    <cellStyle name="Followed Hyperlink" xfId="1269" builtinId="9" hidden="1"/>
    <cellStyle name="Followed Hyperlink" xfId="1271" builtinId="9" hidden="1"/>
    <cellStyle name="Followed Hyperlink" xfId="1273" builtinId="9" hidden="1"/>
    <cellStyle name="Followed Hyperlink" xfId="1275" builtinId="9" hidden="1"/>
    <cellStyle name="Followed Hyperlink" xfId="1277" builtinId="9" hidden="1"/>
    <cellStyle name="Followed Hyperlink" xfId="1279" builtinId="9" hidden="1"/>
    <cellStyle name="Followed Hyperlink" xfId="1281" builtinId="9" hidden="1"/>
    <cellStyle name="Followed Hyperlink" xfId="1283" builtinId="9" hidden="1"/>
    <cellStyle name="Followed Hyperlink" xfId="1285" builtinId="9" hidden="1"/>
    <cellStyle name="Followed Hyperlink" xfId="1287" builtinId="9" hidden="1"/>
    <cellStyle name="Followed Hyperlink" xfId="1289" builtinId="9" hidden="1"/>
    <cellStyle name="Followed Hyperlink" xfId="1291" builtinId="9" hidden="1"/>
    <cellStyle name="Followed Hyperlink" xfId="1293" builtinId="9" hidden="1"/>
    <cellStyle name="Followed Hyperlink" xfId="1295" builtinId="9" hidden="1"/>
    <cellStyle name="Followed Hyperlink" xfId="1297" builtinId="9" hidden="1"/>
    <cellStyle name="Followed Hyperlink" xfId="1299" builtinId="9" hidden="1"/>
    <cellStyle name="Followed Hyperlink" xfId="1301" builtinId="9" hidden="1"/>
    <cellStyle name="Followed Hyperlink" xfId="1303" builtinId="9" hidden="1"/>
    <cellStyle name="Followed Hyperlink" xfId="1305" builtinId="9" hidden="1"/>
    <cellStyle name="Followed Hyperlink" xfId="1307" builtinId="9" hidden="1"/>
    <cellStyle name="Followed Hyperlink" xfId="1309" builtinId="9" hidden="1"/>
    <cellStyle name="Followed Hyperlink" xfId="1311" builtinId="9" hidden="1"/>
    <cellStyle name="Followed Hyperlink" xfId="1313" builtinId="9" hidden="1"/>
    <cellStyle name="Followed Hyperlink" xfId="1315" builtinId="9" hidden="1"/>
    <cellStyle name="Followed Hyperlink" xfId="1317" builtinId="9" hidden="1"/>
    <cellStyle name="Followed Hyperlink" xfId="1319" builtinId="9" hidden="1"/>
    <cellStyle name="Followed Hyperlink" xfId="1321" builtinId="9" hidden="1"/>
    <cellStyle name="Followed Hyperlink" xfId="1323" builtinId="9" hidden="1"/>
    <cellStyle name="Followed Hyperlink" xfId="1325" builtinId="9" hidden="1"/>
    <cellStyle name="Followed Hyperlink" xfId="1327" builtinId="9" hidden="1"/>
    <cellStyle name="Followed Hyperlink" xfId="1329" builtinId="9" hidden="1"/>
    <cellStyle name="Followed Hyperlink" xfId="1331" builtinId="9" hidden="1"/>
    <cellStyle name="Followed Hyperlink" xfId="1333" builtinId="9" hidden="1"/>
    <cellStyle name="Followed Hyperlink" xfId="1335" builtinId="9" hidden="1"/>
    <cellStyle name="Followed Hyperlink" xfId="1337" builtinId="9" hidden="1"/>
    <cellStyle name="Followed Hyperlink" xfId="1339" builtinId="9" hidden="1"/>
    <cellStyle name="Followed Hyperlink" xfId="1341" builtinId="9" hidden="1"/>
    <cellStyle name="Followed Hyperlink" xfId="1343" builtinId="9" hidden="1"/>
    <cellStyle name="Followed Hyperlink" xfId="1345" builtinId="9" hidden="1"/>
    <cellStyle name="Followed Hyperlink" xfId="1347" builtinId="9" hidden="1"/>
    <cellStyle name="Followed Hyperlink" xfId="1349" builtinId="9" hidden="1"/>
    <cellStyle name="Followed Hyperlink" xfId="1351" builtinId="9" hidden="1"/>
    <cellStyle name="Followed Hyperlink" xfId="1353" builtinId="9" hidden="1"/>
    <cellStyle name="Followed Hyperlink" xfId="1355" builtinId="9" hidden="1"/>
    <cellStyle name="Followed Hyperlink" xfId="1357" builtinId="9" hidden="1"/>
    <cellStyle name="Followed Hyperlink" xfId="1359" builtinId="9" hidden="1"/>
    <cellStyle name="Followed Hyperlink" xfId="1361" builtinId="9" hidden="1"/>
    <cellStyle name="Followed Hyperlink" xfId="1363" builtinId="9" hidden="1"/>
    <cellStyle name="Followed Hyperlink" xfId="1365" builtinId="9" hidden="1"/>
    <cellStyle name="Followed Hyperlink" xfId="1367" builtinId="9" hidden="1"/>
    <cellStyle name="Followed Hyperlink" xfId="1369" builtinId="9" hidden="1"/>
    <cellStyle name="Followed Hyperlink" xfId="1371" builtinId="9" hidden="1"/>
    <cellStyle name="Followed Hyperlink" xfId="1373" builtinId="9" hidden="1"/>
    <cellStyle name="Followed Hyperlink" xfId="1375" builtinId="9" hidden="1"/>
    <cellStyle name="Followed Hyperlink" xfId="1377" builtinId="9" hidden="1"/>
    <cellStyle name="Followed Hyperlink" xfId="1379" builtinId="9" hidden="1"/>
    <cellStyle name="Followed Hyperlink" xfId="1381" builtinId="9" hidden="1"/>
    <cellStyle name="Followed Hyperlink" xfId="1383" builtinId="9" hidden="1"/>
    <cellStyle name="Followed Hyperlink" xfId="1385" builtinId="9" hidden="1"/>
    <cellStyle name="Followed Hyperlink" xfId="1387" builtinId="9" hidden="1"/>
    <cellStyle name="Followed Hyperlink" xfId="1389" builtinId="9" hidden="1"/>
    <cellStyle name="Followed Hyperlink" xfId="1391" builtinId="9" hidden="1"/>
    <cellStyle name="Followed Hyperlink" xfId="1393" builtinId="9" hidden="1"/>
    <cellStyle name="Followed Hyperlink" xfId="1395" builtinId="9" hidden="1"/>
    <cellStyle name="Followed Hyperlink" xfId="1397" builtinId="9" hidden="1"/>
    <cellStyle name="Followed Hyperlink" xfId="1399" builtinId="9" hidden="1"/>
    <cellStyle name="Followed Hyperlink" xfId="1401" builtinId="9" hidden="1"/>
    <cellStyle name="Followed Hyperlink" xfId="1403" builtinId="9" hidden="1"/>
    <cellStyle name="Followed Hyperlink" xfId="1405" builtinId="9" hidden="1"/>
    <cellStyle name="Followed Hyperlink" xfId="1407" builtinId="9" hidden="1"/>
    <cellStyle name="Followed Hyperlink" xfId="1409" builtinId="9" hidden="1"/>
    <cellStyle name="Followed Hyperlink" xfId="1411" builtinId="9" hidden="1"/>
    <cellStyle name="Followed Hyperlink" xfId="1413" builtinId="9" hidden="1"/>
    <cellStyle name="Followed Hyperlink" xfId="1415" builtinId="9" hidden="1"/>
    <cellStyle name="Followed Hyperlink" xfId="1417" builtinId="9" hidden="1"/>
    <cellStyle name="Followed Hyperlink" xfId="1419" builtinId="9" hidden="1"/>
    <cellStyle name="Followed Hyperlink" xfId="1421" builtinId="9" hidden="1"/>
    <cellStyle name="Followed Hyperlink" xfId="1423" builtinId="9" hidden="1"/>
    <cellStyle name="Followed Hyperlink" xfId="1425" builtinId="9" hidden="1"/>
    <cellStyle name="Followed Hyperlink" xfId="1427" builtinId="9" hidden="1"/>
    <cellStyle name="Followed Hyperlink" xfId="1429" builtinId="9" hidden="1"/>
    <cellStyle name="Followed Hyperlink" xfId="1431" builtinId="9" hidden="1"/>
    <cellStyle name="Followed Hyperlink" xfId="1433" builtinId="9" hidden="1"/>
    <cellStyle name="Followed Hyperlink" xfId="1435" builtinId="9" hidden="1"/>
    <cellStyle name="Followed Hyperlink" xfId="1437" builtinId="9" hidden="1"/>
    <cellStyle name="Followed Hyperlink" xfId="1439" builtinId="9" hidden="1"/>
    <cellStyle name="Followed Hyperlink" xfId="1441" builtinId="9" hidden="1"/>
    <cellStyle name="Followed Hyperlink" xfId="1443" builtinId="9" hidden="1"/>
    <cellStyle name="Followed Hyperlink" xfId="1445" builtinId="9" hidden="1"/>
    <cellStyle name="Followed Hyperlink" xfId="1447" builtinId="9" hidden="1"/>
    <cellStyle name="Followed Hyperlink" xfId="1449" builtinId="9" hidden="1"/>
    <cellStyle name="Followed Hyperlink" xfId="1451" builtinId="9" hidden="1"/>
    <cellStyle name="Followed Hyperlink" xfId="1453" builtinId="9" hidden="1"/>
    <cellStyle name="Followed Hyperlink" xfId="1455" builtinId="9" hidden="1"/>
    <cellStyle name="Followed Hyperlink" xfId="1457" builtinId="9" hidden="1"/>
    <cellStyle name="Followed Hyperlink" xfId="1459" builtinId="9" hidden="1"/>
    <cellStyle name="Followed Hyperlink" xfId="1461" builtinId="9" hidden="1"/>
    <cellStyle name="Followed Hyperlink" xfId="1463" builtinId="9" hidden="1"/>
    <cellStyle name="Followed Hyperlink" xfId="1465" builtinId="9" hidden="1"/>
    <cellStyle name="Followed Hyperlink" xfId="1467" builtinId="9" hidden="1"/>
    <cellStyle name="Followed Hyperlink" xfId="1469" builtinId="9" hidden="1"/>
    <cellStyle name="Followed Hyperlink" xfId="1471" builtinId="9" hidden="1"/>
    <cellStyle name="Followed Hyperlink" xfId="1473" builtinId="9" hidden="1"/>
    <cellStyle name="Followed Hyperlink" xfId="1475" builtinId="9" hidden="1"/>
    <cellStyle name="Followed Hyperlink" xfId="1477" builtinId="9" hidden="1"/>
    <cellStyle name="Followed Hyperlink" xfId="1479" builtinId="9" hidden="1"/>
    <cellStyle name="Followed Hyperlink" xfId="1481" builtinId="9" hidden="1"/>
    <cellStyle name="Followed Hyperlink" xfId="1483" builtinId="9" hidden="1"/>
    <cellStyle name="Followed Hyperlink" xfId="1485" builtinId="9" hidden="1"/>
    <cellStyle name="Followed Hyperlink" xfId="1487" builtinId="9" hidden="1"/>
    <cellStyle name="Followed Hyperlink" xfId="1489" builtinId="9" hidden="1"/>
    <cellStyle name="Followed Hyperlink" xfId="1491" builtinId="9" hidden="1"/>
    <cellStyle name="Followed Hyperlink" xfId="1493" builtinId="9" hidden="1"/>
    <cellStyle name="Followed Hyperlink" xfId="1495" builtinId="9" hidden="1"/>
    <cellStyle name="Followed Hyperlink" xfId="1497" builtinId="9" hidden="1"/>
    <cellStyle name="Followed Hyperlink" xfId="1499" builtinId="9" hidden="1"/>
    <cellStyle name="Followed Hyperlink" xfId="1501" builtinId="9" hidden="1"/>
    <cellStyle name="Followed Hyperlink" xfId="1503" builtinId="9" hidden="1"/>
    <cellStyle name="Followed Hyperlink" xfId="1505" builtinId="9" hidden="1"/>
    <cellStyle name="Followed Hyperlink" xfId="1507" builtinId="9" hidden="1"/>
    <cellStyle name="Followed Hyperlink" xfId="1509" builtinId="9" hidden="1"/>
    <cellStyle name="Followed Hyperlink" xfId="1511" builtinId="9" hidden="1"/>
    <cellStyle name="Followed Hyperlink" xfId="1513" builtinId="9" hidden="1"/>
    <cellStyle name="Followed Hyperlink" xfId="1515" builtinId="9" hidden="1"/>
    <cellStyle name="Followed Hyperlink" xfId="1517" builtinId="9" hidden="1"/>
    <cellStyle name="Followed Hyperlink" xfId="1519" builtinId="9" hidden="1"/>
    <cellStyle name="Followed Hyperlink" xfId="1521" builtinId="9" hidden="1"/>
    <cellStyle name="Followed Hyperlink" xfId="1523" builtinId="9" hidden="1"/>
    <cellStyle name="Followed Hyperlink" xfId="1525" builtinId="9" hidden="1"/>
    <cellStyle name="Followed Hyperlink" xfId="1527" builtinId="9" hidden="1"/>
    <cellStyle name="Followed Hyperlink" xfId="1529" builtinId="9" hidden="1"/>
    <cellStyle name="Followed Hyperlink" xfId="1531" builtinId="9" hidden="1"/>
    <cellStyle name="Followed Hyperlink" xfId="1533" builtinId="9" hidden="1"/>
    <cellStyle name="Followed Hyperlink" xfId="1535" builtinId="9" hidden="1"/>
    <cellStyle name="Followed Hyperlink" xfId="1537" builtinId="9" hidden="1"/>
    <cellStyle name="Followed Hyperlink" xfId="1539" builtinId="9" hidden="1"/>
    <cellStyle name="Followed Hyperlink" xfId="1541" builtinId="9" hidden="1"/>
    <cellStyle name="Followed Hyperlink" xfId="1543" builtinId="9" hidden="1"/>
    <cellStyle name="Followed Hyperlink" xfId="1545" builtinId="9" hidden="1"/>
    <cellStyle name="Followed Hyperlink" xfId="1547" builtinId="9" hidden="1"/>
    <cellStyle name="Followed Hyperlink" xfId="1549" builtinId="9" hidden="1"/>
    <cellStyle name="Followed Hyperlink" xfId="1551" builtinId="9" hidden="1"/>
    <cellStyle name="Followed Hyperlink" xfId="1553" builtinId="9" hidden="1"/>
    <cellStyle name="Followed Hyperlink" xfId="1555" builtinId="9" hidden="1"/>
    <cellStyle name="Followed Hyperlink" xfId="1557" builtinId="9" hidden="1"/>
    <cellStyle name="Followed Hyperlink" xfId="1559" builtinId="9" hidden="1"/>
    <cellStyle name="Followed Hyperlink" xfId="1561" builtinId="9" hidden="1"/>
    <cellStyle name="Followed Hyperlink" xfId="1563" builtinId="9" hidden="1"/>
    <cellStyle name="Followed Hyperlink" xfId="1565" builtinId="9" hidden="1"/>
    <cellStyle name="Followed Hyperlink" xfId="1567" builtinId="9" hidden="1"/>
    <cellStyle name="Followed Hyperlink" xfId="1569" builtinId="9" hidden="1"/>
    <cellStyle name="Followed Hyperlink" xfId="1571" builtinId="9" hidden="1"/>
    <cellStyle name="Followed Hyperlink" xfId="1573" builtinId="9" hidden="1"/>
    <cellStyle name="Followed Hyperlink" xfId="1575" builtinId="9" hidden="1"/>
    <cellStyle name="Followed Hyperlink" xfId="1577" builtinId="9" hidden="1"/>
    <cellStyle name="Followed Hyperlink" xfId="1579" builtinId="9" hidden="1"/>
    <cellStyle name="Followed Hyperlink" xfId="1581" builtinId="9" hidden="1"/>
    <cellStyle name="Followed Hyperlink" xfId="1583" builtinId="9" hidden="1"/>
    <cellStyle name="Followed Hyperlink" xfId="1585" builtinId="9" hidden="1"/>
    <cellStyle name="Followed Hyperlink" xfId="1587" builtinId="9" hidden="1"/>
    <cellStyle name="Followed Hyperlink" xfId="1589" builtinId="9" hidden="1"/>
    <cellStyle name="Followed Hyperlink" xfId="1591" builtinId="9" hidden="1"/>
    <cellStyle name="Followed Hyperlink" xfId="1593" builtinId="9" hidden="1"/>
    <cellStyle name="Followed Hyperlink" xfId="1595" builtinId="9" hidden="1"/>
    <cellStyle name="Followed Hyperlink" xfId="1597" builtinId="9" hidden="1"/>
    <cellStyle name="Followed Hyperlink" xfId="1599" builtinId="9" hidden="1"/>
    <cellStyle name="Followed Hyperlink" xfId="1601" builtinId="9" hidden="1"/>
    <cellStyle name="Followed Hyperlink" xfId="1603" builtinId="9" hidden="1"/>
    <cellStyle name="Followed Hyperlink" xfId="1605" builtinId="9" hidden="1"/>
    <cellStyle name="Followed Hyperlink" xfId="1607" builtinId="9" hidden="1"/>
    <cellStyle name="Followed Hyperlink" xfId="1609" builtinId="9" hidden="1"/>
    <cellStyle name="Followed Hyperlink" xfId="1611" builtinId="9" hidden="1"/>
    <cellStyle name="Followed Hyperlink" xfId="1613" builtinId="9" hidden="1"/>
    <cellStyle name="Followed Hyperlink" xfId="1615" builtinId="9" hidden="1"/>
    <cellStyle name="Followed Hyperlink" xfId="1617" builtinId="9" hidden="1"/>
    <cellStyle name="Followed Hyperlink" xfId="1619" builtinId="9" hidden="1"/>
    <cellStyle name="Followed Hyperlink" xfId="1621" builtinId="9" hidden="1"/>
    <cellStyle name="Followed Hyperlink" xfId="1623" builtinId="9" hidden="1"/>
    <cellStyle name="Followed Hyperlink" xfId="1625" builtinId="9" hidden="1"/>
    <cellStyle name="Followed Hyperlink" xfId="1627" builtinId="9" hidden="1"/>
    <cellStyle name="Followed Hyperlink" xfId="1629" builtinId="9" hidden="1"/>
    <cellStyle name="Followed Hyperlink" xfId="1631" builtinId="9" hidden="1"/>
    <cellStyle name="Followed Hyperlink" xfId="1633" builtinId="9" hidden="1"/>
    <cellStyle name="Followed Hyperlink" xfId="1635" builtinId="9" hidden="1"/>
    <cellStyle name="Followed Hyperlink" xfId="1637" builtinId="9" hidden="1"/>
    <cellStyle name="Followed Hyperlink" xfId="1639" builtinId="9" hidden="1"/>
    <cellStyle name="Followed Hyperlink" xfId="1641" builtinId="9" hidden="1"/>
    <cellStyle name="Followed Hyperlink" xfId="1643" builtinId="9" hidden="1"/>
    <cellStyle name="Followed Hyperlink" xfId="1645" builtinId="9" hidden="1"/>
    <cellStyle name="Followed Hyperlink" xfId="1647" builtinId="9" hidden="1"/>
    <cellStyle name="Followed Hyperlink" xfId="1649" builtinId="9" hidden="1"/>
    <cellStyle name="Followed Hyperlink" xfId="1651" builtinId="9" hidden="1"/>
    <cellStyle name="Followed Hyperlink" xfId="1653" builtinId="9" hidden="1"/>
    <cellStyle name="Followed Hyperlink" xfId="1655" builtinId="9" hidden="1"/>
    <cellStyle name="Followed Hyperlink" xfId="1657" builtinId="9" hidden="1"/>
    <cellStyle name="Followed Hyperlink" xfId="1659" builtinId="9" hidden="1"/>
    <cellStyle name="Followed Hyperlink" xfId="1661" builtinId="9" hidden="1"/>
    <cellStyle name="Followed Hyperlink" xfId="1663" builtinId="9" hidden="1"/>
    <cellStyle name="Followed Hyperlink" xfId="1665" builtinId="9" hidden="1"/>
    <cellStyle name="Followed Hyperlink" xfId="1667" builtinId="9" hidden="1"/>
    <cellStyle name="Followed Hyperlink" xfId="1669" builtinId="9" hidden="1"/>
    <cellStyle name="Followed Hyperlink" xfId="1671" builtinId="9" hidden="1"/>
    <cellStyle name="Followed Hyperlink" xfId="1673" builtinId="9" hidden="1"/>
    <cellStyle name="Followed Hyperlink" xfId="1675" builtinId="9" hidden="1"/>
    <cellStyle name="Followed Hyperlink" xfId="1677" builtinId="9" hidden="1"/>
    <cellStyle name="Followed Hyperlink" xfId="1679" builtinId="9" hidden="1"/>
    <cellStyle name="Followed Hyperlink" xfId="1681" builtinId="9" hidden="1"/>
    <cellStyle name="Followed Hyperlink" xfId="1683" builtinId="9" hidden="1"/>
    <cellStyle name="Followed Hyperlink" xfId="1685" builtinId="9" hidden="1"/>
    <cellStyle name="Followed Hyperlink" xfId="1687" builtinId="9" hidden="1"/>
    <cellStyle name="Followed Hyperlink" xfId="1689" builtinId="9" hidden="1"/>
    <cellStyle name="Followed Hyperlink" xfId="1691" builtinId="9" hidden="1"/>
    <cellStyle name="Followed Hyperlink" xfId="1693" builtinId="9" hidden="1"/>
    <cellStyle name="Followed Hyperlink" xfId="1695" builtinId="9" hidden="1"/>
    <cellStyle name="Followed Hyperlink" xfId="1697" builtinId="9" hidden="1"/>
    <cellStyle name="Followed Hyperlink" xfId="1699" builtinId="9" hidden="1"/>
    <cellStyle name="Followed Hyperlink" xfId="1701" builtinId="9" hidden="1"/>
    <cellStyle name="Followed Hyperlink" xfId="1703" builtinId="9" hidden="1"/>
    <cellStyle name="Followed Hyperlink" xfId="1705" builtinId="9" hidden="1"/>
    <cellStyle name="Followed Hyperlink" xfId="1707" builtinId="9" hidden="1"/>
    <cellStyle name="Followed Hyperlink" xfId="1709" builtinId="9" hidden="1"/>
    <cellStyle name="Followed Hyperlink" xfId="1711" builtinId="9" hidden="1"/>
    <cellStyle name="Followed Hyperlink" xfId="1713" builtinId="9" hidden="1"/>
    <cellStyle name="Followed Hyperlink" xfId="1715" builtinId="9" hidden="1"/>
    <cellStyle name="Followed Hyperlink" xfId="1717" builtinId="9" hidden="1"/>
    <cellStyle name="Followed Hyperlink" xfId="1719" builtinId="9" hidden="1"/>
    <cellStyle name="Followed Hyperlink" xfId="1721" builtinId="9" hidden="1"/>
    <cellStyle name="Followed Hyperlink" xfId="1723" builtinId="9" hidden="1"/>
    <cellStyle name="Followed Hyperlink" xfId="1725" builtinId="9" hidden="1"/>
    <cellStyle name="Followed Hyperlink" xfId="1727" builtinId="9" hidden="1"/>
    <cellStyle name="Followed Hyperlink" xfId="1729" builtinId="9" hidden="1"/>
    <cellStyle name="Followed Hyperlink" xfId="1731" builtinId="9" hidden="1"/>
    <cellStyle name="Followed Hyperlink" xfId="1733" builtinId="9" hidden="1"/>
    <cellStyle name="Followed Hyperlink" xfId="1735" builtinId="9" hidden="1"/>
    <cellStyle name="Followed Hyperlink" xfId="1737" builtinId="9" hidden="1"/>
    <cellStyle name="Followed Hyperlink" xfId="1739" builtinId="9" hidden="1"/>
    <cellStyle name="Followed Hyperlink" xfId="1741" builtinId="9" hidden="1"/>
    <cellStyle name="Followed Hyperlink" xfId="1743" builtinId="9" hidden="1"/>
    <cellStyle name="Followed Hyperlink" xfId="1745" builtinId="9" hidden="1"/>
    <cellStyle name="Followed Hyperlink" xfId="1747" builtinId="9" hidden="1"/>
    <cellStyle name="Followed Hyperlink" xfId="1749" builtinId="9" hidden="1"/>
    <cellStyle name="Followed Hyperlink" xfId="1751" builtinId="9" hidden="1"/>
    <cellStyle name="Followed Hyperlink" xfId="1753" builtinId="9" hidden="1"/>
    <cellStyle name="Followed Hyperlink" xfId="1755" builtinId="9" hidden="1"/>
    <cellStyle name="Followed Hyperlink" xfId="1757" builtinId="9" hidden="1"/>
    <cellStyle name="Followed Hyperlink" xfId="1759" builtinId="9" hidden="1"/>
    <cellStyle name="Followed Hyperlink" xfId="1761" builtinId="9" hidden="1"/>
    <cellStyle name="Followed Hyperlink" xfId="1763" builtinId="9" hidden="1"/>
    <cellStyle name="Followed Hyperlink" xfId="1765" builtinId="9" hidden="1"/>
    <cellStyle name="Followed Hyperlink" xfId="1767" builtinId="9" hidden="1"/>
    <cellStyle name="Followed Hyperlink" xfId="1769" builtinId="9" hidden="1"/>
    <cellStyle name="Followed Hyperlink" xfId="1771" builtinId="9" hidden="1"/>
    <cellStyle name="Followed Hyperlink" xfId="1773" builtinId="9" hidden="1"/>
    <cellStyle name="Followed Hyperlink" xfId="1775" builtinId="9" hidden="1"/>
    <cellStyle name="Followed Hyperlink" xfId="1777" builtinId="9" hidden="1"/>
    <cellStyle name="Followed Hyperlink" xfId="1779" builtinId="9" hidden="1"/>
    <cellStyle name="Followed Hyperlink" xfId="1781" builtinId="9" hidden="1"/>
    <cellStyle name="Followed Hyperlink" xfId="1783" builtinId="9" hidden="1"/>
    <cellStyle name="Followed Hyperlink" xfId="1785" builtinId="9" hidden="1"/>
    <cellStyle name="Followed Hyperlink" xfId="1787" builtinId="9" hidden="1"/>
    <cellStyle name="Followed Hyperlink" xfId="1789" builtinId="9" hidden="1"/>
    <cellStyle name="Followed Hyperlink" xfId="1791" builtinId="9" hidden="1"/>
    <cellStyle name="Followed Hyperlink" xfId="1793" builtinId="9" hidden="1"/>
    <cellStyle name="Followed Hyperlink" xfId="1795" builtinId="9" hidden="1"/>
    <cellStyle name="Followed Hyperlink" xfId="1797" builtinId="9" hidden="1"/>
    <cellStyle name="Followed Hyperlink" xfId="1799" builtinId="9" hidden="1"/>
    <cellStyle name="Followed Hyperlink" xfId="1801" builtinId="9" hidden="1"/>
    <cellStyle name="Followed Hyperlink" xfId="1803" builtinId="9" hidden="1"/>
    <cellStyle name="Followed Hyperlink" xfId="1805" builtinId="9" hidden="1"/>
    <cellStyle name="Followed Hyperlink" xfId="1807" builtinId="9" hidden="1"/>
    <cellStyle name="Followed Hyperlink" xfId="1809" builtinId="9" hidden="1"/>
    <cellStyle name="Followed Hyperlink" xfId="1811" builtinId="9" hidden="1"/>
    <cellStyle name="Followed Hyperlink" xfId="1813" builtinId="9" hidden="1"/>
    <cellStyle name="Followed Hyperlink" xfId="1815" builtinId="9" hidden="1"/>
    <cellStyle name="Followed Hyperlink" xfId="1817" builtinId="9" hidden="1"/>
    <cellStyle name="Followed Hyperlink" xfId="1819" builtinId="9" hidden="1"/>
    <cellStyle name="Followed Hyperlink" xfId="1821" builtinId="9" hidden="1"/>
    <cellStyle name="Followed Hyperlink" xfId="1823" builtinId="9" hidden="1"/>
    <cellStyle name="Followed Hyperlink" xfId="1825" builtinId="9" hidden="1"/>
    <cellStyle name="Followed Hyperlink" xfId="1827" builtinId="9" hidden="1"/>
    <cellStyle name="Followed Hyperlink" xfId="1829" builtinId="9" hidden="1"/>
    <cellStyle name="Followed Hyperlink" xfId="1831" builtinId="9" hidden="1"/>
    <cellStyle name="Followed Hyperlink" xfId="1833" builtinId="9" hidden="1"/>
    <cellStyle name="Followed Hyperlink" xfId="1835" builtinId="9" hidden="1"/>
    <cellStyle name="Followed Hyperlink" xfId="1837" builtinId="9" hidden="1"/>
    <cellStyle name="Followed Hyperlink" xfId="1839" builtinId="9" hidden="1"/>
    <cellStyle name="Followed Hyperlink" xfId="1841" builtinId="9" hidden="1"/>
    <cellStyle name="Followed Hyperlink" xfId="1843" builtinId="9" hidden="1"/>
    <cellStyle name="Followed Hyperlink" xfId="1845" builtinId="9" hidden="1"/>
    <cellStyle name="Followed Hyperlink" xfId="1847" builtinId="9" hidden="1"/>
    <cellStyle name="Followed Hyperlink" xfId="1849" builtinId="9" hidden="1"/>
    <cellStyle name="Followed Hyperlink" xfId="1851" builtinId="9" hidden="1"/>
    <cellStyle name="Followed Hyperlink" xfId="1853" builtinId="9" hidden="1"/>
    <cellStyle name="Followed Hyperlink" xfId="1855" builtinId="9" hidden="1"/>
    <cellStyle name="Followed Hyperlink" xfId="1857" builtinId="9" hidden="1"/>
    <cellStyle name="Followed Hyperlink" xfId="1859" builtinId="9" hidden="1"/>
    <cellStyle name="Followed Hyperlink" xfId="1861" builtinId="9" hidden="1"/>
    <cellStyle name="Followed Hyperlink" xfId="1863" builtinId="9" hidden="1"/>
    <cellStyle name="Followed Hyperlink" xfId="1865" builtinId="9" hidden="1"/>
    <cellStyle name="Followed Hyperlink" xfId="1867" builtinId="9" hidden="1"/>
    <cellStyle name="Followed Hyperlink" xfId="1869" builtinId="9" hidden="1"/>
    <cellStyle name="Followed Hyperlink" xfId="1871" builtinId="9" hidden="1"/>
    <cellStyle name="Followed Hyperlink" xfId="1873" builtinId="9" hidden="1"/>
    <cellStyle name="Followed Hyperlink" xfId="1875" builtinId="9" hidden="1"/>
    <cellStyle name="Followed Hyperlink" xfId="1877" builtinId="9" hidden="1"/>
    <cellStyle name="Followed Hyperlink" xfId="1879" builtinId="9" hidden="1"/>
    <cellStyle name="Followed Hyperlink" xfId="1881" builtinId="9" hidden="1"/>
    <cellStyle name="Followed Hyperlink" xfId="1883" builtinId="9" hidden="1"/>
    <cellStyle name="Followed Hyperlink" xfId="1885" builtinId="9" hidden="1"/>
    <cellStyle name="Followed Hyperlink" xfId="1887" builtinId="9" hidden="1"/>
    <cellStyle name="Followed Hyperlink" xfId="1889" builtinId="9" hidden="1"/>
    <cellStyle name="Followed Hyperlink" xfId="1891" builtinId="9" hidden="1"/>
    <cellStyle name="Followed Hyperlink" xfId="1893" builtinId="9" hidden="1"/>
    <cellStyle name="Followed Hyperlink" xfId="1895" builtinId="9" hidden="1"/>
    <cellStyle name="Followed Hyperlink" xfId="1897" builtinId="9" hidden="1"/>
    <cellStyle name="Followed Hyperlink" xfId="1899" builtinId="9" hidden="1"/>
    <cellStyle name="Followed Hyperlink" xfId="1901" builtinId="9" hidden="1"/>
    <cellStyle name="Followed Hyperlink" xfId="1903" builtinId="9" hidden="1"/>
    <cellStyle name="Followed Hyperlink" xfId="1905" builtinId="9" hidden="1"/>
    <cellStyle name="Followed Hyperlink" xfId="1907" builtinId="9" hidden="1"/>
    <cellStyle name="Followed Hyperlink" xfId="1909" builtinId="9" hidden="1"/>
    <cellStyle name="Followed Hyperlink" xfId="1911" builtinId="9" hidden="1"/>
    <cellStyle name="Followed Hyperlink" xfId="1913" builtinId="9" hidden="1"/>
    <cellStyle name="Followed Hyperlink" xfId="1915" builtinId="9" hidden="1"/>
    <cellStyle name="Followed Hyperlink" xfId="1917" builtinId="9" hidden="1"/>
    <cellStyle name="Followed Hyperlink" xfId="1919" builtinId="9" hidden="1"/>
    <cellStyle name="Followed Hyperlink" xfId="1921" builtinId="9" hidden="1"/>
    <cellStyle name="Followed Hyperlink" xfId="1923" builtinId="9" hidden="1"/>
    <cellStyle name="Followed Hyperlink" xfId="1925" builtinId="9" hidden="1"/>
    <cellStyle name="Followed Hyperlink" xfId="1927" builtinId="9" hidden="1"/>
    <cellStyle name="Followed Hyperlink" xfId="1929" builtinId="9" hidden="1"/>
    <cellStyle name="Followed Hyperlink" xfId="1931" builtinId="9" hidden="1"/>
    <cellStyle name="Followed Hyperlink" xfId="1933" builtinId="9" hidden="1"/>
    <cellStyle name="Followed Hyperlink" xfId="1935" builtinId="9" hidden="1"/>
    <cellStyle name="Followed Hyperlink" xfId="1937" builtinId="9" hidden="1"/>
    <cellStyle name="Followed Hyperlink" xfId="1939" builtinId="9" hidden="1"/>
    <cellStyle name="Followed Hyperlink" xfId="1941" builtinId="9" hidden="1"/>
    <cellStyle name="Followed Hyperlink" xfId="1943" builtinId="9" hidden="1"/>
    <cellStyle name="Followed Hyperlink" xfId="1945" builtinId="9" hidden="1"/>
    <cellStyle name="Followed Hyperlink" xfId="1947" builtinId="9" hidden="1"/>
    <cellStyle name="Followed Hyperlink" xfId="1949" builtinId="9" hidden="1"/>
    <cellStyle name="Followed Hyperlink" xfId="1951" builtinId="9" hidden="1"/>
    <cellStyle name="Followed Hyperlink" xfId="1953" builtinId="9" hidden="1"/>
    <cellStyle name="Followed Hyperlink" xfId="1955" builtinId="9" hidden="1"/>
    <cellStyle name="Followed Hyperlink" xfId="1957" builtinId="9" hidden="1"/>
    <cellStyle name="Followed Hyperlink" xfId="1959" builtinId="9" hidden="1"/>
    <cellStyle name="Followed Hyperlink" xfId="1961" builtinId="9" hidden="1"/>
    <cellStyle name="Followed Hyperlink" xfId="1963" builtinId="9" hidden="1"/>
    <cellStyle name="Followed Hyperlink" xfId="1965" builtinId="9" hidden="1"/>
    <cellStyle name="Followed Hyperlink" xfId="1967" builtinId="9" hidden="1"/>
    <cellStyle name="Followed Hyperlink" xfId="1969" builtinId="9" hidden="1"/>
    <cellStyle name="Followed Hyperlink" xfId="1971" builtinId="9" hidden="1"/>
    <cellStyle name="Followed Hyperlink" xfId="1973" builtinId="9" hidden="1"/>
    <cellStyle name="Followed Hyperlink" xfId="1975" builtinId="9" hidden="1"/>
    <cellStyle name="Followed Hyperlink" xfId="1977" builtinId="9" hidden="1"/>
    <cellStyle name="Followed Hyperlink" xfId="1979" builtinId="9" hidden="1"/>
    <cellStyle name="Followed Hyperlink" xfId="1981" builtinId="9" hidden="1"/>
    <cellStyle name="Followed Hyperlink" xfId="1983" builtinId="9" hidden="1"/>
    <cellStyle name="Followed Hyperlink" xfId="1985" builtinId="9" hidden="1"/>
    <cellStyle name="Followed Hyperlink" xfId="1987" builtinId="9" hidden="1"/>
    <cellStyle name="Followed Hyperlink" xfId="1989" builtinId="9" hidden="1"/>
    <cellStyle name="Followed Hyperlink" xfId="1991" builtinId="9" hidden="1"/>
    <cellStyle name="Followed Hyperlink" xfId="1993" builtinId="9" hidden="1"/>
    <cellStyle name="Followed Hyperlink" xfId="1995" builtinId="9" hidden="1"/>
    <cellStyle name="Followed Hyperlink" xfId="1997" builtinId="9" hidden="1"/>
    <cellStyle name="Followed Hyperlink" xfId="1999" builtinId="9" hidden="1"/>
    <cellStyle name="Followed Hyperlink" xfId="2001" builtinId="9" hidden="1"/>
    <cellStyle name="Followed Hyperlink" xfId="2003" builtinId="9" hidden="1"/>
    <cellStyle name="Followed Hyperlink" xfId="2005" builtinId="9" hidden="1"/>
    <cellStyle name="Followed Hyperlink" xfId="2007" builtinId="9" hidden="1"/>
    <cellStyle name="Followed Hyperlink" xfId="2009" builtinId="9" hidden="1"/>
    <cellStyle name="Followed Hyperlink" xfId="2011" builtinId="9" hidden="1"/>
    <cellStyle name="Followed Hyperlink" xfId="2013" builtinId="9" hidden="1"/>
    <cellStyle name="Followed Hyperlink" xfId="2015" builtinId="9" hidden="1"/>
    <cellStyle name="Followed Hyperlink" xfId="2017" builtinId="9" hidden="1"/>
    <cellStyle name="Followed Hyperlink" xfId="2019" builtinId="9" hidden="1"/>
    <cellStyle name="Followed Hyperlink" xfId="2021" builtinId="9" hidden="1"/>
    <cellStyle name="Followed Hyperlink" xfId="2023" builtinId="9" hidden="1"/>
    <cellStyle name="Followed Hyperlink" xfId="2025" builtinId="9" hidden="1"/>
    <cellStyle name="Followed Hyperlink" xfId="2027" builtinId="9" hidden="1"/>
    <cellStyle name="Followed Hyperlink" xfId="2029" builtinId="9" hidden="1"/>
    <cellStyle name="Followed Hyperlink" xfId="2031" builtinId="9" hidden="1"/>
    <cellStyle name="Followed Hyperlink" xfId="2033" builtinId="9" hidden="1"/>
    <cellStyle name="Followed Hyperlink" xfId="2035" builtinId="9" hidden="1"/>
    <cellStyle name="Followed Hyperlink" xfId="2037" builtinId="9" hidden="1"/>
    <cellStyle name="Followed Hyperlink" xfId="2039" builtinId="9" hidden="1"/>
    <cellStyle name="Followed Hyperlink" xfId="2041" builtinId="9" hidden="1"/>
    <cellStyle name="Followed Hyperlink" xfId="2043" builtinId="9" hidden="1"/>
    <cellStyle name="Followed Hyperlink" xfId="2045" builtinId="9" hidden="1"/>
    <cellStyle name="Followed Hyperlink" xfId="2047" builtinId="9" hidden="1"/>
    <cellStyle name="Followed Hyperlink" xfId="2049" builtinId="9" hidden="1"/>
    <cellStyle name="Followed Hyperlink" xfId="2051" builtinId="9" hidden="1"/>
    <cellStyle name="Followed Hyperlink" xfId="2053" builtinId="9" hidden="1"/>
    <cellStyle name="Followed Hyperlink" xfId="2055" builtinId="9" hidden="1"/>
    <cellStyle name="Followed Hyperlink" xfId="2057" builtinId="9" hidden="1"/>
    <cellStyle name="Followed Hyperlink" xfId="2059" builtinId="9" hidden="1"/>
    <cellStyle name="Followed Hyperlink" xfId="2061" builtinId="9" hidden="1"/>
    <cellStyle name="Followed Hyperlink" xfId="2063" builtinId="9" hidden="1"/>
    <cellStyle name="Followed Hyperlink" xfId="2065" builtinId="9" hidden="1"/>
    <cellStyle name="Followed Hyperlink" xfId="2067" builtinId="9" hidden="1"/>
    <cellStyle name="Followed Hyperlink" xfId="2069" builtinId="9" hidden="1"/>
    <cellStyle name="Followed Hyperlink" xfId="2071" builtinId="9" hidden="1"/>
    <cellStyle name="Followed Hyperlink" xfId="2073" builtinId="9" hidden="1"/>
    <cellStyle name="Followed Hyperlink" xfId="2075" builtinId="9" hidden="1"/>
    <cellStyle name="Followed Hyperlink" xfId="2077" builtinId="9" hidden="1"/>
    <cellStyle name="Followed Hyperlink" xfId="2079" builtinId="9" hidden="1"/>
    <cellStyle name="Followed Hyperlink" xfId="2081" builtinId="9" hidden="1"/>
    <cellStyle name="Followed Hyperlink" xfId="2083" builtinId="9" hidden="1"/>
    <cellStyle name="Followed Hyperlink" xfId="2085" builtinId="9" hidden="1"/>
    <cellStyle name="Followed Hyperlink" xfId="2087" builtinId="9" hidden="1"/>
    <cellStyle name="Followed Hyperlink" xfId="2089" builtinId="9" hidden="1"/>
    <cellStyle name="Followed Hyperlink" xfId="2091" builtinId="9" hidden="1"/>
    <cellStyle name="Followed Hyperlink" xfId="2093" builtinId="9" hidden="1"/>
    <cellStyle name="Followed Hyperlink" xfId="2095" builtinId="9" hidden="1"/>
    <cellStyle name="Followed Hyperlink" xfId="2097" builtinId="9" hidden="1"/>
    <cellStyle name="Followed Hyperlink" xfId="2099" builtinId="9" hidden="1"/>
    <cellStyle name="Followed Hyperlink" xfId="2101" builtinId="9" hidden="1"/>
    <cellStyle name="Followed Hyperlink" xfId="2103" builtinId="9" hidden="1"/>
    <cellStyle name="Followed Hyperlink" xfId="2105" builtinId="9" hidden="1"/>
    <cellStyle name="Followed Hyperlink" xfId="2107" builtinId="9" hidden="1"/>
    <cellStyle name="Followed Hyperlink" xfId="2109" builtinId="9" hidden="1"/>
    <cellStyle name="Followed Hyperlink" xfId="2111" builtinId="9" hidden="1"/>
    <cellStyle name="Followed Hyperlink" xfId="2113" builtinId="9" hidden="1"/>
    <cellStyle name="Followed Hyperlink" xfId="2115" builtinId="9" hidden="1"/>
    <cellStyle name="Followed Hyperlink" xfId="2117" builtinId="9" hidden="1"/>
    <cellStyle name="Followed Hyperlink" xfId="2119" builtinId="9" hidden="1"/>
    <cellStyle name="Followed Hyperlink" xfId="2121" builtinId="9" hidden="1"/>
    <cellStyle name="Followed Hyperlink" xfId="2123" builtinId="9" hidden="1"/>
    <cellStyle name="Followed Hyperlink" xfId="2125" builtinId="9" hidden="1"/>
    <cellStyle name="Followed Hyperlink" xfId="2127" builtinId="9" hidden="1"/>
    <cellStyle name="Followed Hyperlink" xfId="2129" builtinId="9" hidden="1"/>
    <cellStyle name="Followed Hyperlink" xfId="2131" builtinId="9" hidden="1"/>
    <cellStyle name="Followed Hyperlink" xfId="2133" builtinId="9" hidden="1"/>
    <cellStyle name="Followed Hyperlink" xfId="2135" builtinId="9" hidden="1"/>
    <cellStyle name="Followed Hyperlink" xfId="2137" builtinId="9" hidden="1"/>
    <cellStyle name="Followed Hyperlink" xfId="2139" builtinId="9" hidden="1"/>
    <cellStyle name="Followed Hyperlink" xfId="2141" builtinId="9" hidden="1"/>
    <cellStyle name="Followed Hyperlink" xfId="2143" builtinId="9" hidden="1"/>
    <cellStyle name="Followed Hyperlink" xfId="2145" builtinId="9" hidden="1"/>
    <cellStyle name="Followed Hyperlink" xfId="2147" builtinId="9" hidden="1"/>
    <cellStyle name="Followed Hyperlink" xfId="2149" builtinId="9" hidden="1"/>
    <cellStyle name="Followed Hyperlink" xfId="2151" builtinId="9" hidden="1"/>
    <cellStyle name="Followed Hyperlink" xfId="2153" builtinId="9" hidden="1"/>
    <cellStyle name="Followed Hyperlink" xfId="2155" builtinId="9" hidden="1"/>
    <cellStyle name="Followed Hyperlink" xfId="2157" builtinId="9" hidden="1"/>
    <cellStyle name="Followed Hyperlink" xfId="2159" builtinId="9" hidden="1"/>
    <cellStyle name="Followed Hyperlink" xfId="2161" builtinId="9" hidden="1"/>
    <cellStyle name="Followed Hyperlink" xfId="2163" builtinId="9" hidden="1"/>
    <cellStyle name="Followed Hyperlink" xfId="2165" builtinId="9" hidden="1"/>
    <cellStyle name="Followed Hyperlink" xfId="2167" builtinId="9" hidden="1"/>
    <cellStyle name="Followed Hyperlink" xfId="2169" builtinId="9" hidden="1"/>
    <cellStyle name="Followed Hyperlink" xfId="2171" builtinId="9" hidden="1"/>
    <cellStyle name="Followed Hyperlink" xfId="2173" builtinId="9" hidden="1"/>
    <cellStyle name="Followed Hyperlink" xfId="2175" builtinId="9" hidden="1"/>
    <cellStyle name="Followed Hyperlink" xfId="2177" builtinId="9" hidden="1"/>
    <cellStyle name="Followed Hyperlink" xfId="2179" builtinId="9" hidden="1"/>
    <cellStyle name="Followed Hyperlink" xfId="2181" builtinId="9" hidden="1"/>
    <cellStyle name="Followed Hyperlink" xfId="2183" builtinId="9" hidden="1"/>
    <cellStyle name="Followed Hyperlink" xfId="2185" builtinId="9" hidden="1"/>
    <cellStyle name="Followed Hyperlink" xfId="2187" builtinId="9" hidden="1"/>
    <cellStyle name="Followed Hyperlink" xfId="2189" builtinId="9" hidden="1"/>
    <cellStyle name="Followed Hyperlink" xfId="2191" builtinId="9" hidden="1"/>
    <cellStyle name="Followed Hyperlink" xfId="2193" builtinId="9" hidden="1"/>
    <cellStyle name="Followed Hyperlink" xfId="2195" builtinId="9" hidden="1"/>
    <cellStyle name="Followed Hyperlink" xfId="2197" builtinId="9" hidden="1"/>
    <cellStyle name="Followed Hyperlink" xfId="2199" builtinId="9" hidden="1"/>
    <cellStyle name="Followed Hyperlink" xfId="2201" builtinId="9" hidden="1"/>
    <cellStyle name="Followed Hyperlink" xfId="2203" builtinId="9" hidden="1"/>
    <cellStyle name="Followed Hyperlink" xfId="2205" builtinId="9" hidden="1"/>
    <cellStyle name="Followed Hyperlink" xfId="2207" builtinId="9" hidden="1"/>
    <cellStyle name="Followed Hyperlink" xfId="2209" builtinId="9" hidden="1"/>
    <cellStyle name="Followed Hyperlink" xfId="2211" builtinId="9" hidden="1"/>
    <cellStyle name="Followed Hyperlink" xfId="2213" builtinId="9" hidden="1"/>
    <cellStyle name="Followed Hyperlink" xfId="2215" builtinId="9" hidden="1"/>
    <cellStyle name="Followed Hyperlink" xfId="2217" builtinId="9" hidden="1"/>
    <cellStyle name="Followed Hyperlink" xfId="2219" builtinId="9" hidden="1"/>
    <cellStyle name="Followed Hyperlink" xfId="2221" builtinId="9" hidden="1"/>
    <cellStyle name="Followed Hyperlink" xfId="2223" builtinId="9" hidden="1"/>
    <cellStyle name="Followed Hyperlink" xfId="2225" builtinId="9" hidden="1"/>
    <cellStyle name="Followed Hyperlink" xfId="2227" builtinId="9" hidden="1"/>
    <cellStyle name="Followed Hyperlink" xfId="2229" builtinId="9" hidden="1"/>
    <cellStyle name="Followed Hyperlink" xfId="2231" builtinId="9" hidden="1"/>
    <cellStyle name="Followed Hyperlink" xfId="2233" builtinId="9" hidden="1"/>
    <cellStyle name="Followed Hyperlink" xfId="2235" builtinId="9" hidden="1"/>
    <cellStyle name="Followed Hyperlink" xfId="2237" builtinId="9" hidden="1"/>
    <cellStyle name="Followed Hyperlink" xfId="2239" builtinId="9" hidden="1"/>
    <cellStyle name="Followed Hyperlink" xfId="2241" builtinId="9" hidden="1"/>
    <cellStyle name="Followed Hyperlink" xfId="2243" builtinId="9" hidden="1"/>
    <cellStyle name="Followed Hyperlink" xfId="2245" builtinId="9" hidden="1"/>
    <cellStyle name="Followed Hyperlink" xfId="2247" builtinId="9" hidden="1"/>
    <cellStyle name="Followed Hyperlink" xfId="2249" builtinId="9" hidden="1"/>
    <cellStyle name="Followed Hyperlink" xfId="2251" builtinId="9" hidden="1"/>
    <cellStyle name="Followed Hyperlink" xfId="2253" builtinId="9" hidden="1"/>
    <cellStyle name="Followed Hyperlink" xfId="2255" builtinId="9" hidden="1"/>
    <cellStyle name="Followed Hyperlink" xfId="2257" builtinId="9" hidden="1"/>
    <cellStyle name="Followed Hyperlink" xfId="2259" builtinId="9" hidden="1"/>
    <cellStyle name="Followed Hyperlink" xfId="2261" builtinId="9" hidden="1"/>
    <cellStyle name="Followed Hyperlink" xfId="2263" builtinId="9" hidden="1"/>
    <cellStyle name="Followed Hyperlink" xfId="2265" builtinId="9" hidden="1"/>
    <cellStyle name="Followed Hyperlink" xfId="2267" builtinId="9" hidden="1"/>
    <cellStyle name="Followed Hyperlink" xfId="2269" builtinId="9" hidden="1"/>
    <cellStyle name="Followed Hyperlink" xfId="2271" builtinId="9" hidden="1"/>
    <cellStyle name="Followed Hyperlink" xfId="2273" builtinId="9" hidden="1"/>
    <cellStyle name="Followed Hyperlink" xfId="2275" builtinId="9" hidden="1"/>
    <cellStyle name="Followed Hyperlink" xfId="2277" builtinId="9" hidden="1"/>
    <cellStyle name="Followed Hyperlink" xfId="2279" builtinId="9" hidden="1"/>
    <cellStyle name="Followed Hyperlink" xfId="2281" builtinId="9" hidden="1"/>
    <cellStyle name="Followed Hyperlink" xfId="2283" builtinId="9" hidden="1"/>
    <cellStyle name="Followed Hyperlink" xfId="2285" builtinId="9" hidden="1"/>
    <cellStyle name="Followed Hyperlink" xfId="2287" builtinId="9" hidden="1"/>
    <cellStyle name="Followed Hyperlink" xfId="2289" builtinId="9" hidden="1"/>
    <cellStyle name="Followed Hyperlink" xfId="2291" builtinId="9" hidden="1"/>
    <cellStyle name="Followed Hyperlink" xfId="2293" builtinId="9" hidden="1"/>
    <cellStyle name="Followed Hyperlink" xfId="2295" builtinId="9" hidden="1"/>
    <cellStyle name="Followed Hyperlink" xfId="2297" builtinId="9" hidden="1"/>
    <cellStyle name="Followed Hyperlink" xfId="2299" builtinId="9" hidden="1"/>
    <cellStyle name="Followed Hyperlink" xfId="2301" builtinId="9" hidden="1"/>
    <cellStyle name="Followed Hyperlink" xfId="2303" builtinId="9" hidden="1"/>
    <cellStyle name="Followed Hyperlink" xfId="2305" builtinId="9" hidden="1"/>
    <cellStyle name="Followed Hyperlink" xfId="2307" builtinId="9" hidden="1"/>
    <cellStyle name="Followed Hyperlink" xfId="2309" builtinId="9" hidden="1"/>
    <cellStyle name="Followed Hyperlink" xfId="2311" builtinId="9" hidden="1"/>
    <cellStyle name="Followed Hyperlink" xfId="2313" builtinId="9" hidden="1"/>
    <cellStyle name="Followed Hyperlink" xfId="2315" builtinId="9" hidden="1"/>
    <cellStyle name="Followed Hyperlink" xfId="2317" builtinId="9" hidden="1"/>
    <cellStyle name="Followed Hyperlink" xfId="2319" builtinId="9" hidden="1"/>
    <cellStyle name="Followed Hyperlink" xfId="2321" builtinId="9" hidden="1"/>
    <cellStyle name="Followed Hyperlink" xfId="2323" builtinId="9" hidden="1"/>
    <cellStyle name="Followed Hyperlink" xfId="2325" builtinId="9" hidden="1"/>
    <cellStyle name="Followed Hyperlink" xfId="2327" builtinId="9" hidden="1"/>
    <cellStyle name="Followed Hyperlink" xfId="2329" builtinId="9" hidden="1"/>
    <cellStyle name="Followed Hyperlink" xfId="2331" builtinId="9" hidden="1"/>
    <cellStyle name="Followed Hyperlink" xfId="2333" builtinId="9" hidden="1"/>
    <cellStyle name="Followed Hyperlink" xfId="2335" builtinId="9" hidden="1"/>
    <cellStyle name="Followed Hyperlink" xfId="2337" builtinId="9" hidden="1"/>
    <cellStyle name="Followed Hyperlink" xfId="2339" builtinId="9" hidden="1"/>
    <cellStyle name="Followed Hyperlink" xfId="2341" builtinId="9" hidden="1"/>
    <cellStyle name="Followed Hyperlink" xfId="2343" builtinId="9" hidden="1"/>
    <cellStyle name="Followed Hyperlink" xfId="2345" builtinId="9" hidden="1"/>
    <cellStyle name="Followed Hyperlink" xfId="2347" builtinId="9" hidden="1"/>
    <cellStyle name="Followed Hyperlink" xfId="2349" builtinId="9" hidden="1"/>
    <cellStyle name="Followed Hyperlink" xfId="2351" builtinId="9" hidden="1"/>
    <cellStyle name="Followed Hyperlink" xfId="2353" builtinId="9" hidden="1"/>
    <cellStyle name="Followed Hyperlink" xfId="2355" builtinId="9" hidden="1"/>
    <cellStyle name="Followed Hyperlink" xfId="2357" builtinId="9" hidden="1"/>
    <cellStyle name="Followed Hyperlink" xfId="2359" builtinId="9" hidden="1"/>
    <cellStyle name="Followed Hyperlink" xfId="2361" builtinId="9" hidden="1"/>
    <cellStyle name="Followed Hyperlink" xfId="2363" builtinId="9" hidden="1"/>
    <cellStyle name="Followed Hyperlink" xfId="2365" builtinId="9" hidden="1"/>
    <cellStyle name="Followed Hyperlink" xfId="2367" builtinId="9" hidden="1"/>
    <cellStyle name="Followed Hyperlink" xfId="2369" builtinId="9" hidden="1"/>
    <cellStyle name="Followed Hyperlink" xfId="2371" builtinId="9" hidden="1"/>
    <cellStyle name="Followed Hyperlink" xfId="2373" builtinId="9" hidden="1"/>
    <cellStyle name="Followed Hyperlink" xfId="2375" builtinId="9" hidden="1"/>
    <cellStyle name="Followed Hyperlink" xfId="2377" builtinId="9" hidden="1"/>
    <cellStyle name="Followed Hyperlink" xfId="2379" builtinId="9" hidden="1"/>
    <cellStyle name="Followed Hyperlink" xfId="2381" builtinId="9" hidden="1"/>
    <cellStyle name="Followed Hyperlink" xfId="2383" builtinId="9" hidden="1"/>
    <cellStyle name="Followed Hyperlink" xfId="2385" builtinId="9" hidden="1"/>
    <cellStyle name="Followed Hyperlink" xfId="2387" builtinId="9" hidden="1"/>
    <cellStyle name="Followed Hyperlink" xfId="2389" builtinId="9" hidden="1"/>
    <cellStyle name="Followed Hyperlink" xfId="2391" builtinId="9" hidden="1"/>
    <cellStyle name="Followed Hyperlink" xfId="2393" builtinId="9" hidden="1"/>
    <cellStyle name="Followed Hyperlink" xfId="2395" builtinId="9" hidden="1"/>
    <cellStyle name="Followed Hyperlink" xfId="2397" builtinId="9" hidden="1"/>
    <cellStyle name="Followed Hyperlink" xfId="2399" builtinId="9" hidden="1"/>
    <cellStyle name="Followed Hyperlink" xfId="2401" builtinId="9" hidden="1"/>
    <cellStyle name="Followed Hyperlink" xfId="2403" builtinId="9" hidden="1"/>
    <cellStyle name="Followed Hyperlink" xfId="2405" builtinId="9" hidden="1"/>
    <cellStyle name="Followed Hyperlink" xfId="2407" builtinId="9" hidden="1"/>
    <cellStyle name="Followed Hyperlink" xfId="2409" builtinId="9" hidden="1"/>
    <cellStyle name="Followed Hyperlink" xfId="2411" builtinId="9" hidden="1"/>
    <cellStyle name="Followed Hyperlink" xfId="2413" builtinId="9" hidden="1"/>
    <cellStyle name="Followed Hyperlink" xfId="2415" builtinId="9" hidden="1"/>
    <cellStyle name="Followed Hyperlink" xfId="2417" builtinId="9" hidden="1"/>
    <cellStyle name="Followed Hyperlink" xfId="2419" builtinId="9" hidden="1"/>
    <cellStyle name="Followed Hyperlink" xfId="2421" builtinId="9" hidden="1"/>
    <cellStyle name="Followed Hyperlink" xfId="2423" builtinId="9" hidden="1"/>
    <cellStyle name="Followed Hyperlink" xfId="2425" builtinId="9" hidden="1"/>
    <cellStyle name="Followed Hyperlink" xfId="2427" builtinId="9" hidden="1"/>
    <cellStyle name="Followed Hyperlink" xfId="2429" builtinId="9" hidden="1"/>
    <cellStyle name="Followed Hyperlink" xfId="2431" builtinId="9" hidden="1"/>
    <cellStyle name="Followed Hyperlink" xfId="2433" builtinId="9" hidden="1"/>
    <cellStyle name="Followed Hyperlink" xfId="2435" builtinId="9" hidden="1"/>
    <cellStyle name="Followed Hyperlink" xfId="2437" builtinId="9" hidden="1"/>
    <cellStyle name="Followed Hyperlink" xfId="2439" builtinId="9" hidden="1"/>
    <cellStyle name="Followed Hyperlink" xfId="2441" builtinId="9" hidden="1"/>
    <cellStyle name="Followed Hyperlink" xfId="2443" builtinId="9" hidden="1"/>
    <cellStyle name="Followed Hyperlink" xfId="2445" builtinId="9" hidden="1"/>
    <cellStyle name="Followed Hyperlink" xfId="2447" builtinId="9" hidden="1"/>
    <cellStyle name="Followed Hyperlink" xfId="2449" builtinId="9" hidden="1"/>
    <cellStyle name="Followed Hyperlink" xfId="2451" builtinId="9" hidden="1"/>
    <cellStyle name="Followed Hyperlink" xfId="2453" builtinId="9" hidden="1"/>
    <cellStyle name="Followed Hyperlink" xfId="2455" builtinId="9" hidden="1"/>
    <cellStyle name="Followed Hyperlink" xfId="2457" builtinId="9" hidden="1"/>
    <cellStyle name="Followed Hyperlink" xfId="2459" builtinId="9" hidden="1"/>
    <cellStyle name="Followed Hyperlink" xfId="2461" builtinId="9" hidden="1"/>
    <cellStyle name="Followed Hyperlink" xfId="2463" builtinId="9" hidden="1"/>
    <cellStyle name="Followed Hyperlink" xfId="2465" builtinId="9" hidden="1"/>
    <cellStyle name="Followed Hyperlink" xfId="2467" builtinId="9" hidden="1"/>
    <cellStyle name="Followed Hyperlink" xfId="2469" builtinId="9" hidden="1"/>
    <cellStyle name="Followed Hyperlink" xfId="2471" builtinId="9" hidden="1"/>
    <cellStyle name="Followed Hyperlink" xfId="2473" builtinId="9" hidden="1"/>
    <cellStyle name="Followed Hyperlink" xfId="2475" builtinId="9" hidden="1"/>
    <cellStyle name="Followed Hyperlink" xfId="2477" builtinId="9" hidden="1"/>
    <cellStyle name="Followed Hyperlink" xfId="2479" builtinId="9" hidden="1"/>
    <cellStyle name="Followed Hyperlink" xfId="2481" builtinId="9" hidden="1"/>
    <cellStyle name="Followed Hyperlink" xfId="2483" builtinId="9" hidden="1"/>
    <cellStyle name="Followed Hyperlink" xfId="2485" builtinId="9" hidden="1"/>
    <cellStyle name="Followed Hyperlink" xfId="2487" builtinId="9" hidden="1"/>
    <cellStyle name="Followed Hyperlink" xfId="2489" builtinId="9" hidden="1"/>
    <cellStyle name="Followed Hyperlink" xfId="2491" builtinId="9" hidden="1"/>
    <cellStyle name="Followed Hyperlink" xfId="2493" builtinId="9" hidden="1"/>
    <cellStyle name="Followed Hyperlink" xfId="2495" builtinId="9" hidden="1"/>
    <cellStyle name="Followed Hyperlink" xfId="2497" builtinId="9" hidden="1"/>
    <cellStyle name="Followed Hyperlink" xfId="2499" builtinId="9" hidden="1"/>
    <cellStyle name="Followed Hyperlink" xfId="2501" builtinId="9" hidden="1"/>
    <cellStyle name="Followed Hyperlink" xfId="2503" builtinId="9" hidden="1"/>
    <cellStyle name="Followed Hyperlink" xfId="2505" builtinId="9" hidden="1"/>
    <cellStyle name="Followed Hyperlink" xfId="2507" builtinId="9" hidden="1"/>
    <cellStyle name="Followed Hyperlink" xfId="2509" builtinId="9" hidden="1"/>
    <cellStyle name="Followed Hyperlink" xfId="2511" builtinId="9" hidden="1"/>
    <cellStyle name="Followed Hyperlink" xfId="2513" builtinId="9" hidden="1"/>
    <cellStyle name="Followed Hyperlink" xfId="2515" builtinId="9" hidden="1"/>
    <cellStyle name="Followed Hyperlink" xfId="2517" builtinId="9" hidden="1"/>
    <cellStyle name="Followed Hyperlink" xfId="2519" builtinId="9" hidden="1"/>
    <cellStyle name="Followed Hyperlink" xfId="2521" builtinId="9" hidden="1"/>
    <cellStyle name="Followed Hyperlink" xfId="2523" builtinId="9" hidden="1"/>
    <cellStyle name="Followed Hyperlink" xfId="2525" builtinId="9" hidden="1"/>
    <cellStyle name="Followed Hyperlink" xfId="2527" builtinId="9" hidden="1"/>
    <cellStyle name="Followed Hyperlink" xfId="2529" builtinId="9" hidden="1"/>
    <cellStyle name="Followed Hyperlink" xfId="2531" builtinId="9" hidden="1"/>
    <cellStyle name="Followed Hyperlink" xfId="2533" builtinId="9" hidden="1"/>
    <cellStyle name="Followed Hyperlink" xfId="2535" builtinId="9" hidden="1"/>
    <cellStyle name="Followed Hyperlink" xfId="2537" builtinId="9" hidden="1"/>
    <cellStyle name="Followed Hyperlink" xfId="2539" builtinId="9" hidden="1"/>
    <cellStyle name="Followed Hyperlink" xfId="2541" builtinId="9" hidden="1"/>
    <cellStyle name="Followed Hyperlink" xfId="2543" builtinId="9" hidden="1"/>
    <cellStyle name="Followed Hyperlink" xfId="2545" builtinId="9" hidden="1"/>
    <cellStyle name="Followed Hyperlink" xfId="2547" builtinId="9" hidden="1"/>
    <cellStyle name="Followed Hyperlink" xfId="2549" builtinId="9" hidden="1"/>
    <cellStyle name="Followed Hyperlink" xfId="2551" builtinId="9" hidden="1"/>
    <cellStyle name="Followed Hyperlink" xfId="2553" builtinId="9" hidden="1"/>
    <cellStyle name="Followed Hyperlink" xfId="2555" builtinId="9" hidden="1"/>
    <cellStyle name="Followed Hyperlink" xfId="2557" builtinId="9" hidden="1"/>
    <cellStyle name="Followed Hyperlink" xfId="2559" builtinId="9" hidden="1"/>
    <cellStyle name="Followed Hyperlink" xfId="2561" builtinId="9" hidden="1"/>
    <cellStyle name="Followed Hyperlink" xfId="2563" builtinId="9" hidden="1"/>
    <cellStyle name="Followed Hyperlink" xfId="2565" builtinId="9" hidden="1"/>
    <cellStyle name="Followed Hyperlink" xfId="2567" builtinId="9" hidden="1"/>
    <cellStyle name="Followed Hyperlink" xfId="2569" builtinId="9" hidden="1"/>
    <cellStyle name="Followed Hyperlink" xfId="2571" builtinId="9" hidden="1"/>
    <cellStyle name="Followed Hyperlink" xfId="2573" builtinId="9" hidden="1"/>
    <cellStyle name="Followed Hyperlink" xfId="2575" builtinId="9" hidden="1"/>
    <cellStyle name="Followed Hyperlink" xfId="2577" builtinId="9" hidden="1"/>
    <cellStyle name="Followed Hyperlink" xfId="2579" builtinId="9" hidden="1"/>
    <cellStyle name="Followed Hyperlink" xfId="2581" builtinId="9" hidden="1"/>
    <cellStyle name="Followed Hyperlink" xfId="2583" builtinId="9" hidden="1"/>
    <cellStyle name="Followed Hyperlink" xfId="2585" builtinId="9" hidden="1"/>
    <cellStyle name="Followed Hyperlink" xfId="2587" builtinId="9" hidden="1"/>
    <cellStyle name="Followed Hyperlink" xfId="2589" builtinId="9" hidden="1"/>
    <cellStyle name="Followed Hyperlink" xfId="2591" builtinId="9" hidden="1"/>
    <cellStyle name="Followed Hyperlink" xfId="2593" builtinId="9" hidden="1"/>
    <cellStyle name="Followed Hyperlink" xfId="2595" builtinId="9" hidden="1"/>
    <cellStyle name="Followed Hyperlink" xfId="2597" builtinId="9" hidden="1"/>
    <cellStyle name="Followed Hyperlink" xfId="2599" builtinId="9" hidden="1"/>
    <cellStyle name="Followed Hyperlink" xfId="2601" builtinId="9" hidden="1"/>
    <cellStyle name="Followed Hyperlink" xfId="2603" builtinId="9" hidden="1"/>
    <cellStyle name="Followed Hyperlink" xfId="2605" builtinId="9" hidden="1"/>
    <cellStyle name="Followed Hyperlink" xfId="2607" builtinId="9" hidden="1"/>
    <cellStyle name="Followed Hyperlink" xfId="2609" builtinId="9" hidden="1"/>
    <cellStyle name="Followed Hyperlink" xfId="2611" builtinId="9" hidden="1"/>
    <cellStyle name="Followed Hyperlink" xfId="2613" builtinId="9" hidden="1"/>
    <cellStyle name="Followed Hyperlink" xfId="2615" builtinId="9" hidden="1"/>
    <cellStyle name="Followed Hyperlink" xfId="2617" builtinId="9" hidden="1"/>
    <cellStyle name="Followed Hyperlink" xfId="2619" builtinId="9" hidden="1"/>
    <cellStyle name="Followed Hyperlink" xfId="2621" builtinId="9" hidden="1"/>
    <cellStyle name="Followed Hyperlink" xfId="2623" builtinId="9" hidden="1"/>
    <cellStyle name="Followed Hyperlink" xfId="2625" builtinId="9" hidden="1"/>
    <cellStyle name="Followed Hyperlink" xfId="2627" builtinId="9" hidden="1"/>
    <cellStyle name="Followed Hyperlink" xfId="2629" builtinId="9" hidden="1"/>
    <cellStyle name="Followed Hyperlink" xfId="2631" builtinId="9" hidden="1"/>
    <cellStyle name="Followed Hyperlink" xfId="2633" builtinId="9" hidden="1"/>
    <cellStyle name="Followed Hyperlink" xfId="2635" builtinId="9" hidden="1"/>
    <cellStyle name="Followed Hyperlink" xfId="2637" builtinId="9" hidden="1"/>
    <cellStyle name="Followed Hyperlink" xfId="2639" builtinId="9" hidden="1"/>
    <cellStyle name="Followed Hyperlink" xfId="2641" builtinId="9" hidden="1"/>
    <cellStyle name="Followed Hyperlink" xfId="2643" builtinId="9" hidden="1"/>
    <cellStyle name="Followed Hyperlink" xfId="2645" builtinId="9" hidden="1"/>
    <cellStyle name="Followed Hyperlink" xfId="2647" builtinId="9" hidden="1"/>
    <cellStyle name="Followed Hyperlink" xfId="2649" builtinId="9" hidden="1"/>
    <cellStyle name="Followed Hyperlink" xfId="2651" builtinId="9" hidden="1"/>
    <cellStyle name="Followed Hyperlink" xfId="2653" builtinId="9" hidden="1"/>
    <cellStyle name="Followed Hyperlink" xfId="2655" builtinId="9" hidden="1"/>
    <cellStyle name="Followed Hyperlink" xfId="2657" builtinId="9" hidden="1"/>
    <cellStyle name="Followed Hyperlink" xfId="2659" builtinId="9" hidden="1"/>
    <cellStyle name="Followed Hyperlink" xfId="2661" builtinId="9" hidden="1"/>
    <cellStyle name="Followed Hyperlink" xfId="2663" builtinId="9" hidden="1"/>
    <cellStyle name="Followed Hyperlink" xfId="2665" builtinId="9" hidden="1"/>
    <cellStyle name="Followed Hyperlink" xfId="2667" builtinId="9" hidden="1"/>
    <cellStyle name="Followed Hyperlink" xfId="2669" builtinId="9" hidden="1"/>
    <cellStyle name="Followed Hyperlink" xfId="2671" builtinId="9" hidden="1"/>
    <cellStyle name="Followed Hyperlink" xfId="2673" builtinId="9" hidden="1"/>
    <cellStyle name="Followed Hyperlink" xfId="2675" builtinId="9" hidden="1"/>
    <cellStyle name="Followed Hyperlink" xfId="2677" builtinId="9" hidden="1"/>
    <cellStyle name="Followed Hyperlink" xfId="2679" builtinId="9" hidden="1"/>
    <cellStyle name="Followed Hyperlink" xfId="2681" builtinId="9" hidden="1"/>
    <cellStyle name="Followed Hyperlink" xfId="2683" builtinId="9" hidden="1"/>
    <cellStyle name="Followed Hyperlink" xfId="2685" builtinId="9" hidden="1"/>
    <cellStyle name="Followed Hyperlink" xfId="2687" builtinId="9" hidden="1"/>
    <cellStyle name="Followed Hyperlink" xfId="2689" builtinId="9" hidden="1"/>
    <cellStyle name="Followed Hyperlink" xfId="2691" builtinId="9" hidden="1"/>
    <cellStyle name="Followed Hyperlink" xfId="2693" builtinId="9" hidden="1"/>
    <cellStyle name="Followed Hyperlink" xfId="2695" builtinId="9" hidden="1"/>
    <cellStyle name="Followed Hyperlink" xfId="2697" builtinId="9" hidden="1"/>
    <cellStyle name="Followed Hyperlink" xfId="2699" builtinId="9" hidden="1"/>
    <cellStyle name="Followed Hyperlink" xfId="2701" builtinId="9" hidden="1"/>
    <cellStyle name="Followed Hyperlink" xfId="2703" builtinId="9" hidden="1"/>
    <cellStyle name="Followed Hyperlink" xfId="2705" builtinId="9" hidden="1"/>
    <cellStyle name="Followed Hyperlink" xfId="2707" builtinId="9" hidden="1"/>
    <cellStyle name="Followed Hyperlink" xfId="2709" builtinId="9" hidden="1"/>
    <cellStyle name="Followed Hyperlink" xfId="2711" builtinId="9" hidden="1"/>
    <cellStyle name="Followed Hyperlink" xfId="2713" builtinId="9" hidden="1"/>
    <cellStyle name="Followed Hyperlink" xfId="2715" builtinId="9" hidden="1"/>
    <cellStyle name="Followed Hyperlink" xfId="2717" builtinId="9" hidden="1"/>
    <cellStyle name="Followed Hyperlink" xfId="2719" builtinId="9" hidden="1"/>
    <cellStyle name="Followed Hyperlink" xfId="2721" builtinId="9" hidden="1"/>
    <cellStyle name="Followed Hyperlink" xfId="2723" builtinId="9" hidden="1"/>
    <cellStyle name="Followed Hyperlink" xfId="2725" builtinId="9" hidden="1"/>
    <cellStyle name="Followed Hyperlink" xfId="2727" builtinId="9" hidden="1"/>
    <cellStyle name="Followed Hyperlink" xfId="2729" builtinId="9" hidden="1"/>
    <cellStyle name="Followed Hyperlink" xfId="2731" builtinId="9" hidden="1"/>
    <cellStyle name="Followed Hyperlink" xfId="2733" builtinId="9" hidden="1"/>
    <cellStyle name="Followed Hyperlink" xfId="2735" builtinId="9" hidden="1"/>
    <cellStyle name="Followed Hyperlink" xfId="2737" builtinId="9" hidden="1"/>
    <cellStyle name="Followed Hyperlink" xfId="2739" builtinId="9" hidden="1"/>
    <cellStyle name="Followed Hyperlink" xfId="2741" builtinId="9" hidden="1"/>
    <cellStyle name="Followed Hyperlink" xfId="2743" builtinId="9" hidden="1"/>
    <cellStyle name="Followed Hyperlink" xfId="2745" builtinId="9" hidden="1"/>
    <cellStyle name="Followed Hyperlink" xfId="2747" builtinId="9" hidden="1"/>
    <cellStyle name="Followed Hyperlink" xfId="2749" builtinId="9" hidden="1"/>
    <cellStyle name="Followed Hyperlink" xfId="2751" builtinId="9" hidden="1"/>
    <cellStyle name="Followed Hyperlink" xfId="2753" builtinId="9" hidden="1"/>
    <cellStyle name="Followed Hyperlink" xfId="2755" builtinId="9" hidden="1"/>
    <cellStyle name="Followed Hyperlink" xfId="2757" builtinId="9" hidden="1"/>
    <cellStyle name="Followed Hyperlink" xfId="2759" builtinId="9" hidden="1"/>
    <cellStyle name="Followed Hyperlink" xfId="2761" builtinId="9" hidden="1"/>
    <cellStyle name="Followed Hyperlink" xfId="2763" builtinId="9" hidden="1"/>
    <cellStyle name="Followed Hyperlink" xfId="2765" builtinId="9" hidden="1"/>
    <cellStyle name="Followed Hyperlink" xfId="2767" builtinId="9" hidden="1"/>
    <cellStyle name="Followed Hyperlink" xfId="2769" builtinId="9" hidden="1"/>
    <cellStyle name="Followed Hyperlink" xfId="2771" builtinId="9" hidden="1"/>
    <cellStyle name="Followed Hyperlink" xfId="2773" builtinId="9" hidden="1"/>
    <cellStyle name="Followed Hyperlink" xfId="2775" builtinId="9" hidden="1"/>
    <cellStyle name="Followed Hyperlink" xfId="2777" builtinId="9" hidden="1"/>
    <cellStyle name="Followed Hyperlink" xfId="2779" builtinId="9" hidden="1"/>
    <cellStyle name="Followed Hyperlink" xfId="2781" builtinId="9" hidden="1"/>
    <cellStyle name="Followed Hyperlink" xfId="2783" builtinId="9" hidden="1"/>
    <cellStyle name="Followed Hyperlink" xfId="2785" builtinId="9" hidden="1"/>
    <cellStyle name="Followed Hyperlink" xfId="2787" builtinId="9" hidden="1"/>
    <cellStyle name="Followed Hyperlink" xfId="2789" builtinId="9" hidden="1"/>
    <cellStyle name="Followed Hyperlink" xfId="2791" builtinId="9" hidden="1"/>
    <cellStyle name="Followed Hyperlink" xfId="2793" builtinId="9" hidden="1"/>
    <cellStyle name="Followed Hyperlink" xfId="2795" builtinId="9" hidden="1"/>
    <cellStyle name="Followed Hyperlink" xfId="2797" builtinId="9" hidden="1"/>
    <cellStyle name="Followed Hyperlink" xfId="2799" builtinId="9" hidden="1"/>
    <cellStyle name="Followed Hyperlink" xfId="2801" builtinId="9" hidden="1"/>
    <cellStyle name="Followed Hyperlink" xfId="2803" builtinId="9" hidden="1"/>
    <cellStyle name="Followed Hyperlink" xfId="2805" builtinId="9" hidden="1"/>
    <cellStyle name="Followed Hyperlink" xfId="2807" builtinId="9" hidden="1"/>
    <cellStyle name="Followed Hyperlink" xfId="2809" builtinId="9" hidden="1"/>
    <cellStyle name="Followed Hyperlink" xfId="2811" builtinId="9" hidden="1"/>
    <cellStyle name="Followed Hyperlink" xfId="2813" builtinId="9" hidden="1"/>
    <cellStyle name="Followed Hyperlink" xfId="2815" builtinId="9" hidden="1"/>
    <cellStyle name="Followed Hyperlink" xfId="2817" builtinId="9" hidden="1"/>
    <cellStyle name="Followed Hyperlink" xfId="2819" builtinId="9" hidden="1"/>
    <cellStyle name="Followed Hyperlink" xfId="2821" builtinId="9" hidden="1"/>
    <cellStyle name="Followed Hyperlink" xfId="2823" builtinId="9" hidden="1"/>
    <cellStyle name="Followed Hyperlink" xfId="2825" builtinId="9" hidden="1"/>
    <cellStyle name="Followed Hyperlink" xfId="2827" builtinId="9" hidden="1"/>
    <cellStyle name="Followed Hyperlink" xfId="2829" builtinId="9" hidden="1"/>
    <cellStyle name="Followed Hyperlink" xfId="2831" builtinId="9" hidden="1"/>
    <cellStyle name="Followed Hyperlink" xfId="2833" builtinId="9" hidden="1"/>
    <cellStyle name="Followed Hyperlink" xfId="2835" builtinId="9" hidden="1"/>
    <cellStyle name="Followed Hyperlink" xfId="2837" builtinId="9" hidden="1"/>
    <cellStyle name="Followed Hyperlink" xfId="2839" builtinId="9" hidden="1"/>
    <cellStyle name="Followed Hyperlink" xfId="2841" builtinId="9" hidden="1"/>
    <cellStyle name="Followed Hyperlink" xfId="2843" builtinId="9" hidden="1"/>
    <cellStyle name="Followed Hyperlink" xfId="2845" builtinId="9" hidden="1"/>
    <cellStyle name="Followed Hyperlink" xfId="2847" builtinId="9" hidden="1"/>
    <cellStyle name="Followed Hyperlink" xfId="2849" builtinId="9" hidden="1"/>
    <cellStyle name="Followed Hyperlink" xfId="2851" builtinId="9" hidden="1"/>
    <cellStyle name="Followed Hyperlink" xfId="2853" builtinId="9" hidden="1"/>
    <cellStyle name="Followed Hyperlink" xfId="2855" builtinId="9" hidden="1"/>
    <cellStyle name="Followed Hyperlink" xfId="2857" builtinId="9" hidden="1"/>
    <cellStyle name="Followed Hyperlink" xfId="2859" builtinId="9" hidden="1"/>
    <cellStyle name="Followed Hyperlink" xfId="2861" builtinId="9" hidden="1"/>
    <cellStyle name="Followed Hyperlink" xfId="2863" builtinId="9" hidden="1"/>
    <cellStyle name="Followed Hyperlink" xfId="2865" builtinId="9" hidden="1"/>
    <cellStyle name="Followed Hyperlink" xfId="2867" builtinId="9" hidden="1"/>
    <cellStyle name="Followed Hyperlink" xfId="2869" builtinId="9" hidden="1"/>
    <cellStyle name="Followed Hyperlink" xfId="2871" builtinId="9" hidden="1"/>
    <cellStyle name="Followed Hyperlink" xfId="2873" builtinId="9" hidden="1"/>
    <cellStyle name="Followed Hyperlink" xfId="2875" builtinId="9" hidden="1"/>
    <cellStyle name="Followed Hyperlink" xfId="2877" builtinId="9" hidden="1"/>
    <cellStyle name="Followed Hyperlink" xfId="2879" builtinId="9" hidden="1"/>
    <cellStyle name="Followed Hyperlink" xfId="2881" builtinId="9" hidden="1"/>
    <cellStyle name="Followed Hyperlink" xfId="2883" builtinId="9" hidden="1"/>
    <cellStyle name="Followed Hyperlink" xfId="2885" builtinId="9" hidden="1"/>
    <cellStyle name="Followed Hyperlink" xfId="2887" builtinId="9" hidden="1"/>
    <cellStyle name="Followed Hyperlink" xfId="2889" builtinId="9" hidden="1"/>
    <cellStyle name="Followed Hyperlink" xfId="2891" builtinId="9" hidden="1"/>
    <cellStyle name="Followed Hyperlink" xfId="2893" builtinId="9" hidden="1"/>
    <cellStyle name="Followed Hyperlink" xfId="2895" builtinId="9" hidden="1"/>
    <cellStyle name="Followed Hyperlink" xfId="2897" builtinId="9" hidden="1"/>
    <cellStyle name="Followed Hyperlink" xfId="2899" builtinId="9" hidden="1"/>
    <cellStyle name="Followed Hyperlink" xfId="2901" builtinId="9" hidden="1"/>
    <cellStyle name="Followed Hyperlink" xfId="2903" builtinId="9" hidden="1"/>
    <cellStyle name="Followed Hyperlink" xfId="2905" builtinId="9" hidden="1"/>
    <cellStyle name="Followed Hyperlink" xfId="2907" builtinId="9" hidden="1"/>
    <cellStyle name="Followed Hyperlink" xfId="2909" builtinId="9" hidden="1"/>
    <cellStyle name="Followed Hyperlink" xfId="2911" builtinId="9" hidden="1"/>
    <cellStyle name="Followed Hyperlink" xfId="2913" builtinId="9" hidden="1"/>
    <cellStyle name="Followed Hyperlink" xfId="2915" builtinId="9" hidden="1"/>
    <cellStyle name="Followed Hyperlink" xfId="2917" builtinId="9" hidden="1"/>
    <cellStyle name="Followed Hyperlink" xfId="2919" builtinId="9" hidden="1"/>
    <cellStyle name="Followed Hyperlink" xfId="2921" builtinId="9" hidden="1"/>
    <cellStyle name="Followed Hyperlink" xfId="2923" builtinId="9" hidden="1"/>
    <cellStyle name="Followed Hyperlink" xfId="2925" builtinId="9" hidden="1"/>
    <cellStyle name="Followed Hyperlink" xfId="2927" builtinId="9" hidden="1"/>
    <cellStyle name="Followed Hyperlink" xfId="2929" builtinId="9" hidden="1"/>
    <cellStyle name="Followed Hyperlink" xfId="2931" builtinId="9" hidden="1"/>
    <cellStyle name="Followed Hyperlink" xfId="2933" builtinId="9" hidden="1"/>
    <cellStyle name="Followed Hyperlink" xfId="2935" builtinId="9" hidden="1"/>
    <cellStyle name="Followed Hyperlink" xfId="2937" builtinId="9" hidden="1"/>
    <cellStyle name="Followed Hyperlink" xfId="2939" builtinId="9" hidden="1"/>
    <cellStyle name="Followed Hyperlink" xfId="2941" builtinId="9" hidden="1"/>
    <cellStyle name="Followed Hyperlink" xfId="2943" builtinId="9" hidden="1"/>
    <cellStyle name="Followed Hyperlink" xfId="2945" builtinId="9" hidden="1"/>
    <cellStyle name="Followed Hyperlink" xfId="2947" builtinId="9" hidden="1"/>
    <cellStyle name="Followed Hyperlink" xfId="2949" builtinId="9" hidden="1"/>
    <cellStyle name="Followed Hyperlink" xfId="2951" builtinId="9" hidden="1"/>
    <cellStyle name="Followed Hyperlink" xfId="2953" builtinId="9" hidden="1"/>
    <cellStyle name="Followed Hyperlink" xfId="2955" builtinId="9" hidden="1"/>
    <cellStyle name="Followed Hyperlink" xfId="2957" builtinId="9" hidden="1"/>
    <cellStyle name="Followed Hyperlink" xfId="2959" builtinId="9" hidden="1"/>
    <cellStyle name="Followed Hyperlink" xfId="2961" builtinId="9" hidden="1"/>
    <cellStyle name="Followed Hyperlink" xfId="2963" builtinId="9" hidden="1"/>
    <cellStyle name="Followed Hyperlink" xfId="2965" builtinId="9" hidden="1"/>
    <cellStyle name="Followed Hyperlink" xfId="2967" builtinId="9" hidden="1"/>
    <cellStyle name="Followed Hyperlink" xfId="2969" builtinId="9" hidden="1"/>
    <cellStyle name="Followed Hyperlink" xfId="2971" builtinId="9" hidden="1"/>
    <cellStyle name="Followed Hyperlink" xfId="2973" builtinId="9" hidden="1"/>
    <cellStyle name="Followed Hyperlink" xfId="2975" builtinId="9" hidden="1"/>
    <cellStyle name="Followed Hyperlink" xfId="2977" builtinId="9" hidden="1"/>
    <cellStyle name="Followed Hyperlink" xfId="2979" builtinId="9" hidden="1"/>
    <cellStyle name="Followed Hyperlink" xfId="2981" builtinId="9" hidden="1"/>
    <cellStyle name="Followed Hyperlink" xfId="2983" builtinId="9" hidden="1"/>
    <cellStyle name="Followed Hyperlink" xfId="2985" builtinId="9" hidden="1"/>
    <cellStyle name="Followed Hyperlink" xfId="2987" builtinId="9" hidden="1"/>
    <cellStyle name="Followed Hyperlink" xfId="2989" builtinId="9" hidden="1"/>
    <cellStyle name="Followed Hyperlink" xfId="2991" builtinId="9" hidden="1"/>
    <cellStyle name="Followed Hyperlink" xfId="2993" builtinId="9" hidden="1"/>
    <cellStyle name="Followed Hyperlink" xfId="2995" builtinId="9" hidden="1"/>
    <cellStyle name="Followed Hyperlink" xfId="2997" builtinId="9" hidden="1"/>
    <cellStyle name="Followed Hyperlink" xfId="2999" builtinId="9" hidden="1"/>
    <cellStyle name="Followed Hyperlink" xfId="3001" builtinId="9" hidden="1"/>
    <cellStyle name="Followed Hyperlink" xfId="3003" builtinId="9" hidden="1"/>
    <cellStyle name="Followed Hyperlink" xfId="3005" builtinId="9" hidden="1"/>
    <cellStyle name="Followed Hyperlink" xfId="3007" builtinId="9" hidden="1"/>
    <cellStyle name="Followed Hyperlink" xfId="3009" builtinId="9" hidden="1"/>
    <cellStyle name="Followed Hyperlink" xfId="3011" builtinId="9" hidden="1"/>
    <cellStyle name="Followed Hyperlink" xfId="3013" builtinId="9" hidden="1"/>
    <cellStyle name="Followed Hyperlink" xfId="3015" builtinId="9" hidden="1"/>
    <cellStyle name="Followed Hyperlink" xfId="3017" builtinId="9" hidden="1"/>
    <cellStyle name="Followed Hyperlink" xfId="3019" builtinId="9" hidden="1"/>
    <cellStyle name="Followed Hyperlink" xfId="3021" builtinId="9" hidden="1"/>
    <cellStyle name="Followed Hyperlink" xfId="3023" builtinId="9" hidden="1"/>
    <cellStyle name="Followed Hyperlink" xfId="3025" builtinId="9" hidden="1"/>
    <cellStyle name="Followed Hyperlink" xfId="3027" builtinId="9" hidden="1"/>
    <cellStyle name="Followed Hyperlink" xfId="3029" builtinId="9" hidden="1"/>
    <cellStyle name="Followed Hyperlink" xfId="3031" builtinId="9" hidden="1"/>
    <cellStyle name="Followed Hyperlink" xfId="3033" builtinId="9" hidden="1"/>
    <cellStyle name="Followed Hyperlink" xfId="3035" builtinId="9" hidden="1"/>
    <cellStyle name="Followed Hyperlink" xfId="3037" builtinId="9" hidden="1"/>
    <cellStyle name="Followed Hyperlink" xfId="3039" builtinId="9" hidden="1"/>
    <cellStyle name="Followed Hyperlink" xfId="3041" builtinId="9" hidden="1"/>
    <cellStyle name="Followed Hyperlink" xfId="3043" builtinId="9" hidden="1"/>
    <cellStyle name="Followed Hyperlink" xfId="3045" builtinId="9" hidden="1"/>
    <cellStyle name="Followed Hyperlink" xfId="3047" builtinId="9" hidden="1"/>
    <cellStyle name="Followed Hyperlink" xfId="3049" builtinId="9" hidden="1"/>
    <cellStyle name="Followed Hyperlink" xfId="3051" builtinId="9" hidden="1"/>
    <cellStyle name="Followed Hyperlink" xfId="3053" builtinId="9" hidden="1"/>
    <cellStyle name="Followed Hyperlink" xfId="3055" builtinId="9" hidden="1"/>
    <cellStyle name="Followed Hyperlink" xfId="3057" builtinId="9" hidden="1"/>
    <cellStyle name="Followed Hyperlink" xfId="3059" builtinId="9" hidden="1"/>
    <cellStyle name="Followed Hyperlink" xfId="3061" builtinId="9" hidden="1"/>
    <cellStyle name="Followed Hyperlink" xfId="3063" builtinId="9" hidden="1"/>
    <cellStyle name="Followed Hyperlink" xfId="3065" builtinId="9" hidden="1"/>
    <cellStyle name="Followed Hyperlink" xfId="3067" builtinId="9" hidden="1"/>
    <cellStyle name="Followed Hyperlink" xfId="3069" builtinId="9" hidden="1"/>
    <cellStyle name="Followed Hyperlink" xfId="3071" builtinId="9" hidden="1"/>
    <cellStyle name="Followed Hyperlink" xfId="3073" builtinId="9" hidden="1"/>
    <cellStyle name="Followed Hyperlink" xfId="3075" builtinId="9" hidden="1"/>
    <cellStyle name="Followed Hyperlink" xfId="3077" builtinId="9" hidden="1"/>
    <cellStyle name="Followed Hyperlink" xfId="3079" builtinId="9" hidden="1"/>
    <cellStyle name="Followed Hyperlink" xfId="3081" builtinId="9" hidden="1"/>
    <cellStyle name="Followed Hyperlink" xfId="3083" builtinId="9" hidden="1"/>
    <cellStyle name="Followed Hyperlink" xfId="3085" builtinId="9" hidden="1"/>
    <cellStyle name="Followed Hyperlink" xfId="3087" builtinId="9" hidden="1"/>
    <cellStyle name="Followed Hyperlink" xfId="3089" builtinId="9" hidden="1"/>
    <cellStyle name="Followed Hyperlink" xfId="3091" builtinId="9" hidden="1"/>
    <cellStyle name="Followed Hyperlink" xfId="3093" builtinId="9" hidden="1"/>
    <cellStyle name="Followed Hyperlink" xfId="3095" builtinId="9" hidden="1"/>
    <cellStyle name="Followed Hyperlink" xfId="3097" builtinId="9" hidden="1"/>
    <cellStyle name="Followed Hyperlink" xfId="3099" builtinId="9" hidden="1"/>
    <cellStyle name="Followed Hyperlink" xfId="3101" builtinId="9" hidden="1"/>
    <cellStyle name="Followed Hyperlink" xfId="3103" builtinId="9" hidden="1"/>
    <cellStyle name="Followed Hyperlink" xfId="3105" builtinId="9" hidden="1"/>
    <cellStyle name="Followed Hyperlink" xfId="3107" builtinId="9" hidden="1"/>
    <cellStyle name="Followed Hyperlink" xfId="3109" builtinId="9" hidden="1"/>
    <cellStyle name="Followed Hyperlink" xfId="3111" builtinId="9" hidden="1"/>
    <cellStyle name="Followed Hyperlink" xfId="3113" builtinId="9" hidden="1"/>
    <cellStyle name="Followed Hyperlink" xfId="3115" builtinId="9" hidden="1"/>
    <cellStyle name="Followed Hyperlink" xfId="3117" builtinId="9" hidden="1"/>
    <cellStyle name="Followed Hyperlink" xfId="3119" builtinId="9" hidden="1"/>
    <cellStyle name="Followed Hyperlink" xfId="3121" builtinId="9" hidden="1"/>
    <cellStyle name="Followed Hyperlink" xfId="3123" builtinId="9" hidden="1"/>
    <cellStyle name="Followed Hyperlink" xfId="3125" builtinId="9" hidden="1"/>
    <cellStyle name="Followed Hyperlink" xfId="3127" builtinId="9" hidden="1"/>
    <cellStyle name="Followed Hyperlink" xfId="3129" builtinId="9" hidden="1"/>
    <cellStyle name="Followed Hyperlink" xfId="3131" builtinId="9" hidden="1"/>
    <cellStyle name="Followed Hyperlink" xfId="3133" builtinId="9" hidden="1"/>
    <cellStyle name="Followed Hyperlink" xfId="3135" builtinId="9" hidden="1"/>
    <cellStyle name="Followed Hyperlink" xfId="3137" builtinId="9" hidden="1"/>
    <cellStyle name="Followed Hyperlink" xfId="3139" builtinId="9" hidden="1"/>
    <cellStyle name="Followed Hyperlink" xfId="3141" builtinId="9" hidden="1"/>
    <cellStyle name="Followed Hyperlink" xfId="3143" builtinId="9" hidden="1"/>
    <cellStyle name="Followed Hyperlink" xfId="3145" builtinId="9" hidden="1"/>
    <cellStyle name="Followed Hyperlink" xfId="3147" builtinId="9" hidden="1"/>
    <cellStyle name="Followed Hyperlink" xfId="3149" builtinId="9" hidden="1"/>
    <cellStyle name="Followed Hyperlink" xfId="3151" builtinId="9" hidden="1"/>
    <cellStyle name="Followed Hyperlink" xfId="3153" builtinId="9" hidden="1"/>
    <cellStyle name="Followed Hyperlink" xfId="3155" builtinId="9" hidden="1"/>
    <cellStyle name="Followed Hyperlink" xfId="3157" builtinId="9" hidden="1"/>
    <cellStyle name="Followed Hyperlink" xfId="3159" builtinId="9" hidden="1"/>
    <cellStyle name="Followed Hyperlink" xfId="3161" builtinId="9" hidden="1"/>
    <cellStyle name="Followed Hyperlink" xfId="3163" builtinId="9" hidden="1"/>
    <cellStyle name="Followed Hyperlink" xfId="3165" builtinId="9" hidden="1"/>
    <cellStyle name="Followed Hyperlink" xfId="3167" builtinId="9" hidden="1"/>
    <cellStyle name="Followed Hyperlink" xfId="3169" builtinId="9" hidden="1"/>
    <cellStyle name="Followed Hyperlink" xfId="3171" builtinId="9" hidden="1"/>
    <cellStyle name="Followed Hyperlink" xfId="3173" builtinId="9" hidden="1"/>
    <cellStyle name="Followed Hyperlink" xfId="3175" builtinId="9" hidden="1"/>
    <cellStyle name="Followed Hyperlink" xfId="3177" builtinId="9" hidden="1"/>
    <cellStyle name="Followed Hyperlink" xfId="3179" builtinId="9" hidden="1"/>
    <cellStyle name="Followed Hyperlink" xfId="3181" builtinId="9" hidden="1"/>
    <cellStyle name="Followed Hyperlink" xfId="3183" builtinId="9" hidden="1"/>
    <cellStyle name="Followed Hyperlink" xfId="3185" builtinId="9" hidden="1"/>
    <cellStyle name="Followed Hyperlink" xfId="3187" builtinId="9" hidden="1"/>
    <cellStyle name="Followed Hyperlink" xfId="3189" builtinId="9" hidden="1"/>
    <cellStyle name="Followed Hyperlink" xfId="3191" builtinId="9" hidden="1"/>
    <cellStyle name="Followed Hyperlink" xfId="3193" builtinId="9" hidden="1"/>
    <cellStyle name="Followed Hyperlink" xfId="3195" builtinId="9" hidden="1"/>
    <cellStyle name="Followed Hyperlink" xfId="3197" builtinId="9" hidden="1"/>
    <cellStyle name="Followed Hyperlink" xfId="3199" builtinId="9" hidden="1"/>
    <cellStyle name="Followed Hyperlink" xfId="3201" builtinId="9" hidden="1"/>
    <cellStyle name="Followed Hyperlink" xfId="3203" builtinId="9" hidden="1"/>
    <cellStyle name="Followed Hyperlink" xfId="3205" builtinId="9" hidden="1"/>
    <cellStyle name="Followed Hyperlink" xfId="3207" builtinId="9" hidden="1"/>
    <cellStyle name="Followed Hyperlink" xfId="3209" builtinId="9" hidden="1"/>
    <cellStyle name="Followed Hyperlink" xfId="3211" builtinId="9" hidden="1"/>
    <cellStyle name="Followed Hyperlink" xfId="3213" builtinId="9" hidden="1"/>
    <cellStyle name="Followed Hyperlink" xfId="3215" builtinId="9" hidden="1"/>
    <cellStyle name="Followed Hyperlink" xfId="3217" builtinId="9" hidden="1"/>
    <cellStyle name="Followed Hyperlink" xfId="3219" builtinId="9" hidden="1"/>
    <cellStyle name="Followed Hyperlink" xfId="3221" builtinId="9" hidden="1"/>
    <cellStyle name="Followed Hyperlink" xfId="3223" builtinId="9" hidden="1"/>
    <cellStyle name="Followed Hyperlink" xfId="3225" builtinId="9" hidden="1"/>
    <cellStyle name="Followed Hyperlink" xfId="3227" builtinId="9" hidden="1"/>
    <cellStyle name="Followed Hyperlink" xfId="3229" builtinId="9" hidden="1"/>
    <cellStyle name="Followed Hyperlink" xfId="3231" builtinId="9" hidden="1"/>
    <cellStyle name="Followed Hyperlink" xfId="3233" builtinId="9" hidden="1"/>
    <cellStyle name="Followed Hyperlink" xfId="3235" builtinId="9" hidden="1"/>
    <cellStyle name="Followed Hyperlink" xfId="3237" builtinId="9" hidden="1"/>
    <cellStyle name="Followed Hyperlink" xfId="3239" builtinId="9" hidden="1"/>
    <cellStyle name="Followed Hyperlink" xfId="3241" builtinId="9" hidden="1"/>
    <cellStyle name="Followed Hyperlink" xfId="3243" builtinId="9" hidden="1"/>
    <cellStyle name="Followed Hyperlink" xfId="3245" builtinId="9" hidden="1"/>
    <cellStyle name="Followed Hyperlink" xfId="3247" builtinId="9" hidden="1"/>
    <cellStyle name="Followed Hyperlink" xfId="3249" builtinId="9" hidden="1"/>
    <cellStyle name="Followed Hyperlink" xfId="3251" builtinId="9" hidden="1"/>
    <cellStyle name="Followed Hyperlink" xfId="3253" builtinId="9" hidden="1"/>
    <cellStyle name="Followed Hyperlink" xfId="3255" builtinId="9" hidden="1"/>
    <cellStyle name="Followed Hyperlink" xfId="3257" builtinId="9" hidden="1"/>
    <cellStyle name="Followed Hyperlink" xfId="3259" builtinId="9" hidden="1"/>
    <cellStyle name="Followed Hyperlink" xfId="3261" builtinId="9" hidden="1"/>
    <cellStyle name="Followed Hyperlink" xfId="3263" builtinId="9" hidden="1"/>
    <cellStyle name="Followed Hyperlink" xfId="3265" builtinId="9" hidden="1"/>
    <cellStyle name="Followed Hyperlink" xfId="3267" builtinId="9" hidden="1"/>
    <cellStyle name="Followed Hyperlink" xfId="3269" builtinId="9" hidden="1"/>
    <cellStyle name="Followed Hyperlink" xfId="3271" builtinId="9" hidden="1"/>
    <cellStyle name="Followed Hyperlink" xfId="3273" builtinId="9" hidden="1"/>
    <cellStyle name="Followed Hyperlink" xfId="3275" builtinId="9" hidden="1"/>
    <cellStyle name="Followed Hyperlink" xfId="3277" builtinId="9" hidden="1"/>
    <cellStyle name="Followed Hyperlink" xfId="3279" builtinId="9" hidden="1"/>
    <cellStyle name="Followed Hyperlink" xfId="3281" builtinId="9" hidden="1"/>
    <cellStyle name="Followed Hyperlink" xfId="3283" builtinId="9" hidden="1"/>
    <cellStyle name="Followed Hyperlink" xfId="3285" builtinId="9" hidden="1"/>
    <cellStyle name="Followed Hyperlink" xfId="3287" builtinId="9" hidden="1"/>
    <cellStyle name="Followed Hyperlink" xfId="3289" builtinId="9" hidden="1"/>
    <cellStyle name="Followed Hyperlink" xfId="3291" builtinId="9" hidden="1"/>
    <cellStyle name="Followed Hyperlink" xfId="3293" builtinId="9" hidden="1"/>
    <cellStyle name="Followed Hyperlink" xfId="3295" builtinId="9" hidden="1"/>
    <cellStyle name="Followed Hyperlink" xfId="3297" builtinId="9" hidden="1"/>
    <cellStyle name="Followed Hyperlink" xfId="3299" builtinId="9" hidden="1"/>
    <cellStyle name="Followed Hyperlink" xfId="3301" builtinId="9" hidden="1"/>
    <cellStyle name="Followed Hyperlink" xfId="3303" builtinId="9" hidden="1"/>
    <cellStyle name="Followed Hyperlink" xfId="3305" builtinId="9" hidden="1"/>
    <cellStyle name="Followed Hyperlink" xfId="3307" builtinId="9" hidden="1"/>
    <cellStyle name="Followed Hyperlink" xfId="3309" builtinId="9" hidden="1"/>
    <cellStyle name="Followed Hyperlink" xfId="3311" builtinId="9" hidden="1"/>
    <cellStyle name="Followed Hyperlink" xfId="3313" builtinId="9" hidden="1"/>
    <cellStyle name="Followed Hyperlink" xfId="3315" builtinId="9" hidden="1"/>
    <cellStyle name="Followed Hyperlink" xfId="3317" builtinId="9" hidden="1"/>
    <cellStyle name="Followed Hyperlink" xfId="3319" builtinId="9" hidden="1"/>
    <cellStyle name="Followed Hyperlink" xfId="3321" builtinId="9" hidden="1"/>
    <cellStyle name="Followed Hyperlink" xfId="3323" builtinId="9" hidden="1"/>
    <cellStyle name="Followed Hyperlink" xfId="3325" builtinId="9" hidden="1"/>
    <cellStyle name="Followed Hyperlink" xfId="3327" builtinId="9" hidden="1"/>
    <cellStyle name="Followed Hyperlink" xfId="3329" builtinId="9" hidden="1"/>
    <cellStyle name="Followed Hyperlink" xfId="3331" builtinId="9" hidden="1"/>
    <cellStyle name="Followed Hyperlink" xfId="3333" builtinId="9" hidden="1"/>
    <cellStyle name="Followed Hyperlink" xfId="3335" builtinId="9" hidden="1"/>
    <cellStyle name="Followed Hyperlink" xfId="3337" builtinId="9" hidden="1"/>
    <cellStyle name="Followed Hyperlink" xfId="3339" builtinId="9" hidden="1"/>
    <cellStyle name="Followed Hyperlink" xfId="3341" builtinId="9" hidden="1"/>
    <cellStyle name="Followed Hyperlink" xfId="3343" builtinId="9" hidden="1"/>
    <cellStyle name="Followed Hyperlink" xfId="3345" builtinId="9" hidden="1"/>
    <cellStyle name="Followed Hyperlink" xfId="3347" builtinId="9" hidden="1"/>
    <cellStyle name="Followed Hyperlink" xfId="3349" builtinId="9" hidden="1"/>
    <cellStyle name="Followed Hyperlink" xfId="3351" builtinId="9" hidden="1"/>
    <cellStyle name="Followed Hyperlink" xfId="3353" builtinId="9" hidden="1"/>
    <cellStyle name="Followed Hyperlink" xfId="3355" builtinId="9" hidden="1"/>
    <cellStyle name="Followed Hyperlink" xfId="3357" builtinId="9" hidden="1"/>
    <cellStyle name="Followed Hyperlink" xfId="3359" builtinId="9" hidden="1"/>
    <cellStyle name="Followed Hyperlink" xfId="3361" builtinId="9" hidden="1"/>
    <cellStyle name="Followed Hyperlink" xfId="3363" builtinId="9" hidden="1"/>
    <cellStyle name="Followed Hyperlink" xfId="3365" builtinId="9" hidden="1"/>
    <cellStyle name="Followed Hyperlink" xfId="3367" builtinId="9" hidden="1"/>
    <cellStyle name="Followed Hyperlink" xfId="3369" builtinId="9" hidden="1"/>
    <cellStyle name="Followed Hyperlink" xfId="3371" builtinId="9" hidden="1"/>
    <cellStyle name="Followed Hyperlink" xfId="3373" builtinId="9" hidden="1"/>
    <cellStyle name="Followed Hyperlink" xfId="3375" builtinId="9" hidden="1"/>
    <cellStyle name="Followed Hyperlink" xfId="3377" builtinId="9" hidden="1"/>
    <cellStyle name="Followed Hyperlink" xfId="3379" builtinId="9" hidden="1"/>
    <cellStyle name="Followed Hyperlink" xfId="3381" builtinId="9" hidden="1"/>
    <cellStyle name="Followed Hyperlink" xfId="3383" builtinId="9" hidden="1"/>
    <cellStyle name="Followed Hyperlink" xfId="3385" builtinId="9" hidden="1"/>
    <cellStyle name="Followed Hyperlink" xfId="3387" builtinId="9" hidden="1"/>
    <cellStyle name="Followed Hyperlink" xfId="3389" builtinId="9" hidden="1"/>
    <cellStyle name="Followed Hyperlink" xfId="3391" builtinId="9" hidden="1"/>
    <cellStyle name="Followed Hyperlink" xfId="3393" builtinId="9" hidden="1"/>
    <cellStyle name="Followed Hyperlink" xfId="3395" builtinId="9" hidden="1"/>
    <cellStyle name="Followed Hyperlink" xfId="3397" builtinId="9" hidden="1"/>
    <cellStyle name="Followed Hyperlink" xfId="3399" builtinId="9" hidden="1"/>
    <cellStyle name="Followed Hyperlink" xfId="3401" builtinId="9" hidden="1"/>
    <cellStyle name="Followed Hyperlink" xfId="3403" builtinId="9" hidden="1"/>
    <cellStyle name="Followed Hyperlink" xfId="3405" builtinId="9" hidden="1"/>
    <cellStyle name="Followed Hyperlink" xfId="3407" builtinId="9" hidden="1"/>
    <cellStyle name="Followed Hyperlink" xfId="3409" builtinId="9" hidden="1"/>
    <cellStyle name="Followed Hyperlink" xfId="3411" builtinId="9" hidden="1"/>
    <cellStyle name="Followed Hyperlink" xfId="3413" builtinId="9" hidden="1"/>
    <cellStyle name="Followed Hyperlink" xfId="3415" builtinId="9" hidden="1"/>
    <cellStyle name="Followed Hyperlink" xfId="3417" builtinId="9" hidden="1"/>
    <cellStyle name="Followed Hyperlink" xfId="3419" builtinId="9" hidden="1"/>
    <cellStyle name="Followed Hyperlink" xfId="3421" builtinId="9" hidden="1"/>
    <cellStyle name="Followed Hyperlink" xfId="3423" builtinId="9" hidden="1"/>
    <cellStyle name="Followed Hyperlink" xfId="3425" builtinId="9" hidden="1"/>
    <cellStyle name="Followed Hyperlink" xfId="3427" builtinId="9" hidden="1"/>
    <cellStyle name="Followed Hyperlink" xfId="3429" builtinId="9" hidden="1"/>
    <cellStyle name="Followed Hyperlink" xfId="3431" builtinId="9" hidden="1"/>
    <cellStyle name="Followed Hyperlink" xfId="3433" builtinId="9" hidden="1"/>
    <cellStyle name="Followed Hyperlink" xfId="3435" builtinId="9" hidden="1"/>
    <cellStyle name="Followed Hyperlink" xfId="3437" builtinId="9" hidden="1"/>
    <cellStyle name="Followed Hyperlink" xfId="3439" builtinId="9" hidden="1"/>
    <cellStyle name="Followed Hyperlink" xfId="3441" builtinId="9" hidden="1"/>
    <cellStyle name="Followed Hyperlink" xfId="3443" builtinId="9" hidden="1"/>
    <cellStyle name="Followed Hyperlink" xfId="3445" builtinId="9" hidden="1"/>
    <cellStyle name="Followed Hyperlink" xfId="3447" builtinId="9" hidden="1"/>
    <cellStyle name="Followed Hyperlink" xfId="3449" builtinId="9" hidden="1"/>
    <cellStyle name="Followed Hyperlink" xfId="3451" builtinId="9" hidden="1"/>
    <cellStyle name="Followed Hyperlink" xfId="3453" builtinId="9" hidden="1"/>
    <cellStyle name="Followed Hyperlink" xfId="3455" builtinId="9" hidden="1"/>
    <cellStyle name="Followed Hyperlink" xfId="3457" builtinId="9" hidden="1"/>
    <cellStyle name="Followed Hyperlink" xfId="3459" builtinId="9" hidden="1"/>
    <cellStyle name="Followed Hyperlink" xfId="3461" builtinId="9" hidden="1"/>
    <cellStyle name="Followed Hyperlink" xfId="3463" builtinId="9" hidden="1"/>
    <cellStyle name="Followed Hyperlink" xfId="3465" builtinId="9" hidden="1"/>
    <cellStyle name="Followed Hyperlink" xfId="3467" builtinId="9" hidden="1"/>
    <cellStyle name="Followed Hyperlink" xfId="3469" builtinId="9" hidden="1"/>
    <cellStyle name="Followed Hyperlink" xfId="3471" builtinId="9" hidden="1"/>
    <cellStyle name="Followed Hyperlink" xfId="3473" builtinId="9" hidden="1"/>
    <cellStyle name="Followed Hyperlink" xfId="3475" builtinId="9" hidden="1"/>
    <cellStyle name="Followed Hyperlink" xfId="3477" builtinId="9" hidden="1"/>
    <cellStyle name="Followed Hyperlink" xfId="3479" builtinId="9" hidden="1"/>
    <cellStyle name="Followed Hyperlink" xfId="3481" builtinId="9" hidden="1"/>
    <cellStyle name="Followed Hyperlink" xfId="3483" builtinId="9" hidden="1"/>
    <cellStyle name="Followed Hyperlink" xfId="3485" builtinId="9" hidden="1"/>
    <cellStyle name="Followed Hyperlink" xfId="3487" builtinId="9" hidden="1"/>
    <cellStyle name="Followed Hyperlink" xfId="3489" builtinId="9" hidden="1"/>
    <cellStyle name="Followed Hyperlink" xfId="3491" builtinId="9" hidden="1"/>
    <cellStyle name="Followed Hyperlink" xfId="3493" builtinId="9" hidden="1"/>
    <cellStyle name="Followed Hyperlink" xfId="3495" builtinId="9" hidden="1"/>
    <cellStyle name="Followed Hyperlink" xfId="3497" builtinId="9" hidden="1"/>
    <cellStyle name="Followed Hyperlink" xfId="3499" builtinId="9" hidden="1"/>
    <cellStyle name="Followed Hyperlink" xfId="3501" builtinId="9" hidden="1"/>
    <cellStyle name="Followed Hyperlink" xfId="3503" builtinId="9" hidden="1"/>
    <cellStyle name="Followed Hyperlink" xfId="3505" builtinId="9" hidden="1"/>
    <cellStyle name="Followed Hyperlink" xfId="3507" builtinId="9" hidden="1"/>
    <cellStyle name="Followed Hyperlink" xfId="3509" builtinId="9" hidden="1"/>
    <cellStyle name="Followed Hyperlink" xfId="3511" builtinId="9" hidden="1"/>
    <cellStyle name="Followed Hyperlink" xfId="3513" builtinId="9" hidden="1"/>
    <cellStyle name="Followed Hyperlink" xfId="3515" builtinId="9" hidden="1"/>
    <cellStyle name="Followed Hyperlink" xfId="3517" builtinId="9" hidden="1"/>
    <cellStyle name="Followed Hyperlink" xfId="3519" builtinId="9" hidden="1"/>
    <cellStyle name="Followed Hyperlink" xfId="3521" builtinId="9" hidden="1"/>
    <cellStyle name="Followed Hyperlink" xfId="3523" builtinId="9" hidden="1"/>
    <cellStyle name="Followed Hyperlink" xfId="3525" builtinId="9" hidden="1"/>
    <cellStyle name="Followed Hyperlink" xfId="3527" builtinId="9" hidden="1"/>
    <cellStyle name="Followed Hyperlink" xfId="3529" builtinId="9" hidden="1"/>
    <cellStyle name="Followed Hyperlink" xfId="3531" builtinId="9" hidden="1"/>
    <cellStyle name="Followed Hyperlink" xfId="3533" builtinId="9" hidden="1"/>
    <cellStyle name="Followed Hyperlink" xfId="3535" builtinId="9" hidden="1"/>
    <cellStyle name="Followed Hyperlink" xfId="3537" builtinId="9" hidden="1"/>
    <cellStyle name="Followed Hyperlink" xfId="3539" builtinId="9" hidden="1"/>
    <cellStyle name="Followed Hyperlink" xfId="3541" builtinId="9" hidden="1"/>
    <cellStyle name="Followed Hyperlink" xfId="3543" builtinId="9" hidden="1"/>
    <cellStyle name="Followed Hyperlink" xfId="3545" builtinId="9" hidden="1"/>
    <cellStyle name="Followed Hyperlink" xfId="3547" builtinId="9" hidden="1"/>
    <cellStyle name="Followed Hyperlink" xfId="3549" builtinId="9" hidden="1"/>
    <cellStyle name="Followed Hyperlink" xfId="3551" builtinId="9" hidden="1"/>
    <cellStyle name="Followed Hyperlink" xfId="3553" builtinId="9" hidden="1"/>
    <cellStyle name="Followed Hyperlink" xfId="3555" builtinId="9" hidden="1"/>
    <cellStyle name="Followed Hyperlink" xfId="3557" builtinId="9" hidden="1"/>
    <cellStyle name="Followed Hyperlink" xfId="3559" builtinId="9" hidden="1"/>
    <cellStyle name="Followed Hyperlink" xfId="3561" builtinId="9" hidden="1"/>
    <cellStyle name="Followed Hyperlink" xfId="3563" builtinId="9" hidden="1"/>
    <cellStyle name="Followed Hyperlink" xfId="3565" builtinId="9" hidden="1"/>
    <cellStyle name="Followed Hyperlink" xfId="3567" builtinId="9" hidden="1"/>
    <cellStyle name="Followed Hyperlink" xfId="3569" builtinId="9" hidden="1"/>
    <cellStyle name="Followed Hyperlink" xfId="3571" builtinId="9" hidden="1"/>
    <cellStyle name="Followed Hyperlink" xfId="3573" builtinId="9" hidden="1"/>
    <cellStyle name="Followed Hyperlink" xfId="3575" builtinId="9" hidden="1"/>
    <cellStyle name="Followed Hyperlink" xfId="3577" builtinId="9" hidden="1"/>
    <cellStyle name="Followed Hyperlink" xfId="3579" builtinId="9" hidden="1"/>
    <cellStyle name="Followed Hyperlink" xfId="3581" builtinId="9" hidden="1"/>
    <cellStyle name="Followed Hyperlink" xfId="3583" builtinId="9" hidden="1"/>
    <cellStyle name="Followed Hyperlink" xfId="3585" builtinId="9" hidden="1"/>
    <cellStyle name="Followed Hyperlink" xfId="3587" builtinId="9" hidden="1"/>
    <cellStyle name="Followed Hyperlink" xfId="3589" builtinId="9" hidden="1"/>
    <cellStyle name="Followed Hyperlink" xfId="3591" builtinId="9" hidden="1"/>
    <cellStyle name="Followed Hyperlink" xfId="3593" builtinId="9" hidden="1"/>
    <cellStyle name="Followed Hyperlink" xfId="3595" builtinId="9" hidden="1"/>
    <cellStyle name="Followed Hyperlink" xfId="3597" builtinId="9" hidden="1"/>
    <cellStyle name="Followed Hyperlink" xfId="3599" builtinId="9" hidden="1"/>
    <cellStyle name="Followed Hyperlink" xfId="3601" builtinId="9" hidden="1"/>
    <cellStyle name="Followed Hyperlink" xfId="3603" builtinId="9" hidden="1"/>
    <cellStyle name="Followed Hyperlink" xfId="3605" builtinId="9" hidden="1"/>
    <cellStyle name="Followed Hyperlink" xfId="3607" builtinId="9" hidden="1"/>
    <cellStyle name="Followed Hyperlink" xfId="3609" builtinId="9" hidden="1"/>
    <cellStyle name="Followed Hyperlink" xfId="3611" builtinId="9" hidden="1"/>
    <cellStyle name="Followed Hyperlink" xfId="3613" builtinId="9" hidden="1"/>
    <cellStyle name="Followed Hyperlink" xfId="3615" builtinId="9" hidden="1"/>
    <cellStyle name="Followed Hyperlink" xfId="3617" builtinId="9" hidden="1"/>
    <cellStyle name="Followed Hyperlink" xfId="3619" builtinId="9" hidden="1"/>
    <cellStyle name="Followed Hyperlink" xfId="3621" builtinId="9" hidden="1"/>
    <cellStyle name="Followed Hyperlink" xfId="3623" builtinId="9" hidden="1"/>
    <cellStyle name="Followed Hyperlink" xfId="3625" builtinId="9" hidden="1"/>
    <cellStyle name="Followed Hyperlink" xfId="3627" builtinId="9" hidden="1"/>
    <cellStyle name="Followed Hyperlink" xfId="3629" builtinId="9" hidden="1"/>
    <cellStyle name="Followed Hyperlink" xfId="3631" builtinId="9" hidden="1"/>
    <cellStyle name="Followed Hyperlink" xfId="3633" builtinId="9" hidden="1"/>
    <cellStyle name="Followed Hyperlink" xfId="3635" builtinId="9" hidden="1"/>
    <cellStyle name="Followed Hyperlink" xfId="3637" builtinId="9" hidden="1"/>
    <cellStyle name="Followed Hyperlink" xfId="3639" builtinId="9" hidden="1"/>
    <cellStyle name="Followed Hyperlink" xfId="3641" builtinId="9" hidden="1"/>
    <cellStyle name="Followed Hyperlink" xfId="3643" builtinId="9" hidden="1"/>
    <cellStyle name="Followed Hyperlink" xfId="3645" builtinId="9" hidden="1"/>
    <cellStyle name="Followed Hyperlink" xfId="3647" builtinId="9" hidden="1"/>
    <cellStyle name="Followed Hyperlink" xfId="3649" builtinId="9" hidden="1"/>
    <cellStyle name="Followed Hyperlink" xfId="3651" builtinId="9" hidden="1"/>
    <cellStyle name="Followed Hyperlink" xfId="3653" builtinId="9" hidden="1"/>
    <cellStyle name="Followed Hyperlink" xfId="3655" builtinId="9" hidden="1"/>
    <cellStyle name="Followed Hyperlink" xfId="3657" builtinId="9" hidden="1"/>
    <cellStyle name="Followed Hyperlink" xfId="3659" builtinId="9" hidden="1"/>
    <cellStyle name="Followed Hyperlink" xfId="3661" builtinId="9" hidden="1"/>
    <cellStyle name="Followed Hyperlink" xfId="3663" builtinId="9" hidden="1"/>
    <cellStyle name="Followed Hyperlink" xfId="3665" builtinId="9" hidden="1"/>
    <cellStyle name="Followed Hyperlink" xfId="3667" builtinId="9" hidden="1"/>
    <cellStyle name="Followed Hyperlink" xfId="3669" builtinId="9" hidden="1"/>
    <cellStyle name="Followed Hyperlink" xfId="3671" builtinId="9" hidden="1"/>
    <cellStyle name="Followed Hyperlink" xfId="3673" builtinId="9" hidden="1"/>
    <cellStyle name="Followed Hyperlink" xfId="3675" builtinId="9" hidden="1"/>
    <cellStyle name="Followed Hyperlink" xfId="3677" builtinId="9" hidden="1"/>
    <cellStyle name="Followed Hyperlink" xfId="3679" builtinId="9" hidden="1"/>
    <cellStyle name="Followed Hyperlink" xfId="3681" builtinId="9" hidden="1"/>
    <cellStyle name="Followed Hyperlink" xfId="3683" builtinId="9" hidden="1"/>
    <cellStyle name="Followed Hyperlink" xfId="3685" builtinId="9" hidden="1"/>
    <cellStyle name="Followed Hyperlink" xfId="3687" builtinId="9" hidden="1"/>
    <cellStyle name="Followed Hyperlink" xfId="3689" builtinId="9" hidden="1"/>
    <cellStyle name="Followed Hyperlink" xfId="3691" builtinId="9" hidden="1"/>
    <cellStyle name="Followed Hyperlink" xfId="3693" builtinId="9" hidden="1"/>
    <cellStyle name="Followed Hyperlink" xfId="3695" builtinId="9" hidden="1"/>
    <cellStyle name="Followed Hyperlink" xfId="3697" builtinId="9" hidden="1"/>
    <cellStyle name="Followed Hyperlink" xfId="3699" builtinId="9" hidden="1"/>
    <cellStyle name="Followed Hyperlink" xfId="3701" builtinId="9" hidden="1"/>
    <cellStyle name="Followed Hyperlink" xfId="3703" builtinId="9" hidden="1"/>
    <cellStyle name="Followed Hyperlink" xfId="3705" builtinId="9" hidden="1"/>
    <cellStyle name="Followed Hyperlink" xfId="3707" builtinId="9" hidden="1"/>
    <cellStyle name="Followed Hyperlink" xfId="3709" builtinId="9" hidden="1"/>
    <cellStyle name="Followed Hyperlink" xfId="3711" builtinId="9" hidden="1"/>
    <cellStyle name="Followed Hyperlink" xfId="3713" builtinId="9" hidden="1"/>
    <cellStyle name="Followed Hyperlink" xfId="3715" builtinId="9" hidden="1"/>
    <cellStyle name="Followed Hyperlink" xfId="3717" builtinId="9" hidden="1"/>
    <cellStyle name="Followed Hyperlink" xfId="3719" builtinId="9" hidden="1"/>
    <cellStyle name="Followed Hyperlink" xfId="3721" builtinId="9" hidden="1"/>
    <cellStyle name="Followed Hyperlink" xfId="3723" builtinId="9" hidden="1"/>
    <cellStyle name="Followed Hyperlink" xfId="3725" builtinId="9" hidden="1"/>
    <cellStyle name="Followed Hyperlink" xfId="3727" builtinId="9" hidden="1"/>
    <cellStyle name="Followed Hyperlink" xfId="3729" builtinId="9" hidden="1"/>
    <cellStyle name="Followed Hyperlink" xfId="3731" builtinId="9" hidden="1"/>
    <cellStyle name="Followed Hyperlink" xfId="3733" builtinId="9" hidden="1"/>
    <cellStyle name="Followed Hyperlink" xfId="3735" builtinId="9" hidden="1"/>
    <cellStyle name="Followed Hyperlink" xfId="3737" builtinId="9" hidden="1"/>
    <cellStyle name="Followed Hyperlink" xfId="3739" builtinId="9" hidden="1"/>
    <cellStyle name="Followed Hyperlink" xfId="3741" builtinId="9" hidden="1"/>
    <cellStyle name="Followed Hyperlink" xfId="3743" builtinId="9" hidden="1"/>
    <cellStyle name="Followed Hyperlink" xfId="3745" builtinId="9" hidden="1"/>
    <cellStyle name="Followed Hyperlink" xfId="3747" builtinId="9" hidden="1"/>
    <cellStyle name="Followed Hyperlink" xfId="3749" builtinId="9" hidden="1"/>
    <cellStyle name="Followed Hyperlink" xfId="3751" builtinId="9" hidden="1"/>
    <cellStyle name="Followed Hyperlink" xfId="3753" builtinId="9" hidden="1"/>
    <cellStyle name="Followed Hyperlink" xfId="3755" builtinId="9" hidden="1"/>
    <cellStyle name="Followed Hyperlink" xfId="3757" builtinId="9" hidden="1"/>
    <cellStyle name="Followed Hyperlink" xfId="3759" builtinId="9" hidden="1"/>
    <cellStyle name="Followed Hyperlink" xfId="3761" builtinId="9" hidden="1"/>
    <cellStyle name="Followed Hyperlink" xfId="3763" builtinId="9" hidden="1"/>
    <cellStyle name="Followed Hyperlink" xfId="3765" builtinId="9" hidden="1"/>
    <cellStyle name="Followed Hyperlink" xfId="3767" builtinId="9" hidden="1"/>
    <cellStyle name="Followed Hyperlink" xfId="3769" builtinId="9" hidden="1"/>
    <cellStyle name="Followed Hyperlink" xfId="3771" builtinId="9" hidden="1"/>
    <cellStyle name="Followed Hyperlink" xfId="3773" builtinId="9" hidden="1"/>
    <cellStyle name="Followed Hyperlink" xfId="3775" builtinId="9" hidden="1"/>
    <cellStyle name="Followed Hyperlink" xfId="3777" builtinId="9" hidden="1"/>
    <cellStyle name="Followed Hyperlink" xfId="3779" builtinId="9" hidden="1"/>
    <cellStyle name="Followed Hyperlink" xfId="3781" builtinId="9" hidden="1"/>
    <cellStyle name="Followed Hyperlink" xfId="3783" builtinId="9" hidden="1"/>
    <cellStyle name="Followed Hyperlink" xfId="3785" builtinId="9" hidden="1"/>
    <cellStyle name="Followed Hyperlink" xfId="3787" builtinId="9" hidden="1"/>
    <cellStyle name="Followed Hyperlink" xfId="3789" builtinId="9" hidden="1"/>
    <cellStyle name="Followed Hyperlink" xfId="3791" builtinId="9" hidden="1"/>
    <cellStyle name="Followed Hyperlink" xfId="3793" builtinId="9" hidden="1"/>
    <cellStyle name="Followed Hyperlink" xfId="3795" builtinId="9" hidden="1"/>
    <cellStyle name="Followed Hyperlink" xfId="3797" builtinId="9" hidden="1"/>
    <cellStyle name="Followed Hyperlink" xfId="3799" builtinId="9" hidden="1"/>
    <cellStyle name="Followed Hyperlink" xfId="3801" builtinId="9" hidden="1"/>
    <cellStyle name="Followed Hyperlink" xfId="3803" builtinId="9" hidden="1"/>
    <cellStyle name="Followed Hyperlink" xfId="3805" builtinId="9" hidden="1"/>
    <cellStyle name="Followed Hyperlink" xfId="3807" builtinId="9" hidden="1"/>
    <cellStyle name="Followed Hyperlink" xfId="3809" builtinId="9" hidden="1"/>
    <cellStyle name="Followed Hyperlink" xfId="3811" builtinId="9" hidden="1"/>
    <cellStyle name="Followed Hyperlink" xfId="3813" builtinId="9" hidden="1"/>
    <cellStyle name="Followed Hyperlink" xfId="3815" builtinId="9" hidden="1"/>
    <cellStyle name="Followed Hyperlink" xfId="3817" builtinId="9" hidden="1"/>
    <cellStyle name="Followed Hyperlink" xfId="3819" builtinId="9" hidden="1"/>
    <cellStyle name="Followed Hyperlink" xfId="3821" builtinId="9" hidden="1"/>
    <cellStyle name="Followed Hyperlink" xfId="3823" builtinId="9" hidden="1"/>
    <cellStyle name="Followed Hyperlink" xfId="3825" builtinId="9" hidden="1"/>
    <cellStyle name="Followed Hyperlink" xfId="3827" builtinId="9" hidden="1"/>
    <cellStyle name="Followed Hyperlink" xfId="3829" builtinId="9" hidden="1"/>
    <cellStyle name="Followed Hyperlink" xfId="3831" builtinId="9" hidden="1"/>
    <cellStyle name="Followed Hyperlink" xfId="3833" builtinId="9" hidden="1"/>
    <cellStyle name="Followed Hyperlink" xfId="3835" builtinId="9" hidden="1"/>
    <cellStyle name="Followed Hyperlink" xfId="3837" builtinId="9" hidden="1"/>
    <cellStyle name="Followed Hyperlink" xfId="3839" builtinId="9" hidden="1"/>
    <cellStyle name="Followed Hyperlink" xfId="3841" builtinId="9" hidden="1"/>
    <cellStyle name="Followed Hyperlink" xfId="3843" builtinId="9" hidden="1"/>
    <cellStyle name="Followed Hyperlink" xfId="3845" builtinId="9" hidden="1"/>
    <cellStyle name="Followed Hyperlink" xfId="3847" builtinId="9" hidden="1"/>
    <cellStyle name="Followed Hyperlink" xfId="3849" builtinId="9" hidden="1"/>
    <cellStyle name="Followed Hyperlink" xfId="3851" builtinId="9" hidden="1"/>
    <cellStyle name="Followed Hyperlink" xfId="3853" builtinId="9" hidden="1"/>
    <cellStyle name="Followed Hyperlink" xfId="3855" builtinId="9" hidden="1"/>
    <cellStyle name="Followed Hyperlink" xfId="3857" builtinId="9" hidden="1"/>
    <cellStyle name="Followed Hyperlink" xfId="3859" builtinId="9" hidden="1"/>
    <cellStyle name="Followed Hyperlink" xfId="3861" builtinId="9" hidden="1"/>
    <cellStyle name="Followed Hyperlink" xfId="3863" builtinId="9" hidden="1"/>
    <cellStyle name="Followed Hyperlink" xfId="3865" builtinId="9" hidden="1"/>
    <cellStyle name="Followed Hyperlink" xfId="3867" builtinId="9" hidden="1"/>
    <cellStyle name="Followed Hyperlink" xfId="3869" builtinId="9" hidden="1"/>
    <cellStyle name="Followed Hyperlink" xfId="3871" builtinId="9" hidden="1"/>
    <cellStyle name="Followed Hyperlink" xfId="3873" builtinId="9" hidden="1"/>
    <cellStyle name="Followed Hyperlink" xfId="3875" builtinId="9" hidden="1"/>
    <cellStyle name="Followed Hyperlink" xfId="3877" builtinId="9" hidden="1"/>
    <cellStyle name="Followed Hyperlink" xfId="3879" builtinId="9" hidden="1"/>
    <cellStyle name="Followed Hyperlink" xfId="3881" builtinId="9" hidden="1"/>
    <cellStyle name="Followed Hyperlink" xfId="3883" builtinId="9" hidden="1"/>
    <cellStyle name="Followed Hyperlink" xfId="3885" builtinId="9" hidden="1"/>
    <cellStyle name="Followed Hyperlink" xfId="3887" builtinId="9" hidden="1"/>
    <cellStyle name="Followed Hyperlink" xfId="3889" builtinId="9" hidden="1"/>
    <cellStyle name="Followed Hyperlink" xfId="3891" builtinId="9" hidden="1"/>
    <cellStyle name="Followed Hyperlink" xfId="3893" builtinId="9" hidden="1"/>
    <cellStyle name="Followed Hyperlink" xfId="3895" builtinId="9" hidden="1"/>
    <cellStyle name="Followed Hyperlink" xfId="3897" builtinId="9" hidden="1"/>
    <cellStyle name="Followed Hyperlink" xfId="3899" builtinId="9" hidden="1"/>
    <cellStyle name="Followed Hyperlink" xfId="3901" builtinId="9" hidden="1"/>
    <cellStyle name="Followed Hyperlink" xfId="3903" builtinId="9" hidden="1"/>
    <cellStyle name="Followed Hyperlink" xfId="3905" builtinId="9" hidden="1"/>
    <cellStyle name="Followed Hyperlink" xfId="3907" builtinId="9" hidden="1"/>
    <cellStyle name="Followed Hyperlink" xfId="3909" builtinId="9" hidden="1"/>
    <cellStyle name="Followed Hyperlink" xfId="3911" builtinId="9" hidden="1"/>
    <cellStyle name="Followed Hyperlink" xfId="3913" builtinId="9" hidden="1"/>
    <cellStyle name="Followed Hyperlink" xfId="3915" builtinId="9" hidden="1"/>
    <cellStyle name="Followed Hyperlink" xfId="3917" builtinId="9" hidden="1"/>
    <cellStyle name="Followed Hyperlink" xfId="3919" builtinId="9" hidden="1"/>
    <cellStyle name="Followed Hyperlink" xfId="3921" builtinId="9" hidden="1"/>
    <cellStyle name="Followed Hyperlink" xfId="3923" builtinId="9" hidden="1"/>
    <cellStyle name="Followed Hyperlink" xfId="3925" builtinId="9" hidden="1"/>
    <cellStyle name="Followed Hyperlink" xfId="3927" builtinId="9" hidden="1"/>
    <cellStyle name="Followed Hyperlink" xfId="3929" builtinId="9" hidden="1"/>
    <cellStyle name="Followed Hyperlink" xfId="3931" builtinId="9" hidden="1"/>
    <cellStyle name="Followed Hyperlink" xfId="3933" builtinId="9" hidden="1"/>
    <cellStyle name="Followed Hyperlink" xfId="3935" builtinId="9" hidden="1"/>
    <cellStyle name="Followed Hyperlink" xfId="3937" builtinId="9" hidden="1"/>
    <cellStyle name="Followed Hyperlink" xfId="3939" builtinId="9" hidden="1"/>
    <cellStyle name="Followed Hyperlink" xfId="3941" builtinId="9" hidden="1"/>
    <cellStyle name="Followed Hyperlink" xfId="3943" builtinId="9" hidden="1"/>
    <cellStyle name="Followed Hyperlink" xfId="3945" builtinId="9" hidden="1"/>
    <cellStyle name="Followed Hyperlink" xfId="3947" builtinId="9" hidden="1"/>
    <cellStyle name="Followed Hyperlink" xfId="3949" builtinId="9" hidden="1"/>
    <cellStyle name="Followed Hyperlink" xfId="3951" builtinId="9" hidden="1"/>
    <cellStyle name="Followed Hyperlink" xfId="3953" builtinId="9" hidden="1"/>
    <cellStyle name="Followed Hyperlink" xfId="3955" builtinId="9" hidden="1"/>
    <cellStyle name="Followed Hyperlink" xfId="3957" builtinId="9" hidden="1"/>
    <cellStyle name="Followed Hyperlink" xfId="3959" builtinId="9" hidden="1"/>
    <cellStyle name="Followed Hyperlink" xfId="3961" builtinId="9" hidden="1"/>
    <cellStyle name="Followed Hyperlink" xfId="3963" builtinId="9" hidden="1"/>
    <cellStyle name="Followed Hyperlink" xfId="3965" builtinId="9" hidden="1"/>
    <cellStyle name="Followed Hyperlink" xfId="3967" builtinId="9" hidden="1"/>
    <cellStyle name="Followed Hyperlink" xfId="3969" builtinId="9" hidden="1"/>
    <cellStyle name="Followed Hyperlink" xfId="3971" builtinId="9" hidden="1"/>
    <cellStyle name="Followed Hyperlink" xfId="3973" builtinId="9" hidden="1"/>
    <cellStyle name="Followed Hyperlink" xfId="3975" builtinId="9" hidden="1"/>
    <cellStyle name="Followed Hyperlink" xfId="3977" builtinId="9" hidden="1"/>
    <cellStyle name="Followed Hyperlink" xfId="3979" builtinId="9" hidden="1"/>
    <cellStyle name="Followed Hyperlink" xfId="3981" builtinId="9" hidden="1"/>
    <cellStyle name="Followed Hyperlink" xfId="3983" builtinId="9" hidden="1"/>
    <cellStyle name="Followed Hyperlink" xfId="3985" builtinId="9" hidden="1"/>
    <cellStyle name="Followed Hyperlink" xfId="3987" builtinId="9" hidden="1"/>
    <cellStyle name="Followed Hyperlink" xfId="3989" builtinId="9" hidden="1"/>
    <cellStyle name="Followed Hyperlink" xfId="3991" builtinId="9" hidden="1"/>
    <cellStyle name="Followed Hyperlink" xfId="3993" builtinId="9" hidden="1"/>
    <cellStyle name="Followed Hyperlink" xfId="3995" builtinId="9" hidden="1"/>
    <cellStyle name="Followed Hyperlink" xfId="3997" builtinId="9" hidden="1"/>
    <cellStyle name="Followed Hyperlink" xfId="3999" builtinId="9" hidden="1"/>
    <cellStyle name="Followed Hyperlink" xfId="4001" builtinId="9" hidden="1"/>
    <cellStyle name="Followed Hyperlink" xfId="4003" builtinId="9" hidden="1"/>
    <cellStyle name="Followed Hyperlink" xfId="4005" builtinId="9" hidden="1"/>
    <cellStyle name="Followed Hyperlink" xfId="4007" builtinId="9" hidden="1"/>
    <cellStyle name="Followed Hyperlink" xfId="4009" builtinId="9" hidden="1"/>
    <cellStyle name="Followed Hyperlink" xfId="4011" builtinId="9" hidden="1"/>
    <cellStyle name="Followed Hyperlink" xfId="4013" builtinId="9" hidden="1"/>
    <cellStyle name="Followed Hyperlink" xfId="4015" builtinId="9" hidden="1"/>
    <cellStyle name="Followed Hyperlink" xfId="4017" builtinId="9" hidden="1"/>
    <cellStyle name="Followed Hyperlink" xfId="4019" builtinId="9" hidden="1"/>
    <cellStyle name="Followed Hyperlink" xfId="4021" builtinId="9" hidden="1"/>
    <cellStyle name="Followed Hyperlink" xfId="4023" builtinId="9" hidden="1"/>
    <cellStyle name="Followed Hyperlink" xfId="4025" builtinId="9" hidden="1"/>
    <cellStyle name="Followed Hyperlink" xfId="4027" builtinId="9" hidden="1"/>
    <cellStyle name="Followed Hyperlink" xfId="4029" builtinId="9" hidden="1"/>
    <cellStyle name="Followed Hyperlink" xfId="4031" builtinId="9" hidden="1"/>
    <cellStyle name="Followed Hyperlink" xfId="4033" builtinId="9" hidden="1"/>
    <cellStyle name="Followed Hyperlink" xfId="4035" builtinId="9" hidden="1"/>
    <cellStyle name="Followed Hyperlink" xfId="4037" builtinId="9" hidden="1"/>
    <cellStyle name="Followed Hyperlink" xfId="4039" builtinId="9" hidden="1"/>
    <cellStyle name="Followed Hyperlink" xfId="4041" builtinId="9" hidden="1"/>
    <cellStyle name="Followed Hyperlink" xfId="4043" builtinId="9" hidden="1"/>
    <cellStyle name="Followed Hyperlink" xfId="4045" builtinId="9" hidden="1"/>
    <cellStyle name="Followed Hyperlink" xfId="4047" builtinId="9" hidden="1"/>
    <cellStyle name="Followed Hyperlink" xfId="4049" builtinId="9" hidden="1"/>
    <cellStyle name="Followed Hyperlink" xfId="4051" builtinId="9" hidden="1"/>
    <cellStyle name="Followed Hyperlink" xfId="4053" builtinId="9" hidden="1"/>
    <cellStyle name="Followed Hyperlink" xfId="4055" builtinId="9" hidden="1"/>
    <cellStyle name="Followed Hyperlink" xfId="4057" builtinId="9" hidden="1"/>
    <cellStyle name="Followed Hyperlink" xfId="4059" builtinId="9" hidden="1"/>
    <cellStyle name="Followed Hyperlink" xfId="4061" builtinId="9" hidden="1"/>
    <cellStyle name="Followed Hyperlink" xfId="4063" builtinId="9" hidden="1"/>
    <cellStyle name="Followed Hyperlink" xfId="4065" builtinId="9" hidden="1"/>
    <cellStyle name="Followed Hyperlink" xfId="4067" builtinId="9" hidden="1"/>
    <cellStyle name="Followed Hyperlink" xfId="4069" builtinId="9" hidden="1"/>
    <cellStyle name="Followed Hyperlink" xfId="4071" builtinId="9" hidden="1"/>
    <cellStyle name="Followed Hyperlink" xfId="4073" builtinId="9" hidden="1"/>
    <cellStyle name="Followed Hyperlink" xfId="4075" builtinId="9" hidden="1"/>
    <cellStyle name="Followed Hyperlink" xfId="4077" builtinId="9" hidden="1"/>
    <cellStyle name="Followed Hyperlink" xfId="4079" builtinId="9" hidden="1"/>
    <cellStyle name="Followed Hyperlink" xfId="4081" builtinId="9" hidden="1"/>
    <cellStyle name="Followed Hyperlink" xfId="4083" builtinId="9" hidden="1"/>
    <cellStyle name="Followed Hyperlink" xfId="4085" builtinId="9" hidden="1"/>
    <cellStyle name="Followed Hyperlink" xfId="4087" builtinId="9" hidden="1"/>
    <cellStyle name="Followed Hyperlink" xfId="4089" builtinId="9" hidden="1"/>
    <cellStyle name="Followed Hyperlink" xfId="4091" builtinId="9" hidden="1"/>
    <cellStyle name="Followed Hyperlink" xfId="4093" builtinId="9" hidden="1"/>
    <cellStyle name="Followed Hyperlink" xfId="4095" builtinId="9" hidden="1"/>
    <cellStyle name="Followed Hyperlink" xfId="4097" builtinId="9" hidden="1"/>
    <cellStyle name="Followed Hyperlink" xfId="4099" builtinId="9" hidden="1"/>
    <cellStyle name="Followed Hyperlink" xfId="4101" builtinId="9" hidden="1"/>
    <cellStyle name="Followed Hyperlink" xfId="4103" builtinId="9" hidden="1"/>
    <cellStyle name="Followed Hyperlink" xfId="4105" builtinId="9" hidden="1"/>
    <cellStyle name="Followed Hyperlink" xfId="4107" builtinId="9" hidden="1"/>
    <cellStyle name="Followed Hyperlink" xfId="4109" builtinId="9" hidden="1"/>
    <cellStyle name="Followed Hyperlink" xfId="4111" builtinId="9" hidden="1"/>
    <cellStyle name="Followed Hyperlink" xfId="4113" builtinId="9" hidden="1"/>
    <cellStyle name="Followed Hyperlink" xfId="4115" builtinId="9" hidden="1"/>
    <cellStyle name="Followed Hyperlink" xfId="4117" builtinId="9" hidden="1"/>
    <cellStyle name="Followed Hyperlink" xfId="4119" builtinId="9" hidden="1"/>
    <cellStyle name="Followed Hyperlink" xfId="4121" builtinId="9" hidden="1"/>
    <cellStyle name="Followed Hyperlink" xfId="4123" builtinId="9" hidden="1"/>
    <cellStyle name="Followed Hyperlink" xfId="4125" builtinId="9" hidden="1"/>
    <cellStyle name="Followed Hyperlink" xfId="4127" builtinId="9" hidden="1"/>
    <cellStyle name="Followed Hyperlink" xfId="4129" builtinId="9" hidden="1"/>
    <cellStyle name="Followed Hyperlink" xfId="4131" builtinId="9" hidden="1"/>
    <cellStyle name="Followed Hyperlink" xfId="4133" builtinId="9" hidden="1"/>
    <cellStyle name="Followed Hyperlink" xfId="4135" builtinId="9" hidden="1"/>
    <cellStyle name="Followed Hyperlink" xfId="4137" builtinId="9" hidden="1"/>
    <cellStyle name="Followed Hyperlink" xfId="4139" builtinId="9" hidden="1"/>
    <cellStyle name="Followed Hyperlink" xfId="4141" builtinId="9" hidden="1"/>
    <cellStyle name="Followed Hyperlink" xfId="4143" builtinId="9" hidden="1"/>
    <cellStyle name="Followed Hyperlink" xfId="4145" builtinId="9" hidden="1"/>
    <cellStyle name="Followed Hyperlink" xfId="4147" builtinId="9" hidden="1"/>
    <cellStyle name="Followed Hyperlink" xfId="4149" builtinId="9" hidden="1"/>
    <cellStyle name="Followed Hyperlink" xfId="4151" builtinId="9" hidden="1"/>
    <cellStyle name="Followed Hyperlink" xfId="4153" builtinId="9" hidden="1"/>
    <cellStyle name="Followed Hyperlink" xfId="4155" builtinId="9" hidden="1"/>
    <cellStyle name="Followed Hyperlink" xfId="4157" builtinId="9" hidden="1"/>
    <cellStyle name="Followed Hyperlink" xfId="4159" builtinId="9" hidden="1"/>
    <cellStyle name="Followed Hyperlink" xfId="4161" builtinId="9" hidden="1"/>
    <cellStyle name="Followed Hyperlink" xfId="4163" builtinId="9" hidden="1"/>
    <cellStyle name="Followed Hyperlink" xfId="4165" builtinId="9" hidden="1"/>
    <cellStyle name="Followed Hyperlink" xfId="4167" builtinId="9" hidden="1"/>
    <cellStyle name="Followed Hyperlink" xfId="4169" builtinId="9" hidden="1"/>
    <cellStyle name="Followed Hyperlink" xfId="4171" builtinId="9" hidden="1"/>
    <cellStyle name="Followed Hyperlink" xfId="4173" builtinId="9" hidden="1"/>
    <cellStyle name="Followed Hyperlink" xfId="4175" builtinId="9" hidden="1"/>
    <cellStyle name="Followed Hyperlink" xfId="4177" builtinId="9" hidden="1"/>
    <cellStyle name="Followed Hyperlink" xfId="4179" builtinId="9" hidden="1"/>
    <cellStyle name="Followed Hyperlink" xfId="4181" builtinId="9" hidden="1"/>
    <cellStyle name="Followed Hyperlink" xfId="4183" builtinId="9" hidden="1"/>
    <cellStyle name="Followed Hyperlink" xfId="4185" builtinId="9" hidden="1"/>
    <cellStyle name="Followed Hyperlink" xfId="4187" builtinId="9" hidden="1"/>
    <cellStyle name="Followed Hyperlink" xfId="4189" builtinId="9" hidden="1"/>
    <cellStyle name="Followed Hyperlink" xfId="4191" builtinId="9" hidden="1"/>
    <cellStyle name="Followed Hyperlink" xfId="4193" builtinId="9" hidden="1"/>
    <cellStyle name="Followed Hyperlink" xfId="4195" builtinId="9" hidden="1"/>
    <cellStyle name="Followed Hyperlink" xfId="4197" builtinId="9" hidden="1"/>
    <cellStyle name="Followed Hyperlink" xfId="4199" builtinId="9" hidden="1"/>
    <cellStyle name="Followed Hyperlink" xfId="4201" builtinId="9" hidden="1"/>
    <cellStyle name="Followed Hyperlink" xfId="4203" builtinId="9" hidden="1"/>
    <cellStyle name="Followed Hyperlink" xfId="4205" builtinId="9" hidden="1"/>
    <cellStyle name="Followed Hyperlink" xfId="4207" builtinId="9" hidden="1"/>
    <cellStyle name="Followed Hyperlink" xfId="4209" builtinId="9" hidden="1"/>
    <cellStyle name="Followed Hyperlink" xfId="4211" builtinId="9" hidden="1"/>
    <cellStyle name="Followed Hyperlink" xfId="4213" builtinId="9" hidden="1"/>
    <cellStyle name="Followed Hyperlink" xfId="4215" builtinId="9" hidden="1"/>
    <cellStyle name="Followed Hyperlink" xfId="4217" builtinId="9" hidden="1"/>
    <cellStyle name="Followed Hyperlink" xfId="4219" builtinId="9" hidden="1"/>
    <cellStyle name="Followed Hyperlink" xfId="4221" builtinId="9" hidden="1"/>
    <cellStyle name="Followed Hyperlink" xfId="4223" builtinId="9" hidden="1"/>
    <cellStyle name="Followed Hyperlink" xfId="4225" builtinId="9" hidden="1"/>
    <cellStyle name="Followed Hyperlink" xfId="4227" builtinId="9" hidden="1"/>
    <cellStyle name="Followed Hyperlink" xfId="4229" builtinId="9" hidden="1"/>
    <cellStyle name="Followed Hyperlink" xfId="4231" builtinId="9" hidden="1"/>
    <cellStyle name="Followed Hyperlink" xfId="4233" builtinId="9" hidden="1"/>
    <cellStyle name="Followed Hyperlink" xfId="4235" builtinId="9" hidden="1"/>
    <cellStyle name="Followed Hyperlink" xfId="4237" builtinId="9" hidden="1"/>
    <cellStyle name="Followed Hyperlink" xfId="4239" builtinId="9" hidden="1"/>
    <cellStyle name="Followed Hyperlink" xfId="4241" builtinId="9" hidden="1"/>
    <cellStyle name="Followed Hyperlink" xfId="4243" builtinId="9" hidden="1"/>
    <cellStyle name="Followed Hyperlink" xfId="4245" builtinId="9" hidden="1"/>
    <cellStyle name="Followed Hyperlink" xfId="4247" builtinId="9" hidden="1"/>
    <cellStyle name="Followed Hyperlink" xfId="4249" builtinId="9" hidden="1"/>
    <cellStyle name="Followed Hyperlink" xfId="4251" builtinId="9" hidden="1"/>
    <cellStyle name="Followed Hyperlink" xfId="4253" builtinId="9" hidden="1"/>
    <cellStyle name="Followed Hyperlink" xfId="4255" builtinId="9" hidden="1"/>
    <cellStyle name="Followed Hyperlink" xfId="4257" builtinId="9" hidden="1"/>
    <cellStyle name="Followed Hyperlink" xfId="4259" builtinId="9" hidden="1"/>
    <cellStyle name="Followed Hyperlink" xfId="4261" builtinId="9" hidden="1"/>
    <cellStyle name="Followed Hyperlink" xfId="4263" builtinId="9" hidden="1"/>
    <cellStyle name="Followed Hyperlink" xfId="4265" builtinId="9" hidden="1"/>
    <cellStyle name="Followed Hyperlink" xfId="4267" builtinId="9" hidden="1"/>
    <cellStyle name="Followed Hyperlink" xfId="4269" builtinId="9" hidden="1"/>
    <cellStyle name="Followed Hyperlink" xfId="4271" builtinId="9" hidden="1"/>
    <cellStyle name="Followed Hyperlink" xfId="4273" builtinId="9" hidden="1"/>
    <cellStyle name="Followed Hyperlink" xfId="4275" builtinId="9" hidden="1"/>
    <cellStyle name="Followed Hyperlink" xfId="4277" builtinId="9" hidden="1"/>
    <cellStyle name="Followed Hyperlink" xfId="4279" builtinId="9" hidden="1"/>
    <cellStyle name="Followed Hyperlink" xfId="4281" builtinId="9" hidden="1"/>
    <cellStyle name="Followed Hyperlink" xfId="4283" builtinId="9" hidden="1"/>
    <cellStyle name="Followed Hyperlink" xfId="4285" builtinId="9" hidden="1"/>
    <cellStyle name="Followed Hyperlink" xfId="4287" builtinId="9" hidden="1"/>
    <cellStyle name="Followed Hyperlink" xfId="4289" builtinId="9" hidden="1"/>
    <cellStyle name="Followed Hyperlink" xfId="4291" builtinId="9" hidden="1"/>
    <cellStyle name="Followed Hyperlink" xfId="4293" builtinId="9" hidden="1"/>
    <cellStyle name="Followed Hyperlink" xfId="4295" builtinId="9" hidden="1"/>
    <cellStyle name="Followed Hyperlink" xfId="4297" builtinId="9" hidden="1"/>
    <cellStyle name="Followed Hyperlink" xfId="4299" builtinId="9" hidden="1"/>
    <cellStyle name="Followed Hyperlink" xfId="4301" builtinId="9" hidden="1"/>
    <cellStyle name="Followed Hyperlink" xfId="4303" builtinId="9" hidden="1"/>
    <cellStyle name="Followed Hyperlink" xfId="4305" builtinId="9" hidden="1"/>
    <cellStyle name="Followed Hyperlink" xfId="4307" builtinId="9" hidden="1"/>
    <cellStyle name="Followed Hyperlink" xfId="4309" builtinId="9" hidden="1"/>
    <cellStyle name="Followed Hyperlink" xfId="4311" builtinId="9" hidden="1"/>
    <cellStyle name="Followed Hyperlink" xfId="4313" builtinId="9" hidden="1"/>
    <cellStyle name="Followed Hyperlink" xfId="4315" builtinId="9" hidden="1"/>
    <cellStyle name="Followed Hyperlink" xfId="4317" builtinId="9" hidden="1"/>
    <cellStyle name="Followed Hyperlink" xfId="4319" builtinId="9" hidden="1"/>
    <cellStyle name="Followed Hyperlink" xfId="4321" builtinId="9" hidden="1"/>
    <cellStyle name="Followed Hyperlink" xfId="4323" builtinId="9" hidden="1"/>
    <cellStyle name="Followed Hyperlink" xfId="4325" builtinId="9" hidden="1"/>
    <cellStyle name="Followed Hyperlink" xfId="4327" builtinId="9" hidden="1"/>
    <cellStyle name="Followed Hyperlink" xfId="4329" builtinId="9" hidden="1"/>
    <cellStyle name="Followed Hyperlink" xfId="4331" builtinId="9" hidden="1"/>
    <cellStyle name="Followed Hyperlink" xfId="4333" builtinId="9" hidden="1"/>
    <cellStyle name="Followed Hyperlink" xfId="4335" builtinId="9" hidden="1"/>
    <cellStyle name="Followed Hyperlink" xfId="4337" builtinId="9" hidden="1"/>
    <cellStyle name="Followed Hyperlink" xfId="4339" builtinId="9" hidden="1"/>
    <cellStyle name="Followed Hyperlink" xfId="4341" builtinId="9" hidden="1"/>
    <cellStyle name="Followed Hyperlink" xfId="4343" builtinId="9" hidden="1"/>
    <cellStyle name="Followed Hyperlink" xfId="4345" builtinId="9" hidden="1"/>
    <cellStyle name="Followed Hyperlink" xfId="4347" builtinId="9" hidden="1"/>
    <cellStyle name="Followed Hyperlink" xfId="4349" builtinId="9" hidden="1"/>
    <cellStyle name="Followed Hyperlink" xfId="4351" builtinId="9" hidden="1"/>
    <cellStyle name="Followed Hyperlink" xfId="4353" builtinId="9" hidden="1"/>
    <cellStyle name="Followed Hyperlink" xfId="4355" builtinId="9" hidden="1"/>
    <cellStyle name="Followed Hyperlink" xfId="4357" builtinId="9" hidden="1"/>
    <cellStyle name="Followed Hyperlink" xfId="4359" builtinId="9" hidden="1"/>
    <cellStyle name="Followed Hyperlink" xfId="4361" builtinId="9" hidden="1"/>
    <cellStyle name="Followed Hyperlink" xfId="4363" builtinId="9" hidden="1"/>
    <cellStyle name="Followed Hyperlink" xfId="4365" builtinId="9" hidden="1"/>
    <cellStyle name="Followed Hyperlink" xfId="4367" builtinId="9" hidden="1"/>
    <cellStyle name="Followed Hyperlink" xfId="4369" builtinId="9" hidden="1"/>
    <cellStyle name="Followed Hyperlink" xfId="4371" builtinId="9" hidden="1"/>
    <cellStyle name="Followed Hyperlink" xfId="4373" builtinId="9" hidden="1"/>
    <cellStyle name="Followed Hyperlink" xfId="4375" builtinId="9" hidden="1"/>
    <cellStyle name="Followed Hyperlink" xfId="4377" builtinId="9" hidden="1"/>
    <cellStyle name="Followed Hyperlink" xfId="4379" builtinId="9" hidden="1"/>
    <cellStyle name="Followed Hyperlink" xfId="4381" builtinId="9" hidden="1"/>
    <cellStyle name="Followed Hyperlink" xfId="4383" builtinId="9" hidden="1"/>
    <cellStyle name="Followed Hyperlink" xfId="4385" builtinId="9" hidden="1"/>
    <cellStyle name="Followed Hyperlink" xfId="4387" builtinId="9" hidden="1"/>
    <cellStyle name="Followed Hyperlink" xfId="4389" builtinId="9" hidden="1"/>
    <cellStyle name="Followed Hyperlink" xfId="4391" builtinId="9" hidden="1"/>
    <cellStyle name="Followed Hyperlink" xfId="4393" builtinId="9" hidden="1"/>
    <cellStyle name="Followed Hyperlink" xfId="4395" builtinId="9" hidden="1"/>
    <cellStyle name="Followed Hyperlink" xfId="4397" builtinId="9" hidden="1"/>
    <cellStyle name="Followed Hyperlink" xfId="4399" builtinId="9" hidden="1"/>
    <cellStyle name="Followed Hyperlink" xfId="4401" builtinId="9" hidden="1"/>
    <cellStyle name="Followed Hyperlink" xfId="4403" builtinId="9" hidden="1"/>
    <cellStyle name="Followed Hyperlink" xfId="4405" builtinId="9" hidden="1"/>
    <cellStyle name="Followed Hyperlink" xfId="4407" builtinId="9" hidden="1"/>
    <cellStyle name="Followed Hyperlink" xfId="4409" builtinId="9" hidden="1"/>
    <cellStyle name="Followed Hyperlink" xfId="4411" builtinId="9" hidden="1"/>
    <cellStyle name="Followed Hyperlink" xfId="4413" builtinId="9" hidden="1"/>
    <cellStyle name="Followed Hyperlink" xfId="4415" builtinId="9" hidden="1"/>
    <cellStyle name="Followed Hyperlink" xfId="4417" builtinId="9" hidden="1"/>
    <cellStyle name="Followed Hyperlink" xfId="4419" builtinId="9" hidden="1"/>
    <cellStyle name="Followed Hyperlink" xfId="4421" builtinId="9" hidden="1"/>
    <cellStyle name="Followed Hyperlink" xfId="4423" builtinId="9" hidden="1"/>
    <cellStyle name="Followed Hyperlink" xfId="4425" builtinId="9" hidden="1"/>
    <cellStyle name="Followed Hyperlink" xfId="4427" builtinId="9" hidden="1"/>
    <cellStyle name="Followed Hyperlink" xfId="4429" builtinId="9" hidden="1"/>
    <cellStyle name="Followed Hyperlink" xfId="4431" builtinId="9" hidden="1"/>
    <cellStyle name="Followed Hyperlink" xfId="4433" builtinId="9" hidden="1"/>
    <cellStyle name="Followed Hyperlink" xfId="4435" builtinId="9" hidden="1"/>
    <cellStyle name="Followed Hyperlink" xfId="4437" builtinId="9" hidden="1"/>
    <cellStyle name="Followed Hyperlink" xfId="4439" builtinId="9" hidden="1"/>
    <cellStyle name="Followed Hyperlink" xfId="4441" builtinId="9" hidden="1"/>
    <cellStyle name="Followed Hyperlink" xfId="4443" builtinId="9" hidden="1"/>
    <cellStyle name="Followed Hyperlink" xfId="4445" builtinId="9" hidden="1"/>
    <cellStyle name="Followed Hyperlink" xfId="4447" builtinId="9" hidden="1"/>
    <cellStyle name="Followed Hyperlink" xfId="4449" builtinId="9" hidden="1"/>
    <cellStyle name="Followed Hyperlink" xfId="4451" builtinId="9" hidden="1"/>
    <cellStyle name="Followed Hyperlink" xfId="4453" builtinId="9" hidden="1"/>
    <cellStyle name="Followed Hyperlink" xfId="4455" builtinId="9" hidden="1"/>
    <cellStyle name="Followed Hyperlink" xfId="4457" builtinId="9" hidden="1"/>
    <cellStyle name="Followed Hyperlink" xfId="4459" builtinId="9" hidden="1"/>
    <cellStyle name="Followed Hyperlink" xfId="4461" builtinId="9" hidden="1"/>
    <cellStyle name="Followed Hyperlink" xfId="4463" builtinId="9" hidden="1"/>
    <cellStyle name="Followed Hyperlink" xfId="4465" builtinId="9" hidden="1"/>
    <cellStyle name="Followed Hyperlink" xfId="4467" builtinId="9" hidden="1"/>
    <cellStyle name="Followed Hyperlink" xfId="4469" builtinId="9" hidden="1"/>
    <cellStyle name="Followed Hyperlink" xfId="4471" builtinId="9" hidden="1"/>
    <cellStyle name="Followed Hyperlink" xfId="4473" builtinId="9" hidden="1"/>
    <cellStyle name="Followed Hyperlink" xfId="4475" builtinId="9" hidden="1"/>
    <cellStyle name="Followed Hyperlink" xfId="4477" builtinId="9" hidden="1"/>
    <cellStyle name="Followed Hyperlink" xfId="4479" builtinId="9" hidden="1"/>
    <cellStyle name="Followed Hyperlink" xfId="4481" builtinId="9" hidden="1"/>
    <cellStyle name="Followed Hyperlink" xfId="4483" builtinId="9" hidden="1"/>
    <cellStyle name="Followed Hyperlink" xfId="4485" builtinId="9" hidden="1"/>
    <cellStyle name="Followed Hyperlink" xfId="4487" builtinId="9" hidden="1"/>
    <cellStyle name="Followed Hyperlink" xfId="4489" builtinId="9" hidden="1"/>
    <cellStyle name="Followed Hyperlink" xfId="4491" builtinId="9" hidden="1"/>
    <cellStyle name="Followed Hyperlink" xfId="4493" builtinId="9" hidden="1"/>
    <cellStyle name="Followed Hyperlink" xfId="4495" builtinId="9" hidden="1"/>
    <cellStyle name="Followed Hyperlink" xfId="4497" builtinId="9" hidden="1"/>
    <cellStyle name="Followed Hyperlink" xfId="4499" builtinId="9" hidden="1"/>
    <cellStyle name="Followed Hyperlink" xfId="4501" builtinId="9" hidden="1"/>
    <cellStyle name="Followed Hyperlink" xfId="4503" builtinId="9" hidden="1"/>
    <cellStyle name="Followed Hyperlink" xfId="4505" builtinId="9" hidden="1"/>
    <cellStyle name="Followed Hyperlink" xfId="4507" builtinId="9" hidden="1"/>
    <cellStyle name="Followed Hyperlink" xfId="4509" builtinId="9" hidden="1"/>
    <cellStyle name="Followed Hyperlink" xfId="4511" builtinId="9" hidden="1"/>
    <cellStyle name="Followed Hyperlink" xfId="4513" builtinId="9" hidden="1"/>
    <cellStyle name="Followed Hyperlink" xfId="4515" builtinId="9" hidden="1"/>
    <cellStyle name="Followed Hyperlink" xfId="4517" builtinId="9" hidden="1"/>
    <cellStyle name="Followed Hyperlink" xfId="4519" builtinId="9" hidden="1"/>
    <cellStyle name="Followed Hyperlink" xfId="4521" builtinId="9" hidden="1"/>
    <cellStyle name="Followed Hyperlink" xfId="4523" builtinId="9" hidden="1"/>
    <cellStyle name="Followed Hyperlink" xfId="4525" builtinId="9" hidden="1"/>
    <cellStyle name="Followed Hyperlink" xfId="4527" builtinId="9" hidden="1"/>
    <cellStyle name="Followed Hyperlink" xfId="4529" builtinId="9" hidden="1"/>
    <cellStyle name="Followed Hyperlink" xfId="4531" builtinId="9" hidden="1"/>
    <cellStyle name="Followed Hyperlink" xfId="4533" builtinId="9" hidden="1"/>
    <cellStyle name="Followed Hyperlink" xfId="4535" builtinId="9" hidden="1"/>
    <cellStyle name="Followed Hyperlink" xfId="4537" builtinId="9" hidden="1"/>
    <cellStyle name="Followed Hyperlink" xfId="4539" builtinId="9" hidden="1"/>
    <cellStyle name="Followed Hyperlink" xfId="4541" builtinId="9" hidden="1"/>
    <cellStyle name="Followed Hyperlink" xfId="4543" builtinId="9" hidden="1"/>
    <cellStyle name="Followed Hyperlink" xfId="4545" builtinId="9" hidden="1"/>
    <cellStyle name="Followed Hyperlink" xfId="4547" builtinId="9" hidden="1"/>
    <cellStyle name="Followed Hyperlink" xfId="4549" builtinId="9" hidden="1"/>
    <cellStyle name="Followed Hyperlink" xfId="4551" builtinId="9" hidden="1"/>
    <cellStyle name="Followed Hyperlink" xfId="4553" builtinId="9" hidden="1"/>
    <cellStyle name="Followed Hyperlink" xfId="4555" builtinId="9" hidden="1"/>
    <cellStyle name="Followed Hyperlink" xfId="4557" builtinId="9" hidden="1"/>
    <cellStyle name="Followed Hyperlink" xfId="4559" builtinId="9" hidden="1"/>
    <cellStyle name="Followed Hyperlink" xfId="4561" builtinId="9" hidden="1"/>
    <cellStyle name="Followed Hyperlink" xfId="4563" builtinId="9" hidden="1"/>
    <cellStyle name="Followed Hyperlink" xfId="4565" builtinId="9" hidden="1"/>
    <cellStyle name="Followed Hyperlink" xfId="4567" builtinId="9" hidden="1"/>
    <cellStyle name="Followed Hyperlink" xfId="4569" builtinId="9" hidden="1"/>
    <cellStyle name="Followed Hyperlink" xfId="4571" builtinId="9" hidden="1"/>
    <cellStyle name="Followed Hyperlink" xfId="4573" builtinId="9" hidden="1"/>
    <cellStyle name="Followed Hyperlink" xfId="4575" builtinId="9" hidden="1"/>
    <cellStyle name="Followed Hyperlink" xfId="4577" builtinId="9" hidden="1"/>
    <cellStyle name="Followed Hyperlink" xfId="4579" builtinId="9" hidden="1"/>
    <cellStyle name="Followed Hyperlink" xfId="4581" builtinId="9" hidden="1"/>
    <cellStyle name="Followed Hyperlink" xfId="4583" builtinId="9" hidden="1"/>
    <cellStyle name="Followed Hyperlink" xfId="4585" builtinId="9" hidden="1"/>
    <cellStyle name="Followed Hyperlink" xfId="4587" builtinId="9" hidden="1"/>
    <cellStyle name="Followed Hyperlink" xfId="4589" builtinId="9" hidden="1"/>
    <cellStyle name="Followed Hyperlink" xfId="4591" builtinId="9" hidden="1"/>
    <cellStyle name="Followed Hyperlink" xfId="4593" builtinId="9" hidden="1"/>
    <cellStyle name="Followed Hyperlink" xfId="4595" builtinId="9" hidden="1"/>
    <cellStyle name="Followed Hyperlink" xfId="4597" builtinId="9" hidden="1"/>
    <cellStyle name="Followed Hyperlink" xfId="4599" builtinId="9" hidden="1"/>
    <cellStyle name="Followed Hyperlink" xfId="4601" builtinId="9" hidden="1"/>
    <cellStyle name="Followed Hyperlink" xfId="4603" builtinId="9" hidden="1"/>
    <cellStyle name="Followed Hyperlink" xfId="4605" builtinId="9" hidden="1"/>
    <cellStyle name="Followed Hyperlink" xfId="4607" builtinId="9" hidden="1"/>
    <cellStyle name="Followed Hyperlink" xfId="4609" builtinId="9" hidden="1"/>
    <cellStyle name="Followed Hyperlink" xfId="4611" builtinId="9" hidden="1"/>
    <cellStyle name="Followed Hyperlink" xfId="4613" builtinId="9" hidden="1"/>
    <cellStyle name="Followed Hyperlink" xfId="4615" builtinId="9" hidden="1"/>
    <cellStyle name="Followed Hyperlink" xfId="4617" builtinId="9" hidden="1"/>
    <cellStyle name="Followed Hyperlink" xfId="4619" builtinId="9" hidden="1"/>
    <cellStyle name="Followed Hyperlink" xfId="4621" builtinId="9" hidden="1"/>
    <cellStyle name="Followed Hyperlink" xfId="4623" builtinId="9" hidden="1"/>
    <cellStyle name="Followed Hyperlink" xfId="4625" builtinId="9" hidden="1"/>
    <cellStyle name="Followed Hyperlink" xfId="4627" builtinId="9" hidden="1"/>
    <cellStyle name="Followed Hyperlink" xfId="4629" builtinId="9" hidden="1"/>
    <cellStyle name="Followed Hyperlink" xfId="4631" builtinId="9" hidden="1"/>
    <cellStyle name="Followed Hyperlink" xfId="4633" builtinId="9" hidden="1"/>
    <cellStyle name="Followed Hyperlink" xfId="4635" builtinId="9" hidden="1"/>
    <cellStyle name="Followed Hyperlink" xfId="4637" builtinId="9" hidden="1"/>
    <cellStyle name="Followed Hyperlink" xfId="4639" builtinId="9" hidden="1"/>
    <cellStyle name="Followed Hyperlink" xfId="4641" builtinId="9" hidden="1"/>
    <cellStyle name="Followed Hyperlink" xfId="4643" builtinId="9" hidden="1"/>
    <cellStyle name="Followed Hyperlink" xfId="4645" builtinId="9" hidden="1"/>
    <cellStyle name="Followed Hyperlink" xfId="4647" builtinId="9" hidden="1"/>
    <cellStyle name="Followed Hyperlink" xfId="4649" builtinId="9" hidden="1"/>
    <cellStyle name="Followed Hyperlink" xfId="4651" builtinId="9" hidden="1"/>
    <cellStyle name="Followed Hyperlink" xfId="4653" builtinId="9" hidden="1"/>
    <cellStyle name="Followed Hyperlink" xfId="4655" builtinId="9" hidden="1"/>
    <cellStyle name="Followed Hyperlink" xfId="4657" builtinId="9" hidden="1"/>
    <cellStyle name="Followed Hyperlink" xfId="4659" builtinId="9" hidden="1"/>
    <cellStyle name="Followed Hyperlink" xfId="4661" builtinId="9" hidden="1"/>
    <cellStyle name="Followed Hyperlink" xfId="4663" builtinId="9" hidden="1"/>
    <cellStyle name="Followed Hyperlink" xfId="4665" builtinId="9" hidden="1"/>
    <cellStyle name="Followed Hyperlink" xfId="4667" builtinId="9" hidden="1"/>
    <cellStyle name="Followed Hyperlink" xfId="4669" builtinId="9" hidden="1"/>
    <cellStyle name="Followed Hyperlink" xfId="4671" builtinId="9" hidden="1"/>
    <cellStyle name="Followed Hyperlink" xfId="4673" builtinId="9" hidden="1"/>
    <cellStyle name="Followed Hyperlink" xfId="4675" builtinId="9" hidden="1"/>
    <cellStyle name="Followed Hyperlink" xfId="4677" builtinId="9" hidden="1"/>
    <cellStyle name="Followed Hyperlink" xfId="4679" builtinId="9" hidden="1"/>
    <cellStyle name="Followed Hyperlink" xfId="4681" builtinId="9" hidden="1"/>
    <cellStyle name="Followed Hyperlink" xfId="4683" builtinId="9" hidden="1"/>
    <cellStyle name="Followed Hyperlink" xfId="4685" builtinId="9" hidden="1"/>
    <cellStyle name="Followed Hyperlink" xfId="4687" builtinId="9" hidden="1"/>
    <cellStyle name="Followed Hyperlink" xfId="4689" builtinId="9" hidden="1"/>
    <cellStyle name="Followed Hyperlink" xfId="4691" builtinId="9" hidden="1"/>
    <cellStyle name="Followed Hyperlink" xfId="4693" builtinId="9" hidden="1"/>
    <cellStyle name="Followed Hyperlink" xfId="4695" builtinId="9" hidden="1"/>
    <cellStyle name="Followed Hyperlink" xfId="4697" builtinId="9" hidden="1"/>
    <cellStyle name="Followed Hyperlink" xfId="4699" builtinId="9" hidden="1"/>
    <cellStyle name="Followed Hyperlink" xfId="470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972" builtinId="8" hidden="1"/>
    <cellStyle name="Hyperlink" xfId="974" builtinId="8" hidden="1"/>
    <cellStyle name="Hyperlink" xfId="976" builtinId="8" hidden="1"/>
    <cellStyle name="Hyperlink" xfId="978" builtinId="8" hidden="1"/>
    <cellStyle name="Hyperlink" xfId="980" builtinId="8" hidden="1"/>
    <cellStyle name="Hyperlink" xfId="982" builtinId="8" hidden="1"/>
    <cellStyle name="Hyperlink" xfId="984" builtinId="8" hidden="1"/>
    <cellStyle name="Hyperlink" xfId="986" builtinId="8" hidden="1"/>
    <cellStyle name="Hyperlink" xfId="988" builtinId="8" hidden="1"/>
    <cellStyle name="Hyperlink" xfId="990" builtinId="8" hidden="1"/>
    <cellStyle name="Hyperlink" xfId="992" builtinId="8" hidden="1"/>
    <cellStyle name="Hyperlink" xfId="994" builtinId="8" hidden="1"/>
    <cellStyle name="Hyperlink" xfId="996" builtinId="8" hidden="1"/>
    <cellStyle name="Hyperlink" xfId="998" builtinId="8" hidden="1"/>
    <cellStyle name="Hyperlink" xfId="1000" builtinId="8" hidden="1"/>
    <cellStyle name="Hyperlink" xfId="1002" builtinId="8" hidden="1"/>
    <cellStyle name="Hyperlink" xfId="1004" builtinId="8" hidden="1"/>
    <cellStyle name="Hyperlink" xfId="1006" builtinId="8" hidden="1"/>
    <cellStyle name="Hyperlink" xfId="1008" builtinId="8" hidden="1"/>
    <cellStyle name="Hyperlink" xfId="1010" builtinId="8" hidden="1"/>
    <cellStyle name="Hyperlink" xfId="1012" builtinId="8" hidden="1"/>
    <cellStyle name="Hyperlink" xfId="1014" builtinId="8" hidden="1"/>
    <cellStyle name="Hyperlink" xfId="1016" builtinId="8" hidden="1"/>
    <cellStyle name="Hyperlink" xfId="1018" builtinId="8" hidden="1"/>
    <cellStyle name="Hyperlink" xfId="1020" builtinId="8" hidden="1"/>
    <cellStyle name="Hyperlink" xfId="1022" builtinId="8" hidden="1"/>
    <cellStyle name="Hyperlink" xfId="1024" builtinId="8" hidden="1"/>
    <cellStyle name="Hyperlink" xfId="1026" builtinId="8" hidden="1"/>
    <cellStyle name="Hyperlink" xfId="1028" builtinId="8" hidden="1"/>
    <cellStyle name="Hyperlink" xfId="1030" builtinId="8" hidden="1"/>
    <cellStyle name="Hyperlink" xfId="1032" builtinId="8" hidden="1"/>
    <cellStyle name="Hyperlink" xfId="1034" builtinId="8" hidden="1"/>
    <cellStyle name="Hyperlink" xfId="1036" builtinId="8" hidden="1"/>
    <cellStyle name="Hyperlink" xfId="1038" builtinId="8" hidden="1"/>
    <cellStyle name="Hyperlink" xfId="1040" builtinId="8" hidden="1"/>
    <cellStyle name="Hyperlink" xfId="1042" builtinId="8" hidden="1"/>
    <cellStyle name="Hyperlink" xfId="1044" builtinId="8" hidden="1"/>
    <cellStyle name="Hyperlink" xfId="1046" builtinId="8" hidden="1"/>
    <cellStyle name="Hyperlink" xfId="1048" builtinId="8" hidden="1"/>
    <cellStyle name="Hyperlink" xfId="1050" builtinId="8" hidden="1"/>
    <cellStyle name="Hyperlink" xfId="1052" builtinId="8" hidden="1"/>
    <cellStyle name="Hyperlink" xfId="1054" builtinId="8" hidden="1"/>
    <cellStyle name="Hyperlink" xfId="1056" builtinId="8" hidden="1"/>
    <cellStyle name="Hyperlink" xfId="1058" builtinId="8" hidden="1"/>
    <cellStyle name="Hyperlink" xfId="1060" builtinId="8" hidden="1"/>
    <cellStyle name="Hyperlink" xfId="1062" builtinId="8" hidden="1"/>
    <cellStyle name="Hyperlink" xfId="1064" builtinId="8" hidden="1"/>
    <cellStyle name="Hyperlink" xfId="1066" builtinId="8" hidden="1"/>
    <cellStyle name="Hyperlink" xfId="1068" builtinId="8" hidden="1"/>
    <cellStyle name="Hyperlink" xfId="1070" builtinId="8" hidden="1"/>
    <cellStyle name="Hyperlink" xfId="1072" builtinId="8" hidden="1"/>
    <cellStyle name="Hyperlink" xfId="1074" builtinId="8" hidden="1"/>
    <cellStyle name="Hyperlink" xfId="1076" builtinId="8" hidden="1"/>
    <cellStyle name="Hyperlink" xfId="1078" builtinId="8" hidden="1"/>
    <cellStyle name="Hyperlink" xfId="1080" builtinId="8" hidden="1"/>
    <cellStyle name="Hyperlink" xfId="1082" builtinId="8" hidden="1"/>
    <cellStyle name="Hyperlink" xfId="1084" builtinId="8" hidden="1"/>
    <cellStyle name="Hyperlink" xfId="1086" builtinId="8" hidden="1"/>
    <cellStyle name="Hyperlink" xfId="1088" builtinId="8" hidden="1"/>
    <cellStyle name="Hyperlink" xfId="1090" builtinId="8" hidden="1"/>
    <cellStyle name="Hyperlink" xfId="1092" builtinId="8" hidden="1"/>
    <cellStyle name="Hyperlink" xfId="1094" builtinId="8" hidden="1"/>
    <cellStyle name="Hyperlink" xfId="1096" builtinId="8" hidden="1"/>
    <cellStyle name="Hyperlink" xfId="1098" builtinId="8" hidden="1"/>
    <cellStyle name="Hyperlink" xfId="1100" builtinId="8" hidden="1"/>
    <cellStyle name="Hyperlink" xfId="1102" builtinId="8" hidden="1"/>
    <cellStyle name="Hyperlink" xfId="1104" builtinId="8" hidden="1"/>
    <cellStyle name="Hyperlink" xfId="1106" builtinId="8" hidden="1"/>
    <cellStyle name="Hyperlink" xfId="1108" builtinId="8" hidden="1"/>
    <cellStyle name="Hyperlink" xfId="1110" builtinId="8" hidden="1"/>
    <cellStyle name="Hyperlink" xfId="1112" builtinId="8" hidden="1"/>
    <cellStyle name="Hyperlink" xfId="1114" builtinId="8" hidden="1"/>
    <cellStyle name="Hyperlink" xfId="1116" builtinId="8" hidden="1"/>
    <cellStyle name="Hyperlink" xfId="1118" builtinId="8" hidden="1"/>
    <cellStyle name="Hyperlink" xfId="1120" builtinId="8" hidden="1"/>
    <cellStyle name="Hyperlink" xfId="1122" builtinId="8" hidden="1"/>
    <cellStyle name="Hyperlink" xfId="1124" builtinId="8" hidden="1"/>
    <cellStyle name="Hyperlink" xfId="1126" builtinId="8" hidden="1"/>
    <cellStyle name="Hyperlink" xfId="1128" builtinId="8" hidden="1"/>
    <cellStyle name="Hyperlink" xfId="1130" builtinId="8" hidden="1"/>
    <cellStyle name="Hyperlink" xfId="1132" builtinId="8" hidden="1"/>
    <cellStyle name="Hyperlink" xfId="1134" builtinId="8" hidden="1"/>
    <cellStyle name="Hyperlink" xfId="1136" builtinId="8" hidden="1"/>
    <cellStyle name="Hyperlink" xfId="1138" builtinId="8" hidden="1"/>
    <cellStyle name="Hyperlink" xfId="1140" builtinId="8" hidden="1"/>
    <cellStyle name="Hyperlink" xfId="1142" builtinId="8" hidden="1"/>
    <cellStyle name="Hyperlink" xfId="1144" builtinId="8" hidden="1"/>
    <cellStyle name="Hyperlink" xfId="1146" builtinId="8" hidden="1"/>
    <cellStyle name="Hyperlink" xfId="1148" builtinId="8" hidden="1"/>
    <cellStyle name="Hyperlink" xfId="1150" builtinId="8" hidden="1"/>
    <cellStyle name="Hyperlink" xfId="1152" builtinId="8" hidden="1"/>
    <cellStyle name="Hyperlink" xfId="1154" builtinId="8" hidden="1"/>
    <cellStyle name="Hyperlink" xfId="1156" builtinId="8" hidden="1"/>
    <cellStyle name="Hyperlink" xfId="1158" builtinId="8" hidden="1"/>
    <cellStyle name="Hyperlink" xfId="1160" builtinId="8" hidden="1"/>
    <cellStyle name="Hyperlink" xfId="1162" builtinId="8" hidden="1"/>
    <cellStyle name="Hyperlink" xfId="1164" builtinId="8" hidden="1"/>
    <cellStyle name="Hyperlink" xfId="1166" builtinId="8" hidden="1"/>
    <cellStyle name="Hyperlink" xfId="1168" builtinId="8" hidden="1"/>
    <cellStyle name="Hyperlink" xfId="1170" builtinId="8" hidden="1"/>
    <cellStyle name="Hyperlink" xfId="1172" builtinId="8" hidden="1"/>
    <cellStyle name="Hyperlink" xfId="1174" builtinId="8" hidden="1"/>
    <cellStyle name="Hyperlink" xfId="1176" builtinId="8" hidden="1"/>
    <cellStyle name="Hyperlink" xfId="1178" builtinId="8" hidden="1"/>
    <cellStyle name="Hyperlink" xfId="1180" builtinId="8" hidden="1"/>
    <cellStyle name="Hyperlink" xfId="1182" builtinId="8" hidden="1"/>
    <cellStyle name="Hyperlink" xfId="1184" builtinId="8" hidden="1"/>
    <cellStyle name="Hyperlink" xfId="1186" builtinId="8" hidden="1"/>
    <cellStyle name="Hyperlink" xfId="1188" builtinId="8" hidden="1"/>
    <cellStyle name="Hyperlink" xfId="1190" builtinId="8" hidden="1"/>
    <cellStyle name="Hyperlink" xfId="1192" builtinId="8" hidden="1"/>
    <cellStyle name="Hyperlink" xfId="1194" builtinId="8" hidden="1"/>
    <cellStyle name="Hyperlink" xfId="1196" builtinId="8" hidden="1"/>
    <cellStyle name="Hyperlink" xfId="1198" builtinId="8" hidden="1"/>
    <cellStyle name="Hyperlink" xfId="1200" builtinId="8" hidden="1"/>
    <cellStyle name="Hyperlink" xfId="1202" builtinId="8" hidden="1"/>
    <cellStyle name="Hyperlink" xfId="1204" builtinId="8" hidden="1"/>
    <cellStyle name="Hyperlink" xfId="1206" builtinId="8" hidden="1"/>
    <cellStyle name="Hyperlink" xfId="1208" builtinId="8" hidden="1"/>
    <cellStyle name="Hyperlink" xfId="1210" builtinId="8" hidden="1"/>
    <cellStyle name="Hyperlink" xfId="1212" builtinId="8" hidden="1"/>
    <cellStyle name="Hyperlink" xfId="1214" builtinId="8" hidden="1"/>
    <cellStyle name="Hyperlink" xfId="1216" builtinId="8" hidden="1"/>
    <cellStyle name="Hyperlink" xfId="1218" builtinId="8" hidden="1"/>
    <cellStyle name="Hyperlink" xfId="1220" builtinId="8" hidden="1"/>
    <cellStyle name="Hyperlink" xfId="1222" builtinId="8" hidden="1"/>
    <cellStyle name="Hyperlink" xfId="1224" builtinId="8" hidden="1"/>
    <cellStyle name="Hyperlink" xfId="1226" builtinId="8" hidden="1"/>
    <cellStyle name="Hyperlink" xfId="1228" builtinId="8" hidden="1"/>
    <cellStyle name="Hyperlink" xfId="1230" builtinId="8" hidden="1"/>
    <cellStyle name="Hyperlink" xfId="1232" builtinId="8" hidden="1"/>
    <cellStyle name="Hyperlink" xfId="1234" builtinId="8" hidden="1"/>
    <cellStyle name="Hyperlink" xfId="1236" builtinId="8" hidden="1"/>
    <cellStyle name="Hyperlink" xfId="1238" builtinId="8" hidden="1"/>
    <cellStyle name="Hyperlink" xfId="1240" builtinId="8" hidden="1"/>
    <cellStyle name="Hyperlink" xfId="1242" builtinId="8" hidden="1"/>
    <cellStyle name="Hyperlink" xfId="1244" builtinId="8" hidden="1"/>
    <cellStyle name="Hyperlink" xfId="1246" builtinId="8" hidden="1"/>
    <cellStyle name="Hyperlink" xfId="1248" builtinId="8" hidden="1"/>
    <cellStyle name="Hyperlink" xfId="1250" builtinId="8" hidden="1"/>
    <cellStyle name="Hyperlink" xfId="1252" builtinId="8" hidden="1"/>
    <cellStyle name="Hyperlink" xfId="1254" builtinId="8" hidden="1"/>
    <cellStyle name="Hyperlink" xfId="1256" builtinId="8" hidden="1"/>
    <cellStyle name="Hyperlink" xfId="1258" builtinId="8" hidden="1"/>
    <cellStyle name="Hyperlink" xfId="1260" builtinId="8" hidden="1"/>
    <cellStyle name="Hyperlink" xfId="1262" builtinId="8" hidden="1"/>
    <cellStyle name="Hyperlink" xfId="1264" builtinId="8" hidden="1"/>
    <cellStyle name="Hyperlink" xfId="1266" builtinId="8" hidden="1"/>
    <cellStyle name="Hyperlink" xfId="1268" builtinId="8" hidden="1"/>
    <cellStyle name="Hyperlink" xfId="1270" builtinId="8" hidden="1"/>
    <cellStyle name="Hyperlink" xfId="1272" builtinId="8" hidden="1"/>
    <cellStyle name="Hyperlink" xfId="1274" builtinId="8" hidden="1"/>
    <cellStyle name="Hyperlink" xfId="1276" builtinId="8" hidden="1"/>
    <cellStyle name="Hyperlink" xfId="1278" builtinId="8" hidden="1"/>
    <cellStyle name="Hyperlink" xfId="1280" builtinId="8" hidden="1"/>
    <cellStyle name="Hyperlink" xfId="1282" builtinId="8" hidden="1"/>
    <cellStyle name="Hyperlink" xfId="1284" builtinId="8" hidden="1"/>
    <cellStyle name="Hyperlink" xfId="1286" builtinId="8" hidden="1"/>
    <cellStyle name="Hyperlink" xfId="1288" builtinId="8" hidden="1"/>
    <cellStyle name="Hyperlink" xfId="1290" builtinId="8" hidden="1"/>
    <cellStyle name="Hyperlink" xfId="1292" builtinId="8" hidden="1"/>
    <cellStyle name="Hyperlink" xfId="1294" builtinId="8" hidden="1"/>
    <cellStyle name="Hyperlink" xfId="1296" builtinId="8" hidden="1"/>
    <cellStyle name="Hyperlink" xfId="1298" builtinId="8" hidden="1"/>
    <cellStyle name="Hyperlink" xfId="1300" builtinId="8" hidden="1"/>
    <cellStyle name="Hyperlink" xfId="1302" builtinId="8" hidden="1"/>
    <cellStyle name="Hyperlink" xfId="1304" builtinId="8" hidden="1"/>
    <cellStyle name="Hyperlink" xfId="1306" builtinId="8" hidden="1"/>
    <cellStyle name="Hyperlink" xfId="1308" builtinId="8" hidden="1"/>
    <cellStyle name="Hyperlink" xfId="1310" builtinId="8" hidden="1"/>
    <cellStyle name="Hyperlink" xfId="1312" builtinId="8" hidden="1"/>
    <cellStyle name="Hyperlink" xfId="1314" builtinId="8" hidden="1"/>
    <cellStyle name="Hyperlink" xfId="1316" builtinId="8" hidden="1"/>
    <cellStyle name="Hyperlink" xfId="1318" builtinId="8" hidden="1"/>
    <cellStyle name="Hyperlink" xfId="1320" builtinId="8" hidden="1"/>
    <cellStyle name="Hyperlink" xfId="1322" builtinId="8" hidden="1"/>
    <cellStyle name="Hyperlink" xfId="1324" builtinId="8" hidden="1"/>
    <cellStyle name="Hyperlink" xfId="1326" builtinId="8" hidden="1"/>
    <cellStyle name="Hyperlink" xfId="1328" builtinId="8" hidden="1"/>
    <cellStyle name="Hyperlink" xfId="1330" builtinId="8" hidden="1"/>
    <cellStyle name="Hyperlink" xfId="1332" builtinId="8" hidden="1"/>
    <cellStyle name="Hyperlink" xfId="1334" builtinId="8" hidden="1"/>
    <cellStyle name="Hyperlink" xfId="1336" builtinId="8" hidden="1"/>
    <cellStyle name="Hyperlink" xfId="1338" builtinId="8" hidden="1"/>
    <cellStyle name="Hyperlink" xfId="1340" builtinId="8" hidden="1"/>
    <cellStyle name="Hyperlink" xfId="1342" builtinId="8" hidden="1"/>
    <cellStyle name="Hyperlink" xfId="1344" builtinId="8" hidden="1"/>
    <cellStyle name="Hyperlink" xfId="1346" builtinId="8" hidden="1"/>
    <cellStyle name="Hyperlink" xfId="1348" builtinId="8" hidden="1"/>
    <cellStyle name="Hyperlink" xfId="1350" builtinId="8" hidden="1"/>
    <cellStyle name="Hyperlink" xfId="1352" builtinId="8" hidden="1"/>
    <cellStyle name="Hyperlink" xfId="1354" builtinId="8" hidden="1"/>
    <cellStyle name="Hyperlink" xfId="1356" builtinId="8" hidden="1"/>
    <cellStyle name="Hyperlink" xfId="1358" builtinId="8" hidden="1"/>
    <cellStyle name="Hyperlink" xfId="1360" builtinId="8" hidden="1"/>
    <cellStyle name="Hyperlink" xfId="1362" builtinId="8" hidden="1"/>
    <cellStyle name="Hyperlink" xfId="1364" builtinId="8" hidden="1"/>
    <cellStyle name="Hyperlink" xfId="1366" builtinId="8" hidden="1"/>
    <cellStyle name="Hyperlink" xfId="1368" builtinId="8" hidden="1"/>
    <cellStyle name="Hyperlink" xfId="1370" builtinId="8" hidden="1"/>
    <cellStyle name="Hyperlink" xfId="1372" builtinId="8" hidden="1"/>
    <cellStyle name="Hyperlink" xfId="1374" builtinId="8" hidden="1"/>
    <cellStyle name="Hyperlink" xfId="1376" builtinId="8" hidden="1"/>
    <cellStyle name="Hyperlink" xfId="1378" builtinId="8" hidden="1"/>
    <cellStyle name="Hyperlink" xfId="1380" builtinId="8" hidden="1"/>
    <cellStyle name="Hyperlink" xfId="1382" builtinId="8" hidden="1"/>
    <cellStyle name="Hyperlink" xfId="1384" builtinId="8" hidden="1"/>
    <cellStyle name="Hyperlink" xfId="1386" builtinId="8" hidden="1"/>
    <cellStyle name="Hyperlink" xfId="1388" builtinId="8" hidden="1"/>
    <cellStyle name="Hyperlink" xfId="1390" builtinId="8" hidden="1"/>
    <cellStyle name="Hyperlink" xfId="1392" builtinId="8" hidden="1"/>
    <cellStyle name="Hyperlink" xfId="1394" builtinId="8" hidden="1"/>
    <cellStyle name="Hyperlink" xfId="1396" builtinId="8" hidden="1"/>
    <cellStyle name="Hyperlink" xfId="1398" builtinId="8" hidden="1"/>
    <cellStyle name="Hyperlink" xfId="1400" builtinId="8" hidden="1"/>
    <cellStyle name="Hyperlink" xfId="1402" builtinId="8" hidden="1"/>
    <cellStyle name="Hyperlink" xfId="1404" builtinId="8" hidden="1"/>
    <cellStyle name="Hyperlink" xfId="1406" builtinId="8" hidden="1"/>
    <cellStyle name="Hyperlink" xfId="1408" builtinId="8" hidden="1"/>
    <cellStyle name="Hyperlink" xfId="1410" builtinId="8" hidden="1"/>
    <cellStyle name="Hyperlink" xfId="1412" builtinId="8" hidden="1"/>
    <cellStyle name="Hyperlink" xfId="1414" builtinId="8" hidden="1"/>
    <cellStyle name="Hyperlink" xfId="1416" builtinId="8" hidden="1"/>
    <cellStyle name="Hyperlink" xfId="1418" builtinId="8" hidden="1"/>
    <cellStyle name="Hyperlink" xfId="1420" builtinId="8" hidden="1"/>
    <cellStyle name="Hyperlink" xfId="1422" builtinId="8" hidden="1"/>
    <cellStyle name="Hyperlink" xfId="1424" builtinId="8" hidden="1"/>
    <cellStyle name="Hyperlink" xfId="1426" builtinId="8" hidden="1"/>
    <cellStyle name="Hyperlink" xfId="1428" builtinId="8" hidden="1"/>
    <cellStyle name="Hyperlink" xfId="1430" builtinId="8" hidden="1"/>
    <cellStyle name="Hyperlink" xfId="1432" builtinId="8" hidden="1"/>
    <cellStyle name="Hyperlink" xfId="1434" builtinId="8" hidden="1"/>
    <cellStyle name="Hyperlink" xfId="1436" builtinId="8" hidden="1"/>
    <cellStyle name="Hyperlink" xfId="1438" builtinId="8" hidden="1"/>
    <cellStyle name="Hyperlink" xfId="1440" builtinId="8" hidden="1"/>
    <cellStyle name="Hyperlink" xfId="1442" builtinId="8" hidden="1"/>
    <cellStyle name="Hyperlink" xfId="1444" builtinId="8" hidden="1"/>
    <cellStyle name="Hyperlink" xfId="1446" builtinId="8" hidden="1"/>
    <cellStyle name="Hyperlink" xfId="1448" builtinId="8" hidden="1"/>
    <cellStyle name="Hyperlink" xfId="1450" builtinId="8" hidden="1"/>
    <cellStyle name="Hyperlink" xfId="1452" builtinId="8" hidden="1"/>
    <cellStyle name="Hyperlink" xfId="1454" builtinId="8" hidden="1"/>
    <cellStyle name="Hyperlink" xfId="1456" builtinId="8" hidden="1"/>
    <cellStyle name="Hyperlink" xfId="1458" builtinId="8" hidden="1"/>
    <cellStyle name="Hyperlink" xfId="1460" builtinId="8" hidden="1"/>
    <cellStyle name="Hyperlink" xfId="1462" builtinId="8" hidden="1"/>
    <cellStyle name="Hyperlink" xfId="1464" builtinId="8" hidden="1"/>
    <cellStyle name="Hyperlink" xfId="1466" builtinId="8" hidden="1"/>
    <cellStyle name="Hyperlink" xfId="1468" builtinId="8" hidden="1"/>
    <cellStyle name="Hyperlink" xfId="1470" builtinId="8" hidden="1"/>
    <cellStyle name="Hyperlink" xfId="1472" builtinId="8" hidden="1"/>
    <cellStyle name="Hyperlink" xfId="1474" builtinId="8" hidden="1"/>
    <cellStyle name="Hyperlink" xfId="1476" builtinId="8" hidden="1"/>
    <cellStyle name="Hyperlink" xfId="1478" builtinId="8" hidden="1"/>
    <cellStyle name="Hyperlink" xfId="1480" builtinId="8" hidden="1"/>
    <cellStyle name="Hyperlink" xfId="1482" builtinId="8" hidden="1"/>
    <cellStyle name="Hyperlink" xfId="1484" builtinId="8" hidden="1"/>
    <cellStyle name="Hyperlink" xfId="1486" builtinId="8" hidden="1"/>
    <cellStyle name="Hyperlink" xfId="1488" builtinId="8" hidden="1"/>
    <cellStyle name="Hyperlink" xfId="1490" builtinId="8" hidden="1"/>
    <cellStyle name="Hyperlink" xfId="1492" builtinId="8" hidden="1"/>
    <cellStyle name="Hyperlink" xfId="1494" builtinId="8" hidden="1"/>
    <cellStyle name="Hyperlink" xfId="1496" builtinId="8" hidden="1"/>
    <cellStyle name="Hyperlink" xfId="1498" builtinId="8" hidden="1"/>
    <cellStyle name="Hyperlink" xfId="1500" builtinId="8" hidden="1"/>
    <cellStyle name="Hyperlink" xfId="1502" builtinId="8" hidden="1"/>
    <cellStyle name="Hyperlink" xfId="1504" builtinId="8" hidden="1"/>
    <cellStyle name="Hyperlink" xfId="1506" builtinId="8" hidden="1"/>
    <cellStyle name="Hyperlink" xfId="1508" builtinId="8" hidden="1"/>
    <cellStyle name="Hyperlink" xfId="1510" builtinId="8" hidden="1"/>
    <cellStyle name="Hyperlink" xfId="1512" builtinId="8" hidden="1"/>
    <cellStyle name="Hyperlink" xfId="1514" builtinId="8" hidden="1"/>
    <cellStyle name="Hyperlink" xfId="1516" builtinId="8" hidden="1"/>
    <cellStyle name="Hyperlink" xfId="1518" builtinId="8" hidden="1"/>
    <cellStyle name="Hyperlink" xfId="1520" builtinId="8" hidden="1"/>
    <cellStyle name="Hyperlink" xfId="1522" builtinId="8" hidden="1"/>
    <cellStyle name="Hyperlink" xfId="1524" builtinId="8" hidden="1"/>
    <cellStyle name="Hyperlink" xfId="1526" builtinId="8" hidden="1"/>
    <cellStyle name="Hyperlink" xfId="1528" builtinId="8" hidden="1"/>
    <cellStyle name="Hyperlink" xfId="1530" builtinId="8" hidden="1"/>
    <cellStyle name="Hyperlink" xfId="1532" builtinId="8" hidden="1"/>
    <cellStyle name="Hyperlink" xfId="1534" builtinId="8" hidden="1"/>
    <cellStyle name="Hyperlink" xfId="1536" builtinId="8" hidden="1"/>
    <cellStyle name="Hyperlink" xfId="1538" builtinId="8" hidden="1"/>
    <cellStyle name="Hyperlink" xfId="1540" builtinId="8" hidden="1"/>
    <cellStyle name="Hyperlink" xfId="1542" builtinId="8" hidden="1"/>
    <cellStyle name="Hyperlink" xfId="1544" builtinId="8" hidden="1"/>
    <cellStyle name="Hyperlink" xfId="1546" builtinId="8" hidden="1"/>
    <cellStyle name="Hyperlink" xfId="1548" builtinId="8" hidden="1"/>
    <cellStyle name="Hyperlink" xfId="1550" builtinId="8" hidden="1"/>
    <cellStyle name="Hyperlink" xfId="1552" builtinId="8" hidden="1"/>
    <cellStyle name="Hyperlink" xfId="1554" builtinId="8" hidden="1"/>
    <cellStyle name="Hyperlink" xfId="1556" builtinId="8" hidden="1"/>
    <cellStyle name="Hyperlink" xfId="1558" builtinId="8" hidden="1"/>
    <cellStyle name="Hyperlink" xfId="1560" builtinId="8" hidden="1"/>
    <cellStyle name="Hyperlink" xfId="1562" builtinId="8" hidden="1"/>
    <cellStyle name="Hyperlink" xfId="1564" builtinId="8" hidden="1"/>
    <cellStyle name="Hyperlink" xfId="1566" builtinId="8" hidden="1"/>
    <cellStyle name="Hyperlink" xfId="1568" builtinId="8" hidden="1"/>
    <cellStyle name="Hyperlink" xfId="1570" builtinId="8" hidden="1"/>
    <cellStyle name="Hyperlink" xfId="1572" builtinId="8" hidden="1"/>
    <cellStyle name="Hyperlink" xfId="1574" builtinId="8" hidden="1"/>
    <cellStyle name="Hyperlink" xfId="1576" builtinId="8" hidden="1"/>
    <cellStyle name="Hyperlink" xfId="1578" builtinId="8" hidden="1"/>
    <cellStyle name="Hyperlink" xfId="1580" builtinId="8" hidden="1"/>
    <cellStyle name="Hyperlink" xfId="1582" builtinId="8" hidden="1"/>
    <cellStyle name="Hyperlink" xfId="1584" builtinId="8" hidden="1"/>
    <cellStyle name="Hyperlink" xfId="1586" builtinId="8" hidden="1"/>
    <cellStyle name="Hyperlink" xfId="1588" builtinId="8" hidden="1"/>
    <cellStyle name="Hyperlink" xfId="1590" builtinId="8" hidden="1"/>
    <cellStyle name="Hyperlink" xfId="1592" builtinId="8" hidden="1"/>
    <cellStyle name="Hyperlink" xfId="1594" builtinId="8" hidden="1"/>
    <cellStyle name="Hyperlink" xfId="1596" builtinId="8" hidden="1"/>
    <cellStyle name="Hyperlink" xfId="1598" builtinId="8" hidden="1"/>
    <cellStyle name="Hyperlink" xfId="1600" builtinId="8" hidden="1"/>
    <cellStyle name="Hyperlink" xfId="1602" builtinId="8" hidden="1"/>
    <cellStyle name="Hyperlink" xfId="1604" builtinId="8" hidden="1"/>
    <cellStyle name="Hyperlink" xfId="1606" builtinId="8" hidden="1"/>
    <cellStyle name="Hyperlink" xfId="1608" builtinId="8" hidden="1"/>
    <cellStyle name="Hyperlink" xfId="1610" builtinId="8" hidden="1"/>
    <cellStyle name="Hyperlink" xfId="1612" builtinId="8" hidden="1"/>
    <cellStyle name="Hyperlink" xfId="1614" builtinId="8" hidden="1"/>
    <cellStyle name="Hyperlink" xfId="1616" builtinId="8" hidden="1"/>
    <cellStyle name="Hyperlink" xfId="1618" builtinId="8" hidden="1"/>
    <cellStyle name="Hyperlink" xfId="1620" builtinId="8" hidden="1"/>
    <cellStyle name="Hyperlink" xfId="1622" builtinId="8" hidden="1"/>
    <cellStyle name="Hyperlink" xfId="1624" builtinId="8" hidden="1"/>
    <cellStyle name="Hyperlink" xfId="1626" builtinId="8" hidden="1"/>
    <cellStyle name="Hyperlink" xfId="1628" builtinId="8" hidden="1"/>
    <cellStyle name="Hyperlink" xfId="1630" builtinId="8" hidden="1"/>
    <cellStyle name="Hyperlink" xfId="1632" builtinId="8" hidden="1"/>
    <cellStyle name="Hyperlink" xfId="1634" builtinId="8" hidden="1"/>
    <cellStyle name="Hyperlink" xfId="1636" builtinId="8" hidden="1"/>
    <cellStyle name="Hyperlink" xfId="1638" builtinId="8" hidden="1"/>
    <cellStyle name="Hyperlink" xfId="1640" builtinId="8" hidden="1"/>
    <cellStyle name="Hyperlink" xfId="1642" builtinId="8" hidden="1"/>
    <cellStyle name="Hyperlink" xfId="1644" builtinId="8" hidden="1"/>
    <cellStyle name="Hyperlink" xfId="1646" builtinId="8" hidden="1"/>
    <cellStyle name="Hyperlink" xfId="1648" builtinId="8" hidden="1"/>
    <cellStyle name="Hyperlink" xfId="1650" builtinId="8" hidden="1"/>
    <cellStyle name="Hyperlink" xfId="1652" builtinId="8" hidden="1"/>
    <cellStyle name="Hyperlink" xfId="1654" builtinId="8" hidden="1"/>
    <cellStyle name="Hyperlink" xfId="1656" builtinId="8" hidden="1"/>
    <cellStyle name="Hyperlink" xfId="1658" builtinId="8" hidden="1"/>
    <cellStyle name="Hyperlink" xfId="1660" builtinId="8" hidden="1"/>
    <cellStyle name="Hyperlink" xfId="1662" builtinId="8" hidden="1"/>
    <cellStyle name="Hyperlink" xfId="1664" builtinId="8" hidden="1"/>
    <cellStyle name="Hyperlink" xfId="1666" builtinId="8" hidden="1"/>
    <cellStyle name="Hyperlink" xfId="1668" builtinId="8" hidden="1"/>
    <cellStyle name="Hyperlink" xfId="1670" builtinId="8" hidden="1"/>
    <cellStyle name="Hyperlink" xfId="1672" builtinId="8" hidden="1"/>
    <cellStyle name="Hyperlink" xfId="1674" builtinId="8" hidden="1"/>
    <cellStyle name="Hyperlink" xfId="1676" builtinId="8" hidden="1"/>
    <cellStyle name="Hyperlink" xfId="1678" builtinId="8" hidden="1"/>
    <cellStyle name="Hyperlink" xfId="1680" builtinId="8" hidden="1"/>
    <cellStyle name="Hyperlink" xfId="1682" builtinId="8" hidden="1"/>
    <cellStyle name="Hyperlink" xfId="1684" builtinId="8" hidden="1"/>
    <cellStyle name="Hyperlink" xfId="1686" builtinId="8" hidden="1"/>
    <cellStyle name="Hyperlink" xfId="1688" builtinId="8" hidden="1"/>
    <cellStyle name="Hyperlink" xfId="1690" builtinId="8" hidden="1"/>
    <cellStyle name="Hyperlink" xfId="1692" builtinId="8" hidden="1"/>
    <cellStyle name="Hyperlink" xfId="1694" builtinId="8" hidden="1"/>
    <cellStyle name="Hyperlink" xfId="1696" builtinId="8" hidden="1"/>
    <cellStyle name="Hyperlink" xfId="1698" builtinId="8" hidden="1"/>
    <cellStyle name="Hyperlink" xfId="1700" builtinId="8" hidden="1"/>
    <cellStyle name="Hyperlink" xfId="1702" builtinId="8" hidden="1"/>
    <cellStyle name="Hyperlink" xfId="1704" builtinId="8" hidden="1"/>
    <cellStyle name="Hyperlink" xfId="1706" builtinId="8" hidden="1"/>
    <cellStyle name="Hyperlink" xfId="1708" builtinId="8" hidden="1"/>
    <cellStyle name="Hyperlink" xfId="1710" builtinId="8" hidden="1"/>
    <cellStyle name="Hyperlink" xfId="1712" builtinId="8" hidden="1"/>
    <cellStyle name="Hyperlink" xfId="1714" builtinId="8" hidden="1"/>
    <cellStyle name="Hyperlink" xfId="1716" builtinId="8" hidden="1"/>
    <cellStyle name="Hyperlink" xfId="1718" builtinId="8" hidden="1"/>
    <cellStyle name="Hyperlink" xfId="1720" builtinId="8" hidden="1"/>
    <cellStyle name="Hyperlink" xfId="1722" builtinId="8" hidden="1"/>
    <cellStyle name="Hyperlink" xfId="1724" builtinId="8" hidden="1"/>
    <cellStyle name="Hyperlink" xfId="1726" builtinId="8" hidden="1"/>
    <cellStyle name="Hyperlink" xfId="1728" builtinId="8" hidden="1"/>
    <cellStyle name="Hyperlink" xfId="1730" builtinId="8" hidden="1"/>
    <cellStyle name="Hyperlink" xfId="1732" builtinId="8" hidden="1"/>
    <cellStyle name="Hyperlink" xfId="1734" builtinId="8" hidden="1"/>
    <cellStyle name="Hyperlink" xfId="1736" builtinId="8" hidden="1"/>
    <cellStyle name="Hyperlink" xfId="1738" builtinId="8" hidden="1"/>
    <cellStyle name="Hyperlink" xfId="1740" builtinId="8" hidden="1"/>
    <cellStyle name="Hyperlink" xfId="1742" builtinId="8" hidden="1"/>
    <cellStyle name="Hyperlink" xfId="1744" builtinId="8" hidden="1"/>
    <cellStyle name="Hyperlink" xfId="1746" builtinId="8" hidden="1"/>
    <cellStyle name="Hyperlink" xfId="1748" builtinId="8" hidden="1"/>
    <cellStyle name="Hyperlink" xfId="1750" builtinId="8" hidden="1"/>
    <cellStyle name="Hyperlink" xfId="1752" builtinId="8" hidden="1"/>
    <cellStyle name="Hyperlink" xfId="1754" builtinId="8" hidden="1"/>
    <cellStyle name="Hyperlink" xfId="1756" builtinId="8" hidden="1"/>
    <cellStyle name="Hyperlink" xfId="1758" builtinId="8" hidden="1"/>
    <cellStyle name="Hyperlink" xfId="1760" builtinId="8" hidden="1"/>
    <cellStyle name="Hyperlink" xfId="1762" builtinId="8" hidden="1"/>
    <cellStyle name="Hyperlink" xfId="1764" builtinId="8" hidden="1"/>
    <cellStyle name="Hyperlink" xfId="1766" builtinId="8" hidden="1"/>
    <cellStyle name="Hyperlink" xfId="1768" builtinId="8" hidden="1"/>
    <cellStyle name="Hyperlink" xfId="1770" builtinId="8" hidden="1"/>
    <cellStyle name="Hyperlink" xfId="1772" builtinId="8" hidden="1"/>
    <cellStyle name="Hyperlink" xfId="1774" builtinId="8" hidden="1"/>
    <cellStyle name="Hyperlink" xfId="1776" builtinId="8" hidden="1"/>
    <cellStyle name="Hyperlink" xfId="1778" builtinId="8" hidden="1"/>
    <cellStyle name="Hyperlink" xfId="1780" builtinId="8" hidden="1"/>
    <cellStyle name="Hyperlink" xfId="1782" builtinId="8" hidden="1"/>
    <cellStyle name="Hyperlink" xfId="1784" builtinId="8" hidden="1"/>
    <cellStyle name="Hyperlink" xfId="1786" builtinId="8" hidden="1"/>
    <cellStyle name="Hyperlink" xfId="1788" builtinId="8" hidden="1"/>
    <cellStyle name="Hyperlink" xfId="1790" builtinId="8" hidden="1"/>
    <cellStyle name="Hyperlink" xfId="1792" builtinId="8" hidden="1"/>
    <cellStyle name="Hyperlink" xfId="1794" builtinId="8" hidden="1"/>
    <cellStyle name="Hyperlink" xfId="1796" builtinId="8" hidden="1"/>
    <cellStyle name="Hyperlink" xfId="1798" builtinId="8" hidden="1"/>
    <cellStyle name="Hyperlink" xfId="1800" builtinId="8" hidden="1"/>
    <cellStyle name="Hyperlink" xfId="1802" builtinId="8" hidden="1"/>
    <cellStyle name="Hyperlink" xfId="1804" builtinId="8" hidden="1"/>
    <cellStyle name="Hyperlink" xfId="1806" builtinId="8" hidden="1"/>
    <cellStyle name="Hyperlink" xfId="1808" builtinId="8" hidden="1"/>
    <cellStyle name="Hyperlink" xfId="1810" builtinId="8" hidden="1"/>
    <cellStyle name="Hyperlink" xfId="1812" builtinId="8" hidden="1"/>
    <cellStyle name="Hyperlink" xfId="1814" builtinId="8" hidden="1"/>
    <cellStyle name="Hyperlink" xfId="1816" builtinId="8" hidden="1"/>
    <cellStyle name="Hyperlink" xfId="1818" builtinId="8" hidden="1"/>
    <cellStyle name="Hyperlink" xfId="1820" builtinId="8" hidden="1"/>
    <cellStyle name="Hyperlink" xfId="1822" builtinId="8" hidden="1"/>
    <cellStyle name="Hyperlink" xfId="1824" builtinId="8" hidden="1"/>
    <cellStyle name="Hyperlink" xfId="1826" builtinId="8" hidden="1"/>
    <cellStyle name="Hyperlink" xfId="1828" builtinId="8" hidden="1"/>
    <cellStyle name="Hyperlink" xfId="1830" builtinId="8" hidden="1"/>
    <cellStyle name="Hyperlink" xfId="1832" builtinId="8" hidden="1"/>
    <cellStyle name="Hyperlink" xfId="1834" builtinId="8" hidden="1"/>
    <cellStyle name="Hyperlink" xfId="1836" builtinId="8" hidden="1"/>
    <cellStyle name="Hyperlink" xfId="1838" builtinId="8" hidden="1"/>
    <cellStyle name="Hyperlink" xfId="1840" builtinId="8" hidden="1"/>
    <cellStyle name="Hyperlink" xfId="1842" builtinId="8" hidden="1"/>
    <cellStyle name="Hyperlink" xfId="1844" builtinId="8" hidden="1"/>
    <cellStyle name="Hyperlink" xfId="1846" builtinId="8" hidden="1"/>
    <cellStyle name="Hyperlink" xfId="1848" builtinId="8" hidden="1"/>
    <cellStyle name="Hyperlink" xfId="1850" builtinId="8" hidden="1"/>
    <cellStyle name="Hyperlink" xfId="1852" builtinId="8" hidden="1"/>
    <cellStyle name="Hyperlink" xfId="1854" builtinId="8" hidden="1"/>
    <cellStyle name="Hyperlink" xfId="1856" builtinId="8" hidden="1"/>
    <cellStyle name="Hyperlink" xfId="1858" builtinId="8" hidden="1"/>
    <cellStyle name="Hyperlink" xfId="1860" builtinId="8" hidden="1"/>
    <cellStyle name="Hyperlink" xfId="1862" builtinId="8" hidden="1"/>
    <cellStyle name="Hyperlink" xfId="1864" builtinId="8" hidden="1"/>
    <cellStyle name="Hyperlink" xfId="1866" builtinId="8" hidden="1"/>
    <cellStyle name="Hyperlink" xfId="1868" builtinId="8" hidden="1"/>
    <cellStyle name="Hyperlink" xfId="1870" builtinId="8" hidden="1"/>
    <cellStyle name="Hyperlink" xfId="1872" builtinId="8" hidden="1"/>
    <cellStyle name="Hyperlink" xfId="1874" builtinId="8" hidden="1"/>
    <cellStyle name="Hyperlink" xfId="1876" builtinId="8" hidden="1"/>
    <cellStyle name="Hyperlink" xfId="1878" builtinId="8" hidden="1"/>
    <cellStyle name="Hyperlink" xfId="1880" builtinId="8" hidden="1"/>
    <cellStyle name="Hyperlink" xfId="1882" builtinId="8" hidden="1"/>
    <cellStyle name="Hyperlink" xfId="1884" builtinId="8" hidden="1"/>
    <cellStyle name="Hyperlink" xfId="1886" builtinId="8" hidden="1"/>
    <cellStyle name="Hyperlink" xfId="1888" builtinId="8" hidden="1"/>
    <cellStyle name="Hyperlink" xfId="1890" builtinId="8" hidden="1"/>
    <cellStyle name="Hyperlink" xfId="1892" builtinId="8" hidden="1"/>
    <cellStyle name="Hyperlink" xfId="1894" builtinId="8" hidden="1"/>
    <cellStyle name="Hyperlink" xfId="1896" builtinId="8" hidden="1"/>
    <cellStyle name="Hyperlink" xfId="1898" builtinId="8" hidden="1"/>
    <cellStyle name="Hyperlink" xfId="1900" builtinId="8" hidden="1"/>
    <cellStyle name="Hyperlink" xfId="1902" builtinId="8" hidden="1"/>
    <cellStyle name="Hyperlink" xfId="1904" builtinId="8" hidden="1"/>
    <cellStyle name="Hyperlink" xfId="1906" builtinId="8" hidden="1"/>
    <cellStyle name="Hyperlink" xfId="1908" builtinId="8" hidden="1"/>
    <cellStyle name="Hyperlink" xfId="1910" builtinId="8" hidden="1"/>
    <cellStyle name="Hyperlink" xfId="1912" builtinId="8" hidden="1"/>
    <cellStyle name="Hyperlink" xfId="1914" builtinId="8" hidden="1"/>
    <cellStyle name="Hyperlink" xfId="1916" builtinId="8" hidden="1"/>
    <cellStyle name="Hyperlink" xfId="1918" builtinId="8" hidden="1"/>
    <cellStyle name="Hyperlink" xfId="1920" builtinId="8" hidden="1"/>
    <cellStyle name="Hyperlink" xfId="1922" builtinId="8" hidden="1"/>
    <cellStyle name="Hyperlink" xfId="1924" builtinId="8" hidden="1"/>
    <cellStyle name="Hyperlink" xfId="1926" builtinId="8" hidden="1"/>
    <cellStyle name="Hyperlink" xfId="1928" builtinId="8" hidden="1"/>
    <cellStyle name="Hyperlink" xfId="1930" builtinId="8" hidden="1"/>
    <cellStyle name="Hyperlink" xfId="1932" builtinId="8" hidden="1"/>
    <cellStyle name="Hyperlink" xfId="1934" builtinId="8" hidden="1"/>
    <cellStyle name="Hyperlink" xfId="1936" builtinId="8" hidden="1"/>
    <cellStyle name="Hyperlink" xfId="1938" builtinId="8" hidden="1"/>
    <cellStyle name="Hyperlink" xfId="1940" builtinId="8" hidden="1"/>
    <cellStyle name="Hyperlink" xfId="1942" builtinId="8" hidden="1"/>
    <cellStyle name="Hyperlink" xfId="1944" builtinId="8" hidden="1"/>
    <cellStyle name="Hyperlink" xfId="1946" builtinId="8" hidden="1"/>
    <cellStyle name="Hyperlink" xfId="1948" builtinId="8" hidden="1"/>
    <cellStyle name="Hyperlink" xfId="1950" builtinId="8" hidden="1"/>
    <cellStyle name="Hyperlink" xfId="1952" builtinId="8" hidden="1"/>
    <cellStyle name="Hyperlink" xfId="1954" builtinId="8" hidden="1"/>
    <cellStyle name="Hyperlink" xfId="1956" builtinId="8" hidden="1"/>
    <cellStyle name="Hyperlink" xfId="1958" builtinId="8" hidden="1"/>
    <cellStyle name="Hyperlink" xfId="1960" builtinId="8" hidden="1"/>
    <cellStyle name="Hyperlink" xfId="1962" builtinId="8" hidden="1"/>
    <cellStyle name="Hyperlink" xfId="1964" builtinId="8" hidden="1"/>
    <cellStyle name="Hyperlink" xfId="1966" builtinId="8" hidden="1"/>
    <cellStyle name="Hyperlink" xfId="1968" builtinId="8" hidden="1"/>
    <cellStyle name="Hyperlink" xfId="1970" builtinId="8" hidden="1"/>
    <cellStyle name="Hyperlink" xfId="1972" builtinId="8" hidden="1"/>
    <cellStyle name="Hyperlink" xfId="1974" builtinId="8" hidden="1"/>
    <cellStyle name="Hyperlink" xfId="1976" builtinId="8" hidden="1"/>
    <cellStyle name="Hyperlink" xfId="1978" builtinId="8" hidden="1"/>
    <cellStyle name="Hyperlink" xfId="1980" builtinId="8" hidden="1"/>
    <cellStyle name="Hyperlink" xfId="1982" builtinId="8" hidden="1"/>
    <cellStyle name="Hyperlink" xfId="1984" builtinId="8" hidden="1"/>
    <cellStyle name="Hyperlink" xfId="1986" builtinId="8" hidden="1"/>
    <cellStyle name="Hyperlink" xfId="1988" builtinId="8" hidden="1"/>
    <cellStyle name="Hyperlink" xfId="1990" builtinId="8" hidden="1"/>
    <cellStyle name="Hyperlink" xfId="1992" builtinId="8" hidden="1"/>
    <cellStyle name="Hyperlink" xfId="1994" builtinId="8" hidden="1"/>
    <cellStyle name="Hyperlink" xfId="1996" builtinId="8" hidden="1"/>
    <cellStyle name="Hyperlink" xfId="1998" builtinId="8" hidden="1"/>
    <cellStyle name="Hyperlink" xfId="2000" builtinId="8" hidden="1"/>
    <cellStyle name="Hyperlink" xfId="2002" builtinId="8" hidden="1"/>
    <cellStyle name="Hyperlink" xfId="2004" builtinId="8" hidden="1"/>
    <cellStyle name="Hyperlink" xfId="2006" builtinId="8" hidden="1"/>
    <cellStyle name="Hyperlink" xfId="2008" builtinId="8" hidden="1"/>
    <cellStyle name="Hyperlink" xfId="2010" builtinId="8" hidden="1"/>
    <cellStyle name="Hyperlink" xfId="2012" builtinId="8" hidden="1"/>
    <cellStyle name="Hyperlink" xfId="2014" builtinId="8" hidden="1"/>
    <cellStyle name="Hyperlink" xfId="2016" builtinId="8" hidden="1"/>
    <cellStyle name="Hyperlink" xfId="2018" builtinId="8" hidden="1"/>
    <cellStyle name="Hyperlink" xfId="2020" builtinId="8" hidden="1"/>
    <cellStyle name="Hyperlink" xfId="2022" builtinId="8" hidden="1"/>
    <cellStyle name="Hyperlink" xfId="2024" builtinId="8" hidden="1"/>
    <cellStyle name="Hyperlink" xfId="2026" builtinId="8" hidden="1"/>
    <cellStyle name="Hyperlink" xfId="2028" builtinId="8" hidden="1"/>
    <cellStyle name="Hyperlink" xfId="2030" builtinId="8" hidden="1"/>
    <cellStyle name="Hyperlink" xfId="2032" builtinId="8" hidden="1"/>
    <cellStyle name="Hyperlink" xfId="2034" builtinId="8" hidden="1"/>
    <cellStyle name="Hyperlink" xfId="2036" builtinId="8" hidden="1"/>
    <cellStyle name="Hyperlink" xfId="2038" builtinId="8" hidden="1"/>
    <cellStyle name="Hyperlink" xfId="2040" builtinId="8" hidden="1"/>
    <cellStyle name="Hyperlink" xfId="2042" builtinId="8" hidden="1"/>
    <cellStyle name="Hyperlink" xfId="2044" builtinId="8" hidden="1"/>
    <cellStyle name="Hyperlink" xfId="2046" builtinId="8" hidden="1"/>
    <cellStyle name="Hyperlink" xfId="2048" builtinId="8" hidden="1"/>
    <cellStyle name="Hyperlink" xfId="2050" builtinId="8" hidden="1"/>
    <cellStyle name="Hyperlink" xfId="2052" builtinId="8" hidden="1"/>
    <cellStyle name="Hyperlink" xfId="2054" builtinId="8" hidden="1"/>
    <cellStyle name="Hyperlink" xfId="2056" builtinId="8" hidden="1"/>
    <cellStyle name="Hyperlink" xfId="2058" builtinId="8" hidden="1"/>
    <cellStyle name="Hyperlink" xfId="2060" builtinId="8" hidden="1"/>
    <cellStyle name="Hyperlink" xfId="2062" builtinId="8" hidden="1"/>
    <cellStyle name="Hyperlink" xfId="2064" builtinId="8" hidden="1"/>
    <cellStyle name="Hyperlink" xfId="2066" builtinId="8" hidden="1"/>
    <cellStyle name="Hyperlink" xfId="2068" builtinId="8" hidden="1"/>
    <cellStyle name="Hyperlink" xfId="2070" builtinId="8" hidden="1"/>
    <cellStyle name="Hyperlink" xfId="2072" builtinId="8" hidden="1"/>
    <cellStyle name="Hyperlink" xfId="2074" builtinId="8" hidden="1"/>
    <cellStyle name="Hyperlink" xfId="2076" builtinId="8" hidden="1"/>
    <cellStyle name="Hyperlink" xfId="2078" builtinId="8" hidden="1"/>
    <cellStyle name="Hyperlink" xfId="2080" builtinId="8" hidden="1"/>
    <cellStyle name="Hyperlink" xfId="2082" builtinId="8" hidden="1"/>
    <cellStyle name="Hyperlink" xfId="2084" builtinId="8" hidden="1"/>
    <cellStyle name="Hyperlink" xfId="2086" builtinId="8" hidden="1"/>
    <cellStyle name="Hyperlink" xfId="2088" builtinId="8" hidden="1"/>
    <cellStyle name="Hyperlink" xfId="2090" builtinId="8" hidden="1"/>
    <cellStyle name="Hyperlink" xfId="2092" builtinId="8" hidden="1"/>
    <cellStyle name="Hyperlink" xfId="2094" builtinId="8" hidden="1"/>
    <cellStyle name="Hyperlink" xfId="2096" builtinId="8" hidden="1"/>
    <cellStyle name="Hyperlink" xfId="2098" builtinId="8" hidden="1"/>
    <cellStyle name="Hyperlink" xfId="2100" builtinId="8" hidden="1"/>
    <cellStyle name="Hyperlink" xfId="2102" builtinId="8" hidden="1"/>
    <cellStyle name="Hyperlink" xfId="2104" builtinId="8" hidden="1"/>
    <cellStyle name="Hyperlink" xfId="2106" builtinId="8" hidden="1"/>
    <cellStyle name="Hyperlink" xfId="2108" builtinId="8" hidden="1"/>
    <cellStyle name="Hyperlink" xfId="2110" builtinId="8" hidden="1"/>
    <cellStyle name="Hyperlink" xfId="2112" builtinId="8" hidden="1"/>
    <cellStyle name="Hyperlink" xfId="2114" builtinId="8" hidden="1"/>
    <cellStyle name="Hyperlink" xfId="2116" builtinId="8" hidden="1"/>
    <cellStyle name="Hyperlink" xfId="2118" builtinId="8" hidden="1"/>
    <cellStyle name="Hyperlink" xfId="2120" builtinId="8" hidden="1"/>
    <cellStyle name="Hyperlink" xfId="2122" builtinId="8" hidden="1"/>
    <cellStyle name="Hyperlink" xfId="2124" builtinId="8" hidden="1"/>
    <cellStyle name="Hyperlink" xfId="2126" builtinId="8" hidden="1"/>
    <cellStyle name="Hyperlink" xfId="2128" builtinId="8" hidden="1"/>
    <cellStyle name="Hyperlink" xfId="2130" builtinId="8" hidden="1"/>
    <cellStyle name="Hyperlink" xfId="2132" builtinId="8" hidden="1"/>
    <cellStyle name="Hyperlink" xfId="2134" builtinId="8" hidden="1"/>
    <cellStyle name="Hyperlink" xfId="2136" builtinId="8" hidden="1"/>
    <cellStyle name="Hyperlink" xfId="2138" builtinId="8" hidden="1"/>
    <cellStyle name="Hyperlink" xfId="2140" builtinId="8" hidden="1"/>
    <cellStyle name="Hyperlink" xfId="2142" builtinId="8" hidden="1"/>
    <cellStyle name="Hyperlink" xfId="2144" builtinId="8" hidden="1"/>
    <cellStyle name="Hyperlink" xfId="2146" builtinId="8" hidden="1"/>
    <cellStyle name="Hyperlink" xfId="2148" builtinId="8" hidden="1"/>
    <cellStyle name="Hyperlink" xfId="2150" builtinId="8" hidden="1"/>
    <cellStyle name="Hyperlink" xfId="2152" builtinId="8" hidden="1"/>
    <cellStyle name="Hyperlink" xfId="2154" builtinId="8" hidden="1"/>
    <cellStyle name="Hyperlink" xfId="2156" builtinId="8" hidden="1"/>
    <cellStyle name="Hyperlink" xfId="2158" builtinId="8" hidden="1"/>
    <cellStyle name="Hyperlink" xfId="2160" builtinId="8" hidden="1"/>
    <cellStyle name="Hyperlink" xfId="2162" builtinId="8" hidden="1"/>
    <cellStyle name="Hyperlink" xfId="2164" builtinId="8" hidden="1"/>
    <cellStyle name="Hyperlink" xfId="2166" builtinId="8" hidden="1"/>
    <cellStyle name="Hyperlink" xfId="2168" builtinId="8" hidden="1"/>
    <cellStyle name="Hyperlink" xfId="2170" builtinId="8" hidden="1"/>
    <cellStyle name="Hyperlink" xfId="2172" builtinId="8" hidden="1"/>
    <cellStyle name="Hyperlink" xfId="2174" builtinId="8" hidden="1"/>
    <cellStyle name="Hyperlink" xfId="2176" builtinId="8" hidden="1"/>
    <cellStyle name="Hyperlink" xfId="2178" builtinId="8" hidden="1"/>
    <cellStyle name="Hyperlink" xfId="2180" builtinId="8" hidden="1"/>
    <cellStyle name="Hyperlink" xfId="2182" builtinId="8" hidden="1"/>
    <cellStyle name="Hyperlink" xfId="2184" builtinId="8" hidden="1"/>
    <cellStyle name="Hyperlink" xfId="2186" builtinId="8" hidden="1"/>
    <cellStyle name="Hyperlink" xfId="2188" builtinId="8" hidden="1"/>
    <cellStyle name="Hyperlink" xfId="2190" builtinId="8" hidden="1"/>
    <cellStyle name="Hyperlink" xfId="2192" builtinId="8" hidden="1"/>
    <cellStyle name="Hyperlink" xfId="2194" builtinId="8" hidden="1"/>
    <cellStyle name="Hyperlink" xfId="2196" builtinId="8" hidden="1"/>
    <cellStyle name="Hyperlink" xfId="2198" builtinId="8" hidden="1"/>
    <cellStyle name="Hyperlink" xfId="2200" builtinId="8" hidden="1"/>
    <cellStyle name="Hyperlink" xfId="2202" builtinId="8" hidden="1"/>
    <cellStyle name="Hyperlink" xfId="2204" builtinId="8" hidden="1"/>
    <cellStyle name="Hyperlink" xfId="2206" builtinId="8" hidden="1"/>
    <cellStyle name="Hyperlink" xfId="2208" builtinId="8" hidden="1"/>
    <cellStyle name="Hyperlink" xfId="2210" builtinId="8" hidden="1"/>
    <cellStyle name="Hyperlink" xfId="2212" builtinId="8" hidden="1"/>
    <cellStyle name="Hyperlink" xfId="2214" builtinId="8" hidden="1"/>
    <cellStyle name="Hyperlink" xfId="2216" builtinId="8" hidden="1"/>
    <cellStyle name="Hyperlink" xfId="2218" builtinId="8" hidden="1"/>
    <cellStyle name="Hyperlink" xfId="2220" builtinId="8" hidden="1"/>
    <cellStyle name="Hyperlink" xfId="2222" builtinId="8" hidden="1"/>
    <cellStyle name="Hyperlink" xfId="2224" builtinId="8" hidden="1"/>
    <cellStyle name="Hyperlink" xfId="2226" builtinId="8" hidden="1"/>
    <cellStyle name="Hyperlink" xfId="2228" builtinId="8" hidden="1"/>
    <cellStyle name="Hyperlink" xfId="2230" builtinId="8" hidden="1"/>
    <cellStyle name="Hyperlink" xfId="2232" builtinId="8" hidden="1"/>
    <cellStyle name="Hyperlink" xfId="2234" builtinId="8" hidden="1"/>
    <cellStyle name="Hyperlink" xfId="2236" builtinId="8" hidden="1"/>
    <cellStyle name="Hyperlink" xfId="2238" builtinId="8" hidden="1"/>
    <cellStyle name="Hyperlink" xfId="2240" builtinId="8" hidden="1"/>
    <cellStyle name="Hyperlink" xfId="2242" builtinId="8" hidden="1"/>
    <cellStyle name="Hyperlink" xfId="2244" builtinId="8" hidden="1"/>
    <cellStyle name="Hyperlink" xfId="2246" builtinId="8" hidden="1"/>
    <cellStyle name="Hyperlink" xfId="2248" builtinId="8" hidden="1"/>
    <cellStyle name="Hyperlink" xfId="2250" builtinId="8" hidden="1"/>
    <cellStyle name="Hyperlink" xfId="2252" builtinId="8" hidden="1"/>
    <cellStyle name="Hyperlink" xfId="2254" builtinId="8" hidden="1"/>
    <cellStyle name="Hyperlink" xfId="2256" builtinId="8" hidden="1"/>
    <cellStyle name="Hyperlink" xfId="2258" builtinId="8" hidden="1"/>
    <cellStyle name="Hyperlink" xfId="2260" builtinId="8" hidden="1"/>
    <cellStyle name="Hyperlink" xfId="2262" builtinId="8" hidden="1"/>
    <cellStyle name="Hyperlink" xfId="2264" builtinId="8" hidden="1"/>
    <cellStyle name="Hyperlink" xfId="2266" builtinId="8" hidden="1"/>
    <cellStyle name="Hyperlink" xfId="2268" builtinId="8" hidden="1"/>
    <cellStyle name="Hyperlink" xfId="2270" builtinId="8" hidden="1"/>
    <cellStyle name="Hyperlink" xfId="2272" builtinId="8" hidden="1"/>
    <cellStyle name="Hyperlink" xfId="2274" builtinId="8" hidden="1"/>
    <cellStyle name="Hyperlink" xfId="2276" builtinId="8" hidden="1"/>
    <cellStyle name="Hyperlink" xfId="2278" builtinId="8" hidden="1"/>
    <cellStyle name="Hyperlink" xfId="2280" builtinId="8" hidden="1"/>
    <cellStyle name="Hyperlink" xfId="2282" builtinId="8" hidden="1"/>
    <cellStyle name="Hyperlink" xfId="2284" builtinId="8" hidden="1"/>
    <cellStyle name="Hyperlink" xfId="2286" builtinId="8" hidden="1"/>
    <cellStyle name="Hyperlink" xfId="2288" builtinId="8" hidden="1"/>
    <cellStyle name="Hyperlink" xfId="2290" builtinId="8" hidden="1"/>
    <cellStyle name="Hyperlink" xfId="2292" builtinId="8" hidden="1"/>
    <cellStyle name="Hyperlink" xfId="2294" builtinId="8" hidden="1"/>
    <cellStyle name="Hyperlink" xfId="2296" builtinId="8" hidden="1"/>
    <cellStyle name="Hyperlink" xfId="2298" builtinId="8" hidden="1"/>
    <cellStyle name="Hyperlink" xfId="2300" builtinId="8" hidden="1"/>
    <cellStyle name="Hyperlink" xfId="2302" builtinId="8" hidden="1"/>
    <cellStyle name="Hyperlink" xfId="2304" builtinId="8" hidden="1"/>
    <cellStyle name="Hyperlink" xfId="2306" builtinId="8" hidden="1"/>
    <cellStyle name="Hyperlink" xfId="2308" builtinId="8" hidden="1"/>
    <cellStyle name="Hyperlink" xfId="2310" builtinId="8" hidden="1"/>
    <cellStyle name="Hyperlink" xfId="2312" builtinId="8" hidden="1"/>
    <cellStyle name="Hyperlink" xfId="2314" builtinId="8" hidden="1"/>
    <cellStyle name="Hyperlink" xfId="2316" builtinId="8" hidden="1"/>
    <cellStyle name="Hyperlink" xfId="2318" builtinId="8" hidden="1"/>
    <cellStyle name="Hyperlink" xfId="2320" builtinId="8" hidden="1"/>
    <cellStyle name="Hyperlink" xfId="2322" builtinId="8" hidden="1"/>
    <cellStyle name="Hyperlink" xfId="2324" builtinId="8" hidden="1"/>
    <cellStyle name="Hyperlink" xfId="2326" builtinId="8" hidden="1"/>
    <cellStyle name="Hyperlink" xfId="2328" builtinId="8" hidden="1"/>
    <cellStyle name="Hyperlink" xfId="2330" builtinId="8" hidden="1"/>
    <cellStyle name="Hyperlink" xfId="2332" builtinId="8" hidden="1"/>
    <cellStyle name="Hyperlink" xfId="2334" builtinId="8" hidden="1"/>
    <cellStyle name="Hyperlink" xfId="2336" builtinId="8" hidden="1"/>
    <cellStyle name="Hyperlink" xfId="2338" builtinId="8" hidden="1"/>
    <cellStyle name="Hyperlink" xfId="2340" builtinId="8" hidden="1"/>
    <cellStyle name="Hyperlink" xfId="2342" builtinId="8" hidden="1"/>
    <cellStyle name="Hyperlink" xfId="2344" builtinId="8" hidden="1"/>
    <cellStyle name="Hyperlink" xfId="2346" builtinId="8" hidden="1"/>
    <cellStyle name="Hyperlink" xfId="2348" builtinId="8" hidden="1"/>
    <cellStyle name="Hyperlink" xfId="2350" builtinId="8" hidden="1"/>
    <cellStyle name="Hyperlink" xfId="2352" builtinId="8" hidden="1"/>
    <cellStyle name="Hyperlink" xfId="2354" builtinId="8" hidden="1"/>
    <cellStyle name="Hyperlink" xfId="2356" builtinId="8" hidden="1"/>
    <cellStyle name="Hyperlink" xfId="2358" builtinId="8" hidden="1"/>
    <cellStyle name="Hyperlink" xfId="2360" builtinId="8" hidden="1"/>
    <cellStyle name="Hyperlink" xfId="2362" builtinId="8" hidden="1"/>
    <cellStyle name="Hyperlink" xfId="2364" builtinId="8" hidden="1"/>
    <cellStyle name="Hyperlink" xfId="2366" builtinId="8" hidden="1"/>
    <cellStyle name="Hyperlink" xfId="2368" builtinId="8" hidden="1"/>
    <cellStyle name="Hyperlink" xfId="2370" builtinId="8" hidden="1"/>
    <cellStyle name="Hyperlink" xfId="2372" builtinId="8" hidden="1"/>
    <cellStyle name="Hyperlink" xfId="2374" builtinId="8" hidden="1"/>
    <cellStyle name="Hyperlink" xfId="2376" builtinId="8" hidden="1"/>
    <cellStyle name="Hyperlink" xfId="2378" builtinId="8" hidden="1"/>
    <cellStyle name="Hyperlink" xfId="2380" builtinId="8" hidden="1"/>
    <cellStyle name="Hyperlink" xfId="2382" builtinId="8" hidden="1"/>
    <cellStyle name="Hyperlink" xfId="2384" builtinId="8" hidden="1"/>
    <cellStyle name="Hyperlink" xfId="2386" builtinId="8" hidden="1"/>
    <cellStyle name="Hyperlink" xfId="2388" builtinId="8" hidden="1"/>
    <cellStyle name="Hyperlink" xfId="2390" builtinId="8" hidden="1"/>
    <cellStyle name="Hyperlink" xfId="2392" builtinId="8" hidden="1"/>
    <cellStyle name="Hyperlink" xfId="2394" builtinId="8" hidden="1"/>
    <cellStyle name="Hyperlink" xfId="2396" builtinId="8" hidden="1"/>
    <cellStyle name="Hyperlink" xfId="2398" builtinId="8" hidden="1"/>
    <cellStyle name="Hyperlink" xfId="2400" builtinId="8" hidden="1"/>
    <cellStyle name="Hyperlink" xfId="2402" builtinId="8" hidden="1"/>
    <cellStyle name="Hyperlink" xfId="2404" builtinId="8" hidden="1"/>
    <cellStyle name="Hyperlink" xfId="2406" builtinId="8" hidden="1"/>
    <cellStyle name="Hyperlink" xfId="2408" builtinId="8" hidden="1"/>
    <cellStyle name="Hyperlink" xfId="2410" builtinId="8" hidden="1"/>
    <cellStyle name="Hyperlink" xfId="2412" builtinId="8" hidden="1"/>
    <cellStyle name="Hyperlink" xfId="2414" builtinId="8" hidden="1"/>
    <cellStyle name="Hyperlink" xfId="2416" builtinId="8" hidden="1"/>
    <cellStyle name="Hyperlink" xfId="2418" builtinId="8" hidden="1"/>
    <cellStyle name="Hyperlink" xfId="2420" builtinId="8" hidden="1"/>
    <cellStyle name="Hyperlink" xfId="2422" builtinId="8" hidden="1"/>
    <cellStyle name="Hyperlink" xfId="2424" builtinId="8" hidden="1"/>
    <cellStyle name="Hyperlink" xfId="2426" builtinId="8" hidden="1"/>
    <cellStyle name="Hyperlink" xfId="2428" builtinId="8" hidden="1"/>
    <cellStyle name="Hyperlink" xfId="2430" builtinId="8" hidden="1"/>
    <cellStyle name="Hyperlink" xfId="2432" builtinId="8" hidden="1"/>
    <cellStyle name="Hyperlink" xfId="2434" builtinId="8" hidden="1"/>
    <cellStyle name="Hyperlink" xfId="2436" builtinId="8" hidden="1"/>
    <cellStyle name="Hyperlink" xfId="2438" builtinId="8" hidden="1"/>
    <cellStyle name="Hyperlink" xfId="2440" builtinId="8" hidden="1"/>
    <cellStyle name="Hyperlink" xfId="2442" builtinId="8" hidden="1"/>
    <cellStyle name="Hyperlink" xfId="2444" builtinId="8" hidden="1"/>
    <cellStyle name="Hyperlink" xfId="2446" builtinId="8" hidden="1"/>
    <cellStyle name="Hyperlink" xfId="2448" builtinId="8" hidden="1"/>
    <cellStyle name="Hyperlink" xfId="2450" builtinId="8" hidden="1"/>
    <cellStyle name="Hyperlink" xfId="2452" builtinId="8" hidden="1"/>
    <cellStyle name="Hyperlink" xfId="2454" builtinId="8" hidden="1"/>
    <cellStyle name="Hyperlink" xfId="2456" builtinId="8" hidden="1"/>
    <cellStyle name="Hyperlink" xfId="2458" builtinId="8" hidden="1"/>
    <cellStyle name="Hyperlink" xfId="2460" builtinId="8" hidden="1"/>
    <cellStyle name="Hyperlink" xfId="2462" builtinId="8" hidden="1"/>
    <cellStyle name="Hyperlink" xfId="2464" builtinId="8" hidden="1"/>
    <cellStyle name="Hyperlink" xfId="2466" builtinId="8" hidden="1"/>
    <cellStyle name="Hyperlink" xfId="2468" builtinId="8" hidden="1"/>
    <cellStyle name="Hyperlink" xfId="2470" builtinId="8" hidden="1"/>
    <cellStyle name="Hyperlink" xfId="2472" builtinId="8" hidden="1"/>
    <cellStyle name="Hyperlink" xfId="2474" builtinId="8" hidden="1"/>
    <cellStyle name="Hyperlink" xfId="2476" builtinId="8" hidden="1"/>
    <cellStyle name="Hyperlink" xfId="2478" builtinId="8" hidden="1"/>
    <cellStyle name="Hyperlink" xfId="2480" builtinId="8" hidden="1"/>
    <cellStyle name="Hyperlink" xfId="2482" builtinId="8" hidden="1"/>
    <cellStyle name="Hyperlink" xfId="2484" builtinId="8" hidden="1"/>
    <cellStyle name="Hyperlink" xfId="2486" builtinId="8" hidden="1"/>
    <cellStyle name="Hyperlink" xfId="2488" builtinId="8" hidden="1"/>
    <cellStyle name="Hyperlink" xfId="2490" builtinId="8" hidden="1"/>
    <cellStyle name="Hyperlink" xfId="2492" builtinId="8" hidden="1"/>
    <cellStyle name="Hyperlink" xfId="2494" builtinId="8" hidden="1"/>
    <cellStyle name="Hyperlink" xfId="2496" builtinId="8" hidden="1"/>
    <cellStyle name="Hyperlink" xfId="2498" builtinId="8" hidden="1"/>
    <cellStyle name="Hyperlink" xfId="2500" builtinId="8" hidden="1"/>
    <cellStyle name="Hyperlink" xfId="2502" builtinId="8" hidden="1"/>
    <cellStyle name="Hyperlink" xfId="2504" builtinId="8" hidden="1"/>
    <cellStyle name="Hyperlink" xfId="2506" builtinId="8" hidden="1"/>
    <cellStyle name="Hyperlink" xfId="2508" builtinId="8" hidden="1"/>
    <cellStyle name="Hyperlink" xfId="2510" builtinId="8" hidden="1"/>
    <cellStyle name="Hyperlink" xfId="2512" builtinId="8" hidden="1"/>
    <cellStyle name="Hyperlink" xfId="2514" builtinId="8" hidden="1"/>
    <cellStyle name="Hyperlink" xfId="2516" builtinId="8" hidden="1"/>
    <cellStyle name="Hyperlink" xfId="2518" builtinId="8" hidden="1"/>
    <cellStyle name="Hyperlink" xfId="2520" builtinId="8" hidden="1"/>
    <cellStyle name="Hyperlink" xfId="2522" builtinId="8" hidden="1"/>
    <cellStyle name="Hyperlink" xfId="2524" builtinId="8" hidden="1"/>
    <cellStyle name="Hyperlink" xfId="2526" builtinId="8" hidden="1"/>
    <cellStyle name="Hyperlink" xfId="2528" builtinId="8" hidden="1"/>
    <cellStyle name="Hyperlink" xfId="2530" builtinId="8" hidden="1"/>
    <cellStyle name="Hyperlink" xfId="2532" builtinId="8" hidden="1"/>
    <cellStyle name="Hyperlink" xfId="2534" builtinId="8" hidden="1"/>
    <cellStyle name="Hyperlink" xfId="2536" builtinId="8" hidden="1"/>
    <cellStyle name="Hyperlink" xfId="2538" builtinId="8" hidden="1"/>
    <cellStyle name="Hyperlink" xfId="2540" builtinId="8" hidden="1"/>
    <cellStyle name="Hyperlink" xfId="2542" builtinId="8" hidden="1"/>
    <cellStyle name="Hyperlink" xfId="2544" builtinId="8" hidden="1"/>
    <cellStyle name="Hyperlink" xfId="2546" builtinId="8" hidden="1"/>
    <cellStyle name="Hyperlink" xfId="2548" builtinId="8" hidden="1"/>
    <cellStyle name="Hyperlink" xfId="2550" builtinId="8" hidden="1"/>
    <cellStyle name="Hyperlink" xfId="2552" builtinId="8" hidden="1"/>
    <cellStyle name="Hyperlink" xfId="2554" builtinId="8" hidden="1"/>
    <cellStyle name="Hyperlink" xfId="2556" builtinId="8" hidden="1"/>
    <cellStyle name="Hyperlink" xfId="2558" builtinId="8" hidden="1"/>
    <cellStyle name="Hyperlink" xfId="2560" builtinId="8" hidden="1"/>
    <cellStyle name="Hyperlink" xfId="2562" builtinId="8" hidden="1"/>
    <cellStyle name="Hyperlink" xfId="2564" builtinId="8" hidden="1"/>
    <cellStyle name="Hyperlink" xfId="2566" builtinId="8" hidden="1"/>
    <cellStyle name="Hyperlink" xfId="2568" builtinId="8" hidden="1"/>
    <cellStyle name="Hyperlink" xfId="2570" builtinId="8" hidden="1"/>
    <cellStyle name="Hyperlink" xfId="2572" builtinId="8" hidden="1"/>
    <cellStyle name="Hyperlink" xfId="2574" builtinId="8" hidden="1"/>
    <cellStyle name="Hyperlink" xfId="2576" builtinId="8" hidden="1"/>
    <cellStyle name="Hyperlink" xfId="2578" builtinId="8" hidden="1"/>
    <cellStyle name="Hyperlink" xfId="2580" builtinId="8" hidden="1"/>
    <cellStyle name="Hyperlink" xfId="2582" builtinId="8" hidden="1"/>
    <cellStyle name="Hyperlink" xfId="2584" builtinId="8" hidden="1"/>
    <cellStyle name="Hyperlink" xfId="2586" builtinId="8" hidden="1"/>
    <cellStyle name="Hyperlink" xfId="2588" builtinId="8" hidden="1"/>
    <cellStyle name="Hyperlink" xfId="2590" builtinId="8" hidden="1"/>
    <cellStyle name="Hyperlink" xfId="2592" builtinId="8" hidden="1"/>
    <cellStyle name="Hyperlink" xfId="2594" builtinId="8" hidden="1"/>
    <cellStyle name="Hyperlink" xfId="2596" builtinId="8" hidden="1"/>
    <cellStyle name="Hyperlink" xfId="2598" builtinId="8" hidden="1"/>
    <cellStyle name="Hyperlink" xfId="2600" builtinId="8" hidden="1"/>
    <cellStyle name="Hyperlink" xfId="2602" builtinId="8" hidden="1"/>
    <cellStyle name="Hyperlink" xfId="2604" builtinId="8" hidden="1"/>
    <cellStyle name="Hyperlink" xfId="2606" builtinId="8" hidden="1"/>
    <cellStyle name="Hyperlink" xfId="2608" builtinId="8" hidden="1"/>
    <cellStyle name="Hyperlink" xfId="2610" builtinId="8" hidden="1"/>
    <cellStyle name="Hyperlink" xfId="2612" builtinId="8" hidden="1"/>
    <cellStyle name="Hyperlink" xfId="2614" builtinId="8" hidden="1"/>
    <cellStyle name="Hyperlink" xfId="2616" builtinId="8" hidden="1"/>
    <cellStyle name="Hyperlink" xfId="2618" builtinId="8" hidden="1"/>
    <cellStyle name="Hyperlink" xfId="2620" builtinId="8" hidden="1"/>
    <cellStyle name="Hyperlink" xfId="2622" builtinId="8" hidden="1"/>
    <cellStyle name="Hyperlink" xfId="2624" builtinId="8" hidden="1"/>
    <cellStyle name="Hyperlink" xfId="2626" builtinId="8" hidden="1"/>
    <cellStyle name="Hyperlink" xfId="2628" builtinId="8" hidden="1"/>
    <cellStyle name="Hyperlink" xfId="2630" builtinId="8" hidden="1"/>
    <cellStyle name="Hyperlink" xfId="2632" builtinId="8" hidden="1"/>
    <cellStyle name="Hyperlink" xfId="2634" builtinId="8" hidden="1"/>
    <cellStyle name="Hyperlink" xfId="2636" builtinId="8" hidden="1"/>
    <cellStyle name="Hyperlink" xfId="2638" builtinId="8" hidden="1"/>
    <cellStyle name="Hyperlink" xfId="2640" builtinId="8" hidden="1"/>
    <cellStyle name="Hyperlink" xfId="2642" builtinId="8" hidden="1"/>
    <cellStyle name="Hyperlink" xfId="2644" builtinId="8" hidden="1"/>
    <cellStyle name="Hyperlink" xfId="2646" builtinId="8" hidden="1"/>
    <cellStyle name="Hyperlink" xfId="2648" builtinId="8" hidden="1"/>
    <cellStyle name="Hyperlink" xfId="2650" builtinId="8" hidden="1"/>
    <cellStyle name="Hyperlink" xfId="2652" builtinId="8" hidden="1"/>
    <cellStyle name="Hyperlink" xfId="2654" builtinId="8" hidden="1"/>
    <cellStyle name="Hyperlink" xfId="2656" builtinId="8" hidden="1"/>
    <cellStyle name="Hyperlink" xfId="2658" builtinId="8" hidden="1"/>
    <cellStyle name="Hyperlink" xfId="2660" builtinId="8" hidden="1"/>
    <cellStyle name="Hyperlink" xfId="2662" builtinId="8" hidden="1"/>
    <cellStyle name="Hyperlink" xfId="2664" builtinId="8" hidden="1"/>
    <cellStyle name="Hyperlink" xfId="2666" builtinId="8" hidden="1"/>
    <cellStyle name="Hyperlink" xfId="2668" builtinId="8" hidden="1"/>
    <cellStyle name="Hyperlink" xfId="2670" builtinId="8" hidden="1"/>
    <cellStyle name="Hyperlink" xfId="2672" builtinId="8" hidden="1"/>
    <cellStyle name="Hyperlink" xfId="2674" builtinId="8" hidden="1"/>
    <cellStyle name="Hyperlink" xfId="2676" builtinId="8" hidden="1"/>
    <cellStyle name="Hyperlink" xfId="2678" builtinId="8" hidden="1"/>
    <cellStyle name="Hyperlink" xfId="2680" builtinId="8" hidden="1"/>
    <cellStyle name="Hyperlink" xfId="2682" builtinId="8" hidden="1"/>
    <cellStyle name="Hyperlink" xfId="2684" builtinId="8" hidden="1"/>
    <cellStyle name="Hyperlink" xfId="2686" builtinId="8" hidden="1"/>
    <cellStyle name="Hyperlink" xfId="2688" builtinId="8" hidden="1"/>
    <cellStyle name="Hyperlink" xfId="2690" builtinId="8" hidden="1"/>
    <cellStyle name="Hyperlink" xfId="2692" builtinId="8" hidden="1"/>
    <cellStyle name="Hyperlink" xfId="2694" builtinId="8" hidden="1"/>
    <cellStyle name="Hyperlink" xfId="2696" builtinId="8" hidden="1"/>
    <cellStyle name="Hyperlink" xfId="2698" builtinId="8" hidden="1"/>
    <cellStyle name="Hyperlink" xfId="2700" builtinId="8" hidden="1"/>
    <cellStyle name="Hyperlink" xfId="2702" builtinId="8" hidden="1"/>
    <cellStyle name="Hyperlink" xfId="2704" builtinId="8" hidden="1"/>
    <cellStyle name="Hyperlink" xfId="2706" builtinId="8" hidden="1"/>
    <cellStyle name="Hyperlink" xfId="2708" builtinId="8" hidden="1"/>
    <cellStyle name="Hyperlink" xfId="2710" builtinId="8" hidden="1"/>
    <cellStyle name="Hyperlink" xfId="2712" builtinId="8" hidden="1"/>
    <cellStyle name="Hyperlink" xfId="2714" builtinId="8" hidden="1"/>
    <cellStyle name="Hyperlink" xfId="2716" builtinId="8" hidden="1"/>
    <cellStyle name="Hyperlink" xfId="2718" builtinId="8" hidden="1"/>
    <cellStyle name="Hyperlink" xfId="2720" builtinId="8" hidden="1"/>
    <cellStyle name="Hyperlink" xfId="2722" builtinId="8" hidden="1"/>
    <cellStyle name="Hyperlink" xfId="2724" builtinId="8" hidden="1"/>
    <cellStyle name="Hyperlink" xfId="2726" builtinId="8" hidden="1"/>
    <cellStyle name="Hyperlink" xfId="2728" builtinId="8" hidden="1"/>
    <cellStyle name="Hyperlink" xfId="2730" builtinId="8" hidden="1"/>
    <cellStyle name="Hyperlink" xfId="2732" builtinId="8" hidden="1"/>
    <cellStyle name="Hyperlink" xfId="2734" builtinId="8" hidden="1"/>
    <cellStyle name="Hyperlink" xfId="2736" builtinId="8" hidden="1"/>
    <cellStyle name="Hyperlink" xfId="2738" builtinId="8" hidden="1"/>
    <cellStyle name="Hyperlink" xfId="2740" builtinId="8" hidden="1"/>
    <cellStyle name="Hyperlink" xfId="2742" builtinId="8" hidden="1"/>
    <cellStyle name="Hyperlink" xfId="2744" builtinId="8" hidden="1"/>
    <cellStyle name="Hyperlink" xfId="2746" builtinId="8" hidden="1"/>
    <cellStyle name="Hyperlink" xfId="2748" builtinId="8" hidden="1"/>
    <cellStyle name="Hyperlink" xfId="2750" builtinId="8" hidden="1"/>
    <cellStyle name="Hyperlink" xfId="2752" builtinId="8" hidden="1"/>
    <cellStyle name="Hyperlink" xfId="2754" builtinId="8" hidden="1"/>
    <cellStyle name="Hyperlink" xfId="2756" builtinId="8" hidden="1"/>
    <cellStyle name="Hyperlink" xfId="2758" builtinId="8" hidden="1"/>
    <cellStyle name="Hyperlink" xfId="2760" builtinId="8" hidden="1"/>
    <cellStyle name="Hyperlink" xfId="2762" builtinId="8" hidden="1"/>
    <cellStyle name="Hyperlink" xfId="2764" builtinId="8" hidden="1"/>
    <cellStyle name="Hyperlink" xfId="2766" builtinId="8" hidden="1"/>
    <cellStyle name="Hyperlink" xfId="2768" builtinId="8" hidden="1"/>
    <cellStyle name="Hyperlink" xfId="2770" builtinId="8" hidden="1"/>
    <cellStyle name="Hyperlink" xfId="2772" builtinId="8" hidden="1"/>
    <cellStyle name="Hyperlink" xfId="2774" builtinId="8" hidden="1"/>
    <cellStyle name="Hyperlink" xfId="2776" builtinId="8" hidden="1"/>
    <cellStyle name="Hyperlink" xfId="2778" builtinId="8" hidden="1"/>
    <cellStyle name="Hyperlink" xfId="2780" builtinId="8" hidden="1"/>
    <cellStyle name="Hyperlink" xfId="2782" builtinId="8" hidden="1"/>
    <cellStyle name="Hyperlink" xfId="2784" builtinId="8" hidden="1"/>
    <cellStyle name="Hyperlink" xfId="2786" builtinId="8" hidden="1"/>
    <cellStyle name="Hyperlink" xfId="2788" builtinId="8" hidden="1"/>
    <cellStyle name="Hyperlink" xfId="2790" builtinId="8" hidden="1"/>
    <cellStyle name="Hyperlink" xfId="2792" builtinId="8" hidden="1"/>
    <cellStyle name="Hyperlink" xfId="2794" builtinId="8" hidden="1"/>
    <cellStyle name="Hyperlink" xfId="2796" builtinId="8" hidden="1"/>
    <cellStyle name="Hyperlink" xfId="2798" builtinId="8" hidden="1"/>
    <cellStyle name="Hyperlink" xfId="2800" builtinId="8" hidden="1"/>
    <cellStyle name="Hyperlink" xfId="2802" builtinId="8" hidden="1"/>
    <cellStyle name="Hyperlink" xfId="2804" builtinId="8" hidden="1"/>
    <cellStyle name="Hyperlink" xfId="2806" builtinId="8" hidden="1"/>
    <cellStyle name="Hyperlink" xfId="2808" builtinId="8" hidden="1"/>
    <cellStyle name="Hyperlink" xfId="2810" builtinId="8" hidden="1"/>
    <cellStyle name="Hyperlink" xfId="2812" builtinId="8" hidden="1"/>
    <cellStyle name="Hyperlink" xfId="2814" builtinId="8" hidden="1"/>
    <cellStyle name="Hyperlink" xfId="2816" builtinId="8" hidden="1"/>
    <cellStyle name="Hyperlink" xfId="2818" builtinId="8" hidden="1"/>
    <cellStyle name="Hyperlink" xfId="2820" builtinId="8" hidden="1"/>
    <cellStyle name="Hyperlink" xfId="2822" builtinId="8" hidden="1"/>
    <cellStyle name="Hyperlink" xfId="2824" builtinId="8" hidden="1"/>
    <cellStyle name="Hyperlink" xfId="2826" builtinId="8" hidden="1"/>
    <cellStyle name="Hyperlink" xfId="2828" builtinId="8" hidden="1"/>
    <cellStyle name="Hyperlink" xfId="2830" builtinId="8" hidden="1"/>
    <cellStyle name="Hyperlink" xfId="2832" builtinId="8" hidden="1"/>
    <cellStyle name="Hyperlink" xfId="2834" builtinId="8" hidden="1"/>
    <cellStyle name="Hyperlink" xfId="2836" builtinId="8" hidden="1"/>
    <cellStyle name="Hyperlink" xfId="2838" builtinId="8" hidden="1"/>
    <cellStyle name="Hyperlink" xfId="2840" builtinId="8" hidden="1"/>
    <cellStyle name="Hyperlink" xfId="2842" builtinId="8" hidden="1"/>
    <cellStyle name="Hyperlink" xfId="2844" builtinId="8" hidden="1"/>
    <cellStyle name="Hyperlink" xfId="2846" builtinId="8" hidden="1"/>
    <cellStyle name="Hyperlink" xfId="2848" builtinId="8" hidden="1"/>
    <cellStyle name="Hyperlink" xfId="2850" builtinId="8" hidden="1"/>
    <cellStyle name="Hyperlink" xfId="2852" builtinId="8" hidden="1"/>
    <cellStyle name="Hyperlink" xfId="2854" builtinId="8" hidden="1"/>
    <cellStyle name="Hyperlink" xfId="2856" builtinId="8" hidden="1"/>
    <cellStyle name="Hyperlink" xfId="2858" builtinId="8" hidden="1"/>
    <cellStyle name="Hyperlink" xfId="2860" builtinId="8" hidden="1"/>
    <cellStyle name="Hyperlink" xfId="2862" builtinId="8" hidden="1"/>
    <cellStyle name="Hyperlink" xfId="2864" builtinId="8" hidden="1"/>
    <cellStyle name="Hyperlink" xfId="2866" builtinId="8" hidden="1"/>
    <cellStyle name="Hyperlink" xfId="2868" builtinId="8" hidden="1"/>
    <cellStyle name="Hyperlink" xfId="2870" builtinId="8" hidden="1"/>
    <cellStyle name="Hyperlink" xfId="2872" builtinId="8" hidden="1"/>
    <cellStyle name="Hyperlink" xfId="2874" builtinId="8" hidden="1"/>
    <cellStyle name="Hyperlink" xfId="2876" builtinId="8" hidden="1"/>
    <cellStyle name="Hyperlink" xfId="2878" builtinId="8" hidden="1"/>
    <cellStyle name="Hyperlink" xfId="2880" builtinId="8" hidden="1"/>
    <cellStyle name="Hyperlink" xfId="2882" builtinId="8" hidden="1"/>
    <cellStyle name="Hyperlink" xfId="2884" builtinId="8" hidden="1"/>
    <cellStyle name="Hyperlink" xfId="2886" builtinId="8" hidden="1"/>
    <cellStyle name="Hyperlink" xfId="2888" builtinId="8" hidden="1"/>
    <cellStyle name="Hyperlink" xfId="2890" builtinId="8" hidden="1"/>
    <cellStyle name="Hyperlink" xfId="2892" builtinId="8" hidden="1"/>
    <cellStyle name="Hyperlink" xfId="2894" builtinId="8" hidden="1"/>
    <cellStyle name="Hyperlink" xfId="2896" builtinId="8" hidden="1"/>
    <cellStyle name="Hyperlink" xfId="2898" builtinId="8" hidden="1"/>
    <cellStyle name="Hyperlink" xfId="2900" builtinId="8" hidden="1"/>
    <cellStyle name="Hyperlink" xfId="2902" builtinId="8" hidden="1"/>
    <cellStyle name="Hyperlink" xfId="2904" builtinId="8" hidden="1"/>
    <cellStyle name="Hyperlink" xfId="2906" builtinId="8" hidden="1"/>
    <cellStyle name="Hyperlink" xfId="2908" builtinId="8" hidden="1"/>
    <cellStyle name="Hyperlink" xfId="2910" builtinId="8" hidden="1"/>
    <cellStyle name="Hyperlink" xfId="2912" builtinId="8" hidden="1"/>
    <cellStyle name="Hyperlink" xfId="2914" builtinId="8" hidden="1"/>
    <cellStyle name="Hyperlink" xfId="2916" builtinId="8" hidden="1"/>
    <cellStyle name="Hyperlink" xfId="2918" builtinId="8" hidden="1"/>
    <cellStyle name="Hyperlink" xfId="2920" builtinId="8" hidden="1"/>
    <cellStyle name="Hyperlink" xfId="2922" builtinId="8" hidden="1"/>
    <cellStyle name="Hyperlink" xfId="2924" builtinId="8" hidden="1"/>
    <cellStyle name="Hyperlink" xfId="2926" builtinId="8" hidden="1"/>
    <cellStyle name="Hyperlink" xfId="2928" builtinId="8" hidden="1"/>
    <cellStyle name="Hyperlink" xfId="2930" builtinId="8" hidden="1"/>
    <cellStyle name="Hyperlink" xfId="2932" builtinId="8" hidden="1"/>
    <cellStyle name="Hyperlink" xfId="2934" builtinId="8" hidden="1"/>
    <cellStyle name="Hyperlink" xfId="2936" builtinId="8" hidden="1"/>
    <cellStyle name="Hyperlink" xfId="2938" builtinId="8" hidden="1"/>
    <cellStyle name="Hyperlink" xfId="2940" builtinId="8" hidden="1"/>
    <cellStyle name="Hyperlink" xfId="2942" builtinId="8" hidden="1"/>
    <cellStyle name="Hyperlink" xfId="2944" builtinId="8" hidden="1"/>
    <cellStyle name="Hyperlink" xfId="2946" builtinId="8" hidden="1"/>
    <cellStyle name="Hyperlink" xfId="2948" builtinId="8" hidden="1"/>
    <cellStyle name="Hyperlink" xfId="2950" builtinId="8" hidden="1"/>
    <cellStyle name="Hyperlink" xfId="2952" builtinId="8" hidden="1"/>
    <cellStyle name="Hyperlink" xfId="2954" builtinId="8" hidden="1"/>
    <cellStyle name="Hyperlink" xfId="2956" builtinId="8" hidden="1"/>
    <cellStyle name="Hyperlink" xfId="2958" builtinId="8" hidden="1"/>
    <cellStyle name="Hyperlink" xfId="2960" builtinId="8" hidden="1"/>
    <cellStyle name="Hyperlink" xfId="2962" builtinId="8" hidden="1"/>
    <cellStyle name="Hyperlink" xfId="2964" builtinId="8" hidden="1"/>
    <cellStyle name="Hyperlink" xfId="2966" builtinId="8" hidden="1"/>
    <cellStyle name="Hyperlink" xfId="2968" builtinId="8" hidden="1"/>
    <cellStyle name="Hyperlink" xfId="2970" builtinId="8" hidden="1"/>
    <cellStyle name="Hyperlink" xfId="2972" builtinId="8" hidden="1"/>
    <cellStyle name="Hyperlink" xfId="2974" builtinId="8" hidden="1"/>
    <cellStyle name="Hyperlink" xfId="2976" builtinId="8" hidden="1"/>
    <cellStyle name="Hyperlink" xfId="2978" builtinId="8" hidden="1"/>
    <cellStyle name="Hyperlink" xfId="2980" builtinId="8" hidden="1"/>
    <cellStyle name="Hyperlink" xfId="2982" builtinId="8" hidden="1"/>
    <cellStyle name="Hyperlink" xfId="2984" builtinId="8" hidden="1"/>
    <cellStyle name="Hyperlink" xfId="2986" builtinId="8" hidden="1"/>
    <cellStyle name="Hyperlink" xfId="2988" builtinId="8" hidden="1"/>
    <cellStyle name="Hyperlink" xfId="2990" builtinId="8" hidden="1"/>
    <cellStyle name="Hyperlink" xfId="2992" builtinId="8" hidden="1"/>
    <cellStyle name="Hyperlink" xfId="2994" builtinId="8" hidden="1"/>
    <cellStyle name="Hyperlink" xfId="2996" builtinId="8" hidden="1"/>
    <cellStyle name="Hyperlink" xfId="2998" builtinId="8" hidden="1"/>
    <cellStyle name="Hyperlink" xfId="3000" builtinId="8" hidden="1"/>
    <cellStyle name="Hyperlink" xfId="3002" builtinId="8" hidden="1"/>
    <cellStyle name="Hyperlink" xfId="3004" builtinId="8" hidden="1"/>
    <cellStyle name="Hyperlink" xfId="3006" builtinId="8" hidden="1"/>
    <cellStyle name="Hyperlink" xfId="3008" builtinId="8" hidden="1"/>
    <cellStyle name="Hyperlink" xfId="3010" builtinId="8" hidden="1"/>
    <cellStyle name="Hyperlink" xfId="3012" builtinId="8" hidden="1"/>
    <cellStyle name="Hyperlink" xfId="3014" builtinId="8" hidden="1"/>
    <cellStyle name="Hyperlink" xfId="3016" builtinId="8" hidden="1"/>
    <cellStyle name="Hyperlink" xfId="3018" builtinId="8" hidden="1"/>
    <cellStyle name="Hyperlink" xfId="3020" builtinId="8" hidden="1"/>
    <cellStyle name="Hyperlink" xfId="3022" builtinId="8" hidden="1"/>
    <cellStyle name="Hyperlink" xfId="3024" builtinId="8" hidden="1"/>
    <cellStyle name="Hyperlink" xfId="3026" builtinId="8" hidden="1"/>
    <cellStyle name="Hyperlink" xfId="3028" builtinId="8" hidden="1"/>
    <cellStyle name="Hyperlink" xfId="3030" builtinId="8" hidden="1"/>
    <cellStyle name="Hyperlink" xfId="3032" builtinId="8" hidden="1"/>
    <cellStyle name="Hyperlink" xfId="3034" builtinId="8" hidden="1"/>
    <cellStyle name="Hyperlink" xfId="3036" builtinId="8" hidden="1"/>
    <cellStyle name="Hyperlink" xfId="3038" builtinId="8" hidden="1"/>
    <cellStyle name="Hyperlink" xfId="3040" builtinId="8" hidden="1"/>
    <cellStyle name="Hyperlink" xfId="3042" builtinId="8" hidden="1"/>
    <cellStyle name="Hyperlink" xfId="3044" builtinId="8" hidden="1"/>
    <cellStyle name="Hyperlink" xfId="3046" builtinId="8" hidden="1"/>
    <cellStyle name="Hyperlink" xfId="3048" builtinId="8" hidden="1"/>
    <cellStyle name="Hyperlink" xfId="3050" builtinId="8" hidden="1"/>
    <cellStyle name="Hyperlink" xfId="3052" builtinId="8" hidden="1"/>
    <cellStyle name="Hyperlink" xfId="3054" builtinId="8" hidden="1"/>
    <cellStyle name="Hyperlink" xfId="3056" builtinId="8" hidden="1"/>
    <cellStyle name="Hyperlink" xfId="3058" builtinId="8" hidden="1"/>
    <cellStyle name="Hyperlink" xfId="3060" builtinId="8" hidden="1"/>
    <cellStyle name="Hyperlink" xfId="3062" builtinId="8" hidden="1"/>
    <cellStyle name="Hyperlink" xfId="3064" builtinId="8" hidden="1"/>
    <cellStyle name="Hyperlink" xfId="3066" builtinId="8" hidden="1"/>
    <cellStyle name="Hyperlink" xfId="3068" builtinId="8" hidden="1"/>
    <cellStyle name="Hyperlink" xfId="3070" builtinId="8" hidden="1"/>
    <cellStyle name="Hyperlink" xfId="3072" builtinId="8" hidden="1"/>
    <cellStyle name="Hyperlink" xfId="3074" builtinId="8" hidden="1"/>
    <cellStyle name="Hyperlink" xfId="3076" builtinId="8" hidden="1"/>
    <cellStyle name="Hyperlink" xfId="3078" builtinId="8" hidden="1"/>
    <cellStyle name="Hyperlink" xfId="3080" builtinId="8" hidden="1"/>
    <cellStyle name="Hyperlink" xfId="3082" builtinId="8" hidden="1"/>
    <cellStyle name="Hyperlink" xfId="3084" builtinId="8" hidden="1"/>
    <cellStyle name="Hyperlink" xfId="3086" builtinId="8" hidden="1"/>
    <cellStyle name="Hyperlink" xfId="3088" builtinId="8" hidden="1"/>
    <cellStyle name="Hyperlink" xfId="3090" builtinId="8" hidden="1"/>
    <cellStyle name="Hyperlink" xfId="3092" builtinId="8" hidden="1"/>
    <cellStyle name="Hyperlink" xfId="3094" builtinId="8" hidden="1"/>
    <cellStyle name="Hyperlink" xfId="3096" builtinId="8" hidden="1"/>
    <cellStyle name="Hyperlink" xfId="3098" builtinId="8" hidden="1"/>
    <cellStyle name="Hyperlink" xfId="3100" builtinId="8" hidden="1"/>
    <cellStyle name="Hyperlink" xfId="3102" builtinId="8" hidden="1"/>
    <cellStyle name="Hyperlink" xfId="3104" builtinId="8" hidden="1"/>
    <cellStyle name="Hyperlink" xfId="3106" builtinId="8" hidden="1"/>
    <cellStyle name="Hyperlink" xfId="3108" builtinId="8" hidden="1"/>
    <cellStyle name="Hyperlink" xfId="3110" builtinId="8" hidden="1"/>
    <cellStyle name="Hyperlink" xfId="3112" builtinId="8" hidden="1"/>
    <cellStyle name="Hyperlink" xfId="3114" builtinId="8" hidden="1"/>
    <cellStyle name="Hyperlink" xfId="3116" builtinId="8" hidden="1"/>
    <cellStyle name="Hyperlink" xfId="3118" builtinId="8" hidden="1"/>
    <cellStyle name="Hyperlink" xfId="3120" builtinId="8" hidden="1"/>
    <cellStyle name="Hyperlink" xfId="3122" builtinId="8" hidden="1"/>
    <cellStyle name="Hyperlink" xfId="3124" builtinId="8" hidden="1"/>
    <cellStyle name="Hyperlink" xfId="3126" builtinId="8" hidden="1"/>
    <cellStyle name="Hyperlink" xfId="3128" builtinId="8" hidden="1"/>
    <cellStyle name="Hyperlink" xfId="3130" builtinId="8" hidden="1"/>
    <cellStyle name="Hyperlink" xfId="3132" builtinId="8" hidden="1"/>
    <cellStyle name="Hyperlink" xfId="3134" builtinId="8" hidden="1"/>
    <cellStyle name="Hyperlink" xfId="3136" builtinId="8" hidden="1"/>
    <cellStyle name="Hyperlink" xfId="3138" builtinId="8" hidden="1"/>
    <cellStyle name="Hyperlink" xfId="3140" builtinId="8" hidden="1"/>
    <cellStyle name="Hyperlink" xfId="3142" builtinId="8" hidden="1"/>
    <cellStyle name="Hyperlink" xfId="3144" builtinId="8" hidden="1"/>
    <cellStyle name="Hyperlink" xfId="3146" builtinId="8" hidden="1"/>
    <cellStyle name="Hyperlink" xfId="3148" builtinId="8" hidden="1"/>
    <cellStyle name="Hyperlink" xfId="3150" builtinId="8" hidden="1"/>
    <cellStyle name="Hyperlink" xfId="3152" builtinId="8" hidden="1"/>
    <cellStyle name="Hyperlink" xfId="3154" builtinId="8" hidden="1"/>
    <cellStyle name="Hyperlink" xfId="3156" builtinId="8" hidden="1"/>
    <cellStyle name="Hyperlink" xfId="3158" builtinId="8" hidden="1"/>
    <cellStyle name="Hyperlink" xfId="3160" builtinId="8" hidden="1"/>
    <cellStyle name="Hyperlink" xfId="3162" builtinId="8" hidden="1"/>
    <cellStyle name="Hyperlink" xfId="3164" builtinId="8" hidden="1"/>
    <cellStyle name="Hyperlink" xfId="3166" builtinId="8" hidden="1"/>
    <cellStyle name="Hyperlink" xfId="3168" builtinId="8" hidden="1"/>
    <cellStyle name="Hyperlink" xfId="3170" builtinId="8" hidden="1"/>
    <cellStyle name="Hyperlink" xfId="3172" builtinId="8" hidden="1"/>
    <cellStyle name="Hyperlink" xfId="3174" builtinId="8" hidden="1"/>
    <cellStyle name="Hyperlink" xfId="3176" builtinId="8" hidden="1"/>
    <cellStyle name="Hyperlink" xfId="3178" builtinId="8" hidden="1"/>
    <cellStyle name="Hyperlink" xfId="3180" builtinId="8" hidden="1"/>
    <cellStyle name="Hyperlink" xfId="3182" builtinId="8" hidden="1"/>
    <cellStyle name="Hyperlink" xfId="3184" builtinId="8" hidden="1"/>
    <cellStyle name="Hyperlink" xfId="3186" builtinId="8" hidden="1"/>
    <cellStyle name="Hyperlink" xfId="3188" builtinId="8" hidden="1"/>
    <cellStyle name="Hyperlink" xfId="3190" builtinId="8" hidden="1"/>
    <cellStyle name="Hyperlink" xfId="3192" builtinId="8" hidden="1"/>
    <cellStyle name="Hyperlink" xfId="3194" builtinId="8" hidden="1"/>
    <cellStyle name="Hyperlink" xfId="3196" builtinId="8" hidden="1"/>
    <cellStyle name="Hyperlink" xfId="3198" builtinId="8" hidden="1"/>
    <cellStyle name="Hyperlink" xfId="3200" builtinId="8" hidden="1"/>
    <cellStyle name="Hyperlink" xfId="3202" builtinId="8" hidden="1"/>
    <cellStyle name="Hyperlink" xfId="3204" builtinId="8" hidden="1"/>
    <cellStyle name="Hyperlink" xfId="3206" builtinId="8" hidden="1"/>
    <cellStyle name="Hyperlink" xfId="3208" builtinId="8" hidden="1"/>
    <cellStyle name="Hyperlink" xfId="3210" builtinId="8" hidden="1"/>
    <cellStyle name="Hyperlink" xfId="3212" builtinId="8" hidden="1"/>
    <cellStyle name="Hyperlink" xfId="3214" builtinId="8" hidden="1"/>
    <cellStyle name="Hyperlink" xfId="3216" builtinId="8" hidden="1"/>
    <cellStyle name="Hyperlink" xfId="3218" builtinId="8" hidden="1"/>
    <cellStyle name="Hyperlink" xfId="3220" builtinId="8" hidden="1"/>
    <cellStyle name="Hyperlink" xfId="3222" builtinId="8" hidden="1"/>
    <cellStyle name="Hyperlink" xfId="3224" builtinId="8" hidden="1"/>
    <cellStyle name="Hyperlink" xfId="3226" builtinId="8" hidden="1"/>
    <cellStyle name="Hyperlink" xfId="3228" builtinId="8" hidden="1"/>
    <cellStyle name="Hyperlink" xfId="3230" builtinId="8" hidden="1"/>
    <cellStyle name="Hyperlink" xfId="3232" builtinId="8" hidden="1"/>
    <cellStyle name="Hyperlink" xfId="3234" builtinId="8" hidden="1"/>
    <cellStyle name="Hyperlink" xfId="3236" builtinId="8" hidden="1"/>
    <cellStyle name="Hyperlink" xfId="3238" builtinId="8" hidden="1"/>
    <cellStyle name="Hyperlink" xfId="3240" builtinId="8" hidden="1"/>
    <cellStyle name="Hyperlink" xfId="3242" builtinId="8" hidden="1"/>
    <cellStyle name="Hyperlink" xfId="3244" builtinId="8" hidden="1"/>
    <cellStyle name="Hyperlink" xfId="3246" builtinId="8" hidden="1"/>
    <cellStyle name="Hyperlink" xfId="3248" builtinId="8" hidden="1"/>
    <cellStyle name="Hyperlink" xfId="3250" builtinId="8" hidden="1"/>
    <cellStyle name="Hyperlink" xfId="3252" builtinId="8" hidden="1"/>
    <cellStyle name="Hyperlink" xfId="3254" builtinId="8" hidden="1"/>
    <cellStyle name="Hyperlink" xfId="3256" builtinId="8" hidden="1"/>
    <cellStyle name="Hyperlink" xfId="3258" builtinId="8" hidden="1"/>
    <cellStyle name="Hyperlink" xfId="3260" builtinId="8" hidden="1"/>
    <cellStyle name="Hyperlink" xfId="3262" builtinId="8" hidden="1"/>
    <cellStyle name="Hyperlink" xfId="3264" builtinId="8" hidden="1"/>
    <cellStyle name="Hyperlink" xfId="3266" builtinId="8" hidden="1"/>
    <cellStyle name="Hyperlink" xfId="3268" builtinId="8" hidden="1"/>
    <cellStyle name="Hyperlink" xfId="3270" builtinId="8" hidden="1"/>
    <cellStyle name="Hyperlink" xfId="3272" builtinId="8" hidden="1"/>
    <cellStyle name="Hyperlink" xfId="3274" builtinId="8" hidden="1"/>
    <cellStyle name="Hyperlink" xfId="3276" builtinId="8" hidden="1"/>
    <cellStyle name="Hyperlink" xfId="3278" builtinId="8" hidden="1"/>
    <cellStyle name="Hyperlink" xfId="3280" builtinId="8" hidden="1"/>
    <cellStyle name="Hyperlink" xfId="3282" builtinId="8" hidden="1"/>
    <cellStyle name="Hyperlink" xfId="3284" builtinId="8" hidden="1"/>
    <cellStyle name="Hyperlink" xfId="3286" builtinId="8" hidden="1"/>
    <cellStyle name="Hyperlink" xfId="3288" builtinId="8" hidden="1"/>
    <cellStyle name="Hyperlink" xfId="3290" builtinId="8" hidden="1"/>
    <cellStyle name="Hyperlink" xfId="3292" builtinId="8" hidden="1"/>
    <cellStyle name="Hyperlink" xfId="3294" builtinId="8" hidden="1"/>
    <cellStyle name="Hyperlink" xfId="3296" builtinId="8" hidden="1"/>
    <cellStyle name="Hyperlink" xfId="3298" builtinId="8" hidden="1"/>
    <cellStyle name="Hyperlink" xfId="3300" builtinId="8" hidden="1"/>
    <cellStyle name="Hyperlink" xfId="3302" builtinId="8" hidden="1"/>
    <cellStyle name="Hyperlink" xfId="3304" builtinId="8" hidden="1"/>
    <cellStyle name="Hyperlink" xfId="3306" builtinId="8" hidden="1"/>
    <cellStyle name="Hyperlink" xfId="3308" builtinId="8" hidden="1"/>
    <cellStyle name="Hyperlink" xfId="3310" builtinId="8" hidden="1"/>
    <cellStyle name="Hyperlink" xfId="3312" builtinId="8" hidden="1"/>
    <cellStyle name="Hyperlink" xfId="3314" builtinId="8" hidden="1"/>
    <cellStyle name="Hyperlink" xfId="3316" builtinId="8" hidden="1"/>
    <cellStyle name="Hyperlink" xfId="3318" builtinId="8" hidden="1"/>
    <cellStyle name="Hyperlink" xfId="3320" builtinId="8" hidden="1"/>
    <cellStyle name="Hyperlink" xfId="3322" builtinId="8" hidden="1"/>
    <cellStyle name="Hyperlink" xfId="3324" builtinId="8" hidden="1"/>
    <cellStyle name="Hyperlink" xfId="3326" builtinId="8" hidden="1"/>
    <cellStyle name="Hyperlink" xfId="3328" builtinId="8" hidden="1"/>
    <cellStyle name="Hyperlink" xfId="3330" builtinId="8" hidden="1"/>
    <cellStyle name="Hyperlink" xfId="3332" builtinId="8" hidden="1"/>
    <cellStyle name="Hyperlink" xfId="3334" builtinId="8" hidden="1"/>
    <cellStyle name="Hyperlink" xfId="3336" builtinId="8" hidden="1"/>
    <cellStyle name="Hyperlink" xfId="3338" builtinId="8" hidden="1"/>
    <cellStyle name="Hyperlink" xfId="3340" builtinId="8" hidden="1"/>
    <cellStyle name="Hyperlink" xfId="3342" builtinId="8" hidden="1"/>
    <cellStyle name="Hyperlink" xfId="3344" builtinId="8" hidden="1"/>
    <cellStyle name="Hyperlink" xfId="3346" builtinId="8" hidden="1"/>
    <cellStyle name="Hyperlink" xfId="3348" builtinId="8" hidden="1"/>
    <cellStyle name="Hyperlink" xfId="3350" builtinId="8" hidden="1"/>
    <cellStyle name="Hyperlink" xfId="3352" builtinId="8" hidden="1"/>
    <cellStyle name="Hyperlink" xfId="3354" builtinId="8" hidden="1"/>
    <cellStyle name="Hyperlink" xfId="3356" builtinId="8" hidden="1"/>
    <cellStyle name="Hyperlink" xfId="3358" builtinId="8" hidden="1"/>
    <cellStyle name="Hyperlink" xfId="3360" builtinId="8" hidden="1"/>
    <cellStyle name="Hyperlink" xfId="3362" builtinId="8" hidden="1"/>
    <cellStyle name="Hyperlink" xfId="3364" builtinId="8" hidden="1"/>
    <cellStyle name="Hyperlink" xfId="3366" builtinId="8" hidden="1"/>
    <cellStyle name="Hyperlink" xfId="3368" builtinId="8" hidden="1"/>
    <cellStyle name="Hyperlink" xfId="3370" builtinId="8" hidden="1"/>
    <cellStyle name="Hyperlink" xfId="3372" builtinId="8" hidden="1"/>
    <cellStyle name="Hyperlink" xfId="3374" builtinId="8" hidden="1"/>
    <cellStyle name="Hyperlink" xfId="3376" builtinId="8" hidden="1"/>
    <cellStyle name="Hyperlink" xfId="3378" builtinId="8" hidden="1"/>
    <cellStyle name="Hyperlink" xfId="3380" builtinId="8" hidden="1"/>
    <cellStyle name="Hyperlink" xfId="3382" builtinId="8" hidden="1"/>
    <cellStyle name="Hyperlink" xfId="3384" builtinId="8" hidden="1"/>
    <cellStyle name="Hyperlink" xfId="3386" builtinId="8" hidden="1"/>
    <cellStyle name="Hyperlink" xfId="3388" builtinId="8" hidden="1"/>
    <cellStyle name="Hyperlink" xfId="3390" builtinId="8" hidden="1"/>
    <cellStyle name="Hyperlink" xfId="3392" builtinId="8" hidden="1"/>
    <cellStyle name="Hyperlink" xfId="3394" builtinId="8" hidden="1"/>
    <cellStyle name="Hyperlink" xfId="3396" builtinId="8" hidden="1"/>
    <cellStyle name="Hyperlink" xfId="3398" builtinId="8" hidden="1"/>
    <cellStyle name="Hyperlink" xfId="3400" builtinId="8" hidden="1"/>
    <cellStyle name="Hyperlink" xfId="3402" builtinId="8" hidden="1"/>
    <cellStyle name="Hyperlink" xfId="3404" builtinId="8" hidden="1"/>
    <cellStyle name="Hyperlink" xfId="3406" builtinId="8" hidden="1"/>
    <cellStyle name="Hyperlink" xfId="3408" builtinId="8" hidden="1"/>
    <cellStyle name="Hyperlink" xfId="3410" builtinId="8" hidden="1"/>
    <cellStyle name="Hyperlink" xfId="3412" builtinId="8" hidden="1"/>
    <cellStyle name="Hyperlink" xfId="3414" builtinId="8" hidden="1"/>
    <cellStyle name="Hyperlink" xfId="3416" builtinId="8" hidden="1"/>
    <cellStyle name="Hyperlink" xfId="3418" builtinId="8" hidden="1"/>
    <cellStyle name="Hyperlink" xfId="3420" builtinId="8" hidden="1"/>
    <cellStyle name="Hyperlink" xfId="3422" builtinId="8" hidden="1"/>
    <cellStyle name="Hyperlink" xfId="3424" builtinId="8" hidden="1"/>
    <cellStyle name="Hyperlink" xfId="3426" builtinId="8" hidden="1"/>
    <cellStyle name="Hyperlink" xfId="3428" builtinId="8" hidden="1"/>
    <cellStyle name="Hyperlink" xfId="3430" builtinId="8" hidden="1"/>
    <cellStyle name="Hyperlink" xfId="3432" builtinId="8" hidden="1"/>
    <cellStyle name="Hyperlink" xfId="3434" builtinId="8" hidden="1"/>
    <cellStyle name="Hyperlink" xfId="3436" builtinId="8" hidden="1"/>
    <cellStyle name="Hyperlink" xfId="3438" builtinId="8" hidden="1"/>
    <cellStyle name="Hyperlink" xfId="3440" builtinId="8" hidden="1"/>
    <cellStyle name="Hyperlink" xfId="3442" builtinId="8" hidden="1"/>
    <cellStyle name="Hyperlink" xfId="3444" builtinId="8" hidden="1"/>
    <cellStyle name="Hyperlink" xfId="3446" builtinId="8" hidden="1"/>
    <cellStyle name="Hyperlink" xfId="3448" builtinId="8" hidden="1"/>
    <cellStyle name="Hyperlink" xfId="3450" builtinId="8" hidden="1"/>
    <cellStyle name="Hyperlink" xfId="3452" builtinId="8" hidden="1"/>
    <cellStyle name="Hyperlink" xfId="3454" builtinId="8" hidden="1"/>
    <cellStyle name="Hyperlink" xfId="3456" builtinId="8" hidden="1"/>
    <cellStyle name="Hyperlink" xfId="3458" builtinId="8" hidden="1"/>
    <cellStyle name="Hyperlink" xfId="3460" builtinId="8" hidden="1"/>
    <cellStyle name="Hyperlink" xfId="3462" builtinId="8" hidden="1"/>
    <cellStyle name="Hyperlink" xfId="3464" builtinId="8" hidden="1"/>
    <cellStyle name="Hyperlink" xfId="3466" builtinId="8" hidden="1"/>
    <cellStyle name="Hyperlink" xfId="3468" builtinId="8" hidden="1"/>
    <cellStyle name="Hyperlink" xfId="3470" builtinId="8" hidden="1"/>
    <cellStyle name="Hyperlink" xfId="3472" builtinId="8" hidden="1"/>
    <cellStyle name="Hyperlink" xfId="3474" builtinId="8" hidden="1"/>
    <cellStyle name="Hyperlink" xfId="3476" builtinId="8" hidden="1"/>
    <cellStyle name="Hyperlink" xfId="3478" builtinId="8" hidden="1"/>
    <cellStyle name="Hyperlink" xfId="3480" builtinId="8" hidden="1"/>
    <cellStyle name="Hyperlink" xfId="3482" builtinId="8" hidden="1"/>
    <cellStyle name="Hyperlink" xfId="3484" builtinId="8" hidden="1"/>
    <cellStyle name="Hyperlink" xfId="3486" builtinId="8" hidden="1"/>
    <cellStyle name="Hyperlink" xfId="3488" builtinId="8" hidden="1"/>
    <cellStyle name="Hyperlink" xfId="3490" builtinId="8" hidden="1"/>
    <cellStyle name="Hyperlink" xfId="3492" builtinId="8" hidden="1"/>
    <cellStyle name="Hyperlink" xfId="3494" builtinId="8" hidden="1"/>
    <cellStyle name="Hyperlink" xfId="3496" builtinId="8" hidden="1"/>
    <cellStyle name="Hyperlink" xfId="3498" builtinId="8" hidden="1"/>
    <cellStyle name="Hyperlink" xfId="3500" builtinId="8" hidden="1"/>
    <cellStyle name="Hyperlink" xfId="3502" builtinId="8" hidden="1"/>
    <cellStyle name="Hyperlink" xfId="3504" builtinId="8" hidden="1"/>
    <cellStyle name="Hyperlink" xfId="3506" builtinId="8" hidden="1"/>
    <cellStyle name="Hyperlink" xfId="3508" builtinId="8" hidden="1"/>
    <cellStyle name="Hyperlink" xfId="3510" builtinId="8" hidden="1"/>
    <cellStyle name="Hyperlink" xfId="3512" builtinId="8" hidden="1"/>
    <cellStyle name="Hyperlink" xfId="3514" builtinId="8" hidden="1"/>
    <cellStyle name="Hyperlink" xfId="3516" builtinId="8" hidden="1"/>
    <cellStyle name="Hyperlink" xfId="3518" builtinId="8" hidden="1"/>
    <cellStyle name="Hyperlink" xfId="3520" builtinId="8" hidden="1"/>
    <cellStyle name="Hyperlink" xfId="3522" builtinId="8" hidden="1"/>
    <cellStyle name="Hyperlink" xfId="3524" builtinId="8" hidden="1"/>
    <cellStyle name="Hyperlink" xfId="3526" builtinId="8" hidden="1"/>
    <cellStyle name="Hyperlink" xfId="3528" builtinId="8" hidden="1"/>
    <cellStyle name="Hyperlink" xfId="3530" builtinId="8" hidden="1"/>
    <cellStyle name="Hyperlink" xfId="3532" builtinId="8" hidden="1"/>
    <cellStyle name="Hyperlink" xfId="3534" builtinId="8" hidden="1"/>
    <cellStyle name="Hyperlink" xfId="3536" builtinId="8" hidden="1"/>
    <cellStyle name="Hyperlink" xfId="3538" builtinId="8" hidden="1"/>
    <cellStyle name="Hyperlink" xfId="3540" builtinId="8" hidden="1"/>
    <cellStyle name="Hyperlink" xfId="3542" builtinId="8" hidden="1"/>
    <cellStyle name="Hyperlink" xfId="3544" builtinId="8" hidden="1"/>
    <cellStyle name="Hyperlink" xfId="3546" builtinId="8" hidden="1"/>
    <cellStyle name="Hyperlink" xfId="3548" builtinId="8" hidden="1"/>
    <cellStyle name="Hyperlink" xfId="3550" builtinId="8" hidden="1"/>
    <cellStyle name="Hyperlink" xfId="3552" builtinId="8" hidden="1"/>
    <cellStyle name="Hyperlink" xfId="3554" builtinId="8" hidden="1"/>
    <cellStyle name="Hyperlink" xfId="3556" builtinId="8" hidden="1"/>
    <cellStyle name="Hyperlink" xfId="3558" builtinId="8" hidden="1"/>
    <cellStyle name="Hyperlink" xfId="3560" builtinId="8" hidden="1"/>
    <cellStyle name="Hyperlink" xfId="3562" builtinId="8" hidden="1"/>
    <cellStyle name="Hyperlink" xfId="3564" builtinId="8" hidden="1"/>
    <cellStyle name="Hyperlink" xfId="3566" builtinId="8" hidden="1"/>
    <cellStyle name="Hyperlink" xfId="3568" builtinId="8" hidden="1"/>
    <cellStyle name="Hyperlink" xfId="3570" builtinId="8" hidden="1"/>
    <cellStyle name="Hyperlink" xfId="3572" builtinId="8" hidden="1"/>
    <cellStyle name="Hyperlink" xfId="3574" builtinId="8" hidden="1"/>
    <cellStyle name="Hyperlink" xfId="3576" builtinId="8" hidden="1"/>
    <cellStyle name="Hyperlink" xfId="3578" builtinId="8" hidden="1"/>
    <cellStyle name="Hyperlink" xfId="3580" builtinId="8" hidden="1"/>
    <cellStyle name="Hyperlink" xfId="3582" builtinId="8" hidden="1"/>
    <cellStyle name="Hyperlink" xfId="3584" builtinId="8" hidden="1"/>
    <cellStyle name="Hyperlink" xfId="3586" builtinId="8" hidden="1"/>
    <cellStyle name="Hyperlink" xfId="3588" builtinId="8" hidden="1"/>
    <cellStyle name="Hyperlink" xfId="3590" builtinId="8" hidden="1"/>
    <cellStyle name="Hyperlink" xfId="3592" builtinId="8" hidden="1"/>
    <cellStyle name="Hyperlink" xfId="3594" builtinId="8" hidden="1"/>
    <cellStyle name="Hyperlink" xfId="3596" builtinId="8" hidden="1"/>
    <cellStyle name="Hyperlink" xfId="3598" builtinId="8" hidden="1"/>
    <cellStyle name="Hyperlink" xfId="3600" builtinId="8" hidden="1"/>
    <cellStyle name="Hyperlink" xfId="3602" builtinId="8" hidden="1"/>
    <cellStyle name="Hyperlink" xfId="3604" builtinId="8" hidden="1"/>
    <cellStyle name="Hyperlink" xfId="3606" builtinId="8" hidden="1"/>
    <cellStyle name="Hyperlink" xfId="3608" builtinId="8" hidden="1"/>
    <cellStyle name="Hyperlink" xfId="3610" builtinId="8" hidden="1"/>
    <cellStyle name="Hyperlink" xfId="3612" builtinId="8" hidden="1"/>
    <cellStyle name="Hyperlink" xfId="3614" builtinId="8" hidden="1"/>
    <cellStyle name="Hyperlink" xfId="3616" builtinId="8" hidden="1"/>
    <cellStyle name="Hyperlink" xfId="3618" builtinId="8" hidden="1"/>
    <cellStyle name="Hyperlink" xfId="3620" builtinId="8" hidden="1"/>
    <cellStyle name="Hyperlink" xfId="3622" builtinId="8" hidden="1"/>
    <cellStyle name="Hyperlink" xfId="3624" builtinId="8" hidden="1"/>
    <cellStyle name="Hyperlink" xfId="3626" builtinId="8" hidden="1"/>
    <cellStyle name="Hyperlink" xfId="3628" builtinId="8" hidden="1"/>
    <cellStyle name="Hyperlink" xfId="3630" builtinId="8" hidden="1"/>
    <cellStyle name="Hyperlink" xfId="3632" builtinId="8" hidden="1"/>
    <cellStyle name="Hyperlink" xfId="3634" builtinId="8" hidden="1"/>
    <cellStyle name="Hyperlink" xfId="3636" builtinId="8" hidden="1"/>
    <cellStyle name="Hyperlink" xfId="3638" builtinId="8" hidden="1"/>
    <cellStyle name="Hyperlink" xfId="3640" builtinId="8" hidden="1"/>
    <cellStyle name="Hyperlink" xfId="3642" builtinId="8" hidden="1"/>
    <cellStyle name="Hyperlink" xfId="3644" builtinId="8" hidden="1"/>
    <cellStyle name="Hyperlink" xfId="3646" builtinId="8" hidden="1"/>
    <cellStyle name="Hyperlink" xfId="3648" builtinId="8" hidden="1"/>
    <cellStyle name="Hyperlink" xfId="3650" builtinId="8" hidden="1"/>
    <cellStyle name="Hyperlink" xfId="3652" builtinId="8" hidden="1"/>
    <cellStyle name="Hyperlink" xfId="3654" builtinId="8" hidden="1"/>
    <cellStyle name="Hyperlink" xfId="3656" builtinId="8" hidden="1"/>
    <cellStyle name="Hyperlink" xfId="3658" builtinId="8" hidden="1"/>
    <cellStyle name="Hyperlink" xfId="3660" builtinId="8" hidden="1"/>
    <cellStyle name="Hyperlink" xfId="3662" builtinId="8" hidden="1"/>
    <cellStyle name="Hyperlink" xfId="3664" builtinId="8" hidden="1"/>
    <cellStyle name="Hyperlink" xfId="3666" builtinId="8" hidden="1"/>
    <cellStyle name="Hyperlink" xfId="3668" builtinId="8" hidden="1"/>
    <cellStyle name="Hyperlink" xfId="3670" builtinId="8" hidden="1"/>
    <cellStyle name="Hyperlink" xfId="3672" builtinId="8" hidden="1"/>
    <cellStyle name="Hyperlink" xfId="3674" builtinId="8" hidden="1"/>
    <cellStyle name="Hyperlink" xfId="3676" builtinId="8" hidden="1"/>
    <cellStyle name="Hyperlink" xfId="3678" builtinId="8" hidden="1"/>
    <cellStyle name="Hyperlink" xfId="3680" builtinId="8" hidden="1"/>
    <cellStyle name="Hyperlink" xfId="3682" builtinId="8" hidden="1"/>
    <cellStyle name="Hyperlink" xfId="3684" builtinId="8" hidden="1"/>
    <cellStyle name="Hyperlink" xfId="3686" builtinId="8" hidden="1"/>
    <cellStyle name="Hyperlink" xfId="3688" builtinId="8" hidden="1"/>
    <cellStyle name="Hyperlink" xfId="3690" builtinId="8" hidden="1"/>
    <cellStyle name="Hyperlink" xfId="3692" builtinId="8" hidden="1"/>
    <cellStyle name="Hyperlink" xfId="3694" builtinId="8" hidden="1"/>
    <cellStyle name="Hyperlink" xfId="3696" builtinId="8" hidden="1"/>
    <cellStyle name="Hyperlink" xfId="3698" builtinId="8" hidden="1"/>
    <cellStyle name="Hyperlink" xfId="3700" builtinId="8" hidden="1"/>
    <cellStyle name="Hyperlink" xfId="3702" builtinId="8" hidden="1"/>
    <cellStyle name="Hyperlink" xfId="3704" builtinId="8" hidden="1"/>
    <cellStyle name="Hyperlink" xfId="3706" builtinId="8" hidden="1"/>
    <cellStyle name="Hyperlink" xfId="3708" builtinId="8" hidden="1"/>
    <cellStyle name="Hyperlink" xfId="3710" builtinId="8" hidden="1"/>
    <cellStyle name="Hyperlink" xfId="3712" builtinId="8" hidden="1"/>
    <cellStyle name="Hyperlink" xfId="3714" builtinId="8" hidden="1"/>
    <cellStyle name="Hyperlink" xfId="3716" builtinId="8" hidden="1"/>
    <cellStyle name="Hyperlink" xfId="3718" builtinId="8" hidden="1"/>
    <cellStyle name="Hyperlink" xfId="3720" builtinId="8" hidden="1"/>
    <cellStyle name="Hyperlink" xfId="3722" builtinId="8" hidden="1"/>
    <cellStyle name="Hyperlink" xfId="3724" builtinId="8" hidden="1"/>
    <cellStyle name="Hyperlink" xfId="3726" builtinId="8" hidden="1"/>
    <cellStyle name="Hyperlink" xfId="3728" builtinId="8" hidden="1"/>
    <cellStyle name="Hyperlink" xfId="3730" builtinId="8" hidden="1"/>
    <cellStyle name="Hyperlink" xfId="3732" builtinId="8" hidden="1"/>
    <cellStyle name="Hyperlink" xfId="3734" builtinId="8" hidden="1"/>
    <cellStyle name="Hyperlink" xfId="3736" builtinId="8" hidden="1"/>
    <cellStyle name="Hyperlink" xfId="3738" builtinId="8" hidden="1"/>
    <cellStyle name="Hyperlink" xfId="3740" builtinId="8" hidden="1"/>
    <cellStyle name="Hyperlink" xfId="3742" builtinId="8" hidden="1"/>
    <cellStyle name="Hyperlink" xfId="3744" builtinId="8" hidden="1"/>
    <cellStyle name="Hyperlink" xfId="3746" builtinId="8" hidden="1"/>
    <cellStyle name="Hyperlink" xfId="3748" builtinId="8" hidden="1"/>
    <cellStyle name="Hyperlink" xfId="3750" builtinId="8" hidden="1"/>
    <cellStyle name="Hyperlink" xfId="3752" builtinId="8" hidden="1"/>
    <cellStyle name="Hyperlink" xfId="3754" builtinId="8" hidden="1"/>
    <cellStyle name="Hyperlink" xfId="3756" builtinId="8" hidden="1"/>
    <cellStyle name="Hyperlink" xfId="3758" builtinId="8" hidden="1"/>
    <cellStyle name="Hyperlink" xfId="3760" builtinId="8" hidden="1"/>
    <cellStyle name="Hyperlink" xfId="3762" builtinId="8" hidden="1"/>
    <cellStyle name="Hyperlink" xfId="3764" builtinId="8" hidden="1"/>
    <cellStyle name="Hyperlink" xfId="3766" builtinId="8" hidden="1"/>
    <cellStyle name="Hyperlink" xfId="3768" builtinId="8" hidden="1"/>
    <cellStyle name="Hyperlink" xfId="3770" builtinId="8" hidden="1"/>
    <cellStyle name="Hyperlink" xfId="3772" builtinId="8" hidden="1"/>
    <cellStyle name="Hyperlink" xfId="3774" builtinId="8" hidden="1"/>
    <cellStyle name="Hyperlink" xfId="3776" builtinId="8" hidden="1"/>
    <cellStyle name="Hyperlink" xfId="3778" builtinId="8" hidden="1"/>
    <cellStyle name="Hyperlink" xfId="3780" builtinId="8" hidden="1"/>
    <cellStyle name="Hyperlink" xfId="3782" builtinId="8" hidden="1"/>
    <cellStyle name="Hyperlink" xfId="3784" builtinId="8" hidden="1"/>
    <cellStyle name="Hyperlink" xfId="3786" builtinId="8" hidden="1"/>
    <cellStyle name="Hyperlink" xfId="3788" builtinId="8" hidden="1"/>
    <cellStyle name="Hyperlink" xfId="3790" builtinId="8" hidden="1"/>
    <cellStyle name="Hyperlink" xfId="3792" builtinId="8" hidden="1"/>
    <cellStyle name="Hyperlink" xfId="3794" builtinId="8" hidden="1"/>
    <cellStyle name="Hyperlink" xfId="3796" builtinId="8" hidden="1"/>
    <cellStyle name="Hyperlink" xfId="3798" builtinId="8" hidden="1"/>
    <cellStyle name="Hyperlink" xfId="3800" builtinId="8" hidden="1"/>
    <cellStyle name="Hyperlink" xfId="3802" builtinId="8" hidden="1"/>
    <cellStyle name="Hyperlink" xfId="3804" builtinId="8" hidden="1"/>
    <cellStyle name="Hyperlink" xfId="3806" builtinId="8" hidden="1"/>
    <cellStyle name="Hyperlink" xfId="3808" builtinId="8" hidden="1"/>
    <cellStyle name="Hyperlink" xfId="3810" builtinId="8" hidden="1"/>
    <cellStyle name="Hyperlink" xfId="3812" builtinId="8" hidden="1"/>
    <cellStyle name="Hyperlink" xfId="3814" builtinId="8" hidden="1"/>
    <cellStyle name="Hyperlink" xfId="3816" builtinId="8" hidden="1"/>
    <cellStyle name="Hyperlink" xfId="3818" builtinId="8" hidden="1"/>
    <cellStyle name="Hyperlink" xfId="3820" builtinId="8" hidden="1"/>
    <cellStyle name="Hyperlink" xfId="3822" builtinId="8" hidden="1"/>
    <cellStyle name="Hyperlink" xfId="3824" builtinId="8" hidden="1"/>
    <cellStyle name="Hyperlink" xfId="3826" builtinId="8" hidden="1"/>
    <cellStyle name="Hyperlink" xfId="3828" builtinId="8" hidden="1"/>
    <cellStyle name="Hyperlink" xfId="3830" builtinId="8" hidden="1"/>
    <cellStyle name="Hyperlink" xfId="3832" builtinId="8" hidden="1"/>
    <cellStyle name="Hyperlink" xfId="3834" builtinId="8" hidden="1"/>
    <cellStyle name="Hyperlink" xfId="3836" builtinId="8" hidden="1"/>
    <cellStyle name="Hyperlink" xfId="3838" builtinId="8" hidden="1"/>
    <cellStyle name="Hyperlink" xfId="3840" builtinId="8" hidden="1"/>
    <cellStyle name="Hyperlink" xfId="3842" builtinId="8" hidden="1"/>
    <cellStyle name="Hyperlink" xfId="3844" builtinId="8" hidden="1"/>
    <cellStyle name="Hyperlink" xfId="3846" builtinId="8" hidden="1"/>
    <cellStyle name="Hyperlink" xfId="3848" builtinId="8" hidden="1"/>
    <cellStyle name="Hyperlink" xfId="3850" builtinId="8" hidden="1"/>
    <cellStyle name="Hyperlink" xfId="3852" builtinId="8" hidden="1"/>
    <cellStyle name="Hyperlink" xfId="3854" builtinId="8" hidden="1"/>
    <cellStyle name="Hyperlink" xfId="3856" builtinId="8" hidden="1"/>
    <cellStyle name="Hyperlink" xfId="3858" builtinId="8" hidden="1"/>
    <cellStyle name="Hyperlink" xfId="3860" builtinId="8" hidden="1"/>
    <cellStyle name="Hyperlink" xfId="3862" builtinId="8" hidden="1"/>
    <cellStyle name="Hyperlink" xfId="3864" builtinId="8" hidden="1"/>
    <cellStyle name="Hyperlink" xfId="3866" builtinId="8" hidden="1"/>
    <cellStyle name="Hyperlink" xfId="3868" builtinId="8" hidden="1"/>
    <cellStyle name="Hyperlink" xfId="3870" builtinId="8" hidden="1"/>
    <cellStyle name="Hyperlink" xfId="3872" builtinId="8" hidden="1"/>
    <cellStyle name="Hyperlink" xfId="3874" builtinId="8" hidden="1"/>
    <cellStyle name="Hyperlink" xfId="3876" builtinId="8" hidden="1"/>
    <cellStyle name="Hyperlink" xfId="3878" builtinId="8" hidden="1"/>
    <cellStyle name="Hyperlink" xfId="3880" builtinId="8" hidden="1"/>
    <cellStyle name="Hyperlink" xfId="3882" builtinId="8" hidden="1"/>
    <cellStyle name="Hyperlink" xfId="3884" builtinId="8" hidden="1"/>
    <cellStyle name="Hyperlink" xfId="3886" builtinId="8" hidden="1"/>
    <cellStyle name="Hyperlink" xfId="3888" builtinId="8" hidden="1"/>
    <cellStyle name="Hyperlink" xfId="3890" builtinId="8" hidden="1"/>
    <cellStyle name="Hyperlink" xfId="3892" builtinId="8" hidden="1"/>
    <cellStyle name="Hyperlink" xfId="3894" builtinId="8" hidden="1"/>
    <cellStyle name="Hyperlink" xfId="3896" builtinId="8" hidden="1"/>
    <cellStyle name="Hyperlink" xfId="3898" builtinId="8" hidden="1"/>
    <cellStyle name="Hyperlink" xfId="3900" builtinId="8" hidden="1"/>
    <cellStyle name="Hyperlink" xfId="3902" builtinId="8" hidden="1"/>
    <cellStyle name="Hyperlink" xfId="3904" builtinId="8" hidden="1"/>
    <cellStyle name="Hyperlink" xfId="3906" builtinId="8" hidden="1"/>
    <cellStyle name="Hyperlink" xfId="3908" builtinId="8" hidden="1"/>
    <cellStyle name="Hyperlink" xfId="3910" builtinId="8" hidden="1"/>
    <cellStyle name="Hyperlink" xfId="3912" builtinId="8" hidden="1"/>
    <cellStyle name="Hyperlink" xfId="3914" builtinId="8" hidden="1"/>
    <cellStyle name="Hyperlink" xfId="3916" builtinId="8" hidden="1"/>
    <cellStyle name="Hyperlink" xfId="3918" builtinId="8" hidden="1"/>
    <cellStyle name="Hyperlink" xfId="3920" builtinId="8" hidden="1"/>
    <cellStyle name="Hyperlink" xfId="3922" builtinId="8" hidden="1"/>
    <cellStyle name="Hyperlink" xfId="3924" builtinId="8" hidden="1"/>
    <cellStyle name="Hyperlink" xfId="3926" builtinId="8" hidden="1"/>
    <cellStyle name="Hyperlink" xfId="3928" builtinId="8" hidden="1"/>
    <cellStyle name="Hyperlink" xfId="3930" builtinId="8" hidden="1"/>
    <cellStyle name="Hyperlink" xfId="3932" builtinId="8" hidden="1"/>
    <cellStyle name="Hyperlink" xfId="3934" builtinId="8" hidden="1"/>
    <cellStyle name="Hyperlink" xfId="3936" builtinId="8" hidden="1"/>
    <cellStyle name="Hyperlink" xfId="3938" builtinId="8" hidden="1"/>
    <cellStyle name="Hyperlink" xfId="3940" builtinId="8" hidden="1"/>
    <cellStyle name="Hyperlink" xfId="3942" builtinId="8" hidden="1"/>
    <cellStyle name="Hyperlink" xfId="3944" builtinId="8" hidden="1"/>
    <cellStyle name="Hyperlink" xfId="3946" builtinId="8" hidden="1"/>
    <cellStyle name="Hyperlink" xfId="3948" builtinId="8" hidden="1"/>
    <cellStyle name="Hyperlink" xfId="3950" builtinId="8" hidden="1"/>
    <cellStyle name="Hyperlink" xfId="3952" builtinId="8" hidden="1"/>
    <cellStyle name="Hyperlink" xfId="3954" builtinId="8" hidden="1"/>
    <cellStyle name="Hyperlink" xfId="3956" builtinId="8" hidden="1"/>
    <cellStyle name="Hyperlink" xfId="3958" builtinId="8" hidden="1"/>
    <cellStyle name="Hyperlink" xfId="3960" builtinId="8" hidden="1"/>
    <cellStyle name="Hyperlink" xfId="3962" builtinId="8" hidden="1"/>
    <cellStyle name="Hyperlink" xfId="3964" builtinId="8" hidden="1"/>
    <cellStyle name="Hyperlink" xfId="3966" builtinId="8" hidden="1"/>
    <cellStyle name="Hyperlink" xfId="3968" builtinId="8" hidden="1"/>
    <cellStyle name="Hyperlink" xfId="3970" builtinId="8" hidden="1"/>
    <cellStyle name="Hyperlink" xfId="3972" builtinId="8" hidden="1"/>
    <cellStyle name="Hyperlink" xfId="3974" builtinId="8" hidden="1"/>
    <cellStyle name="Hyperlink" xfId="3976" builtinId="8" hidden="1"/>
    <cellStyle name="Hyperlink" xfId="3978" builtinId="8" hidden="1"/>
    <cellStyle name="Hyperlink" xfId="3980" builtinId="8" hidden="1"/>
    <cellStyle name="Hyperlink" xfId="3982" builtinId="8" hidden="1"/>
    <cellStyle name="Hyperlink" xfId="3984" builtinId="8" hidden="1"/>
    <cellStyle name="Hyperlink" xfId="3986" builtinId="8" hidden="1"/>
    <cellStyle name="Hyperlink" xfId="3988" builtinId="8" hidden="1"/>
    <cellStyle name="Hyperlink" xfId="3990" builtinId="8" hidden="1"/>
    <cellStyle name="Hyperlink" xfId="3992" builtinId="8" hidden="1"/>
    <cellStyle name="Hyperlink" xfId="3994" builtinId="8" hidden="1"/>
    <cellStyle name="Hyperlink" xfId="3996" builtinId="8" hidden="1"/>
    <cellStyle name="Hyperlink" xfId="3998" builtinId="8" hidden="1"/>
    <cellStyle name="Hyperlink" xfId="4000" builtinId="8" hidden="1"/>
    <cellStyle name="Hyperlink" xfId="4002" builtinId="8" hidden="1"/>
    <cellStyle name="Hyperlink" xfId="4004" builtinId="8" hidden="1"/>
    <cellStyle name="Hyperlink" xfId="4006" builtinId="8" hidden="1"/>
    <cellStyle name="Hyperlink" xfId="4008" builtinId="8" hidden="1"/>
    <cellStyle name="Hyperlink" xfId="4010" builtinId="8" hidden="1"/>
    <cellStyle name="Hyperlink" xfId="4012" builtinId="8" hidden="1"/>
    <cellStyle name="Hyperlink" xfId="4014" builtinId="8" hidden="1"/>
    <cellStyle name="Hyperlink" xfId="4016" builtinId="8" hidden="1"/>
    <cellStyle name="Hyperlink" xfId="4018" builtinId="8" hidden="1"/>
    <cellStyle name="Hyperlink" xfId="4020" builtinId="8" hidden="1"/>
    <cellStyle name="Hyperlink" xfId="4022" builtinId="8" hidden="1"/>
    <cellStyle name="Hyperlink" xfId="4024" builtinId="8" hidden="1"/>
    <cellStyle name="Hyperlink" xfId="4026" builtinId="8" hidden="1"/>
    <cellStyle name="Hyperlink" xfId="4028" builtinId="8" hidden="1"/>
    <cellStyle name="Hyperlink" xfId="4030" builtinId="8" hidden="1"/>
    <cellStyle name="Hyperlink" xfId="4032" builtinId="8" hidden="1"/>
    <cellStyle name="Hyperlink" xfId="4034" builtinId="8" hidden="1"/>
    <cellStyle name="Hyperlink" xfId="4036" builtinId="8" hidden="1"/>
    <cellStyle name="Hyperlink" xfId="4038" builtinId="8" hidden="1"/>
    <cellStyle name="Hyperlink" xfId="4040" builtinId="8" hidden="1"/>
    <cellStyle name="Hyperlink" xfId="4042" builtinId="8" hidden="1"/>
    <cellStyle name="Hyperlink" xfId="4044" builtinId="8" hidden="1"/>
    <cellStyle name="Hyperlink" xfId="4046" builtinId="8" hidden="1"/>
    <cellStyle name="Hyperlink" xfId="4048" builtinId="8" hidden="1"/>
    <cellStyle name="Hyperlink" xfId="4050" builtinId="8" hidden="1"/>
    <cellStyle name="Hyperlink" xfId="4052" builtinId="8" hidden="1"/>
    <cellStyle name="Hyperlink" xfId="4054" builtinId="8" hidden="1"/>
    <cellStyle name="Hyperlink" xfId="4056" builtinId="8" hidden="1"/>
    <cellStyle name="Hyperlink" xfId="4058" builtinId="8" hidden="1"/>
    <cellStyle name="Hyperlink" xfId="4060" builtinId="8" hidden="1"/>
    <cellStyle name="Hyperlink" xfId="4062" builtinId="8" hidden="1"/>
    <cellStyle name="Hyperlink" xfId="4064" builtinId="8" hidden="1"/>
    <cellStyle name="Hyperlink" xfId="4066" builtinId="8" hidden="1"/>
    <cellStyle name="Hyperlink" xfId="4068" builtinId="8" hidden="1"/>
    <cellStyle name="Hyperlink" xfId="4070" builtinId="8" hidden="1"/>
    <cellStyle name="Hyperlink" xfId="4072" builtinId="8" hidden="1"/>
    <cellStyle name="Hyperlink" xfId="4074" builtinId="8" hidden="1"/>
    <cellStyle name="Hyperlink" xfId="4076" builtinId="8" hidden="1"/>
    <cellStyle name="Hyperlink" xfId="4078" builtinId="8" hidden="1"/>
    <cellStyle name="Hyperlink" xfId="4080" builtinId="8" hidden="1"/>
    <cellStyle name="Hyperlink" xfId="4082" builtinId="8" hidden="1"/>
    <cellStyle name="Hyperlink" xfId="4084" builtinId="8" hidden="1"/>
    <cellStyle name="Hyperlink" xfId="4086" builtinId="8" hidden="1"/>
    <cellStyle name="Hyperlink" xfId="4088" builtinId="8" hidden="1"/>
    <cellStyle name="Hyperlink" xfId="4090" builtinId="8" hidden="1"/>
    <cellStyle name="Hyperlink" xfId="4092" builtinId="8" hidden="1"/>
    <cellStyle name="Hyperlink" xfId="4094" builtinId="8" hidden="1"/>
    <cellStyle name="Hyperlink" xfId="4096" builtinId="8" hidden="1"/>
    <cellStyle name="Hyperlink" xfId="4098" builtinId="8" hidden="1"/>
    <cellStyle name="Hyperlink" xfId="4100" builtinId="8" hidden="1"/>
    <cellStyle name="Hyperlink" xfId="4102" builtinId="8" hidden="1"/>
    <cellStyle name="Hyperlink" xfId="4104" builtinId="8" hidden="1"/>
    <cellStyle name="Hyperlink" xfId="4106" builtinId="8" hidden="1"/>
    <cellStyle name="Hyperlink" xfId="4108" builtinId="8" hidden="1"/>
    <cellStyle name="Hyperlink" xfId="4110" builtinId="8" hidden="1"/>
    <cellStyle name="Hyperlink" xfId="4112" builtinId="8" hidden="1"/>
    <cellStyle name="Hyperlink" xfId="4114" builtinId="8" hidden="1"/>
    <cellStyle name="Hyperlink" xfId="4116" builtinId="8" hidden="1"/>
    <cellStyle name="Hyperlink" xfId="4118" builtinId="8" hidden="1"/>
    <cellStyle name="Hyperlink" xfId="4120" builtinId="8" hidden="1"/>
    <cellStyle name="Hyperlink" xfId="4122" builtinId="8" hidden="1"/>
    <cellStyle name="Hyperlink" xfId="4124" builtinId="8" hidden="1"/>
    <cellStyle name="Hyperlink" xfId="4126" builtinId="8" hidden="1"/>
    <cellStyle name="Hyperlink" xfId="4128" builtinId="8" hidden="1"/>
    <cellStyle name="Hyperlink" xfId="4130" builtinId="8" hidden="1"/>
    <cellStyle name="Hyperlink" xfId="4132" builtinId="8" hidden="1"/>
    <cellStyle name="Hyperlink" xfId="4134" builtinId="8" hidden="1"/>
    <cellStyle name="Hyperlink" xfId="4136" builtinId="8" hidden="1"/>
    <cellStyle name="Hyperlink" xfId="4138" builtinId="8" hidden="1"/>
    <cellStyle name="Hyperlink" xfId="4140" builtinId="8" hidden="1"/>
    <cellStyle name="Hyperlink" xfId="4142" builtinId="8" hidden="1"/>
    <cellStyle name="Hyperlink" xfId="4144" builtinId="8" hidden="1"/>
    <cellStyle name="Hyperlink" xfId="4146" builtinId="8" hidden="1"/>
    <cellStyle name="Hyperlink" xfId="4148" builtinId="8" hidden="1"/>
    <cellStyle name="Hyperlink" xfId="4150" builtinId="8" hidden="1"/>
    <cellStyle name="Hyperlink" xfId="4152" builtinId="8" hidden="1"/>
    <cellStyle name="Hyperlink" xfId="4154" builtinId="8" hidden="1"/>
    <cellStyle name="Hyperlink" xfId="4156" builtinId="8" hidden="1"/>
    <cellStyle name="Hyperlink" xfId="4158" builtinId="8" hidden="1"/>
    <cellStyle name="Hyperlink" xfId="4160" builtinId="8" hidden="1"/>
    <cellStyle name="Hyperlink" xfId="4162" builtinId="8" hidden="1"/>
    <cellStyle name="Hyperlink" xfId="4164" builtinId="8" hidden="1"/>
    <cellStyle name="Hyperlink" xfId="4166" builtinId="8" hidden="1"/>
    <cellStyle name="Hyperlink" xfId="4168" builtinId="8" hidden="1"/>
    <cellStyle name="Hyperlink" xfId="4170" builtinId="8" hidden="1"/>
    <cellStyle name="Hyperlink" xfId="4172" builtinId="8" hidden="1"/>
    <cellStyle name="Hyperlink" xfId="4174" builtinId="8" hidden="1"/>
    <cellStyle name="Hyperlink" xfId="4176" builtinId="8" hidden="1"/>
    <cellStyle name="Hyperlink" xfId="4178" builtinId="8" hidden="1"/>
    <cellStyle name="Hyperlink" xfId="4180" builtinId="8" hidden="1"/>
    <cellStyle name="Hyperlink" xfId="4182" builtinId="8" hidden="1"/>
    <cellStyle name="Hyperlink" xfId="4184" builtinId="8" hidden="1"/>
    <cellStyle name="Hyperlink" xfId="4186" builtinId="8" hidden="1"/>
    <cellStyle name="Hyperlink" xfId="4188" builtinId="8" hidden="1"/>
    <cellStyle name="Hyperlink" xfId="4190" builtinId="8" hidden="1"/>
    <cellStyle name="Hyperlink" xfId="4192" builtinId="8" hidden="1"/>
    <cellStyle name="Hyperlink" xfId="4194" builtinId="8" hidden="1"/>
    <cellStyle name="Hyperlink" xfId="4196" builtinId="8" hidden="1"/>
    <cellStyle name="Hyperlink" xfId="4198" builtinId="8" hidden="1"/>
    <cellStyle name="Hyperlink" xfId="4200" builtinId="8" hidden="1"/>
    <cellStyle name="Hyperlink" xfId="4202" builtinId="8" hidden="1"/>
    <cellStyle name="Hyperlink" xfId="4204" builtinId="8" hidden="1"/>
    <cellStyle name="Hyperlink" xfId="4206" builtinId="8" hidden="1"/>
    <cellStyle name="Hyperlink" xfId="4208" builtinId="8" hidden="1"/>
    <cellStyle name="Hyperlink" xfId="4210" builtinId="8" hidden="1"/>
    <cellStyle name="Hyperlink" xfId="4212" builtinId="8" hidden="1"/>
    <cellStyle name="Hyperlink" xfId="4214" builtinId="8" hidden="1"/>
    <cellStyle name="Hyperlink" xfId="4216" builtinId="8" hidden="1"/>
    <cellStyle name="Hyperlink" xfId="4218" builtinId="8" hidden="1"/>
    <cellStyle name="Hyperlink" xfId="4220" builtinId="8" hidden="1"/>
    <cellStyle name="Hyperlink" xfId="4222" builtinId="8" hidden="1"/>
    <cellStyle name="Hyperlink" xfId="4224" builtinId="8" hidden="1"/>
    <cellStyle name="Hyperlink" xfId="4226" builtinId="8" hidden="1"/>
    <cellStyle name="Hyperlink" xfId="4228" builtinId="8" hidden="1"/>
    <cellStyle name="Hyperlink" xfId="4230" builtinId="8" hidden="1"/>
    <cellStyle name="Hyperlink" xfId="4232" builtinId="8" hidden="1"/>
    <cellStyle name="Hyperlink" xfId="4234" builtinId="8" hidden="1"/>
    <cellStyle name="Hyperlink" xfId="4236" builtinId="8" hidden="1"/>
    <cellStyle name="Hyperlink" xfId="4238" builtinId="8" hidden="1"/>
    <cellStyle name="Hyperlink" xfId="4240" builtinId="8" hidden="1"/>
    <cellStyle name="Hyperlink" xfId="4242" builtinId="8" hidden="1"/>
    <cellStyle name="Hyperlink" xfId="4244" builtinId="8" hidden="1"/>
    <cellStyle name="Hyperlink" xfId="4246" builtinId="8" hidden="1"/>
    <cellStyle name="Hyperlink" xfId="4248" builtinId="8" hidden="1"/>
    <cellStyle name="Hyperlink" xfId="4250" builtinId="8" hidden="1"/>
    <cellStyle name="Hyperlink" xfId="4252" builtinId="8" hidden="1"/>
    <cellStyle name="Hyperlink" xfId="4254" builtinId="8" hidden="1"/>
    <cellStyle name="Hyperlink" xfId="4256" builtinId="8" hidden="1"/>
    <cellStyle name="Hyperlink" xfId="4258" builtinId="8" hidden="1"/>
    <cellStyle name="Hyperlink" xfId="4260" builtinId="8" hidden="1"/>
    <cellStyle name="Hyperlink" xfId="4262" builtinId="8" hidden="1"/>
    <cellStyle name="Hyperlink" xfId="4264" builtinId="8" hidden="1"/>
    <cellStyle name="Hyperlink" xfId="4266" builtinId="8" hidden="1"/>
    <cellStyle name="Hyperlink" xfId="4268" builtinId="8" hidden="1"/>
    <cellStyle name="Hyperlink" xfId="4270" builtinId="8" hidden="1"/>
    <cellStyle name="Hyperlink" xfId="4272" builtinId="8" hidden="1"/>
    <cellStyle name="Hyperlink" xfId="4274" builtinId="8" hidden="1"/>
    <cellStyle name="Hyperlink" xfId="4276" builtinId="8" hidden="1"/>
    <cellStyle name="Hyperlink" xfId="4278" builtinId="8" hidden="1"/>
    <cellStyle name="Hyperlink" xfId="4280" builtinId="8" hidden="1"/>
    <cellStyle name="Hyperlink" xfId="4282" builtinId="8" hidden="1"/>
    <cellStyle name="Hyperlink" xfId="4284" builtinId="8" hidden="1"/>
    <cellStyle name="Hyperlink" xfId="4286" builtinId="8" hidden="1"/>
    <cellStyle name="Hyperlink" xfId="4288" builtinId="8" hidden="1"/>
    <cellStyle name="Hyperlink" xfId="4290" builtinId="8" hidden="1"/>
    <cellStyle name="Hyperlink" xfId="4292" builtinId="8" hidden="1"/>
    <cellStyle name="Hyperlink" xfId="4294" builtinId="8" hidden="1"/>
    <cellStyle name="Hyperlink" xfId="4296" builtinId="8" hidden="1"/>
    <cellStyle name="Hyperlink" xfId="4298" builtinId="8" hidden="1"/>
    <cellStyle name="Hyperlink" xfId="4300" builtinId="8" hidden="1"/>
    <cellStyle name="Hyperlink" xfId="4302" builtinId="8" hidden="1"/>
    <cellStyle name="Hyperlink" xfId="4304" builtinId="8" hidden="1"/>
    <cellStyle name="Hyperlink" xfId="4306" builtinId="8" hidden="1"/>
    <cellStyle name="Hyperlink" xfId="4308" builtinId="8" hidden="1"/>
    <cellStyle name="Hyperlink" xfId="4310" builtinId="8" hidden="1"/>
    <cellStyle name="Hyperlink" xfId="4312" builtinId="8" hidden="1"/>
    <cellStyle name="Hyperlink" xfId="4314" builtinId="8" hidden="1"/>
    <cellStyle name="Hyperlink" xfId="4316" builtinId="8" hidden="1"/>
    <cellStyle name="Hyperlink" xfId="4318" builtinId="8" hidden="1"/>
    <cellStyle name="Hyperlink" xfId="4320" builtinId="8" hidden="1"/>
    <cellStyle name="Hyperlink" xfId="4322" builtinId="8" hidden="1"/>
    <cellStyle name="Hyperlink" xfId="4324" builtinId="8" hidden="1"/>
    <cellStyle name="Hyperlink" xfId="4326" builtinId="8" hidden="1"/>
    <cellStyle name="Hyperlink" xfId="4328" builtinId="8" hidden="1"/>
    <cellStyle name="Hyperlink" xfId="4330" builtinId="8" hidden="1"/>
    <cellStyle name="Hyperlink" xfId="4332" builtinId="8" hidden="1"/>
    <cellStyle name="Hyperlink" xfId="4334" builtinId="8" hidden="1"/>
    <cellStyle name="Hyperlink" xfId="4336" builtinId="8" hidden="1"/>
    <cellStyle name="Hyperlink" xfId="4338" builtinId="8" hidden="1"/>
    <cellStyle name="Hyperlink" xfId="4340" builtinId="8" hidden="1"/>
    <cellStyle name="Hyperlink" xfId="4342" builtinId="8" hidden="1"/>
    <cellStyle name="Hyperlink" xfId="4344" builtinId="8" hidden="1"/>
    <cellStyle name="Hyperlink" xfId="4346" builtinId="8" hidden="1"/>
    <cellStyle name="Hyperlink" xfId="4348" builtinId="8" hidden="1"/>
    <cellStyle name="Hyperlink" xfId="4350" builtinId="8" hidden="1"/>
    <cellStyle name="Hyperlink" xfId="4352" builtinId="8" hidden="1"/>
    <cellStyle name="Hyperlink" xfId="4354" builtinId="8" hidden="1"/>
    <cellStyle name="Hyperlink" xfId="4356" builtinId="8" hidden="1"/>
    <cellStyle name="Hyperlink" xfId="4358" builtinId="8" hidden="1"/>
    <cellStyle name="Hyperlink" xfId="4360" builtinId="8" hidden="1"/>
    <cellStyle name="Hyperlink" xfId="4362" builtinId="8" hidden="1"/>
    <cellStyle name="Hyperlink" xfId="4364" builtinId="8" hidden="1"/>
    <cellStyle name="Hyperlink" xfId="4366" builtinId="8" hidden="1"/>
    <cellStyle name="Hyperlink" xfId="4368" builtinId="8" hidden="1"/>
    <cellStyle name="Hyperlink" xfId="4370" builtinId="8" hidden="1"/>
    <cellStyle name="Hyperlink" xfId="4372" builtinId="8" hidden="1"/>
    <cellStyle name="Hyperlink" xfId="4374" builtinId="8" hidden="1"/>
    <cellStyle name="Hyperlink" xfId="4376" builtinId="8" hidden="1"/>
    <cellStyle name="Hyperlink" xfId="4378" builtinId="8" hidden="1"/>
    <cellStyle name="Hyperlink" xfId="4380" builtinId="8" hidden="1"/>
    <cellStyle name="Hyperlink" xfId="4382" builtinId="8" hidden="1"/>
    <cellStyle name="Hyperlink" xfId="4384" builtinId="8" hidden="1"/>
    <cellStyle name="Hyperlink" xfId="4386" builtinId="8" hidden="1"/>
    <cellStyle name="Hyperlink" xfId="4388" builtinId="8" hidden="1"/>
    <cellStyle name="Hyperlink" xfId="4390" builtinId="8" hidden="1"/>
    <cellStyle name="Hyperlink" xfId="4392" builtinId="8" hidden="1"/>
    <cellStyle name="Hyperlink" xfId="4394" builtinId="8" hidden="1"/>
    <cellStyle name="Hyperlink" xfId="4396" builtinId="8" hidden="1"/>
    <cellStyle name="Hyperlink" xfId="4398" builtinId="8" hidden="1"/>
    <cellStyle name="Hyperlink" xfId="4400" builtinId="8" hidden="1"/>
    <cellStyle name="Hyperlink" xfId="4402" builtinId="8" hidden="1"/>
    <cellStyle name="Hyperlink" xfId="4404" builtinId="8" hidden="1"/>
    <cellStyle name="Hyperlink" xfId="4406" builtinId="8" hidden="1"/>
    <cellStyle name="Hyperlink" xfId="4408" builtinId="8" hidden="1"/>
    <cellStyle name="Hyperlink" xfId="4410" builtinId="8" hidden="1"/>
    <cellStyle name="Hyperlink" xfId="4412" builtinId="8" hidden="1"/>
    <cellStyle name="Hyperlink" xfId="4414" builtinId="8" hidden="1"/>
    <cellStyle name="Hyperlink" xfId="4416" builtinId="8" hidden="1"/>
    <cellStyle name="Hyperlink" xfId="4418" builtinId="8" hidden="1"/>
    <cellStyle name="Hyperlink" xfId="4420" builtinId="8" hidden="1"/>
    <cellStyle name="Hyperlink" xfId="4422" builtinId="8" hidden="1"/>
    <cellStyle name="Hyperlink" xfId="4424" builtinId="8" hidden="1"/>
    <cellStyle name="Hyperlink" xfId="4426" builtinId="8" hidden="1"/>
    <cellStyle name="Hyperlink" xfId="4428" builtinId="8" hidden="1"/>
    <cellStyle name="Hyperlink" xfId="4430" builtinId="8" hidden="1"/>
    <cellStyle name="Hyperlink" xfId="4432" builtinId="8" hidden="1"/>
    <cellStyle name="Hyperlink" xfId="4434" builtinId="8" hidden="1"/>
    <cellStyle name="Hyperlink" xfId="4436" builtinId="8" hidden="1"/>
    <cellStyle name="Hyperlink" xfId="4438" builtinId="8" hidden="1"/>
    <cellStyle name="Hyperlink" xfId="4440" builtinId="8" hidden="1"/>
    <cellStyle name="Hyperlink" xfId="4442" builtinId="8" hidden="1"/>
    <cellStyle name="Hyperlink" xfId="4444" builtinId="8" hidden="1"/>
    <cellStyle name="Hyperlink" xfId="4446" builtinId="8" hidden="1"/>
    <cellStyle name="Hyperlink" xfId="4448" builtinId="8" hidden="1"/>
    <cellStyle name="Hyperlink" xfId="4450" builtinId="8" hidden="1"/>
    <cellStyle name="Hyperlink" xfId="4452" builtinId="8" hidden="1"/>
    <cellStyle name="Hyperlink" xfId="4454" builtinId="8" hidden="1"/>
    <cellStyle name="Hyperlink" xfId="4456" builtinId="8" hidden="1"/>
    <cellStyle name="Hyperlink" xfId="4458" builtinId="8" hidden="1"/>
    <cellStyle name="Hyperlink" xfId="4460" builtinId="8" hidden="1"/>
    <cellStyle name="Hyperlink" xfId="4462" builtinId="8" hidden="1"/>
    <cellStyle name="Hyperlink" xfId="4464" builtinId="8" hidden="1"/>
    <cellStyle name="Hyperlink" xfId="4466" builtinId="8" hidden="1"/>
    <cellStyle name="Hyperlink" xfId="4468" builtinId="8" hidden="1"/>
    <cellStyle name="Hyperlink" xfId="4470" builtinId="8" hidden="1"/>
    <cellStyle name="Hyperlink" xfId="4472" builtinId="8" hidden="1"/>
    <cellStyle name="Hyperlink" xfId="4474" builtinId="8" hidden="1"/>
    <cellStyle name="Hyperlink" xfId="4476" builtinId="8" hidden="1"/>
    <cellStyle name="Hyperlink" xfId="4478" builtinId="8" hidden="1"/>
    <cellStyle name="Hyperlink" xfId="4480" builtinId="8" hidden="1"/>
    <cellStyle name="Hyperlink" xfId="4482" builtinId="8" hidden="1"/>
    <cellStyle name="Hyperlink" xfId="4484" builtinId="8" hidden="1"/>
    <cellStyle name="Hyperlink" xfId="4486" builtinId="8" hidden="1"/>
    <cellStyle name="Hyperlink" xfId="4488" builtinId="8" hidden="1"/>
    <cellStyle name="Hyperlink" xfId="4490" builtinId="8" hidden="1"/>
    <cellStyle name="Hyperlink" xfId="4492" builtinId="8" hidden="1"/>
    <cellStyle name="Hyperlink" xfId="4494" builtinId="8" hidden="1"/>
    <cellStyle name="Hyperlink" xfId="4496" builtinId="8" hidden="1"/>
    <cellStyle name="Hyperlink" xfId="4498" builtinId="8" hidden="1"/>
    <cellStyle name="Hyperlink" xfId="4500" builtinId="8" hidden="1"/>
    <cellStyle name="Hyperlink" xfId="4502" builtinId="8" hidden="1"/>
    <cellStyle name="Hyperlink" xfId="4504" builtinId="8" hidden="1"/>
    <cellStyle name="Hyperlink" xfId="4506" builtinId="8" hidden="1"/>
    <cellStyle name="Hyperlink" xfId="4508" builtinId="8" hidden="1"/>
    <cellStyle name="Hyperlink" xfId="4510" builtinId="8" hidden="1"/>
    <cellStyle name="Hyperlink" xfId="4512" builtinId="8" hidden="1"/>
    <cellStyle name="Hyperlink" xfId="4514" builtinId="8" hidden="1"/>
    <cellStyle name="Hyperlink" xfId="4516" builtinId="8" hidden="1"/>
    <cellStyle name="Hyperlink" xfId="4518" builtinId="8" hidden="1"/>
    <cellStyle name="Hyperlink" xfId="4520" builtinId="8" hidden="1"/>
    <cellStyle name="Hyperlink" xfId="4522" builtinId="8" hidden="1"/>
    <cellStyle name="Hyperlink" xfId="4524" builtinId="8" hidden="1"/>
    <cellStyle name="Hyperlink" xfId="4526" builtinId="8" hidden="1"/>
    <cellStyle name="Hyperlink" xfId="4528" builtinId="8" hidden="1"/>
    <cellStyle name="Hyperlink" xfId="4530" builtinId="8" hidden="1"/>
    <cellStyle name="Hyperlink" xfId="4532" builtinId="8" hidden="1"/>
    <cellStyle name="Hyperlink" xfId="4534" builtinId="8" hidden="1"/>
    <cellStyle name="Hyperlink" xfId="4536" builtinId="8" hidden="1"/>
    <cellStyle name="Hyperlink" xfId="4538" builtinId="8" hidden="1"/>
    <cellStyle name="Hyperlink" xfId="4540" builtinId="8" hidden="1"/>
    <cellStyle name="Hyperlink" xfId="4542" builtinId="8" hidden="1"/>
    <cellStyle name="Hyperlink" xfId="4544" builtinId="8" hidden="1"/>
    <cellStyle name="Hyperlink" xfId="4546" builtinId="8" hidden="1"/>
    <cellStyle name="Hyperlink" xfId="4548" builtinId="8" hidden="1"/>
    <cellStyle name="Hyperlink" xfId="4550" builtinId="8" hidden="1"/>
    <cellStyle name="Hyperlink" xfId="4552" builtinId="8" hidden="1"/>
    <cellStyle name="Hyperlink" xfId="4554" builtinId="8" hidden="1"/>
    <cellStyle name="Hyperlink" xfId="4556" builtinId="8" hidden="1"/>
    <cellStyle name="Hyperlink" xfId="4558" builtinId="8" hidden="1"/>
    <cellStyle name="Hyperlink" xfId="4560" builtinId="8" hidden="1"/>
    <cellStyle name="Hyperlink" xfId="4562" builtinId="8" hidden="1"/>
    <cellStyle name="Hyperlink" xfId="4564" builtinId="8" hidden="1"/>
    <cellStyle name="Hyperlink" xfId="4566" builtinId="8" hidden="1"/>
    <cellStyle name="Hyperlink" xfId="4568" builtinId="8" hidden="1"/>
    <cellStyle name="Hyperlink" xfId="4570" builtinId="8" hidden="1"/>
    <cellStyle name="Hyperlink" xfId="4572" builtinId="8" hidden="1"/>
    <cellStyle name="Hyperlink" xfId="4574" builtinId="8" hidden="1"/>
    <cellStyle name="Hyperlink" xfId="4576" builtinId="8" hidden="1"/>
    <cellStyle name="Hyperlink" xfId="4578" builtinId="8" hidden="1"/>
    <cellStyle name="Hyperlink" xfId="4580" builtinId="8" hidden="1"/>
    <cellStyle name="Hyperlink" xfId="4582" builtinId="8" hidden="1"/>
    <cellStyle name="Hyperlink" xfId="4584" builtinId="8" hidden="1"/>
    <cellStyle name="Hyperlink" xfId="4586" builtinId="8" hidden="1"/>
    <cellStyle name="Hyperlink" xfId="4588" builtinId="8" hidden="1"/>
    <cellStyle name="Hyperlink" xfId="4590" builtinId="8" hidden="1"/>
    <cellStyle name="Hyperlink" xfId="4592" builtinId="8" hidden="1"/>
    <cellStyle name="Hyperlink" xfId="4594" builtinId="8" hidden="1"/>
    <cellStyle name="Hyperlink" xfId="4596" builtinId="8" hidden="1"/>
    <cellStyle name="Hyperlink" xfId="4598" builtinId="8" hidden="1"/>
    <cellStyle name="Hyperlink" xfId="4600" builtinId="8" hidden="1"/>
    <cellStyle name="Hyperlink" xfId="4602" builtinId="8" hidden="1"/>
    <cellStyle name="Hyperlink" xfId="4604" builtinId="8" hidden="1"/>
    <cellStyle name="Hyperlink" xfId="4606" builtinId="8" hidden="1"/>
    <cellStyle name="Hyperlink" xfId="4608" builtinId="8" hidden="1"/>
    <cellStyle name="Hyperlink" xfId="4610" builtinId="8" hidden="1"/>
    <cellStyle name="Hyperlink" xfId="4612" builtinId="8" hidden="1"/>
    <cellStyle name="Hyperlink" xfId="4614" builtinId="8" hidden="1"/>
    <cellStyle name="Hyperlink" xfId="4616" builtinId="8" hidden="1"/>
    <cellStyle name="Hyperlink" xfId="4618" builtinId="8" hidden="1"/>
    <cellStyle name="Hyperlink" xfId="4620" builtinId="8" hidden="1"/>
    <cellStyle name="Hyperlink" xfId="4622" builtinId="8" hidden="1"/>
    <cellStyle name="Hyperlink" xfId="4624" builtinId="8" hidden="1"/>
    <cellStyle name="Hyperlink" xfId="4626" builtinId="8" hidden="1"/>
    <cellStyle name="Hyperlink" xfId="4628" builtinId="8" hidden="1"/>
    <cellStyle name="Hyperlink" xfId="4630" builtinId="8" hidden="1"/>
    <cellStyle name="Hyperlink" xfId="4632" builtinId="8" hidden="1"/>
    <cellStyle name="Hyperlink" xfId="4634" builtinId="8" hidden="1"/>
    <cellStyle name="Hyperlink" xfId="4636" builtinId="8" hidden="1"/>
    <cellStyle name="Hyperlink" xfId="4638" builtinId="8" hidden="1"/>
    <cellStyle name="Hyperlink" xfId="4640" builtinId="8" hidden="1"/>
    <cellStyle name="Hyperlink" xfId="4642" builtinId="8" hidden="1"/>
    <cellStyle name="Hyperlink" xfId="4644" builtinId="8" hidden="1"/>
    <cellStyle name="Hyperlink" xfId="4646" builtinId="8" hidden="1"/>
    <cellStyle name="Hyperlink" xfId="4648" builtinId="8" hidden="1"/>
    <cellStyle name="Hyperlink" xfId="4650" builtinId="8" hidden="1"/>
    <cellStyle name="Hyperlink" xfId="4652" builtinId="8" hidden="1"/>
    <cellStyle name="Hyperlink" xfId="4654" builtinId="8" hidden="1"/>
    <cellStyle name="Hyperlink" xfId="4656" builtinId="8" hidden="1"/>
    <cellStyle name="Hyperlink" xfId="4658" builtinId="8" hidden="1"/>
    <cellStyle name="Hyperlink" xfId="4660" builtinId="8" hidden="1"/>
    <cellStyle name="Hyperlink" xfId="4662" builtinId="8" hidden="1"/>
    <cellStyle name="Hyperlink" xfId="4664" builtinId="8" hidden="1"/>
    <cellStyle name="Hyperlink" xfId="4666" builtinId="8" hidden="1"/>
    <cellStyle name="Hyperlink" xfId="4668" builtinId="8" hidden="1"/>
    <cellStyle name="Hyperlink" xfId="4670" builtinId="8" hidden="1"/>
    <cellStyle name="Hyperlink" xfId="4672" builtinId="8" hidden="1"/>
    <cellStyle name="Hyperlink" xfId="4674" builtinId="8" hidden="1"/>
    <cellStyle name="Hyperlink" xfId="4676" builtinId="8" hidden="1"/>
    <cellStyle name="Hyperlink" xfId="4678" builtinId="8" hidden="1"/>
    <cellStyle name="Hyperlink" xfId="4680" builtinId="8" hidden="1"/>
    <cellStyle name="Hyperlink" xfId="4682" builtinId="8" hidden="1"/>
    <cellStyle name="Hyperlink" xfId="4684" builtinId="8" hidden="1"/>
    <cellStyle name="Hyperlink" xfId="4686" builtinId="8" hidden="1"/>
    <cellStyle name="Hyperlink" xfId="4688" builtinId="8" hidden="1"/>
    <cellStyle name="Hyperlink" xfId="4690" builtinId="8" hidden="1"/>
    <cellStyle name="Hyperlink" xfId="4692" builtinId="8" hidden="1"/>
    <cellStyle name="Hyperlink" xfId="4694" builtinId="8" hidden="1"/>
    <cellStyle name="Hyperlink" xfId="4696" builtinId="8" hidden="1"/>
    <cellStyle name="Hyperlink" xfId="4698" builtinId="8" hidden="1"/>
    <cellStyle name="Hyperlink" xfId="4700" builtinId="8" hidden="1"/>
    <cellStyle name="Hyperlink" xfId="4702" builtinId="8"/>
    <cellStyle name="Normal" xfId="0" builtinId="0"/>
    <cellStyle name="Normal 2" xfId="1" xr:uid="{00000000-0005-0000-0000-00005E120000}"/>
  </cellStyles>
  <dxfs count="2">
    <dxf>
      <fill>
        <patternFill>
          <fgColor theme="0"/>
          <bgColor theme="0"/>
        </patternFill>
      </fill>
    </dxf>
    <dxf>
      <fill>
        <patternFill>
          <bgColor indexed="46"/>
        </patternFill>
      </fill>
    </dxf>
  </dxfs>
  <tableStyles count="0" defaultTableStyle="TableStyleMedium9" defaultPivotStyle="PivotStyleLight16"/>
  <colors>
    <mruColors>
      <color rgb="FFFF99CC"/>
      <color rgb="FFE6B9B8"/>
      <color rgb="FFFFCC00"/>
      <color rgb="FFFF6600"/>
      <color rgb="FF00CC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1638300</xdr:colOff>
      <xdr:row>7</xdr:row>
      <xdr:rowOff>370840</xdr:rowOff>
    </xdr:from>
    <xdr:to>
      <xdr:col>2</xdr:col>
      <xdr:colOff>5181600</xdr:colOff>
      <xdr:row>8</xdr:row>
      <xdr:rowOff>462280</xdr:rowOff>
    </xdr:to>
    <xdr:pic>
      <xdr:nvPicPr>
        <xdr:cNvPr id="6155" name="Picture 2">
          <a:extLst>
            <a:ext uri="{FF2B5EF4-FFF2-40B4-BE49-F238E27FC236}">
              <a16:creationId xmlns:a16="http://schemas.microsoft.com/office/drawing/2014/main" id="{00000000-0008-0000-0100-00000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8750" t="41251" r="38438" b="39999"/>
        <a:stretch>
          <a:fillRect/>
        </a:stretch>
      </xdr:blipFill>
      <xdr:spPr bwMode="auto">
        <a:xfrm>
          <a:off x="3048000" y="4085590"/>
          <a:ext cx="3543300" cy="1062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ul/documents/ALASKA_Juneau/Calculator%20&amp;%20Forms/Tidal%20Calculator/WESPAKse_Tidal_v2_March2015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Documents%20and%20Settings/Paul/Application%20Data/Microsoft/Excel/ORWAP_08/Macro2/ORWAP_Macro/ORWAP_Macro/ORWAP%20RK%20batch.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Pg"/>
      <sheetName val="OF"/>
      <sheetName val="T"/>
      <sheetName val="S"/>
      <sheetName val="Scores"/>
      <sheetName val="SR"/>
      <sheetName val="CS"/>
      <sheetName val="OE"/>
      <sheetName val="FA"/>
      <sheetName val="WBF"/>
      <sheetName val="SBM"/>
      <sheetName val="PH"/>
      <sheetName val="PU"/>
      <sheetName val="Subsis"/>
      <sheetName val="Sens"/>
      <sheetName val="STR"/>
      <sheetName val="PlantList"/>
      <sheetName val="WildlifeList"/>
      <sheetName val="Sheet1"/>
    </sheetNames>
    <sheetDataSet>
      <sheetData sheetId="0"/>
      <sheetData sheetId="1"/>
      <sheetData sheetId="2"/>
      <sheetData sheetId="3"/>
      <sheetData sheetId="4"/>
      <sheetData sheetId="5"/>
      <sheetData sheetId="6"/>
      <sheetData sheetId="7"/>
      <sheetData sheetId="8"/>
      <sheetData sheetId="9"/>
      <sheetData sheetId="10">
        <row r="37">
          <cell r="G37">
            <v>0</v>
          </cell>
        </row>
      </sheetData>
      <sheetData sheetId="11"/>
      <sheetData sheetId="12"/>
      <sheetData sheetId="13"/>
      <sheetData sheetId="14">
        <row r="26">
          <cell r="G26">
            <v>0</v>
          </cell>
        </row>
      </sheetData>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
      <sheetName val="FieldF"/>
      <sheetName val="FieldS"/>
      <sheetName val="FinalScores"/>
      <sheetName val="AllSites"/>
      <sheetName val="WS"/>
      <sheetName val="SR"/>
      <sheetName val="PR"/>
      <sheetName val="NR"/>
      <sheetName val="T"/>
      <sheetName val="CS"/>
      <sheetName val="OE"/>
      <sheetName val="INV"/>
      <sheetName val="FA"/>
      <sheetName val="FR"/>
      <sheetName val="AM"/>
      <sheetName val="WBF"/>
      <sheetName val="WBN"/>
      <sheetName val="SBM"/>
      <sheetName val="POL"/>
      <sheetName val="PD"/>
      <sheetName val="STR"/>
      <sheetName val="Sen"/>
      <sheetName val="CQ"/>
      <sheetName val="PU"/>
      <sheetName val="PS"/>
      <sheetName val="Matri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06">
          <cell r="G206">
            <v>1</v>
          </cell>
        </row>
      </sheetData>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Narrow">
      <a:majorFont>
        <a:latin typeface="Arial Narrow"/>
        <a:ea typeface=""/>
        <a:cs typeface=""/>
      </a:majorFont>
      <a:minorFont>
        <a:latin typeface="Arial Narrow"/>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indexed="49"/>
  </sheetPr>
  <dimension ref="A1:E540"/>
  <sheetViews>
    <sheetView zoomScaleNormal="100" workbookViewId="0">
      <selection activeCell="E1" sqref="E1:E2"/>
    </sheetView>
  </sheetViews>
  <sheetFormatPr defaultColWidth="9.33203125" defaultRowHeight="15" customHeight="1" x14ac:dyDescent="0.2"/>
  <cols>
    <col min="1" max="1" width="5.83203125" style="28" customWidth="1"/>
    <col min="2" max="2" width="18.83203125" style="16" customWidth="1"/>
    <col min="3" max="3" width="98.83203125" style="16" customWidth="1"/>
    <col min="4" max="4" width="6.83203125" style="13" customWidth="1"/>
    <col min="5" max="5" width="75.83203125" style="8" customWidth="1"/>
    <col min="6" max="16384" width="9.33203125" style="8"/>
  </cols>
  <sheetData>
    <row r="1" spans="1:5" ht="30" customHeight="1" thickBot="1" x14ac:dyDescent="0.25">
      <c r="A1" s="714" t="s">
        <v>3679</v>
      </c>
      <c r="B1" s="715"/>
      <c r="C1" s="716"/>
      <c r="D1" s="709"/>
      <c r="E1" s="707"/>
    </row>
    <row r="2" spans="1:5" ht="153" customHeight="1" thickBot="1" x14ac:dyDescent="0.25">
      <c r="A2" s="711" t="s">
        <v>1066</v>
      </c>
      <c r="B2" s="712"/>
      <c r="C2" s="713"/>
      <c r="D2" s="710"/>
      <c r="E2" s="708"/>
    </row>
    <row r="3" spans="1:5" s="211" customFormat="1" ht="30" customHeight="1" thickBot="1" x14ac:dyDescent="0.25">
      <c r="A3" s="212" t="s">
        <v>770</v>
      </c>
      <c r="B3" s="214" t="s">
        <v>1023</v>
      </c>
      <c r="C3" s="213" t="s">
        <v>1024</v>
      </c>
      <c r="D3" s="618" t="s">
        <v>805</v>
      </c>
      <c r="E3" s="247" t="s">
        <v>1029</v>
      </c>
    </row>
    <row r="4" spans="1:5" ht="21" customHeight="1" thickBot="1" x14ac:dyDescent="0.25">
      <c r="A4" s="721" t="s">
        <v>252</v>
      </c>
      <c r="B4" s="723" t="s">
        <v>555</v>
      </c>
      <c r="C4" s="167" t="s">
        <v>557</v>
      </c>
      <c r="D4" s="630"/>
      <c r="E4" s="736" t="s">
        <v>1030</v>
      </c>
    </row>
    <row r="5" spans="1:5" ht="15" customHeight="1" x14ac:dyDescent="0.2">
      <c r="A5" s="720"/>
      <c r="B5" s="730"/>
      <c r="C5" s="168" t="s">
        <v>910</v>
      </c>
      <c r="D5" s="631">
        <v>0</v>
      </c>
      <c r="E5" s="737"/>
    </row>
    <row r="6" spans="1:5" ht="15" customHeight="1" x14ac:dyDescent="0.2">
      <c r="A6" s="720"/>
      <c r="B6" s="730"/>
      <c r="C6" s="169" t="s">
        <v>679</v>
      </c>
      <c r="D6" s="631">
        <v>1</v>
      </c>
      <c r="E6" s="737"/>
    </row>
    <row r="7" spans="1:5" ht="15" customHeight="1" thickBot="1" x14ac:dyDescent="0.25">
      <c r="A7" s="722"/>
      <c r="B7" s="731"/>
      <c r="C7" s="171" t="s">
        <v>575</v>
      </c>
      <c r="D7" s="631">
        <v>0</v>
      </c>
      <c r="E7" s="738"/>
    </row>
    <row r="8" spans="1:5" ht="21" customHeight="1" thickBot="1" x14ac:dyDescent="0.25">
      <c r="A8" s="720" t="s">
        <v>253</v>
      </c>
      <c r="B8" s="724" t="s">
        <v>857</v>
      </c>
      <c r="C8" s="216" t="s">
        <v>911</v>
      </c>
      <c r="D8" s="630"/>
      <c r="E8" s="739" t="s">
        <v>1031</v>
      </c>
    </row>
    <row r="9" spans="1:5" ht="27" customHeight="1" x14ac:dyDescent="0.2">
      <c r="A9" s="720"/>
      <c r="B9" s="724"/>
      <c r="C9" s="48" t="s">
        <v>366</v>
      </c>
      <c r="D9" s="631">
        <v>0</v>
      </c>
      <c r="E9" s="739"/>
    </row>
    <row r="10" spans="1:5" ht="27" customHeight="1" x14ac:dyDescent="0.2">
      <c r="A10" s="720"/>
      <c r="B10" s="724"/>
      <c r="C10" s="51" t="s">
        <v>365</v>
      </c>
      <c r="D10" s="631">
        <v>1</v>
      </c>
      <c r="E10" s="739"/>
    </row>
    <row r="11" spans="1:5" ht="27" customHeight="1" x14ac:dyDescent="0.2">
      <c r="A11" s="720"/>
      <c r="B11" s="724"/>
      <c r="C11" s="51" t="s">
        <v>103</v>
      </c>
      <c r="D11" s="631">
        <v>0</v>
      </c>
      <c r="E11" s="739"/>
    </row>
    <row r="12" spans="1:5" ht="15" customHeight="1" x14ac:dyDescent="0.2">
      <c r="A12" s="720"/>
      <c r="B12" s="724"/>
      <c r="C12" s="51" t="s">
        <v>364</v>
      </c>
      <c r="D12" s="631">
        <v>0</v>
      </c>
      <c r="E12" s="739"/>
    </row>
    <row r="13" spans="1:5" ht="15" customHeight="1" thickBot="1" x14ac:dyDescent="0.25">
      <c r="A13" s="720"/>
      <c r="B13" s="724"/>
      <c r="C13" s="217" t="s">
        <v>858</v>
      </c>
      <c r="D13" s="631">
        <v>0</v>
      </c>
      <c r="E13" s="739"/>
    </row>
    <row r="14" spans="1:5" ht="21" customHeight="1" thickBot="1" x14ac:dyDescent="0.25">
      <c r="A14" s="721" t="s">
        <v>254</v>
      </c>
      <c r="B14" s="723" t="s">
        <v>185</v>
      </c>
      <c r="C14" s="167" t="s">
        <v>184</v>
      </c>
      <c r="D14" s="630"/>
      <c r="E14" s="740" t="s">
        <v>1080</v>
      </c>
    </row>
    <row r="15" spans="1:5" ht="15" customHeight="1" x14ac:dyDescent="0.2">
      <c r="A15" s="720"/>
      <c r="B15" s="724"/>
      <c r="C15" s="218" t="s">
        <v>736</v>
      </c>
      <c r="D15" s="632">
        <v>0</v>
      </c>
      <c r="E15" s="739"/>
    </row>
    <row r="16" spans="1:5" ht="15" customHeight="1" x14ac:dyDescent="0.2">
      <c r="A16" s="720"/>
      <c r="B16" s="724"/>
      <c r="C16" s="170" t="s">
        <v>737</v>
      </c>
      <c r="D16" s="632">
        <v>1</v>
      </c>
      <c r="E16" s="739"/>
    </row>
    <row r="17" spans="1:5" ht="15" customHeight="1" x14ac:dyDescent="0.2">
      <c r="A17" s="720"/>
      <c r="B17" s="724"/>
      <c r="C17" s="170" t="s">
        <v>738</v>
      </c>
      <c r="D17" s="632">
        <v>0</v>
      </c>
      <c r="E17" s="739"/>
    </row>
    <row r="18" spans="1:5" ht="15" customHeight="1" x14ac:dyDescent="0.2">
      <c r="A18" s="720"/>
      <c r="B18" s="724"/>
      <c r="C18" s="170" t="s">
        <v>739</v>
      </c>
      <c r="D18" s="632">
        <v>0</v>
      </c>
      <c r="E18" s="739"/>
    </row>
    <row r="19" spans="1:5" ht="15" customHeight="1" thickBot="1" x14ac:dyDescent="0.25">
      <c r="A19" s="722"/>
      <c r="B19" s="725"/>
      <c r="C19" s="219" t="s">
        <v>740</v>
      </c>
      <c r="D19" s="633">
        <v>0</v>
      </c>
      <c r="E19" s="741"/>
    </row>
    <row r="20" spans="1:5" s="9" customFormat="1" ht="45" customHeight="1" thickBot="1" x14ac:dyDescent="0.25">
      <c r="A20" s="215" t="s">
        <v>329</v>
      </c>
      <c r="B20" s="243" t="s">
        <v>362</v>
      </c>
      <c r="C20" s="53" t="s">
        <v>393</v>
      </c>
      <c r="D20" s="634">
        <v>0</v>
      </c>
      <c r="E20" s="182" t="s">
        <v>1081</v>
      </c>
    </row>
    <row r="21" spans="1:5" ht="21" customHeight="1" thickBot="1" x14ac:dyDescent="0.25">
      <c r="A21" s="721" t="s">
        <v>255</v>
      </c>
      <c r="B21" s="726" t="s">
        <v>780</v>
      </c>
      <c r="C21" s="220" t="s">
        <v>824</v>
      </c>
      <c r="D21" s="635"/>
      <c r="E21" s="740" t="s">
        <v>1082</v>
      </c>
    </row>
    <row r="22" spans="1:5" ht="15" customHeight="1" x14ac:dyDescent="0.2">
      <c r="A22" s="720"/>
      <c r="B22" s="724"/>
      <c r="C22" s="221" t="s">
        <v>492</v>
      </c>
      <c r="D22" s="631">
        <v>0</v>
      </c>
      <c r="E22" s="739"/>
    </row>
    <row r="23" spans="1:5" ht="15" customHeight="1" x14ac:dyDescent="0.2">
      <c r="A23" s="720"/>
      <c r="B23" s="724"/>
      <c r="C23" s="170" t="s">
        <v>493</v>
      </c>
      <c r="D23" s="631">
        <v>1</v>
      </c>
      <c r="E23" s="739"/>
    </row>
    <row r="24" spans="1:5" ht="15" customHeight="1" x14ac:dyDescent="0.2">
      <c r="A24" s="720"/>
      <c r="B24" s="724"/>
      <c r="C24" s="170" t="s">
        <v>839</v>
      </c>
      <c r="D24" s="631">
        <v>0</v>
      </c>
      <c r="E24" s="739"/>
    </row>
    <row r="25" spans="1:5" ht="15" customHeight="1" x14ac:dyDescent="0.2">
      <c r="A25" s="720"/>
      <c r="B25" s="724"/>
      <c r="C25" s="170" t="s">
        <v>491</v>
      </c>
      <c r="D25" s="631">
        <v>0</v>
      </c>
      <c r="E25" s="739"/>
    </row>
    <row r="26" spans="1:5" ht="15" customHeight="1" x14ac:dyDescent="0.2">
      <c r="A26" s="720"/>
      <c r="B26" s="724"/>
      <c r="C26" s="170" t="s">
        <v>490</v>
      </c>
      <c r="D26" s="631">
        <v>0</v>
      </c>
      <c r="E26" s="739"/>
    </row>
    <row r="27" spans="1:5" ht="15" customHeight="1" thickBot="1" x14ac:dyDescent="0.25">
      <c r="A27" s="722"/>
      <c r="B27" s="725"/>
      <c r="C27" s="222" t="s">
        <v>489</v>
      </c>
      <c r="D27" s="631">
        <v>0</v>
      </c>
      <c r="E27" s="741"/>
    </row>
    <row r="28" spans="1:5" ht="30" customHeight="1" thickBot="1" x14ac:dyDescent="0.25">
      <c r="A28" s="727" t="s">
        <v>256</v>
      </c>
      <c r="B28" s="730" t="s">
        <v>16</v>
      </c>
      <c r="C28" s="223" t="s">
        <v>825</v>
      </c>
      <c r="D28" s="630"/>
      <c r="E28" s="739" t="s">
        <v>1083</v>
      </c>
    </row>
    <row r="29" spans="1:5" ht="27" customHeight="1" x14ac:dyDescent="0.2">
      <c r="A29" s="727"/>
      <c r="B29" s="730"/>
      <c r="C29" s="48" t="s">
        <v>17</v>
      </c>
      <c r="D29" s="631">
        <v>1</v>
      </c>
      <c r="E29" s="742"/>
    </row>
    <row r="30" spans="1:5" ht="27" customHeight="1" x14ac:dyDescent="0.2">
      <c r="A30" s="727"/>
      <c r="B30" s="730"/>
      <c r="C30" s="51" t="s">
        <v>55</v>
      </c>
      <c r="D30" s="631">
        <v>0</v>
      </c>
      <c r="E30" s="742"/>
    </row>
    <row r="31" spans="1:5" ht="15" customHeight="1" x14ac:dyDescent="0.2">
      <c r="A31" s="727"/>
      <c r="B31" s="730"/>
      <c r="C31" s="51" t="s">
        <v>18</v>
      </c>
      <c r="D31" s="631">
        <v>0</v>
      </c>
      <c r="E31" s="742"/>
    </row>
    <row r="32" spans="1:5" ht="15" customHeight="1" x14ac:dyDescent="0.2">
      <c r="A32" s="727"/>
      <c r="B32" s="730"/>
      <c r="C32" s="51" t="s">
        <v>19</v>
      </c>
      <c r="D32" s="631">
        <v>0</v>
      </c>
      <c r="E32" s="742"/>
    </row>
    <row r="33" spans="1:5" ht="15" customHeight="1" thickBot="1" x14ac:dyDescent="0.25">
      <c r="A33" s="727"/>
      <c r="B33" s="730"/>
      <c r="C33" s="49" t="s">
        <v>20</v>
      </c>
      <c r="D33" s="631">
        <v>0</v>
      </c>
      <c r="E33" s="742"/>
    </row>
    <row r="34" spans="1:5" ht="27" customHeight="1" thickBot="1" x14ac:dyDescent="0.25">
      <c r="A34" s="721" t="s">
        <v>257</v>
      </c>
      <c r="B34" s="723" t="s">
        <v>896</v>
      </c>
      <c r="C34" s="220" t="s">
        <v>826</v>
      </c>
      <c r="D34" s="630"/>
      <c r="E34" s="740" t="s">
        <v>1084</v>
      </c>
    </row>
    <row r="35" spans="1:5" ht="15" customHeight="1" x14ac:dyDescent="0.2">
      <c r="A35" s="720"/>
      <c r="B35" s="730"/>
      <c r="C35" s="168" t="s">
        <v>86</v>
      </c>
      <c r="D35" s="631">
        <v>0</v>
      </c>
      <c r="E35" s="742"/>
    </row>
    <row r="36" spans="1:5" ht="15" customHeight="1" x14ac:dyDescent="0.2">
      <c r="A36" s="720"/>
      <c r="B36" s="730"/>
      <c r="C36" s="170" t="s">
        <v>748</v>
      </c>
      <c r="D36" s="631">
        <v>0</v>
      </c>
      <c r="E36" s="742"/>
    </row>
    <row r="37" spans="1:5" ht="15" customHeight="1" x14ac:dyDescent="0.2">
      <c r="A37" s="720"/>
      <c r="B37" s="730"/>
      <c r="C37" s="170" t="s">
        <v>755</v>
      </c>
      <c r="D37" s="631">
        <v>0</v>
      </c>
      <c r="E37" s="742"/>
    </row>
    <row r="38" spans="1:5" ht="15" customHeight="1" x14ac:dyDescent="0.2">
      <c r="A38" s="720"/>
      <c r="B38" s="730"/>
      <c r="C38" s="170" t="s">
        <v>756</v>
      </c>
      <c r="D38" s="631">
        <v>0</v>
      </c>
      <c r="E38" s="742"/>
    </row>
    <row r="39" spans="1:5" ht="15" customHeight="1" thickBot="1" x14ac:dyDescent="0.25">
      <c r="A39" s="722"/>
      <c r="B39" s="731"/>
      <c r="C39" s="171" t="s">
        <v>371</v>
      </c>
      <c r="D39" s="631">
        <v>1</v>
      </c>
      <c r="E39" s="743"/>
    </row>
    <row r="40" spans="1:5" ht="21" customHeight="1" thickBot="1" x14ac:dyDescent="0.25">
      <c r="A40" s="727" t="s">
        <v>258</v>
      </c>
      <c r="B40" s="730" t="s">
        <v>897</v>
      </c>
      <c r="C40" s="223" t="s">
        <v>898</v>
      </c>
      <c r="D40" s="630"/>
      <c r="E40" s="744" t="s">
        <v>1085</v>
      </c>
    </row>
    <row r="41" spans="1:5" ht="15" customHeight="1" x14ac:dyDescent="0.2">
      <c r="A41" s="727"/>
      <c r="B41" s="730"/>
      <c r="C41" s="168" t="s">
        <v>324</v>
      </c>
      <c r="D41" s="631">
        <v>0</v>
      </c>
      <c r="E41" s="744"/>
    </row>
    <row r="42" spans="1:5" ht="15" customHeight="1" thickBot="1" x14ac:dyDescent="0.25">
      <c r="A42" s="727"/>
      <c r="B42" s="730"/>
      <c r="C42" s="224" t="s">
        <v>54</v>
      </c>
      <c r="D42" s="631">
        <v>0</v>
      </c>
      <c r="E42" s="744"/>
    </row>
    <row r="43" spans="1:5" ht="30" customHeight="1" thickBot="1" x14ac:dyDescent="0.25">
      <c r="A43" s="728" t="s">
        <v>259</v>
      </c>
      <c r="B43" s="726" t="s">
        <v>509</v>
      </c>
      <c r="C43" s="167" t="s">
        <v>104</v>
      </c>
      <c r="D43" s="630"/>
      <c r="E43" s="740" t="s">
        <v>1086</v>
      </c>
    </row>
    <row r="44" spans="1:5" ht="15" customHeight="1" x14ac:dyDescent="0.2">
      <c r="A44" s="727"/>
      <c r="B44" s="724"/>
      <c r="C44" s="48" t="s">
        <v>21</v>
      </c>
      <c r="D44" s="631">
        <v>0</v>
      </c>
      <c r="E44" s="739"/>
    </row>
    <row r="45" spans="1:5" ht="15" customHeight="1" x14ac:dyDescent="0.2">
      <c r="A45" s="727"/>
      <c r="B45" s="724"/>
      <c r="C45" s="170" t="s">
        <v>505</v>
      </c>
      <c r="D45" s="631">
        <v>0</v>
      </c>
      <c r="E45" s="739"/>
    </row>
    <row r="46" spans="1:5" ht="15" customHeight="1" x14ac:dyDescent="0.2">
      <c r="A46" s="727"/>
      <c r="B46" s="724"/>
      <c r="C46" s="170" t="s">
        <v>506</v>
      </c>
      <c r="D46" s="631">
        <v>0</v>
      </c>
      <c r="E46" s="739"/>
    </row>
    <row r="47" spans="1:5" ht="15" customHeight="1" x14ac:dyDescent="0.2">
      <c r="A47" s="727"/>
      <c r="B47" s="724"/>
      <c r="C47" s="170" t="s">
        <v>507</v>
      </c>
      <c r="D47" s="631">
        <v>0</v>
      </c>
      <c r="E47" s="739"/>
    </row>
    <row r="48" spans="1:5" ht="15" customHeight="1" thickBot="1" x14ac:dyDescent="0.25">
      <c r="A48" s="729"/>
      <c r="B48" s="725"/>
      <c r="C48" s="219" t="s">
        <v>508</v>
      </c>
      <c r="D48" s="631">
        <v>1</v>
      </c>
      <c r="E48" s="741"/>
    </row>
    <row r="49" spans="1:5" ht="30" customHeight="1" thickBot="1" x14ac:dyDescent="0.25">
      <c r="A49" s="727" t="s">
        <v>260</v>
      </c>
      <c r="B49" s="724" t="s">
        <v>812</v>
      </c>
      <c r="C49" s="216" t="s">
        <v>122</v>
      </c>
      <c r="D49" s="630"/>
      <c r="E49" s="739" t="s">
        <v>1032</v>
      </c>
    </row>
    <row r="50" spans="1:5" ht="15" customHeight="1" x14ac:dyDescent="0.2">
      <c r="A50" s="727"/>
      <c r="B50" s="724"/>
      <c r="C50" s="48">
        <v>0</v>
      </c>
      <c r="D50" s="631">
        <v>0</v>
      </c>
      <c r="E50" s="739"/>
    </row>
    <row r="51" spans="1:5" ht="15" customHeight="1" x14ac:dyDescent="0.2">
      <c r="A51" s="727"/>
      <c r="B51" s="724"/>
      <c r="C51" s="225" t="s">
        <v>123</v>
      </c>
      <c r="D51" s="631">
        <v>1</v>
      </c>
      <c r="E51" s="739"/>
    </row>
    <row r="52" spans="1:5" ht="15" customHeight="1" x14ac:dyDescent="0.2">
      <c r="A52" s="727"/>
      <c r="B52" s="724"/>
      <c r="C52" s="51" t="s">
        <v>124</v>
      </c>
      <c r="D52" s="631">
        <v>0</v>
      </c>
      <c r="E52" s="739"/>
    </row>
    <row r="53" spans="1:5" ht="15" customHeight="1" x14ac:dyDescent="0.2">
      <c r="A53" s="727"/>
      <c r="B53" s="724"/>
      <c r="C53" s="51" t="s">
        <v>125</v>
      </c>
      <c r="D53" s="631">
        <v>0</v>
      </c>
      <c r="E53" s="739"/>
    </row>
    <row r="54" spans="1:5" ht="15" customHeight="1" x14ac:dyDescent="0.2">
      <c r="A54" s="727"/>
      <c r="B54" s="724"/>
      <c r="C54" s="51" t="s">
        <v>126</v>
      </c>
      <c r="D54" s="631">
        <v>0</v>
      </c>
      <c r="E54" s="739"/>
    </row>
    <row r="55" spans="1:5" ht="15" customHeight="1" thickBot="1" x14ac:dyDescent="0.25">
      <c r="A55" s="727"/>
      <c r="B55" s="724"/>
      <c r="C55" s="49" t="s">
        <v>127</v>
      </c>
      <c r="D55" s="631">
        <v>0</v>
      </c>
      <c r="E55" s="739"/>
    </row>
    <row r="56" spans="1:5" ht="30" customHeight="1" thickBot="1" x14ac:dyDescent="0.25">
      <c r="A56" s="728" t="s">
        <v>261</v>
      </c>
      <c r="B56" s="726" t="s">
        <v>864</v>
      </c>
      <c r="C56" s="167" t="s">
        <v>363</v>
      </c>
      <c r="D56" s="630"/>
      <c r="E56" s="740" t="s">
        <v>1033</v>
      </c>
    </row>
    <row r="57" spans="1:5" ht="15" customHeight="1" x14ac:dyDescent="0.2">
      <c r="A57" s="727"/>
      <c r="B57" s="724"/>
      <c r="C57" s="218" t="s">
        <v>510</v>
      </c>
      <c r="D57" s="631">
        <v>1</v>
      </c>
      <c r="E57" s="739"/>
    </row>
    <row r="58" spans="1:5" ht="15" customHeight="1" x14ac:dyDescent="0.2">
      <c r="A58" s="727"/>
      <c r="B58" s="724"/>
      <c r="C58" s="170" t="s">
        <v>487</v>
      </c>
      <c r="D58" s="631">
        <v>0</v>
      </c>
      <c r="E58" s="739"/>
    </row>
    <row r="59" spans="1:5" ht="15" customHeight="1" x14ac:dyDescent="0.2">
      <c r="A59" s="727"/>
      <c r="B59" s="724"/>
      <c r="C59" s="221" t="s">
        <v>499</v>
      </c>
      <c r="D59" s="631">
        <v>0</v>
      </c>
      <c r="E59" s="739"/>
    </row>
    <row r="60" spans="1:5" ht="15" customHeight="1" thickBot="1" x14ac:dyDescent="0.25">
      <c r="A60" s="729"/>
      <c r="B60" s="725"/>
      <c r="C60" s="219" t="s">
        <v>820</v>
      </c>
      <c r="D60" s="631">
        <v>0</v>
      </c>
      <c r="E60" s="741"/>
    </row>
    <row r="61" spans="1:5" ht="29.25" customHeight="1" thickBot="1" x14ac:dyDescent="0.25">
      <c r="A61" s="720" t="s">
        <v>262</v>
      </c>
      <c r="B61" s="724" t="s">
        <v>863</v>
      </c>
      <c r="C61" s="223" t="s">
        <v>1010</v>
      </c>
      <c r="D61" s="630"/>
      <c r="E61" s="739" t="s">
        <v>1034</v>
      </c>
    </row>
    <row r="62" spans="1:5" ht="15" customHeight="1" x14ac:dyDescent="0.2">
      <c r="A62" s="720"/>
      <c r="B62" s="724"/>
      <c r="C62" s="226" t="s">
        <v>123</v>
      </c>
      <c r="D62" s="631">
        <v>1</v>
      </c>
      <c r="E62" s="739"/>
    </row>
    <row r="63" spans="1:5" ht="15" customHeight="1" x14ac:dyDescent="0.2">
      <c r="A63" s="720"/>
      <c r="B63" s="724"/>
      <c r="C63" s="226" t="s">
        <v>128</v>
      </c>
      <c r="D63" s="631">
        <v>0</v>
      </c>
      <c r="E63" s="739"/>
    </row>
    <row r="64" spans="1:5" ht="15" customHeight="1" x14ac:dyDescent="0.2">
      <c r="A64" s="720"/>
      <c r="B64" s="724"/>
      <c r="C64" s="226" t="s">
        <v>129</v>
      </c>
      <c r="D64" s="631">
        <v>0</v>
      </c>
      <c r="E64" s="739"/>
    </row>
    <row r="65" spans="1:5" ht="15" customHeight="1" x14ac:dyDescent="0.2">
      <c r="A65" s="720"/>
      <c r="B65" s="724"/>
      <c r="C65" s="227" t="s">
        <v>130</v>
      </c>
      <c r="D65" s="631">
        <v>0</v>
      </c>
      <c r="E65" s="739"/>
    </row>
    <row r="66" spans="1:5" ht="15" customHeight="1" x14ac:dyDescent="0.2">
      <c r="A66" s="720"/>
      <c r="B66" s="724"/>
      <c r="C66" s="228" t="s">
        <v>131</v>
      </c>
      <c r="D66" s="631">
        <v>0</v>
      </c>
      <c r="E66" s="739"/>
    </row>
    <row r="67" spans="1:5" ht="15" customHeight="1" thickBot="1" x14ac:dyDescent="0.3">
      <c r="A67" s="720"/>
      <c r="B67" s="724"/>
      <c r="C67" s="229" t="s">
        <v>132</v>
      </c>
      <c r="D67" s="631">
        <v>0</v>
      </c>
      <c r="E67" s="739"/>
    </row>
    <row r="68" spans="1:5" ht="21" customHeight="1" thickBot="1" x14ac:dyDescent="0.25">
      <c r="A68" s="721" t="s">
        <v>263</v>
      </c>
      <c r="B68" s="723" t="s">
        <v>957</v>
      </c>
      <c r="C68" s="57" t="s">
        <v>93</v>
      </c>
      <c r="D68" s="630"/>
      <c r="E68" s="740" t="s">
        <v>3580</v>
      </c>
    </row>
    <row r="69" spans="1:5" ht="15" customHeight="1" x14ac:dyDescent="0.2">
      <c r="A69" s="720"/>
      <c r="B69" s="730"/>
      <c r="C69" s="48" t="s">
        <v>120</v>
      </c>
      <c r="D69" s="636">
        <v>0</v>
      </c>
      <c r="E69" s="739"/>
    </row>
    <row r="70" spans="1:5" ht="15" customHeight="1" x14ac:dyDescent="0.2">
      <c r="A70" s="720"/>
      <c r="B70" s="730"/>
      <c r="C70" s="48" t="s">
        <v>121</v>
      </c>
      <c r="D70" s="636">
        <v>1</v>
      </c>
      <c r="E70" s="739"/>
    </row>
    <row r="71" spans="1:5" ht="15" customHeight="1" x14ac:dyDescent="0.2">
      <c r="A71" s="720"/>
      <c r="B71" s="730"/>
      <c r="C71" s="51" t="s">
        <v>952</v>
      </c>
      <c r="D71" s="636">
        <v>0</v>
      </c>
      <c r="E71" s="739"/>
    </row>
    <row r="72" spans="1:5" ht="15" customHeight="1" x14ac:dyDescent="0.2">
      <c r="A72" s="720"/>
      <c r="B72" s="730"/>
      <c r="C72" s="51" t="s">
        <v>953</v>
      </c>
      <c r="D72" s="631">
        <v>0</v>
      </c>
      <c r="E72" s="739"/>
    </row>
    <row r="73" spans="1:5" ht="15" customHeight="1" x14ac:dyDescent="0.2">
      <c r="A73" s="720"/>
      <c r="B73" s="730"/>
      <c r="C73" s="49" t="s">
        <v>958</v>
      </c>
      <c r="D73" s="631">
        <v>0</v>
      </c>
      <c r="E73" s="739"/>
    </row>
    <row r="74" spans="1:5" ht="15" customHeight="1" thickBot="1" x14ac:dyDescent="0.25">
      <c r="A74" s="722"/>
      <c r="B74" s="731"/>
      <c r="C74" s="230" t="s">
        <v>132</v>
      </c>
      <c r="D74" s="631">
        <v>0</v>
      </c>
      <c r="E74" s="741"/>
    </row>
    <row r="75" spans="1:5" ht="39" customHeight="1" thickBot="1" x14ac:dyDescent="0.25">
      <c r="A75" s="727" t="s">
        <v>264</v>
      </c>
      <c r="B75" s="730" t="s">
        <v>394</v>
      </c>
      <c r="C75" s="223" t="s">
        <v>94</v>
      </c>
      <c r="D75" s="630"/>
      <c r="E75" s="739" t="s">
        <v>1087</v>
      </c>
    </row>
    <row r="76" spans="1:5" ht="15" customHeight="1" x14ac:dyDescent="0.2">
      <c r="A76" s="727"/>
      <c r="B76" s="730"/>
      <c r="C76" s="168" t="s">
        <v>856</v>
      </c>
      <c r="D76" s="636">
        <v>1</v>
      </c>
      <c r="E76" s="739"/>
    </row>
    <row r="77" spans="1:5" ht="15" customHeight="1" x14ac:dyDescent="0.2">
      <c r="A77" s="727"/>
      <c r="B77" s="730"/>
      <c r="C77" s="170" t="s">
        <v>743</v>
      </c>
      <c r="D77" s="636">
        <v>0</v>
      </c>
      <c r="E77" s="739"/>
    </row>
    <row r="78" spans="1:5" ht="15" customHeight="1" x14ac:dyDescent="0.2">
      <c r="A78" s="727"/>
      <c r="B78" s="730"/>
      <c r="C78" s="170" t="s">
        <v>487</v>
      </c>
      <c r="D78" s="636">
        <v>0</v>
      </c>
      <c r="E78" s="739"/>
    </row>
    <row r="79" spans="1:5" ht="21.75" customHeight="1" thickBot="1" x14ac:dyDescent="0.25">
      <c r="A79" s="727"/>
      <c r="B79" s="730"/>
      <c r="C79" s="221" t="s">
        <v>488</v>
      </c>
      <c r="D79" s="636">
        <v>0</v>
      </c>
      <c r="E79" s="739"/>
    </row>
    <row r="80" spans="1:5" ht="21" customHeight="1" thickBot="1" x14ac:dyDescent="0.25">
      <c r="A80" s="721" t="s">
        <v>265</v>
      </c>
      <c r="B80" s="723" t="s">
        <v>909</v>
      </c>
      <c r="C80" s="231" t="s">
        <v>92</v>
      </c>
      <c r="D80" s="630"/>
      <c r="E80" s="740" t="s">
        <v>1035</v>
      </c>
    </row>
    <row r="81" spans="1:5" ht="15" customHeight="1" x14ac:dyDescent="0.2">
      <c r="A81" s="720"/>
      <c r="B81" s="730"/>
      <c r="C81" s="232" t="s">
        <v>1011</v>
      </c>
      <c r="D81" s="636">
        <v>1</v>
      </c>
      <c r="E81" s="739"/>
    </row>
    <row r="82" spans="1:5" ht="15" customHeight="1" x14ac:dyDescent="0.2">
      <c r="A82" s="720"/>
      <c r="B82" s="730"/>
      <c r="C82" s="218" t="s">
        <v>856</v>
      </c>
      <c r="D82" s="636">
        <v>0</v>
      </c>
      <c r="E82" s="739"/>
    </row>
    <row r="83" spans="1:5" ht="15" customHeight="1" thickBot="1" x14ac:dyDescent="0.25">
      <c r="A83" s="722"/>
      <c r="B83" s="731"/>
      <c r="C83" s="219" t="s">
        <v>843</v>
      </c>
      <c r="D83" s="636">
        <v>0</v>
      </c>
      <c r="E83" s="741"/>
    </row>
    <row r="84" spans="1:5" ht="30" customHeight="1" thickBot="1" x14ac:dyDescent="0.25">
      <c r="A84" s="720" t="s">
        <v>266</v>
      </c>
      <c r="B84" s="730" t="s">
        <v>370</v>
      </c>
      <c r="C84" s="223" t="s">
        <v>1110</v>
      </c>
      <c r="D84" s="630"/>
      <c r="E84" s="739" t="s">
        <v>1036</v>
      </c>
    </row>
    <row r="85" spans="1:5" ht="15" customHeight="1" x14ac:dyDescent="0.2">
      <c r="A85" s="720"/>
      <c r="B85" s="730"/>
      <c r="C85" s="168" t="s">
        <v>872</v>
      </c>
      <c r="D85" s="631">
        <v>0</v>
      </c>
      <c r="E85" s="739"/>
    </row>
    <row r="86" spans="1:5" ht="15" customHeight="1" x14ac:dyDescent="0.2">
      <c r="A86" s="720"/>
      <c r="B86" s="730"/>
      <c r="C86" s="169" t="s">
        <v>873</v>
      </c>
      <c r="D86" s="631">
        <v>0</v>
      </c>
      <c r="E86" s="739"/>
    </row>
    <row r="87" spans="1:5" ht="15" customHeight="1" x14ac:dyDescent="0.2">
      <c r="A87" s="720"/>
      <c r="B87" s="730"/>
      <c r="C87" s="169" t="s">
        <v>874</v>
      </c>
      <c r="D87" s="631">
        <v>0</v>
      </c>
      <c r="E87" s="739"/>
    </row>
    <row r="88" spans="1:5" ht="15" customHeight="1" x14ac:dyDescent="0.2">
      <c r="A88" s="720"/>
      <c r="B88" s="730"/>
      <c r="C88" s="169" t="s">
        <v>875</v>
      </c>
      <c r="D88" s="631">
        <v>1</v>
      </c>
      <c r="E88" s="739"/>
    </row>
    <row r="89" spans="1:5" ht="15" customHeight="1" thickBot="1" x14ac:dyDescent="0.25">
      <c r="A89" s="720"/>
      <c r="B89" s="730"/>
      <c r="C89" s="224" t="s">
        <v>843</v>
      </c>
      <c r="D89" s="637">
        <v>0</v>
      </c>
      <c r="E89" s="739"/>
    </row>
    <row r="90" spans="1:5" ht="39.75" customHeight="1" thickBot="1" x14ac:dyDescent="0.25">
      <c r="A90" s="50" t="s">
        <v>267</v>
      </c>
      <c r="B90" s="244" t="s">
        <v>889</v>
      </c>
      <c r="C90" s="167" t="s">
        <v>142</v>
      </c>
      <c r="D90" s="638">
        <v>1</v>
      </c>
      <c r="E90" s="162" t="s">
        <v>1037</v>
      </c>
    </row>
    <row r="91" spans="1:5" ht="21" customHeight="1" thickBot="1" x14ac:dyDescent="0.25">
      <c r="A91" s="718" t="s">
        <v>268</v>
      </c>
      <c r="B91" s="724" t="s">
        <v>538</v>
      </c>
      <c r="C91" s="223" t="s">
        <v>133</v>
      </c>
      <c r="D91" s="639"/>
      <c r="E91" s="744" t="s">
        <v>1038</v>
      </c>
    </row>
    <row r="92" spans="1:5" ht="15" customHeight="1" x14ac:dyDescent="0.2">
      <c r="A92" s="718"/>
      <c r="B92" s="724"/>
      <c r="C92" s="168" t="s">
        <v>134</v>
      </c>
      <c r="D92" s="631">
        <v>1</v>
      </c>
      <c r="E92" s="744"/>
    </row>
    <row r="93" spans="1:5" ht="27" customHeight="1" x14ac:dyDescent="0.2">
      <c r="A93" s="718"/>
      <c r="B93" s="724"/>
      <c r="C93" s="169" t="s">
        <v>135</v>
      </c>
      <c r="D93" s="631">
        <v>0</v>
      </c>
      <c r="E93" s="744"/>
    </row>
    <row r="94" spans="1:5" ht="15" customHeight="1" x14ac:dyDescent="0.2">
      <c r="A94" s="718"/>
      <c r="B94" s="724"/>
      <c r="C94" s="169" t="s">
        <v>141</v>
      </c>
      <c r="D94" s="631">
        <v>0</v>
      </c>
      <c r="E94" s="744"/>
    </row>
    <row r="95" spans="1:5" ht="15" customHeight="1" x14ac:dyDescent="0.2">
      <c r="A95" s="718"/>
      <c r="B95" s="724"/>
      <c r="C95" s="169" t="s">
        <v>140</v>
      </c>
      <c r="D95" s="631">
        <v>0</v>
      </c>
      <c r="E95" s="744"/>
    </row>
    <row r="96" spans="1:5" ht="15" customHeight="1" thickBot="1" x14ac:dyDescent="0.25">
      <c r="A96" s="718"/>
      <c r="B96" s="724"/>
      <c r="C96" s="221" t="s">
        <v>539</v>
      </c>
      <c r="D96" s="631">
        <v>0</v>
      </c>
      <c r="E96" s="744"/>
    </row>
    <row r="97" spans="1:5" ht="30" customHeight="1" thickBot="1" x14ac:dyDescent="0.25">
      <c r="A97" s="721" t="s">
        <v>269</v>
      </c>
      <c r="B97" s="723" t="s">
        <v>136</v>
      </c>
      <c r="C97" s="167" t="s">
        <v>139</v>
      </c>
      <c r="D97" s="630"/>
      <c r="E97" s="740" t="s">
        <v>1088</v>
      </c>
    </row>
    <row r="98" spans="1:5" ht="15" customHeight="1" x14ac:dyDescent="0.2">
      <c r="A98" s="720"/>
      <c r="B98" s="724"/>
      <c r="C98" s="168" t="s">
        <v>369</v>
      </c>
      <c r="D98" s="631">
        <v>0</v>
      </c>
      <c r="E98" s="739"/>
    </row>
    <row r="99" spans="1:5" ht="15" customHeight="1" x14ac:dyDescent="0.2">
      <c r="A99" s="720"/>
      <c r="B99" s="724"/>
      <c r="C99" s="170" t="s">
        <v>856</v>
      </c>
      <c r="D99" s="631">
        <v>0</v>
      </c>
      <c r="E99" s="739"/>
    </row>
    <row r="100" spans="1:5" ht="15" customHeight="1" x14ac:dyDescent="0.2">
      <c r="A100" s="720"/>
      <c r="B100" s="724"/>
      <c r="C100" s="170" t="s">
        <v>743</v>
      </c>
      <c r="D100" s="631">
        <v>0</v>
      </c>
      <c r="E100" s="739"/>
    </row>
    <row r="101" spans="1:5" ht="15" customHeight="1" x14ac:dyDescent="0.2">
      <c r="A101" s="720"/>
      <c r="B101" s="724"/>
      <c r="C101" s="169" t="s">
        <v>487</v>
      </c>
      <c r="D101" s="631">
        <v>0</v>
      </c>
      <c r="E101" s="739"/>
    </row>
    <row r="102" spans="1:5" ht="15" customHeight="1" thickBot="1" x14ac:dyDescent="0.25">
      <c r="A102" s="722"/>
      <c r="B102" s="725"/>
      <c r="C102" s="171" t="s">
        <v>488</v>
      </c>
      <c r="D102" s="631">
        <v>0</v>
      </c>
      <c r="E102" s="741"/>
    </row>
    <row r="103" spans="1:5" s="15" customFormat="1" ht="28.5" customHeight="1" thickBot="1" x14ac:dyDescent="0.25">
      <c r="A103" s="720" t="s">
        <v>270</v>
      </c>
      <c r="B103" s="730" t="s">
        <v>821</v>
      </c>
      <c r="C103" s="223" t="s">
        <v>138</v>
      </c>
      <c r="D103" s="640"/>
      <c r="E103" s="745" t="s">
        <v>1089</v>
      </c>
    </row>
    <row r="104" spans="1:5" s="15" customFormat="1" ht="15" customHeight="1" x14ac:dyDescent="0.2">
      <c r="A104" s="718"/>
      <c r="B104" s="735"/>
      <c r="C104" s="168" t="s">
        <v>541</v>
      </c>
      <c r="D104" s="641">
        <v>1</v>
      </c>
      <c r="E104" s="745"/>
    </row>
    <row r="105" spans="1:5" s="15" customFormat="1" ht="15" customHeight="1" x14ac:dyDescent="0.2">
      <c r="A105" s="718"/>
      <c r="B105" s="735"/>
      <c r="C105" s="169" t="s">
        <v>137</v>
      </c>
      <c r="D105" s="641">
        <v>0</v>
      </c>
      <c r="E105" s="745"/>
    </row>
    <row r="106" spans="1:5" s="15" customFormat="1" ht="15" customHeight="1" x14ac:dyDescent="0.2">
      <c r="A106" s="718"/>
      <c r="B106" s="735"/>
      <c r="C106" s="169" t="s">
        <v>437</v>
      </c>
      <c r="D106" s="641">
        <v>0</v>
      </c>
      <c r="E106" s="745"/>
    </row>
    <row r="107" spans="1:5" s="15" customFormat="1" ht="15" customHeight="1" thickBot="1" x14ac:dyDescent="0.25">
      <c r="A107" s="718"/>
      <c r="B107" s="735"/>
      <c r="C107" s="224" t="s">
        <v>452</v>
      </c>
      <c r="D107" s="641">
        <v>0</v>
      </c>
      <c r="E107" s="745"/>
    </row>
    <row r="108" spans="1:5" s="9" customFormat="1" ht="45" customHeight="1" thickBot="1" x14ac:dyDescent="0.25">
      <c r="A108" s="50" t="s">
        <v>271</v>
      </c>
      <c r="B108" s="7" t="s">
        <v>376</v>
      </c>
      <c r="C108" s="233" t="s">
        <v>375</v>
      </c>
      <c r="D108" s="636">
        <v>2</v>
      </c>
      <c r="E108" s="172" t="s">
        <v>1090</v>
      </c>
    </row>
    <row r="109" spans="1:5" ht="55.5" customHeight="1" thickBot="1" x14ac:dyDescent="0.25">
      <c r="A109" s="215" t="s">
        <v>272</v>
      </c>
      <c r="B109" s="245" t="s">
        <v>498</v>
      </c>
      <c r="C109" s="135" t="s">
        <v>395</v>
      </c>
      <c r="D109" s="631">
        <v>0</v>
      </c>
      <c r="E109" s="210" t="s">
        <v>1039</v>
      </c>
    </row>
    <row r="110" spans="1:5" s="9" customFormat="1" ht="21" customHeight="1" thickBot="1" x14ac:dyDescent="0.25">
      <c r="A110" s="721" t="s">
        <v>273</v>
      </c>
      <c r="B110" s="732" t="s">
        <v>815</v>
      </c>
      <c r="C110" s="167" t="s">
        <v>540</v>
      </c>
      <c r="D110" s="642"/>
      <c r="E110" s="746" t="s">
        <v>1040</v>
      </c>
    </row>
    <row r="111" spans="1:5" s="9" customFormat="1" ht="15" customHeight="1" x14ac:dyDescent="0.2">
      <c r="A111" s="720"/>
      <c r="B111" s="733"/>
      <c r="C111" s="168" t="s">
        <v>855</v>
      </c>
      <c r="D111" s="631">
        <v>1</v>
      </c>
      <c r="E111" s="747"/>
    </row>
    <row r="112" spans="1:5" s="9" customFormat="1" ht="15" customHeight="1" x14ac:dyDescent="0.2">
      <c r="A112" s="720"/>
      <c r="B112" s="733"/>
      <c r="C112" s="169" t="s">
        <v>359</v>
      </c>
      <c r="D112" s="631">
        <v>0</v>
      </c>
      <c r="E112" s="747"/>
    </row>
    <row r="113" spans="1:5" s="9" customFormat="1" ht="15" customHeight="1" x14ac:dyDescent="0.2">
      <c r="A113" s="720"/>
      <c r="B113" s="733"/>
      <c r="C113" s="170" t="s">
        <v>856</v>
      </c>
      <c r="D113" s="631">
        <v>0</v>
      </c>
      <c r="E113" s="747"/>
    </row>
    <row r="114" spans="1:5" s="9" customFormat="1" ht="15" customHeight="1" x14ac:dyDescent="0.2">
      <c r="A114" s="720"/>
      <c r="B114" s="733"/>
      <c r="C114" s="170" t="s">
        <v>743</v>
      </c>
      <c r="D114" s="631">
        <v>0</v>
      </c>
      <c r="E114" s="747"/>
    </row>
    <row r="115" spans="1:5" ht="15" customHeight="1" x14ac:dyDescent="0.2">
      <c r="A115" s="720"/>
      <c r="B115" s="733"/>
      <c r="C115" s="170" t="s">
        <v>487</v>
      </c>
      <c r="D115" s="631">
        <v>0</v>
      </c>
      <c r="E115" s="747"/>
    </row>
    <row r="116" spans="1:5" ht="15" customHeight="1" x14ac:dyDescent="0.2">
      <c r="A116" s="720"/>
      <c r="B116" s="733"/>
      <c r="C116" s="169" t="s">
        <v>39</v>
      </c>
      <c r="D116" s="631">
        <v>0</v>
      </c>
      <c r="E116" s="747"/>
    </row>
    <row r="117" spans="1:5" ht="15" customHeight="1" thickBot="1" x14ac:dyDescent="0.25">
      <c r="A117" s="722"/>
      <c r="B117" s="734"/>
      <c r="C117" s="171" t="s">
        <v>360</v>
      </c>
      <c r="D117" s="631">
        <v>0</v>
      </c>
      <c r="E117" s="748"/>
    </row>
    <row r="118" spans="1:5" ht="60" customHeight="1" thickBot="1" x14ac:dyDescent="0.25">
      <c r="A118" s="720" t="s">
        <v>274</v>
      </c>
      <c r="B118" s="724" t="s">
        <v>529</v>
      </c>
      <c r="C118" s="216" t="s">
        <v>27</v>
      </c>
      <c r="D118" s="630"/>
      <c r="E118" s="739" t="s">
        <v>3581</v>
      </c>
    </row>
    <row r="119" spans="1:5" ht="15" customHeight="1" x14ac:dyDescent="0.2">
      <c r="A119" s="720"/>
      <c r="B119" s="724"/>
      <c r="C119" s="48" t="s">
        <v>530</v>
      </c>
      <c r="D119" s="632">
        <v>0</v>
      </c>
      <c r="E119" s="739"/>
    </row>
    <row r="120" spans="1:5" ht="15" customHeight="1" x14ac:dyDescent="0.2">
      <c r="A120" s="720"/>
      <c r="B120" s="724"/>
      <c r="C120" s="51" t="s">
        <v>22</v>
      </c>
      <c r="D120" s="632">
        <v>0</v>
      </c>
      <c r="E120" s="739"/>
    </row>
    <row r="121" spans="1:5" ht="15" customHeight="1" x14ac:dyDescent="0.2">
      <c r="A121" s="720"/>
      <c r="B121" s="724"/>
      <c r="C121" s="51" t="s">
        <v>23</v>
      </c>
      <c r="D121" s="632">
        <v>0</v>
      </c>
      <c r="E121" s="739"/>
    </row>
    <row r="122" spans="1:5" ht="15" customHeight="1" thickBot="1" x14ac:dyDescent="0.25">
      <c r="A122" s="720"/>
      <c r="B122" s="724"/>
      <c r="C122" s="49" t="s">
        <v>24</v>
      </c>
      <c r="D122" s="643">
        <v>1</v>
      </c>
      <c r="E122" s="739"/>
    </row>
    <row r="123" spans="1:5" ht="21" customHeight="1" thickBot="1" x14ac:dyDescent="0.25">
      <c r="A123" s="717" t="s">
        <v>275</v>
      </c>
      <c r="B123" s="726" t="s">
        <v>558</v>
      </c>
      <c r="C123" s="234" t="s">
        <v>101</v>
      </c>
      <c r="D123" s="644"/>
      <c r="E123" s="740" t="s">
        <v>1091</v>
      </c>
    </row>
    <row r="124" spans="1:5" ht="15" customHeight="1" x14ac:dyDescent="0.2">
      <c r="A124" s="718"/>
      <c r="B124" s="724"/>
      <c r="C124" s="45" t="s">
        <v>368</v>
      </c>
      <c r="D124" s="631">
        <v>0</v>
      </c>
      <c r="E124" s="739"/>
    </row>
    <row r="125" spans="1:5" ht="15" customHeight="1" x14ac:dyDescent="0.2">
      <c r="A125" s="718"/>
      <c r="B125" s="724"/>
      <c r="C125" s="46" t="s">
        <v>100</v>
      </c>
      <c r="D125" s="631">
        <v>0</v>
      </c>
      <c r="E125" s="739"/>
    </row>
    <row r="126" spans="1:5" ht="15" customHeight="1" x14ac:dyDescent="0.2">
      <c r="A126" s="718"/>
      <c r="B126" s="724"/>
      <c r="C126" s="51" t="s">
        <v>367</v>
      </c>
      <c r="D126" s="643">
        <v>1</v>
      </c>
      <c r="E126" s="739"/>
    </row>
    <row r="127" spans="1:5" ht="15" customHeight="1" thickBot="1" x14ac:dyDescent="0.25">
      <c r="A127" s="719"/>
      <c r="B127" s="725"/>
      <c r="C127" s="235" t="s">
        <v>556</v>
      </c>
      <c r="D127" s="631">
        <v>0</v>
      </c>
      <c r="E127" s="741"/>
    </row>
    <row r="128" spans="1:5" ht="21" customHeight="1" thickBot="1" x14ac:dyDescent="0.25">
      <c r="A128" s="720" t="s">
        <v>276</v>
      </c>
      <c r="B128" s="724" t="s">
        <v>859</v>
      </c>
      <c r="C128" s="236" t="s">
        <v>102</v>
      </c>
      <c r="D128" s="644"/>
      <c r="E128" s="739" t="s">
        <v>1041</v>
      </c>
    </row>
    <row r="129" spans="1:5" ht="27" customHeight="1" x14ac:dyDescent="0.2">
      <c r="A129" s="720"/>
      <c r="B129" s="724"/>
      <c r="C129" s="46" t="s">
        <v>895</v>
      </c>
      <c r="D129" s="631">
        <v>0</v>
      </c>
      <c r="E129" s="739"/>
    </row>
    <row r="130" spans="1:5" ht="42" customHeight="1" x14ac:dyDescent="0.2">
      <c r="A130" s="720"/>
      <c r="B130" s="724"/>
      <c r="C130" s="237" t="s">
        <v>372</v>
      </c>
      <c r="D130" s="631">
        <v>0</v>
      </c>
      <c r="E130" s="739"/>
    </row>
    <row r="131" spans="1:5" ht="15" customHeight="1" x14ac:dyDescent="0.2">
      <c r="A131" s="720"/>
      <c r="B131" s="724"/>
      <c r="C131" s="46" t="s">
        <v>373</v>
      </c>
      <c r="D131" s="631">
        <v>1</v>
      </c>
      <c r="E131" s="739"/>
    </row>
    <row r="132" spans="1:5" ht="15" customHeight="1" thickBot="1" x14ac:dyDescent="0.25">
      <c r="A132" s="720"/>
      <c r="B132" s="724"/>
      <c r="C132" s="47" t="s">
        <v>374</v>
      </c>
      <c r="D132" s="645">
        <v>0</v>
      </c>
      <c r="E132" s="739"/>
    </row>
    <row r="133" spans="1:5" ht="21" customHeight="1" thickBot="1" x14ac:dyDescent="0.25">
      <c r="A133" s="721" t="s">
        <v>277</v>
      </c>
      <c r="B133" s="723" t="s">
        <v>646</v>
      </c>
      <c r="C133" s="238" t="s">
        <v>105</v>
      </c>
      <c r="D133" s="644"/>
      <c r="E133" s="740" t="s">
        <v>1092</v>
      </c>
    </row>
    <row r="134" spans="1:5" ht="15" customHeight="1" x14ac:dyDescent="0.2">
      <c r="A134" s="720"/>
      <c r="B134" s="724"/>
      <c r="C134" s="45" t="s">
        <v>647</v>
      </c>
      <c r="D134" s="631">
        <v>0</v>
      </c>
      <c r="E134" s="739"/>
    </row>
    <row r="135" spans="1:5" ht="15" customHeight="1" x14ac:dyDescent="0.2">
      <c r="A135" s="720"/>
      <c r="B135" s="724"/>
      <c r="C135" s="239" t="s">
        <v>860</v>
      </c>
      <c r="D135" s="631">
        <v>0</v>
      </c>
      <c r="E135" s="739"/>
    </row>
    <row r="136" spans="1:5" ht="15" customHeight="1" x14ac:dyDescent="0.2">
      <c r="A136" s="720"/>
      <c r="B136" s="724"/>
      <c r="C136" s="239" t="s">
        <v>861</v>
      </c>
      <c r="D136" s="631">
        <v>0</v>
      </c>
      <c r="E136" s="739"/>
    </row>
    <row r="137" spans="1:5" ht="15" customHeight="1" x14ac:dyDescent="0.2">
      <c r="A137" s="720"/>
      <c r="B137" s="724"/>
      <c r="C137" s="184" t="s">
        <v>862</v>
      </c>
      <c r="D137" s="631">
        <v>1</v>
      </c>
      <c r="E137" s="739"/>
    </row>
    <row r="138" spans="1:5" ht="15" customHeight="1" thickBot="1" x14ac:dyDescent="0.25">
      <c r="A138" s="722"/>
      <c r="B138" s="725"/>
      <c r="C138" s="235" t="s">
        <v>446</v>
      </c>
      <c r="D138" s="631">
        <v>0</v>
      </c>
      <c r="E138" s="741"/>
    </row>
    <row r="139" spans="1:5" ht="21" customHeight="1" thickBot="1" x14ac:dyDescent="0.25">
      <c r="A139" s="718" t="s">
        <v>278</v>
      </c>
      <c r="B139" s="724" t="s">
        <v>563</v>
      </c>
      <c r="C139" s="236" t="s">
        <v>1006</v>
      </c>
      <c r="D139" s="644"/>
      <c r="E139" s="739" t="s">
        <v>1042</v>
      </c>
    </row>
    <row r="140" spans="1:5" ht="15" customHeight="1" x14ac:dyDescent="0.2">
      <c r="A140" s="718"/>
      <c r="B140" s="724"/>
      <c r="C140" s="240" t="s">
        <v>564</v>
      </c>
      <c r="D140" s="631">
        <v>0</v>
      </c>
      <c r="E140" s="739"/>
    </row>
    <row r="141" spans="1:5" ht="15" customHeight="1" x14ac:dyDescent="0.2">
      <c r="A141" s="718"/>
      <c r="B141" s="724"/>
      <c r="C141" s="239" t="s">
        <v>565</v>
      </c>
      <c r="D141" s="631">
        <v>0</v>
      </c>
      <c r="E141" s="739"/>
    </row>
    <row r="142" spans="1:5" ht="15" customHeight="1" thickBot="1" x14ac:dyDescent="0.25">
      <c r="A142" s="718"/>
      <c r="B142" s="724"/>
      <c r="C142" s="47" t="s">
        <v>566</v>
      </c>
      <c r="D142" s="631">
        <v>1</v>
      </c>
      <c r="E142" s="739"/>
    </row>
    <row r="143" spans="1:5" s="2" customFormat="1" ht="45" customHeight="1" thickBot="1" x14ac:dyDescent="0.25">
      <c r="A143" s="721" t="s">
        <v>279</v>
      </c>
      <c r="B143" s="723" t="s">
        <v>396</v>
      </c>
      <c r="C143" s="167" t="s">
        <v>1048</v>
      </c>
      <c r="D143" s="644"/>
      <c r="E143" s="749" t="s">
        <v>1093</v>
      </c>
    </row>
    <row r="144" spans="1:5" s="2" customFormat="1" ht="15" customHeight="1" x14ac:dyDescent="0.2">
      <c r="A144" s="720"/>
      <c r="B144" s="730"/>
      <c r="C144" s="224" t="s">
        <v>533</v>
      </c>
      <c r="D144" s="631">
        <v>1</v>
      </c>
      <c r="E144" s="744"/>
    </row>
    <row r="145" spans="1:5" s="2" customFormat="1" ht="15" customHeight="1" x14ac:dyDescent="0.2">
      <c r="A145" s="720"/>
      <c r="B145" s="730"/>
      <c r="C145" s="169" t="s">
        <v>532</v>
      </c>
      <c r="D145" s="631">
        <v>0</v>
      </c>
      <c r="E145" s="744"/>
    </row>
    <row r="146" spans="1:5" s="2" customFormat="1" ht="15" customHeight="1" thickBot="1" x14ac:dyDescent="0.25">
      <c r="A146" s="722"/>
      <c r="B146" s="731"/>
      <c r="C146" s="241" t="s">
        <v>531</v>
      </c>
      <c r="D146" s="631">
        <v>0</v>
      </c>
      <c r="E146" s="750"/>
    </row>
    <row r="147" spans="1:5" s="2" customFormat="1" ht="30" customHeight="1" thickBot="1" x14ac:dyDescent="0.25">
      <c r="A147" s="720" t="s">
        <v>280</v>
      </c>
      <c r="B147" s="730" t="s">
        <v>534</v>
      </c>
      <c r="C147" s="223" t="s">
        <v>954</v>
      </c>
      <c r="D147" s="644"/>
      <c r="E147" s="739" t="s">
        <v>1093</v>
      </c>
    </row>
    <row r="148" spans="1:5" s="2" customFormat="1" ht="15" customHeight="1" thickBot="1" x14ac:dyDescent="0.25">
      <c r="A148" s="720"/>
      <c r="B148" s="730"/>
      <c r="C148" s="168" t="s">
        <v>535</v>
      </c>
      <c r="D148" s="631">
        <v>0</v>
      </c>
      <c r="E148" s="739"/>
    </row>
    <row r="149" spans="1:5" s="2" customFormat="1" ht="15" customHeight="1" thickBot="1" x14ac:dyDescent="0.25">
      <c r="A149" s="720"/>
      <c r="B149" s="730"/>
      <c r="C149" s="169" t="s">
        <v>536</v>
      </c>
      <c r="D149" s="638">
        <v>1</v>
      </c>
      <c r="E149" s="739"/>
    </row>
    <row r="150" spans="1:5" s="2" customFormat="1" ht="15" customHeight="1" thickBot="1" x14ac:dyDescent="0.25">
      <c r="A150" s="720"/>
      <c r="B150" s="730"/>
      <c r="C150" s="224" t="s">
        <v>537</v>
      </c>
      <c r="D150" s="637">
        <v>0</v>
      </c>
      <c r="E150" s="739"/>
    </row>
    <row r="151" spans="1:5" s="9" customFormat="1" ht="30" customHeight="1" thickBot="1" x14ac:dyDescent="0.25">
      <c r="A151" s="50" t="s">
        <v>281</v>
      </c>
      <c r="B151" s="7" t="s">
        <v>955</v>
      </c>
      <c r="C151" s="233" t="s">
        <v>87</v>
      </c>
      <c r="D151" s="638">
        <v>0</v>
      </c>
      <c r="E151" s="172" t="s">
        <v>1043</v>
      </c>
    </row>
    <row r="152" spans="1:5" s="9" customFormat="1" ht="45" customHeight="1" thickBot="1" x14ac:dyDescent="0.25">
      <c r="A152" s="215" t="s">
        <v>282</v>
      </c>
      <c r="B152" s="243" t="s">
        <v>460</v>
      </c>
      <c r="C152" s="242" t="s">
        <v>28</v>
      </c>
      <c r="D152" s="646">
        <v>3</v>
      </c>
      <c r="E152" s="210" t="s">
        <v>1044</v>
      </c>
    </row>
    <row r="153" spans="1:5" ht="21" customHeight="1" thickBot="1" x14ac:dyDescent="0.25">
      <c r="A153" s="721" t="s">
        <v>283</v>
      </c>
      <c r="B153" s="723" t="s">
        <v>951</v>
      </c>
      <c r="C153" s="57" t="s">
        <v>3575</v>
      </c>
      <c r="D153" s="635"/>
      <c r="E153" s="749" t="s">
        <v>1094</v>
      </c>
    </row>
    <row r="154" spans="1:5" ht="28.5" customHeight="1" x14ac:dyDescent="0.2">
      <c r="A154" s="720"/>
      <c r="B154" s="730"/>
      <c r="C154" s="615" t="s">
        <v>3576</v>
      </c>
      <c r="D154" s="631">
        <v>0</v>
      </c>
      <c r="E154" s="744"/>
    </row>
    <row r="155" spans="1:5" ht="30.75" customHeight="1" x14ac:dyDescent="0.2">
      <c r="A155" s="720"/>
      <c r="B155" s="730"/>
      <c r="C155" s="616" t="s">
        <v>3577</v>
      </c>
      <c r="D155" s="631">
        <v>0</v>
      </c>
      <c r="E155" s="744"/>
    </row>
    <row r="156" spans="1:5" ht="15" customHeight="1" x14ac:dyDescent="0.2">
      <c r="A156" s="720"/>
      <c r="B156" s="730"/>
      <c r="C156" s="616" t="s">
        <v>461</v>
      </c>
      <c r="D156" s="631">
        <v>1</v>
      </c>
      <c r="E156" s="744"/>
    </row>
    <row r="157" spans="1:5" ht="15" customHeight="1" thickBot="1" x14ac:dyDescent="0.25">
      <c r="A157" s="722"/>
      <c r="B157" s="731"/>
      <c r="C157" s="606" t="s">
        <v>3578</v>
      </c>
      <c r="D157" s="647">
        <v>0</v>
      </c>
      <c r="E157" s="750"/>
    </row>
    <row r="158" spans="1:5" s="9" customFormat="1" ht="30" customHeight="1" thickBot="1" x14ac:dyDescent="0.25">
      <c r="A158" s="215" t="s">
        <v>284</v>
      </c>
      <c r="B158" s="245" t="s">
        <v>750</v>
      </c>
      <c r="C158" s="135" t="s">
        <v>948</v>
      </c>
      <c r="D158" s="648">
        <v>0</v>
      </c>
      <c r="E158" s="182" t="s">
        <v>1045</v>
      </c>
    </row>
    <row r="159" spans="1:5" s="9" customFormat="1" ht="30" customHeight="1" thickBot="1" x14ac:dyDescent="0.25">
      <c r="A159" s="50" t="s">
        <v>285</v>
      </c>
      <c r="B159" s="246" t="s">
        <v>749</v>
      </c>
      <c r="C159" s="167" t="s">
        <v>947</v>
      </c>
      <c r="D159" s="631">
        <v>0</v>
      </c>
      <c r="E159" s="162" t="s">
        <v>3582</v>
      </c>
    </row>
    <row r="160" spans="1:5" s="9" customFormat="1" ht="45" customHeight="1" thickBot="1" x14ac:dyDescent="0.25">
      <c r="A160" s="215" t="s">
        <v>286</v>
      </c>
      <c r="B160" s="245" t="s">
        <v>527</v>
      </c>
      <c r="C160" s="135" t="s">
        <v>459</v>
      </c>
      <c r="D160" s="649">
        <v>0</v>
      </c>
      <c r="E160" s="173" t="s">
        <v>1045</v>
      </c>
    </row>
    <row r="161" spans="1:5" ht="42" customHeight="1" thickBot="1" x14ac:dyDescent="0.25">
      <c r="A161" s="721" t="s">
        <v>287</v>
      </c>
      <c r="B161" s="726" t="s">
        <v>495</v>
      </c>
      <c r="C161" s="167" t="s">
        <v>290</v>
      </c>
      <c r="D161" s="635"/>
      <c r="E161" s="740" t="s">
        <v>1111</v>
      </c>
    </row>
    <row r="162" spans="1:5" ht="15" customHeight="1" x14ac:dyDescent="0.2">
      <c r="A162" s="720"/>
      <c r="B162" s="724"/>
      <c r="C162" s="218" t="s">
        <v>494</v>
      </c>
      <c r="D162" s="631">
        <v>0</v>
      </c>
      <c r="E162" s="739"/>
    </row>
    <row r="163" spans="1:5" ht="15" customHeight="1" x14ac:dyDescent="0.2">
      <c r="A163" s="720"/>
      <c r="B163" s="724"/>
      <c r="C163" s="168" t="s">
        <v>330</v>
      </c>
      <c r="D163" s="631">
        <v>0</v>
      </c>
      <c r="E163" s="739"/>
    </row>
    <row r="164" spans="1:5" ht="15" customHeight="1" x14ac:dyDescent="0.2">
      <c r="A164" s="720"/>
      <c r="B164" s="724"/>
      <c r="C164" s="168" t="s">
        <v>331</v>
      </c>
      <c r="D164" s="631">
        <v>0</v>
      </c>
      <c r="E164" s="739"/>
    </row>
    <row r="165" spans="1:5" ht="27.75" customHeight="1" thickBot="1" x14ac:dyDescent="0.25">
      <c r="A165" s="722"/>
      <c r="B165" s="725"/>
      <c r="C165" s="171" t="s">
        <v>332</v>
      </c>
      <c r="D165" s="631">
        <v>1</v>
      </c>
      <c r="E165" s="741"/>
    </row>
    <row r="166" spans="1:5" ht="45" customHeight="1" thickBot="1" x14ac:dyDescent="0.25">
      <c r="A166" s="215" t="s">
        <v>288</v>
      </c>
      <c r="B166" s="245" t="s">
        <v>496</v>
      </c>
      <c r="C166" s="135" t="s">
        <v>1005</v>
      </c>
      <c r="D166" s="631">
        <v>0</v>
      </c>
      <c r="E166" s="174" t="s">
        <v>1046</v>
      </c>
    </row>
    <row r="167" spans="1:5" ht="45" customHeight="1" thickBot="1" x14ac:dyDescent="0.25">
      <c r="A167" s="50" t="s">
        <v>289</v>
      </c>
      <c r="B167" s="246" t="s">
        <v>773</v>
      </c>
      <c r="C167" s="167" t="s">
        <v>333</v>
      </c>
      <c r="D167" s="631">
        <v>0</v>
      </c>
      <c r="E167" s="162" t="s">
        <v>1047</v>
      </c>
    </row>
    <row r="168" spans="1:5" s="9" customFormat="1" ht="15" customHeight="1" x14ac:dyDescent="0.2">
      <c r="A168" s="28"/>
      <c r="B168" s="16"/>
      <c r="C168" s="16"/>
      <c r="D168" s="13"/>
    </row>
    <row r="169" spans="1:5" s="9" customFormat="1" ht="15" customHeight="1" x14ac:dyDescent="0.2">
      <c r="A169" s="28"/>
      <c r="B169" s="16"/>
      <c r="C169" s="16"/>
      <c r="D169" s="13"/>
    </row>
    <row r="170" spans="1:5" s="9" customFormat="1" ht="15" customHeight="1" x14ac:dyDescent="0.2">
      <c r="A170" s="28"/>
      <c r="B170" s="16"/>
      <c r="C170" s="16"/>
      <c r="D170" s="13"/>
    </row>
    <row r="171" spans="1:5" s="9" customFormat="1" ht="15" customHeight="1" x14ac:dyDescent="0.2">
      <c r="A171" s="28"/>
      <c r="B171" s="16"/>
      <c r="C171" s="16"/>
      <c r="D171" s="13"/>
    </row>
    <row r="172" spans="1:5" s="9" customFormat="1" ht="15" customHeight="1" x14ac:dyDescent="0.2">
      <c r="A172" s="28"/>
      <c r="B172" s="16"/>
      <c r="C172" s="16"/>
      <c r="D172" s="13"/>
    </row>
    <row r="173" spans="1:5" s="9" customFormat="1" ht="15" customHeight="1" x14ac:dyDescent="0.2">
      <c r="A173" s="28"/>
      <c r="B173" s="16"/>
      <c r="C173" s="16"/>
      <c r="D173" s="13"/>
    </row>
    <row r="174" spans="1:5" s="9" customFormat="1" ht="15" customHeight="1" x14ac:dyDescent="0.2">
      <c r="A174" s="28"/>
      <c r="B174" s="16"/>
      <c r="C174" s="16"/>
      <c r="D174" s="13"/>
    </row>
    <row r="175" spans="1:5" s="9" customFormat="1" ht="15" customHeight="1" x14ac:dyDescent="0.2">
      <c r="A175" s="28"/>
      <c r="B175" s="16"/>
      <c r="C175" s="16"/>
      <c r="D175" s="13"/>
    </row>
    <row r="176" spans="1:5" s="9" customFormat="1" ht="15" customHeight="1" x14ac:dyDescent="0.2">
      <c r="A176" s="28"/>
      <c r="B176" s="16"/>
      <c r="C176" s="16"/>
      <c r="D176" s="13"/>
    </row>
    <row r="177" spans="1:4" s="9" customFormat="1" ht="15" customHeight="1" x14ac:dyDescent="0.2">
      <c r="A177" s="28"/>
      <c r="B177" s="16"/>
      <c r="C177" s="16"/>
      <c r="D177" s="13"/>
    </row>
    <row r="178" spans="1:4" s="9" customFormat="1" ht="15" customHeight="1" x14ac:dyDescent="0.2">
      <c r="A178" s="28"/>
      <c r="B178" s="16"/>
      <c r="C178" s="16"/>
      <c r="D178" s="13"/>
    </row>
    <row r="179" spans="1:4" s="9" customFormat="1" ht="15" customHeight="1" x14ac:dyDescent="0.2">
      <c r="A179" s="28"/>
      <c r="B179" s="16"/>
      <c r="C179" s="16"/>
      <c r="D179" s="13"/>
    </row>
    <row r="180" spans="1:4" s="9" customFormat="1" ht="15" customHeight="1" x14ac:dyDescent="0.2">
      <c r="A180" s="28"/>
      <c r="B180" s="16"/>
      <c r="C180" s="16"/>
      <c r="D180" s="13"/>
    </row>
    <row r="181" spans="1:4" s="9" customFormat="1" ht="15" customHeight="1" x14ac:dyDescent="0.2">
      <c r="A181" s="28"/>
      <c r="B181" s="16"/>
      <c r="C181" s="16"/>
      <c r="D181" s="13"/>
    </row>
    <row r="182" spans="1:4" s="9" customFormat="1" ht="15" customHeight="1" x14ac:dyDescent="0.2">
      <c r="A182" s="28"/>
      <c r="B182" s="16"/>
      <c r="C182" s="16"/>
      <c r="D182" s="13"/>
    </row>
    <row r="183" spans="1:4" s="9" customFormat="1" ht="15" customHeight="1" x14ac:dyDescent="0.2">
      <c r="A183" s="28"/>
      <c r="B183" s="16"/>
      <c r="C183" s="16"/>
      <c r="D183" s="13"/>
    </row>
    <row r="184" spans="1:4" s="9" customFormat="1" ht="15" customHeight="1" x14ac:dyDescent="0.2">
      <c r="A184" s="28"/>
      <c r="B184" s="16"/>
      <c r="C184" s="16"/>
      <c r="D184" s="13"/>
    </row>
    <row r="185" spans="1:4" s="9" customFormat="1" ht="15" customHeight="1" x14ac:dyDescent="0.2">
      <c r="A185" s="28"/>
      <c r="B185" s="16"/>
      <c r="C185" s="16"/>
      <c r="D185" s="13"/>
    </row>
    <row r="186" spans="1:4" s="9" customFormat="1" ht="15" customHeight="1" x14ac:dyDescent="0.2">
      <c r="A186" s="28"/>
      <c r="B186" s="16"/>
      <c r="C186" s="16"/>
      <c r="D186" s="13"/>
    </row>
    <row r="187" spans="1:4" s="9" customFormat="1" ht="15" customHeight="1" x14ac:dyDescent="0.2">
      <c r="A187" s="28"/>
      <c r="B187" s="16"/>
      <c r="C187" s="16"/>
      <c r="D187" s="13"/>
    </row>
    <row r="188" spans="1:4" s="9" customFormat="1" ht="15" customHeight="1" x14ac:dyDescent="0.2">
      <c r="A188" s="28"/>
      <c r="B188" s="16"/>
      <c r="C188" s="16"/>
      <c r="D188" s="13"/>
    </row>
    <row r="189" spans="1:4" s="9" customFormat="1" ht="15" customHeight="1" x14ac:dyDescent="0.2">
      <c r="A189" s="28"/>
      <c r="B189" s="16"/>
      <c r="C189" s="16"/>
      <c r="D189" s="13"/>
    </row>
    <row r="190" spans="1:4" s="9" customFormat="1" ht="15" customHeight="1" x14ac:dyDescent="0.2">
      <c r="A190" s="28"/>
      <c r="B190" s="16"/>
      <c r="C190" s="16"/>
      <c r="D190" s="13"/>
    </row>
    <row r="191" spans="1:4" s="9" customFormat="1" ht="15" customHeight="1" x14ac:dyDescent="0.2">
      <c r="A191" s="28"/>
      <c r="B191" s="16"/>
      <c r="C191" s="16"/>
      <c r="D191" s="13"/>
    </row>
    <row r="192" spans="1:4" s="9" customFormat="1" ht="15" customHeight="1" x14ac:dyDescent="0.2">
      <c r="A192" s="28"/>
      <c r="B192" s="16"/>
      <c r="C192" s="16"/>
      <c r="D192" s="13"/>
    </row>
    <row r="193" spans="1:4" s="9" customFormat="1" ht="15" customHeight="1" x14ac:dyDescent="0.2">
      <c r="A193" s="28"/>
      <c r="B193" s="16"/>
      <c r="C193" s="16"/>
      <c r="D193" s="13"/>
    </row>
    <row r="194" spans="1:4" s="9" customFormat="1" ht="15" customHeight="1" x14ac:dyDescent="0.2">
      <c r="A194" s="28"/>
      <c r="B194" s="16"/>
      <c r="C194" s="16"/>
      <c r="D194" s="13"/>
    </row>
    <row r="195" spans="1:4" s="9" customFormat="1" ht="15" customHeight="1" x14ac:dyDescent="0.2">
      <c r="A195" s="28"/>
      <c r="B195" s="16"/>
      <c r="C195" s="16"/>
      <c r="D195" s="13"/>
    </row>
    <row r="196" spans="1:4" s="9" customFormat="1" ht="15" customHeight="1" x14ac:dyDescent="0.2">
      <c r="A196" s="28"/>
      <c r="B196" s="16"/>
      <c r="C196" s="16"/>
      <c r="D196" s="13"/>
    </row>
    <row r="197" spans="1:4" s="9" customFormat="1" ht="15" customHeight="1" x14ac:dyDescent="0.2">
      <c r="A197" s="28"/>
      <c r="B197" s="16"/>
      <c r="C197" s="16"/>
      <c r="D197" s="13"/>
    </row>
    <row r="198" spans="1:4" s="9" customFormat="1" ht="15" customHeight="1" x14ac:dyDescent="0.2">
      <c r="A198" s="28"/>
      <c r="B198" s="16"/>
      <c r="C198" s="16"/>
      <c r="D198" s="13"/>
    </row>
    <row r="199" spans="1:4" s="9" customFormat="1" ht="15" customHeight="1" x14ac:dyDescent="0.2">
      <c r="A199" s="28"/>
      <c r="B199" s="16"/>
      <c r="C199" s="16"/>
      <c r="D199" s="13"/>
    </row>
    <row r="200" spans="1:4" s="9" customFormat="1" ht="15" customHeight="1" x14ac:dyDescent="0.2">
      <c r="A200" s="28"/>
      <c r="B200" s="16"/>
      <c r="C200" s="16"/>
      <c r="D200" s="13"/>
    </row>
    <row r="201" spans="1:4" s="9" customFormat="1" ht="15" customHeight="1" x14ac:dyDescent="0.2">
      <c r="A201" s="28"/>
      <c r="B201" s="16"/>
      <c r="C201" s="16"/>
      <c r="D201" s="13"/>
    </row>
    <row r="202" spans="1:4" s="9" customFormat="1" ht="15" customHeight="1" x14ac:dyDescent="0.2">
      <c r="A202" s="28"/>
      <c r="B202" s="16"/>
      <c r="C202" s="16"/>
      <c r="D202" s="13"/>
    </row>
    <row r="203" spans="1:4" s="9" customFormat="1" ht="15" customHeight="1" x14ac:dyDescent="0.2">
      <c r="A203" s="28"/>
      <c r="B203" s="16"/>
      <c r="C203" s="16"/>
      <c r="D203" s="13"/>
    </row>
    <row r="204" spans="1:4" s="9" customFormat="1" ht="15" customHeight="1" x14ac:dyDescent="0.2">
      <c r="A204" s="28"/>
      <c r="B204" s="16"/>
      <c r="C204" s="16"/>
      <c r="D204" s="13"/>
    </row>
    <row r="205" spans="1:4" s="9" customFormat="1" ht="15" customHeight="1" x14ac:dyDescent="0.2">
      <c r="A205" s="28"/>
      <c r="B205" s="16"/>
      <c r="C205" s="16"/>
      <c r="D205" s="13"/>
    </row>
    <row r="206" spans="1:4" s="9" customFormat="1" ht="15" customHeight="1" x14ac:dyDescent="0.2">
      <c r="A206" s="28"/>
      <c r="B206" s="16"/>
      <c r="C206" s="16"/>
      <c r="D206" s="13"/>
    </row>
    <row r="207" spans="1:4" s="9" customFormat="1" ht="15" customHeight="1" x14ac:dyDescent="0.2">
      <c r="A207" s="28"/>
      <c r="B207" s="16"/>
      <c r="C207" s="16"/>
      <c r="D207" s="13"/>
    </row>
    <row r="208" spans="1:4" s="9" customFormat="1" ht="15" customHeight="1" x14ac:dyDescent="0.2">
      <c r="A208" s="28"/>
      <c r="B208" s="16"/>
      <c r="C208" s="16"/>
      <c r="D208" s="13"/>
    </row>
    <row r="209" spans="1:4" s="9" customFormat="1" ht="15" customHeight="1" x14ac:dyDescent="0.2">
      <c r="A209" s="28"/>
      <c r="B209" s="16"/>
      <c r="C209" s="16"/>
      <c r="D209" s="13"/>
    </row>
    <row r="210" spans="1:4" s="9" customFormat="1" ht="15" customHeight="1" x14ac:dyDescent="0.2">
      <c r="A210" s="28"/>
      <c r="B210" s="16"/>
      <c r="C210" s="16"/>
      <c r="D210" s="13"/>
    </row>
    <row r="211" spans="1:4" s="9" customFormat="1" ht="15" customHeight="1" x14ac:dyDescent="0.2">
      <c r="A211" s="28"/>
      <c r="B211" s="16"/>
      <c r="C211" s="16"/>
      <c r="D211" s="13"/>
    </row>
    <row r="212" spans="1:4" s="9" customFormat="1" ht="15" customHeight="1" x14ac:dyDescent="0.2">
      <c r="A212" s="28"/>
      <c r="B212" s="16"/>
      <c r="C212" s="16"/>
      <c r="D212" s="13"/>
    </row>
    <row r="213" spans="1:4" s="9" customFormat="1" ht="15" customHeight="1" x14ac:dyDescent="0.2">
      <c r="A213" s="28"/>
      <c r="B213" s="16"/>
      <c r="C213" s="16"/>
      <c r="D213" s="13"/>
    </row>
    <row r="214" spans="1:4" s="9" customFormat="1" ht="15" customHeight="1" x14ac:dyDescent="0.2">
      <c r="A214" s="28"/>
      <c r="B214" s="16"/>
      <c r="C214" s="16"/>
      <c r="D214" s="13"/>
    </row>
    <row r="215" spans="1:4" s="9" customFormat="1" ht="15" customHeight="1" x14ac:dyDescent="0.2">
      <c r="A215" s="28"/>
      <c r="B215" s="16"/>
      <c r="C215" s="16"/>
      <c r="D215" s="13"/>
    </row>
    <row r="216" spans="1:4" s="9" customFormat="1" ht="15" customHeight="1" x14ac:dyDescent="0.2">
      <c r="A216" s="28"/>
      <c r="B216" s="16"/>
      <c r="C216" s="16"/>
      <c r="D216" s="13"/>
    </row>
    <row r="217" spans="1:4" s="9" customFormat="1" ht="15" customHeight="1" x14ac:dyDescent="0.2">
      <c r="A217" s="28"/>
      <c r="B217" s="16"/>
      <c r="C217" s="16"/>
      <c r="D217" s="13"/>
    </row>
    <row r="218" spans="1:4" s="9" customFormat="1" ht="15" customHeight="1" x14ac:dyDescent="0.2">
      <c r="A218" s="28"/>
      <c r="B218" s="16"/>
      <c r="C218" s="16"/>
      <c r="D218" s="13"/>
    </row>
    <row r="219" spans="1:4" s="9" customFormat="1" ht="15" customHeight="1" x14ac:dyDescent="0.2">
      <c r="A219" s="28"/>
      <c r="B219" s="16"/>
      <c r="C219" s="16"/>
      <c r="D219" s="13"/>
    </row>
    <row r="220" spans="1:4" s="9" customFormat="1" ht="15" customHeight="1" x14ac:dyDescent="0.2">
      <c r="A220" s="28"/>
      <c r="B220" s="16"/>
      <c r="C220" s="16"/>
      <c r="D220" s="13"/>
    </row>
    <row r="221" spans="1:4" s="9" customFormat="1" ht="15" customHeight="1" x14ac:dyDescent="0.2">
      <c r="A221" s="28"/>
      <c r="B221" s="16"/>
      <c r="C221" s="16"/>
      <c r="D221" s="13"/>
    </row>
    <row r="222" spans="1:4" s="9" customFormat="1" ht="15" customHeight="1" x14ac:dyDescent="0.2">
      <c r="A222" s="28"/>
      <c r="B222" s="16"/>
      <c r="C222" s="16"/>
      <c r="D222" s="13"/>
    </row>
    <row r="223" spans="1:4" s="9" customFormat="1" ht="15" customHeight="1" x14ac:dyDescent="0.2">
      <c r="A223" s="28"/>
      <c r="B223" s="16"/>
      <c r="C223" s="16"/>
      <c r="D223" s="13"/>
    </row>
    <row r="224" spans="1:4" s="9" customFormat="1" ht="15" customHeight="1" x14ac:dyDescent="0.2">
      <c r="A224" s="28"/>
      <c r="B224" s="16"/>
      <c r="C224" s="16"/>
      <c r="D224" s="13"/>
    </row>
    <row r="225" spans="1:4" s="9" customFormat="1" ht="15" customHeight="1" x14ac:dyDescent="0.2">
      <c r="A225" s="28"/>
      <c r="B225" s="16"/>
      <c r="C225" s="16"/>
      <c r="D225" s="13"/>
    </row>
    <row r="226" spans="1:4" s="9" customFormat="1" ht="15" customHeight="1" x14ac:dyDescent="0.2">
      <c r="A226" s="28"/>
      <c r="B226" s="16"/>
      <c r="C226" s="16"/>
      <c r="D226" s="13"/>
    </row>
    <row r="227" spans="1:4" s="9" customFormat="1" ht="15" customHeight="1" x14ac:dyDescent="0.2">
      <c r="A227" s="28"/>
      <c r="B227" s="16"/>
      <c r="C227" s="16"/>
      <c r="D227" s="13"/>
    </row>
    <row r="228" spans="1:4" s="9" customFormat="1" ht="15" customHeight="1" x14ac:dyDescent="0.2">
      <c r="A228" s="28"/>
      <c r="B228" s="16"/>
      <c r="C228" s="16"/>
      <c r="D228" s="13"/>
    </row>
    <row r="229" spans="1:4" s="9" customFormat="1" ht="15" customHeight="1" x14ac:dyDescent="0.2">
      <c r="A229" s="28"/>
      <c r="B229" s="16"/>
      <c r="C229" s="16"/>
      <c r="D229" s="13"/>
    </row>
    <row r="230" spans="1:4" s="9" customFormat="1" ht="15" customHeight="1" x14ac:dyDescent="0.2">
      <c r="A230" s="28"/>
      <c r="B230" s="16"/>
      <c r="C230" s="16"/>
      <c r="D230" s="13"/>
    </row>
    <row r="231" spans="1:4" s="9" customFormat="1" ht="15" customHeight="1" x14ac:dyDescent="0.2">
      <c r="A231" s="28"/>
      <c r="B231" s="16"/>
      <c r="C231" s="16"/>
      <c r="D231" s="13"/>
    </row>
    <row r="232" spans="1:4" s="9" customFormat="1" ht="15" customHeight="1" x14ac:dyDescent="0.2">
      <c r="A232" s="28"/>
      <c r="B232" s="16"/>
      <c r="C232" s="16"/>
      <c r="D232" s="13"/>
    </row>
    <row r="233" spans="1:4" s="9" customFormat="1" ht="15" customHeight="1" x14ac:dyDescent="0.2">
      <c r="A233" s="28"/>
      <c r="B233" s="16"/>
      <c r="C233" s="16"/>
      <c r="D233" s="13"/>
    </row>
    <row r="234" spans="1:4" s="9" customFormat="1" ht="15" customHeight="1" x14ac:dyDescent="0.2">
      <c r="A234" s="28"/>
      <c r="B234" s="16"/>
      <c r="C234" s="16"/>
      <c r="D234" s="13"/>
    </row>
    <row r="235" spans="1:4" s="9" customFormat="1" ht="15" customHeight="1" x14ac:dyDescent="0.2">
      <c r="A235" s="28"/>
      <c r="B235" s="16"/>
      <c r="C235" s="16"/>
      <c r="D235" s="13"/>
    </row>
    <row r="236" spans="1:4" s="9" customFormat="1" ht="15" customHeight="1" x14ac:dyDescent="0.2">
      <c r="A236" s="28"/>
      <c r="B236" s="16"/>
      <c r="C236" s="16"/>
      <c r="D236" s="13"/>
    </row>
    <row r="237" spans="1:4" s="9" customFormat="1" ht="15" customHeight="1" x14ac:dyDescent="0.2">
      <c r="A237" s="28"/>
      <c r="B237" s="16"/>
      <c r="C237" s="16"/>
      <c r="D237" s="13"/>
    </row>
    <row r="238" spans="1:4" s="9" customFormat="1" ht="15" customHeight="1" x14ac:dyDescent="0.2">
      <c r="A238" s="28"/>
      <c r="B238" s="16"/>
      <c r="C238" s="16"/>
      <c r="D238" s="13"/>
    </row>
    <row r="239" spans="1:4" s="9" customFormat="1" ht="15" customHeight="1" x14ac:dyDescent="0.2">
      <c r="A239" s="28"/>
      <c r="B239" s="16"/>
      <c r="C239" s="16"/>
      <c r="D239" s="13"/>
    </row>
    <row r="240" spans="1:4" s="9" customFormat="1" ht="15" customHeight="1" x14ac:dyDescent="0.2">
      <c r="A240" s="28"/>
      <c r="B240" s="16"/>
      <c r="C240" s="16"/>
      <c r="D240" s="13"/>
    </row>
    <row r="241" spans="1:4" s="9" customFormat="1" ht="15" customHeight="1" x14ac:dyDescent="0.2">
      <c r="A241" s="28"/>
      <c r="B241" s="16"/>
      <c r="C241" s="16"/>
      <c r="D241" s="13"/>
    </row>
    <row r="242" spans="1:4" s="9" customFormat="1" ht="15" customHeight="1" x14ac:dyDescent="0.2">
      <c r="A242" s="28"/>
      <c r="B242" s="16"/>
      <c r="C242" s="16"/>
      <c r="D242" s="13"/>
    </row>
    <row r="243" spans="1:4" s="9" customFormat="1" ht="15" customHeight="1" x14ac:dyDescent="0.2">
      <c r="A243" s="28"/>
      <c r="B243" s="16"/>
      <c r="C243" s="16"/>
      <c r="D243" s="13"/>
    </row>
    <row r="244" spans="1:4" s="9" customFormat="1" ht="15" customHeight="1" x14ac:dyDescent="0.2">
      <c r="A244" s="28"/>
      <c r="B244" s="16"/>
      <c r="C244" s="16"/>
      <c r="D244" s="13"/>
    </row>
    <row r="245" spans="1:4" s="9" customFormat="1" ht="15" customHeight="1" x14ac:dyDescent="0.2">
      <c r="A245" s="28"/>
      <c r="B245" s="16"/>
      <c r="C245" s="16"/>
      <c r="D245" s="13"/>
    </row>
    <row r="246" spans="1:4" s="9" customFormat="1" ht="15" customHeight="1" x14ac:dyDescent="0.2">
      <c r="A246" s="28"/>
      <c r="B246" s="16"/>
      <c r="C246" s="16"/>
      <c r="D246" s="13"/>
    </row>
    <row r="247" spans="1:4" s="9" customFormat="1" ht="15" customHeight="1" x14ac:dyDescent="0.2">
      <c r="A247" s="28"/>
      <c r="B247" s="16"/>
      <c r="C247" s="16"/>
      <c r="D247" s="13"/>
    </row>
    <row r="248" spans="1:4" s="9" customFormat="1" ht="15" customHeight="1" x14ac:dyDescent="0.2">
      <c r="A248" s="28"/>
      <c r="B248" s="16"/>
      <c r="C248" s="16"/>
      <c r="D248" s="13"/>
    </row>
    <row r="249" spans="1:4" s="9" customFormat="1" ht="15" customHeight="1" x14ac:dyDescent="0.2">
      <c r="A249" s="28"/>
      <c r="B249" s="16"/>
      <c r="C249" s="16"/>
      <c r="D249" s="13"/>
    </row>
    <row r="250" spans="1:4" s="9" customFormat="1" ht="15" customHeight="1" x14ac:dyDescent="0.2">
      <c r="A250" s="28"/>
      <c r="B250" s="16"/>
      <c r="C250" s="16"/>
      <c r="D250" s="13"/>
    </row>
    <row r="251" spans="1:4" s="9" customFormat="1" ht="15" customHeight="1" x14ac:dyDescent="0.2">
      <c r="A251" s="28"/>
      <c r="B251" s="16"/>
      <c r="C251" s="16"/>
      <c r="D251" s="13"/>
    </row>
    <row r="252" spans="1:4" s="9" customFormat="1" ht="15" customHeight="1" x14ac:dyDescent="0.2">
      <c r="A252" s="28"/>
      <c r="B252" s="16"/>
      <c r="C252" s="16"/>
      <c r="D252" s="13"/>
    </row>
    <row r="253" spans="1:4" s="9" customFormat="1" ht="15" customHeight="1" x14ac:dyDescent="0.2">
      <c r="A253" s="28"/>
      <c r="B253" s="16"/>
      <c r="C253" s="16"/>
      <c r="D253" s="13"/>
    </row>
    <row r="254" spans="1:4" s="9" customFormat="1" ht="15" customHeight="1" x14ac:dyDescent="0.2">
      <c r="A254" s="28"/>
      <c r="B254" s="16"/>
      <c r="C254" s="16"/>
      <c r="D254" s="13"/>
    </row>
    <row r="255" spans="1:4" s="9" customFormat="1" ht="15" customHeight="1" x14ac:dyDescent="0.2">
      <c r="A255" s="28"/>
      <c r="B255" s="16"/>
      <c r="C255" s="16"/>
      <c r="D255" s="13"/>
    </row>
    <row r="256" spans="1:4" s="9" customFormat="1" ht="15" customHeight="1" x14ac:dyDescent="0.2">
      <c r="A256" s="28"/>
      <c r="B256" s="16"/>
      <c r="C256" s="16"/>
      <c r="D256" s="13"/>
    </row>
    <row r="257" spans="1:4" s="9" customFormat="1" ht="15" customHeight="1" x14ac:dyDescent="0.2">
      <c r="A257" s="28"/>
      <c r="B257" s="16"/>
      <c r="C257" s="16"/>
      <c r="D257" s="13"/>
    </row>
    <row r="258" spans="1:4" s="9" customFormat="1" ht="15" customHeight="1" x14ac:dyDescent="0.2">
      <c r="A258" s="28"/>
      <c r="B258" s="16"/>
      <c r="C258" s="16"/>
      <c r="D258" s="13"/>
    </row>
    <row r="259" spans="1:4" s="9" customFormat="1" ht="15" customHeight="1" x14ac:dyDescent="0.2">
      <c r="A259" s="28"/>
      <c r="B259" s="16"/>
      <c r="C259" s="16"/>
      <c r="D259" s="13"/>
    </row>
    <row r="260" spans="1:4" s="9" customFormat="1" ht="15" customHeight="1" x14ac:dyDescent="0.2">
      <c r="A260" s="28"/>
      <c r="B260" s="16"/>
      <c r="C260" s="16"/>
      <c r="D260" s="13"/>
    </row>
    <row r="261" spans="1:4" s="9" customFormat="1" ht="15" customHeight="1" x14ac:dyDescent="0.2">
      <c r="A261" s="28"/>
      <c r="B261" s="16"/>
      <c r="C261" s="16"/>
      <c r="D261" s="13"/>
    </row>
    <row r="262" spans="1:4" s="9" customFormat="1" ht="15" customHeight="1" x14ac:dyDescent="0.2">
      <c r="A262" s="28"/>
      <c r="B262" s="16"/>
      <c r="C262" s="16"/>
      <c r="D262" s="13"/>
    </row>
    <row r="263" spans="1:4" s="9" customFormat="1" ht="15" customHeight="1" x14ac:dyDescent="0.2">
      <c r="A263" s="28"/>
      <c r="B263" s="16"/>
      <c r="C263" s="16"/>
      <c r="D263" s="13"/>
    </row>
    <row r="264" spans="1:4" s="9" customFormat="1" ht="15" customHeight="1" x14ac:dyDescent="0.2">
      <c r="A264" s="28"/>
      <c r="B264" s="16"/>
      <c r="C264" s="16"/>
      <c r="D264" s="13"/>
    </row>
    <row r="265" spans="1:4" s="9" customFormat="1" ht="15" customHeight="1" x14ac:dyDescent="0.2">
      <c r="A265" s="28"/>
      <c r="B265" s="16"/>
      <c r="C265" s="16"/>
      <c r="D265" s="13"/>
    </row>
    <row r="266" spans="1:4" s="9" customFormat="1" ht="15" customHeight="1" x14ac:dyDescent="0.2">
      <c r="A266" s="28"/>
      <c r="B266" s="16"/>
      <c r="C266" s="16"/>
      <c r="D266" s="13"/>
    </row>
    <row r="267" spans="1:4" s="9" customFormat="1" ht="15" customHeight="1" x14ac:dyDescent="0.2">
      <c r="A267" s="28"/>
      <c r="B267" s="16"/>
      <c r="C267" s="16"/>
      <c r="D267" s="13"/>
    </row>
    <row r="268" spans="1:4" s="9" customFormat="1" ht="15" customHeight="1" x14ac:dyDescent="0.2">
      <c r="A268" s="28"/>
      <c r="B268" s="16"/>
      <c r="C268" s="16"/>
      <c r="D268" s="13"/>
    </row>
    <row r="269" spans="1:4" s="9" customFormat="1" ht="15" customHeight="1" x14ac:dyDescent="0.2">
      <c r="A269" s="28"/>
      <c r="B269" s="16"/>
      <c r="C269" s="16"/>
      <c r="D269" s="13"/>
    </row>
    <row r="270" spans="1:4" s="9" customFormat="1" ht="15" customHeight="1" x14ac:dyDescent="0.2">
      <c r="A270" s="28"/>
      <c r="B270" s="16"/>
      <c r="C270" s="16"/>
      <c r="D270" s="13"/>
    </row>
    <row r="271" spans="1:4" s="9" customFormat="1" ht="15" customHeight="1" x14ac:dyDescent="0.2">
      <c r="A271" s="28"/>
      <c r="B271" s="16"/>
      <c r="C271" s="16"/>
      <c r="D271" s="13"/>
    </row>
    <row r="272" spans="1:4" s="9" customFormat="1" ht="15" customHeight="1" x14ac:dyDescent="0.2">
      <c r="A272" s="28"/>
      <c r="B272" s="16"/>
      <c r="C272" s="16"/>
      <c r="D272" s="13"/>
    </row>
    <row r="273" spans="1:4" s="9" customFormat="1" ht="15" customHeight="1" x14ac:dyDescent="0.2">
      <c r="A273" s="28"/>
      <c r="B273" s="16"/>
      <c r="C273" s="16"/>
      <c r="D273" s="13"/>
    </row>
    <row r="274" spans="1:4" s="9" customFormat="1" ht="15" customHeight="1" x14ac:dyDescent="0.2">
      <c r="A274" s="28"/>
      <c r="B274" s="16"/>
      <c r="C274" s="16"/>
      <c r="D274" s="13"/>
    </row>
    <row r="275" spans="1:4" s="9" customFormat="1" ht="15" customHeight="1" x14ac:dyDescent="0.2">
      <c r="A275" s="28"/>
      <c r="B275" s="16"/>
      <c r="C275" s="16"/>
      <c r="D275" s="13"/>
    </row>
    <row r="276" spans="1:4" s="9" customFormat="1" ht="15" customHeight="1" x14ac:dyDescent="0.2">
      <c r="A276" s="28"/>
      <c r="B276" s="16"/>
      <c r="C276" s="16"/>
      <c r="D276" s="13"/>
    </row>
    <row r="277" spans="1:4" s="9" customFormat="1" ht="15" customHeight="1" x14ac:dyDescent="0.2">
      <c r="A277" s="28"/>
      <c r="B277" s="16"/>
      <c r="C277" s="16"/>
      <c r="D277" s="13"/>
    </row>
    <row r="278" spans="1:4" s="9" customFormat="1" ht="15" customHeight="1" x14ac:dyDescent="0.2">
      <c r="A278" s="28"/>
      <c r="B278" s="16"/>
      <c r="C278" s="16"/>
      <c r="D278" s="13"/>
    </row>
    <row r="279" spans="1:4" s="9" customFormat="1" ht="15" customHeight="1" x14ac:dyDescent="0.2">
      <c r="A279" s="28"/>
      <c r="B279" s="16"/>
      <c r="C279" s="16"/>
      <c r="D279" s="13"/>
    </row>
    <row r="280" spans="1:4" s="9" customFormat="1" ht="15" customHeight="1" x14ac:dyDescent="0.2">
      <c r="A280" s="28"/>
      <c r="B280" s="16"/>
      <c r="C280" s="16"/>
      <c r="D280" s="13"/>
    </row>
    <row r="281" spans="1:4" s="9" customFormat="1" ht="15" customHeight="1" x14ac:dyDescent="0.2">
      <c r="A281" s="28"/>
      <c r="B281" s="16"/>
      <c r="C281" s="16"/>
      <c r="D281" s="13"/>
    </row>
    <row r="282" spans="1:4" s="9" customFormat="1" ht="15" customHeight="1" x14ac:dyDescent="0.2">
      <c r="A282" s="28"/>
      <c r="B282" s="16"/>
      <c r="C282" s="16"/>
      <c r="D282" s="13"/>
    </row>
    <row r="283" spans="1:4" s="9" customFormat="1" ht="15" customHeight="1" x14ac:dyDescent="0.2">
      <c r="A283" s="28"/>
      <c r="B283" s="16"/>
      <c r="C283" s="16"/>
      <c r="D283" s="13"/>
    </row>
    <row r="284" spans="1:4" s="9" customFormat="1" ht="15" customHeight="1" x14ac:dyDescent="0.2">
      <c r="A284" s="28"/>
      <c r="B284" s="16"/>
      <c r="C284" s="16"/>
      <c r="D284" s="13"/>
    </row>
    <row r="285" spans="1:4" s="9" customFormat="1" ht="15" customHeight="1" x14ac:dyDescent="0.2">
      <c r="A285" s="28"/>
      <c r="B285" s="16"/>
      <c r="C285" s="16"/>
      <c r="D285" s="13"/>
    </row>
    <row r="286" spans="1:4" s="9" customFormat="1" ht="15" customHeight="1" x14ac:dyDescent="0.2">
      <c r="A286" s="28"/>
      <c r="B286" s="16"/>
      <c r="C286" s="16"/>
      <c r="D286" s="13"/>
    </row>
    <row r="287" spans="1:4" s="9" customFormat="1" ht="15" customHeight="1" x14ac:dyDescent="0.2">
      <c r="A287" s="28"/>
      <c r="B287" s="16"/>
      <c r="C287" s="16"/>
      <c r="D287" s="13"/>
    </row>
    <row r="288" spans="1:4" s="9" customFormat="1" ht="15" customHeight="1" x14ac:dyDescent="0.2">
      <c r="A288" s="28"/>
      <c r="B288" s="16"/>
      <c r="C288" s="16"/>
      <c r="D288" s="13"/>
    </row>
    <row r="289" spans="1:4" s="9" customFormat="1" ht="15" customHeight="1" x14ac:dyDescent="0.2">
      <c r="A289" s="28"/>
      <c r="B289" s="16"/>
      <c r="C289" s="16"/>
      <c r="D289" s="13"/>
    </row>
    <row r="290" spans="1:4" s="9" customFormat="1" ht="15" customHeight="1" x14ac:dyDescent="0.2">
      <c r="A290" s="28"/>
      <c r="B290" s="16"/>
      <c r="C290" s="16"/>
      <c r="D290" s="13"/>
    </row>
    <row r="291" spans="1:4" s="9" customFormat="1" ht="15" customHeight="1" x14ac:dyDescent="0.2">
      <c r="A291" s="28"/>
      <c r="B291" s="16"/>
      <c r="C291" s="16"/>
      <c r="D291" s="13"/>
    </row>
    <row r="292" spans="1:4" s="9" customFormat="1" ht="15" customHeight="1" x14ac:dyDescent="0.2">
      <c r="A292" s="28"/>
      <c r="B292" s="16"/>
      <c r="C292" s="16"/>
      <c r="D292" s="13"/>
    </row>
    <row r="293" spans="1:4" s="9" customFormat="1" ht="15" customHeight="1" x14ac:dyDescent="0.2">
      <c r="A293" s="28"/>
      <c r="B293" s="16"/>
      <c r="C293" s="16"/>
      <c r="D293" s="13"/>
    </row>
    <row r="294" spans="1:4" s="9" customFormat="1" ht="15" customHeight="1" x14ac:dyDescent="0.2">
      <c r="A294" s="28"/>
      <c r="B294" s="16"/>
      <c r="C294" s="16"/>
      <c r="D294" s="13"/>
    </row>
    <row r="295" spans="1:4" s="9" customFormat="1" ht="15" customHeight="1" x14ac:dyDescent="0.2">
      <c r="A295" s="28"/>
      <c r="B295" s="16"/>
      <c r="C295" s="16"/>
      <c r="D295" s="13"/>
    </row>
    <row r="296" spans="1:4" s="9" customFormat="1" ht="15" customHeight="1" x14ac:dyDescent="0.2">
      <c r="A296" s="28"/>
      <c r="B296" s="16"/>
      <c r="C296" s="16"/>
      <c r="D296" s="13"/>
    </row>
    <row r="297" spans="1:4" s="9" customFormat="1" ht="15" customHeight="1" x14ac:dyDescent="0.2">
      <c r="A297" s="28"/>
      <c r="B297" s="16"/>
      <c r="C297" s="16"/>
      <c r="D297" s="13"/>
    </row>
    <row r="298" spans="1:4" s="9" customFormat="1" ht="15" customHeight="1" x14ac:dyDescent="0.2">
      <c r="A298" s="28"/>
      <c r="B298" s="16"/>
      <c r="C298" s="16"/>
      <c r="D298" s="13"/>
    </row>
    <row r="299" spans="1:4" s="9" customFormat="1" ht="15" customHeight="1" x14ac:dyDescent="0.2">
      <c r="A299" s="28"/>
      <c r="B299" s="16"/>
      <c r="C299" s="16"/>
      <c r="D299" s="13"/>
    </row>
    <row r="300" spans="1:4" s="9" customFormat="1" ht="15" customHeight="1" x14ac:dyDescent="0.2">
      <c r="A300" s="28"/>
      <c r="B300" s="16"/>
      <c r="C300" s="16"/>
      <c r="D300" s="13"/>
    </row>
    <row r="301" spans="1:4" s="9" customFormat="1" ht="15" customHeight="1" x14ac:dyDescent="0.2">
      <c r="A301" s="28"/>
      <c r="B301" s="16"/>
      <c r="C301" s="16"/>
      <c r="D301" s="13"/>
    </row>
    <row r="302" spans="1:4" s="9" customFormat="1" ht="15" customHeight="1" x14ac:dyDescent="0.2">
      <c r="A302" s="28"/>
      <c r="B302" s="16"/>
      <c r="C302" s="16"/>
      <c r="D302" s="13"/>
    </row>
    <row r="303" spans="1:4" s="9" customFormat="1" ht="15" customHeight="1" x14ac:dyDescent="0.2">
      <c r="A303" s="28"/>
      <c r="B303" s="16"/>
      <c r="C303" s="16"/>
      <c r="D303" s="13"/>
    </row>
    <row r="304" spans="1:4" s="9" customFormat="1" ht="15" customHeight="1" x14ac:dyDescent="0.2">
      <c r="A304" s="28"/>
      <c r="B304" s="16"/>
      <c r="C304" s="16"/>
      <c r="D304" s="13"/>
    </row>
    <row r="305" spans="1:4" s="9" customFormat="1" ht="15" customHeight="1" x14ac:dyDescent="0.2">
      <c r="A305" s="28"/>
      <c r="B305" s="16"/>
      <c r="C305" s="16"/>
      <c r="D305" s="13"/>
    </row>
    <row r="306" spans="1:4" s="9" customFormat="1" ht="15" customHeight="1" x14ac:dyDescent="0.2">
      <c r="A306" s="28"/>
      <c r="B306" s="16"/>
      <c r="C306" s="16"/>
      <c r="D306" s="13"/>
    </row>
    <row r="307" spans="1:4" s="9" customFormat="1" ht="15" customHeight="1" x14ac:dyDescent="0.2">
      <c r="A307" s="28"/>
      <c r="B307" s="16"/>
      <c r="C307" s="16"/>
      <c r="D307" s="13"/>
    </row>
    <row r="308" spans="1:4" s="9" customFormat="1" ht="15" customHeight="1" x14ac:dyDescent="0.2">
      <c r="A308" s="28"/>
      <c r="B308" s="16"/>
      <c r="C308" s="16"/>
      <c r="D308" s="13"/>
    </row>
    <row r="309" spans="1:4" s="9" customFormat="1" ht="15" customHeight="1" x14ac:dyDescent="0.2">
      <c r="A309" s="28"/>
      <c r="B309" s="16"/>
      <c r="C309" s="16"/>
      <c r="D309" s="13"/>
    </row>
    <row r="310" spans="1:4" s="9" customFormat="1" ht="15" customHeight="1" x14ac:dyDescent="0.2">
      <c r="A310" s="28"/>
      <c r="B310" s="16"/>
      <c r="C310" s="16"/>
      <c r="D310" s="13"/>
    </row>
    <row r="311" spans="1:4" s="9" customFormat="1" ht="15" customHeight="1" x14ac:dyDescent="0.2">
      <c r="A311" s="28"/>
      <c r="B311" s="16"/>
      <c r="C311" s="16"/>
      <c r="D311" s="13"/>
    </row>
    <row r="312" spans="1:4" s="9" customFormat="1" ht="15" customHeight="1" x14ac:dyDescent="0.2">
      <c r="A312" s="28"/>
      <c r="B312" s="16"/>
      <c r="C312" s="16"/>
      <c r="D312" s="13"/>
    </row>
    <row r="313" spans="1:4" s="9" customFormat="1" ht="15" customHeight="1" x14ac:dyDescent="0.2">
      <c r="A313" s="28"/>
      <c r="B313" s="16"/>
      <c r="C313" s="16"/>
      <c r="D313" s="13"/>
    </row>
    <row r="314" spans="1:4" s="9" customFormat="1" ht="15" customHeight="1" x14ac:dyDescent="0.2">
      <c r="A314" s="28"/>
      <c r="B314" s="16"/>
      <c r="C314" s="16"/>
      <c r="D314" s="13"/>
    </row>
    <row r="315" spans="1:4" s="9" customFormat="1" ht="15" customHeight="1" x14ac:dyDescent="0.2">
      <c r="A315" s="28"/>
      <c r="B315" s="16"/>
      <c r="C315" s="16"/>
      <c r="D315" s="13"/>
    </row>
    <row r="316" spans="1:4" s="9" customFormat="1" ht="15" customHeight="1" x14ac:dyDescent="0.2">
      <c r="A316" s="28"/>
      <c r="B316" s="16"/>
      <c r="C316" s="16"/>
      <c r="D316" s="13"/>
    </row>
    <row r="317" spans="1:4" s="9" customFormat="1" ht="15" customHeight="1" x14ac:dyDescent="0.2">
      <c r="A317" s="28"/>
      <c r="B317" s="16"/>
      <c r="C317" s="16"/>
      <c r="D317" s="13"/>
    </row>
    <row r="318" spans="1:4" s="9" customFormat="1" ht="15" customHeight="1" x14ac:dyDescent="0.2">
      <c r="A318" s="28"/>
      <c r="B318" s="16"/>
      <c r="C318" s="16"/>
      <c r="D318" s="13"/>
    </row>
    <row r="319" spans="1:4" s="9" customFormat="1" ht="15" customHeight="1" x14ac:dyDescent="0.2">
      <c r="A319" s="28"/>
      <c r="B319" s="16"/>
      <c r="C319" s="16"/>
      <c r="D319" s="13"/>
    </row>
    <row r="320" spans="1:4" s="9" customFormat="1" ht="15" customHeight="1" x14ac:dyDescent="0.2">
      <c r="A320" s="28"/>
      <c r="B320" s="16"/>
      <c r="C320" s="16"/>
      <c r="D320" s="13"/>
    </row>
    <row r="321" spans="1:4" s="9" customFormat="1" ht="15" customHeight="1" x14ac:dyDescent="0.2">
      <c r="A321" s="28"/>
      <c r="B321" s="16"/>
      <c r="C321" s="16"/>
      <c r="D321" s="13"/>
    </row>
    <row r="322" spans="1:4" s="9" customFormat="1" ht="15" customHeight="1" x14ac:dyDescent="0.2">
      <c r="A322" s="28"/>
      <c r="B322" s="16"/>
      <c r="C322" s="16"/>
      <c r="D322" s="13"/>
    </row>
    <row r="323" spans="1:4" s="9" customFormat="1" ht="15" customHeight="1" x14ac:dyDescent="0.2">
      <c r="A323" s="28"/>
      <c r="B323" s="16"/>
      <c r="C323" s="16"/>
      <c r="D323" s="13"/>
    </row>
    <row r="324" spans="1:4" s="9" customFormat="1" ht="15" customHeight="1" x14ac:dyDescent="0.2">
      <c r="A324" s="28"/>
      <c r="B324" s="16"/>
      <c r="C324" s="16"/>
      <c r="D324" s="13"/>
    </row>
    <row r="325" spans="1:4" s="9" customFormat="1" ht="15" customHeight="1" x14ac:dyDescent="0.2">
      <c r="A325" s="28"/>
      <c r="B325" s="16"/>
      <c r="C325" s="16"/>
      <c r="D325" s="13"/>
    </row>
    <row r="326" spans="1:4" s="9" customFormat="1" ht="15" customHeight="1" x14ac:dyDescent="0.2">
      <c r="A326" s="28"/>
      <c r="B326" s="16"/>
      <c r="C326" s="16"/>
      <c r="D326" s="13"/>
    </row>
    <row r="327" spans="1:4" s="9" customFormat="1" ht="15" customHeight="1" x14ac:dyDescent="0.2">
      <c r="A327" s="28"/>
      <c r="B327" s="16"/>
      <c r="C327" s="16"/>
      <c r="D327" s="13"/>
    </row>
    <row r="328" spans="1:4" s="9" customFormat="1" ht="15" customHeight="1" x14ac:dyDescent="0.2">
      <c r="A328" s="28"/>
      <c r="B328" s="16"/>
      <c r="C328" s="16"/>
      <c r="D328" s="13"/>
    </row>
    <row r="329" spans="1:4" s="9" customFormat="1" ht="15" customHeight="1" x14ac:dyDescent="0.2">
      <c r="A329" s="28"/>
      <c r="B329" s="16"/>
      <c r="C329" s="16"/>
      <c r="D329" s="13"/>
    </row>
    <row r="330" spans="1:4" s="9" customFormat="1" ht="15" customHeight="1" x14ac:dyDescent="0.2">
      <c r="A330" s="28"/>
      <c r="B330" s="16"/>
      <c r="C330" s="16"/>
      <c r="D330" s="13"/>
    </row>
    <row r="331" spans="1:4" s="9" customFormat="1" ht="15" customHeight="1" x14ac:dyDescent="0.2">
      <c r="A331" s="28"/>
      <c r="B331" s="16"/>
      <c r="C331" s="16"/>
      <c r="D331" s="13"/>
    </row>
    <row r="332" spans="1:4" s="9" customFormat="1" ht="15" customHeight="1" x14ac:dyDescent="0.2">
      <c r="A332" s="28"/>
      <c r="B332" s="16"/>
      <c r="C332" s="16"/>
      <c r="D332" s="13"/>
    </row>
    <row r="333" spans="1:4" s="9" customFormat="1" ht="15" customHeight="1" x14ac:dyDescent="0.2">
      <c r="A333" s="28"/>
      <c r="B333" s="16"/>
      <c r="C333" s="16"/>
      <c r="D333" s="13"/>
    </row>
    <row r="334" spans="1:4" s="9" customFormat="1" ht="15" customHeight="1" x14ac:dyDescent="0.2">
      <c r="A334" s="28"/>
      <c r="B334" s="16"/>
      <c r="C334" s="16"/>
      <c r="D334" s="13"/>
    </row>
    <row r="335" spans="1:4" s="9" customFormat="1" ht="15" customHeight="1" x14ac:dyDescent="0.2">
      <c r="A335" s="28"/>
      <c r="B335" s="16"/>
      <c r="C335" s="16"/>
      <c r="D335" s="13"/>
    </row>
    <row r="336" spans="1:4" s="9" customFormat="1" ht="15" customHeight="1" x14ac:dyDescent="0.2">
      <c r="A336" s="28"/>
      <c r="B336" s="16"/>
      <c r="C336" s="16"/>
      <c r="D336" s="13"/>
    </row>
    <row r="337" spans="1:4" s="9" customFormat="1" ht="15" customHeight="1" x14ac:dyDescent="0.2">
      <c r="A337" s="28"/>
      <c r="B337" s="16"/>
      <c r="C337" s="16"/>
      <c r="D337" s="13"/>
    </row>
    <row r="338" spans="1:4" s="9" customFormat="1" ht="15" customHeight="1" x14ac:dyDescent="0.2">
      <c r="A338" s="28"/>
      <c r="B338" s="16"/>
      <c r="C338" s="16"/>
      <c r="D338" s="13"/>
    </row>
    <row r="339" spans="1:4" s="9" customFormat="1" ht="15" customHeight="1" x14ac:dyDescent="0.2">
      <c r="A339" s="28"/>
      <c r="B339" s="16"/>
      <c r="C339" s="16"/>
      <c r="D339" s="13"/>
    </row>
    <row r="340" spans="1:4" s="9" customFormat="1" ht="15" customHeight="1" x14ac:dyDescent="0.2">
      <c r="A340" s="28"/>
      <c r="B340" s="16"/>
      <c r="C340" s="16"/>
      <c r="D340" s="13"/>
    </row>
    <row r="341" spans="1:4" s="9" customFormat="1" ht="15" customHeight="1" x14ac:dyDescent="0.2">
      <c r="A341" s="28"/>
      <c r="B341" s="16"/>
      <c r="C341" s="16"/>
      <c r="D341" s="13"/>
    </row>
    <row r="342" spans="1:4" s="9" customFormat="1" ht="15" customHeight="1" x14ac:dyDescent="0.2">
      <c r="A342" s="28"/>
      <c r="B342" s="16"/>
      <c r="C342" s="16"/>
      <c r="D342" s="13"/>
    </row>
    <row r="343" spans="1:4" s="9" customFormat="1" ht="15" customHeight="1" x14ac:dyDescent="0.2">
      <c r="A343" s="28"/>
      <c r="B343" s="16"/>
      <c r="C343" s="16"/>
      <c r="D343" s="13"/>
    </row>
    <row r="344" spans="1:4" s="9" customFormat="1" ht="15" customHeight="1" x14ac:dyDescent="0.2">
      <c r="A344" s="28"/>
      <c r="B344" s="16"/>
      <c r="C344" s="16"/>
      <c r="D344" s="13"/>
    </row>
    <row r="345" spans="1:4" s="9" customFormat="1" ht="15" customHeight="1" x14ac:dyDescent="0.2">
      <c r="A345" s="28"/>
      <c r="B345" s="16"/>
      <c r="C345" s="16"/>
      <c r="D345" s="13"/>
    </row>
    <row r="346" spans="1:4" s="9" customFormat="1" ht="15" customHeight="1" x14ac:dyDescent="0.2">
      <c r="A346" s="28"/>
      <c r="B346" s="16"/>
      <c r="C346" s="16"/>
      <c r="D346" s="13"/>
    </row>
    <row r="347" spans="1:4" s="9" customFormat="1" ht="15" customHeight="1" x14ac:dyDescent="0.2">
      <c r="A347" s="28"/>
      <c r="B347" s="16"/>
      <c r="C347" s="16"/>
      <c r="D347" s="13"/>
    </row>
    <row r="348" spans="1:4" s="9" customFormat="1" ht="15" customHeight="1" x14ac:dyDescent="0.2">
      <c r="A348" s="28"/>
      <c r="B348" s="16"/>
      <c r="C348" s="16"/>
      <c r="D348" s="13"/>
    </row>
    <row r="349" spans="1:4" s="9" customFormat="1" ht="15" customHeight="1" x14ac:dyDescent="0.2">
      <c r="A349" s="28"/>
      <c r="B349" s="16"/>
      <c r="C349" s="16"/>
      <c r="D349" s="13"/>
    </row>
    <row r="350" spans="1:4" s="9" customFormat="1" ht="15" customHeight="1" x14ac:dyDescent="0.2">
      <c r="A350" s="28"/>
      <c r="B350" s="16"/>
      <c r="C350" s="16"/>
      <c r="D350" s="13"/>
    </row>
    <row r="351" spans="1:4" s="9" customFormat="1" ht="15" customHeight="1" x14ac:dyDescent="0.2">
      <c r="A351" s="28"/>
      <c r="B351" s="16"/>
      <c r="C351" s="16"/>
      <c r="D351" s="13"/>
    </row>
    <row r="352" spans="1:4" s="9" customFormat="1" ht="15" customHeight="1" x14ac:dyDescent="0.2">
      <c r="A352" s="28"/>
      <c r="B352" s="16"/>
      <c r="C352" s="16"/>
      <c r="D352" s="13"/>
    </row>
    <row r="353" spans="1:4" s="9" customFormat="1" ht="15" customHeight="1" x14ac:dyDescent="0.2">
      <c r="A353" s="28"/>
      <c r="B353" s="16"/>
      <c r="C353" s="16"/>
      <c r="D353" s="13"/>
    </row>
    <row r="354" spans="1:4" s="9" customFormat="1" ht="15" customHeight="1" x14ac:dyDescent="0.2">
      <c r="A354" s="28"/>
      <c r="B354" s="16"/>
      <c r="C354" s="16"/>
      <c r="D354" s="13"/>
    </row>
    <row r="355" spans="1:4" s="9" customFormat="1" ht="15" customHeight="1" x14ac:dyDescent="0.2">
      <c r="A355" s="28"/>
      <c r="B355" s="16"/>
      <c r="C355" s="16"/>
      <c r="D355" s="13"/>
    </row>
    <row r="356" spans="1:4" s="9" customFormat="1" ht="15" customHeight="1" x14ac:dyDescent="0.2">
      <c r="A356" s="28"/>
      <c r="B356" s="16"/>
      <c r="C356" s="16"/>
      <c r="D356" s="13"/>
    </row>
    <row r="357" spans="1:4" s="9" customFormat="1" ht="15" customHeight="1" x14ac:dyDescent="0.2">
      <c r="A357" s="28"/>
      <c r="B357" s="16"/>
      <c r="C357" s="16"/>
      <c r="D357" s="13"/>
    </row>
    <row r="358" spans="1:4" s="9" customFormat="1" ht="15" customHeight="1" x14ac:dyDescent="0.2">
      <c r="A358" s="28"/>
      <c r="B358" s="16"/>
      <c r="C358" s="16"/>
      <c r="D358" s="13"/>
    </row>
    <row r="359" spans="1:4" s="9" customFormat="1" ht="15" customHeight="1" x14ac:dyDescent="0.2">
      <c r="A359" s="28"/>
      <c r="B359" s="16"/>
      <c r="C359" s="16"/>
      <c r="D359" s="13"/>
    </row>
    <row r="360" spans="1:4" s="9" customFormat="1" ht="15" customHeight="1" x14ac:dyDescent="0.2">
      <c r="A360" s="28"/>
      <c r="B360" s="16"/>
      <c r="C360" s="16"/>
      <c r="D360" s="13"/>
    </row>
    <row r="361" spans="1:4" s="9" customFormat="1" ht="15" customHeight="1" x14ac:dyDescent="0.2">
      <c r="A361" s="28"/>
      <c r="B361" s="16"/>
      <c r="C361" s="16"/>
      <c r="D361" s="13"/>
    </row>
    <row r="362" spans="1:4" s="9" customFormat="1" ht="15" customHeight="1" x14ac:dyDescent="0.2">
      <c r="A362" s="28"/>
      <c r="B362" s="16"/>
      <c r="C362" s="16"/>
      <c r="D362" s="13"/>
    </row>
    <row r="363" spans="1:4" s="9" customFormat="1" ht="15" customHeight="1" x14ac:dyDescent="0.2">
      <c r="A363" s="28"/>
      <c r="B363" s="16"/>
      <c r="C363" s="16"/>
      <c r="D363" s="13"/>
    </row>
    <row r="364" spans="1:4" s="9" customFormat="1" ht="15" customHeight="1" x14ac:dyDescent="0.2">
      <c r="A364" s="28"/>
      <c r="B364" s="16"/>
      <c r="C364" s="16"/>
      <c r="D364" s="13"/>
    </row>
    <row r="365" spans="1:4" s="9" customFormat="1" ht="15" customHeight="1" x14ac:dyDescent="0.2">
      <c r="A365" s="28"/>
      <c r="B365" s="16"/>
      <c r="C365" s="16"/>
      <c r="D365" s="13"/>
    </row>
    <row r="366" spans="1:4" s="9" customFormat="1" ht="15" customHeight="1" x14ac:dyDescent="0.2">
      <c r="A366" s="28"/>
      <c r="B366" s="16"/>
      <c r="C366" s="16"/>
      <c r="D366" s="13"/>
    </row>
    <row r="367" spans="1:4" s="9" customFormat="1" ht="15" customHeight="1" x14ac:dyDescent="0.2">
      <c r="A367" s="28"/>
      <c r="B367" s="16"/>
      <c r="C367" s="16"/>
      <c r="D367" s="13"/>
    </row>
    <row r="368" spans="1:4" s="9" customFormat="1" ht="15" customHeight="1" x14ac:dyDescent="0.2">
      <c r="A368" s="28"/>
      <c r="B368" s="16"/>
      <c r="C368" s="16"/>
      <c r="D368" s="13"/>
    </row>
    <row r="369" spans="1:4" s="9" customFormat="1" ht="15" customHeight="1" x14ac:dyDescent="0.2">
      <c r="A369" s="28"/>
      <c r="B369" s="16"/>
      <c r="C369" s="16"/>
      <c r="D369" s="13"/>
    </row>
    <row r="370" spans="1:4" s="9" customFormat="1" ht="15" customHeight="1" x14ac:dyDescent="0.2">
      <c r="A370" s="28"/>
      <c r="B370" s="16"/>
      <c r="C370" s="16"/>
      <c r="D370" s="13"/>
    </row>
    <row r="371" spans="1:4" s="9" customFormat="1" ht="15" customHeight="1" x14ac:dyDescent="0.2">
      <c r="A371" s="28"/>
      <c r="B371" s="16"/>
      <c r="C371" s="16"/>
      <c r="D371" s="13"/>
    </row>
    <row r="372" spans="1:4" s="9" customFormat="1" ht="15" customHeight="1" x14ac:dyDescent="0.2">
      <c r="A372" s="28"/>
      <c r="B372" s="16"/>
      <c r="C372" s="16"/>
      <c r="D372" s="13"/>
    </row>
    <row r="373" spans="1:4" s="9" customFormat="1" ht="15" customHeight="1" x14ac:dyDescent="0.2">
      <c r="A373" s="28"/>
      <c r="B373" s="16"/>
      <c r="C373" s="16"/>
      <c r="D373" s="13"/>
    </row>
    <row r="374" spans="1:4" s="9" customFormat="1" ht="15" customHeight="1" x14ac:dyDescent="0.2">
      <c r="A374" s="28"/>
      <c r="B374" s="16"/>
      <c r="C374" s="16"/>
      <c r="D374" s="13"/>
    </row>
    <row r="375" spans="1:4" s="9" customFormat="1" ht="15" customHeight="1" x14ac:dyDescent="0.2">
      <c r="A375" s="28"/>
      <c r="B375" s="16"/>
      <c r="C375" s="16"/>
      <c r="D375" s="13"/>
    </row>
    <row r="376" spans="1:4" s="9" customFormat="1" ht="15" customHeight="1" x14ac:dyDescent="0.2">
      <c r="A376" s="28"/>
      <c r="B376" s="16"/>
      <c r="C376" s="16"/>
      <c r="D376" s="13"/>
    </row>
    <row r="377" spans="1:4" s="9" customFormat="1" ht="15" customHeight="1" x14ac:dyDescent="0.2">
      <c r="A377" s="28"/>
      <c r="B377" s="16"/>
      <c r="C377" s="16"/>
      <c r="D377" s="13"/>
    </row>
    <row r="378" spans="1:4" s="9" customFormat="1" ht="15" customHeight="1" x14ac:dyDescent="0.2">
      <c r="A378" s="28"/>
      <c r="B378" s="16"/>
      <c r="C378" s="16"/>
      <c r="D378" s="13"/>
    </row>
    <row r="379" spans="1:4" s="9" customFormat="1" ht="15" customHeight="1" x14ac:dyDescent="0.2">
      <c r="A379" s="28"/>
      <c r="B379" s="16"/>
      <c r="C379" s="16"/>
      <c r="D379" s="13"/>
    </row>
    <row r="380" spans="1:4" s="9" customFormat="1" ht="15" customHeight="1" x14ac:dyDescent="0.2">
      <c r="A380" s="28"/>
      <c r="B380" s="16"/>
      <c r="C380" s="16"/>
      <c r="D380" s="13"/>
    </row>
    <row r="381" spans="1:4" s="9" customFormat="1" ht="15" customHeight="1" x14ac:dyDescent="0.2">
      <c r="A381" s="28"/>
      <c r="B381" s="16"/>
      <c r="C381" s="16"/>
      <c r="D381" s="13"/>
    </row>
    <row r="382" spans="1:4" s="9" customFormat="1" ht="15" customHeight="1" x14ac:dyDescent="0.2">
      <c r="A382" s="28"/>
      <c r="B382" s="16"/>
      <c r="C382" s="16"/>
      <c r="D382" s="13"/>
    </row>
    <row r="383" spans="1:4" s="9" customFormat="1" ht="15" customHeight="1" x14ac:dyDescent="0.2">
      <c r="A383" s="28"/>
      <c r="B383" s="16"/>
      <c r="C383" s="16"/>
      <c r="D383" s="13"/>
    </row>
    <row r="384" spans="1:4" s="9" customFormat="1" ht="15" customHeight="1" x14ac:dyDescent="0.2">
      <c r="A384" s="28"/>
      <c r="B384" s="16"/>
      <c r="C384" s="16"/>
      <c r="D384" s="13"/>
    </row>
    <row r="385" spans="1:4" s="9" customFormat="1" ht="15" customHeight="1" x14ac:dyDescent="0.2">
      <c r="A385" s="28"/>
      <c r="B385" s="16"/>
      <c r="C385" s="16"/>
      <c r="D385" s="13"/>
    </row>
    <row r="386" spans="1:4" s="9" customFormat="1" ht="15" customHeight="1" x14ac:dyDescent="0.2">
      <c r="A386" s="28"/>
      <c r="B386" s="16"/>
      <c r="C386" s="16"/>
      <c r="D386" s="13"/>
    </row>
    <row r="387" spans="1:4" s="9" customFormat="1" ht="15" customHeight="1" x14ac:dyDescent="0.2">
      <c r="A387" s="28"/>
      <c r="B387" s="16"/>
      <c r="C387" s="16"/>
      <c r="D387" s="13"/>
    </row>
    <row r="388" spans="1:4" s="9" customFormat="1" ht="15" customHeight="1" x14ac:dyDescent="0.2">
      <c r="A388" s="28"/>
      <c r="B388" s="16"/>
      <c r="C388" s="16"/>
      <c r="D388" s="13"/>
    </row>
    <row r="389" spans="1:4" s="9" customFormat="1" ht="15" customHeight="1" x14ac:dyDescent="0.2">
      <c r="A389" s="28"/>
      <c r="B389" s="16"/>
      <c r="C389" s="16"/>
      <c r="D389" s="13"/>
    </row>
    <row r="390" spans="1:4" s="9" customFormat="1" ht="15" customHeight="1" x14ac:dyDescent="0.2">
      <c r="A390" s="28"/>
      <c r="B390" s="16"/>
      <c r="C390" s="16"/>
      <c r="D390" s="13"/>
    </row>
    <row r="391" spans="1:4" s="9" customFormat="1" ht="15" customHeight="1" x14ac:dyDescent="0.2">
      <c r="A391" s="28"/>
      <c r="B391" s="16"/>
      <c r="C391" s="16"/>
      <c r="D391" s="13"/>
    </row>
    <row r="392" spans="1:4" s="9" customFormat="1" ht="15" customHeight="1" x14ac:dyDescent="0.2">
      <c r="A392" s="28"/>
      <c r="B392" s="16"/>
      <c r="C392" s="16"/>
      <c r="D392" s="13"/>
    </row>
    <row r="393" spans="1:4" s="9" customFormat="1" ht="15" customHeight="1" x14ac:dyDescent="0.2">
      <c r="A393" s="28"/>
      <c r="B393" s="16"/>
      <c r="C393" s="16"/>
      <c r="D393" s="13"/>
    </row>
    <row r="394" spans="1:4" s="9" customFormat="1" ht="15" customHeight="1" x14ac:dyDescent="0.2">
      <c r="A394" s="28"/>
      <c r="B394" s="16"/>
      <c r="C394" s="16"/>
      <c r="D394" s="13"/>
    </row>
    <row r="395" spans="1:4" s="9" customFormat="1" ht="15" customHeight="1" x14ac:dyDescent="0.2">
      <c r="A395" s="28"/>
      <c r="B395" s="16"/>
      <c r="C395" s="16"/>
      <c r="D395" s="13"/>
    </row>
    <row r="396" spans="1:4" s="9" customFormat="1" ht="15" customHeight="1" x14ac:dyDescent="0.2">
      <c r="A396" s="28"/>
      <c r="B396" s="16"/>
      <c r="C396" s="16"/>
      <c r="D396" s="13"/>
    </row>
    <row r="397" spans="1:4" s="9" customFormat="1" ht="15" customHeight="1" x14ac:dyDescent="0.2">
      <c r="A397" s="28"/>
      <c r="B397" s="16"/>
      <c r="C397" s="16"/>
      <c r="D397" s="13"/>
    </row>
    <row r="398" spans="1:4" s="9" customFormat="1" ht="15" customHeight="1" x14ac:dyDescent="0.2">
      <c r="A398" s="28"/>
      <c r="B398" s="16"/>
      <c r="C398" s="16"/>
      <c r="D398" s="13"/>
    </row>
    <row r="399" spans="1:4" s="9" customFormat="1" ht="15" customHeight="1" x14ac:dyDescent="0.2">
      <c r="A399" s="28"/>
      <c r="B399" s="16"/>
      <c r="C399" s="16"/>
      <c r="D399" s="13"/>
    </row>
    <row r="400" spans="1:4" s="9" customFormat="1" ht="15" customHeight="1" x14ac:dyDescent="0.2">
      <c r="A400" s="28"/>
      <c r="B400" s="16"/>
      <c r="C400" s="16"/>
      <c r="D400" s="13"/>
    </row>
    <row r="401" spans="1:4" s="9" customFormat="1" ht="15" customHeight="1" x14ac:dyDescent="0.2">
      <c r="A401" s="28"/>
      <c r="B401" s="16"/>
      <c r="C401" s="16"/>
      <c r="D401" s="13"/>
    </row>
    <row r="402" spans="1:4" s="9" customFormat="1" ht="15" customHeight="1" x14ac:dyDescent="0.2">
      <c r="A402" s="28"/>
      <c r="B402" s="16"/>
      <c r="C402" s="16"/>
      <c r="D402" s="13"/>
    </row>
    <row r="403" spans="1:4" s="9" customFormat="1" ht="15" customHeight="1" x14ac:dyDescent="0.2">
      <c r="A403" s="28"/>
      <c r="B403" s="16"/>
      <c r="C403" s="16"/>
      <c r="D403" s="13"/>
    </row>
    <row r="404" spans="1:4" s="9" customFormat="1" ht="15" customHeight="1" x14ac:dyDescent="0.2">
      <c r="A404" s="28"/>
      <c r="B404" s="16"/>
      <c r="C404" s="16"/>
      <c r="D404" s="13"/>
    </row>
    <row r="405" spans="1:4" s="9" customFormat="1" ht="15" customHeight="1" x14ac:dyDescent="0.2">
      <c r="A405" s="28"/>
      <c r="B405" s="16"/>
      <c r="C405" s="16"/>
      <c r="D405" s="13"/>
    </row>
    <row r="406" spans="1:4" s="9" customFormat="1" ht="15" customHeight="1" x14ac:dyDescent="0.2">
      <c r="A406" s="28"/>
      <c r="B406" s="16"/>
      <c r="C406" s="16"/>
      <c r="D406" s="13"/>
    </row>
    <row r="407" spans="1:4" s="9" customFormat="1" ht="15" customHeight="1" x14ac:dyDescent="0.2">
      <c r="A407" s="28"/>
      <c r="B407" s="16"/>
      <c r="C407" s="16"/>
      <c r="D407" s="13"/>
    </row>
    <row r="408" spans="1:4" s="9" customFormat="1" ht="15" customHeight="1" x14ac:dyDescent="0.2">
      <c r="A408" s="28"/>
      <c r="B408" s="16"/>
      <c r="C408" s="16"/>
      <c r="D408" s="13"/>
    </row>
    <row r="409" spans="1:4" s="9" customFormat="1" ht="15" customHeight="1" x14ac:dyDescent="0.2">
      <c r="A409" s="28"/>
      <c r="B409" s="16"/>
      <c r="C409" s="16"/>
      <c r="D409" s="13"/>
    </row>
    <row r="410" spans="1:4" s="9" customFormat="1" ht="15" customHeight="1" x14ac:dyDescent="0.2">
      <c r="A410" s="28"/>
      <c r="B410" s="16"/>
      <c r="C410" s="16"/>
      <c r="D410" s="13"/>
    </row>
    <row r="411" spans="1:4" s="9" customFormat="1" ht="15" customHeight="1" x14ac:dyDescent="0.2">
      <c r="A411" s="28"/>
      <c r="B411" s="16"/>
      <c r="C411" s="16"/>
      <c r="D411" s="13"/>
    </row>
    <row r="412" spans="1:4" s="9" customFormat="1" ht="15" customHeight="1" x14ac:dyDescent="0.2">
      <c r="A412" s="28"/>
      <c r="B412" s="16"/>
      <c r="C412" s="16"/>
      <c r="D412" s="13"/>
    </row>
    <row r="413" spans="1:4" s="9" customFormat="1" ht="15" customHeight="1" x14ac:dyDescent="0.2">
      <c r="A413" s="28"/>
      <c r="B413" s="16"/>
      <c r="C413" s="16"/>
      <c r="D413" s="13"/>
    </row>
    <row r="414" spans="1:4" s="9" customFormat="1" ht="15" customHeight="1" x14ac:dyDescent="0.2">
      <c r="A414" s="28"/>
      <c r="B414" s="16"/>
      <c r="C414" s="16"/>
      <c r="D414" s="13"/>
    </row>
    <row r="415" spans="1:4" s="9" customFormat="1" ht="15" customHeight="1" x14ac:dyDescent="0.2">
      <c r="A415" s="28"/>
      <c r="B415" s="16"/>
      <c r="C415" s="16"/>
      <c r="D415" s="13"/>
    </row>
    <row r="416" spans="1:4" s="9" customFormat="1" ht="15" customHeight="1" x14ac:dyDescent="0.2">
      <c r="A416" s="28"/>
      <c r="B416" s="16"/>
      <c r="C416" s="16"/>
      <c r="D416" s="13"/>
    </row>
    <row r="417" spans="1:4" s="9" customFormat="1" ht="15" customHeight="1" x14ac:dyDescent="0.2">
      <c r="A417" s="28"/>
      <c r="B417" s="16"/>
      <c r="C417" s="16"/>
      <c r="D417" s="13"/>
    </row>
    <row r="418" spans="1:4" s="9" customFormat="1" ht="15" customHeight="1" x14ac:dyDescent="0.2">
      <c r="A418" s="28"/>
      <c r="B418" s="16"/>
      <c r="C418" s="16"/>
      <c r="D418" s="13"/>
    </row>
    <row r="419" spans="1:4" s="9" customFormat="1" ht="15" customHeight="1" x14ac:dyDescent="0.2">
      <c r="A419" s="28"/>
      <c r="B419" s="16"/>
      <c r="C419" s="16"/>
      <c r="D419" s="13"/>
    </row>
    <row r="420" spans="1:4" s="9" customFormat="1" ht="15" customHeight="1" x14ac:dyDescent="0.2">
      <c r="A420" s="28"/>
      <c r="B420" s="16"/>
      <c r="C420" s="16"/>
      <c r="D420" s="13"/>
    </row>
    <row r="421" spans="1:4" s="9" customFormat="1" ht="15" customHeight="1" x14ac:dyDescent="0.2">
      <c r="A421" s="28"/>
      <c r="B421" s="16"/>
      <c r="C421" s="16"/>
      <c r="D421" s="13"/>
    </row>
    <row r="422" spans="1:4" s="9" customFormat="1" ht="15" customHeight="1" x14ac:dyDescent="0.2">
      <c r="A422" s="28"/>
      <c r="B422" s="16"/>
      <c r="C422" s="16"/>
      <c r="D422" s="13"/>
    </row>
    <row r="423" spans="1:4" s="9" customFormat="1" ht="15" customHeight="1" x14ac:dyDescent="0.2">
      <c r="A423" s="28"/>
      <c r="B423" s="16"/>
      <c r="C423" s="16"/>
      <c r="D423" s="13"/>
    </row>
    <row r="424" spans="1:4" s="9" customFormat="1" ht="15" customHeight="1" x14ac:dyDescent="0.2">
      <c r="A424" s="28"/>
      <c r="B424" s="16"/>
      <c r="C424" s="16"/>
      <c r="D424" s="13"/>
    </row>
    <row r="425" spans="1:4" s="9" customFormat="1" ht="15" customHeight="1" x14ac:dyDescent="0.2">
      <c r="A425" s="28"/>
      <c r="B425" s="16"/>
      <c r="C425" s="16"/>
      <c r="D425" s="13"/>
    </row>
    <row r="426" spans="1:4" s="9" customFormat="1" ht="15" customHeight="1" x14ac:dyDescent="0.2">
      <c r="A426" s="28"/>
      <c r="B426" s="16"/>
      <c r="C426" s="16"/>
      <c r="D426" s="13"/>
    </row>
    <row r="427" spans="1:4" s="9" customFormat="1" ht="15" customHeight="1" x14ac:dyDescent="0.2">
      <c r="A427" s="28"/>
      <c r="B427" s="16"/>
      <c r="C427" s="16"/>
      <c r="D427" s="13"/>
    </row>
    <row r="428" spans="1:4" s="9" customFormat="1" ht="15" customHeight="1" x14ac:dyDescent="0.2">
      <c r="A428" s="28"/>
      <c r="B428" s="16"/>
      <c r="C428" s="16"/>
      <c r="D428" s="13"/>
    </row>
    <row r="429" spans="1:4" s="9" customFormat="1" ht="15" customHeight="1" x14ac:dyDescent="0.2">
      <c r="A429" s="28"/>
      <c r="B429" s="16"/>
      <c r="C429" s="16"/>
      <c r="D429" s="13"/>
    </row>
    <row r="430" spans="1:4" s="9" customFormat="1" ht="15" customHeight="1" x14ac:dyDescent="0.2">
      <c r="A430" s="28"/>
      <c r="B430" s="16"/>
      <c r="C430" s="16"/>
      <c r="D430" s="13"/>
    </row>
    <row r="431" spans="1:4" s="9" customFormat="1" ht="15" customHeight="1" x14ac:dyDescent="0.2">
      <c r="A431" s="28"/>
      <c r="B431" s="16"/>
      <c r="C431" s="16"/>
      <c r="D431" s="13"/>
    </row>
    <row r="432" spans="1:4" s="9" customFormat="1" ht="15" customHeight="1" x14ac:dyDescent="0.2">
      <c r="A432" s="28"/>
      <c r="B432" s="16"/>
      <c r="C432" s="16"/>
      <c r="D432" s="13"/>
    </row>
    <row r="433" spans="1:4" s="9" customFormat="1" ht="15" customHeight="1" x14ac:dyDescent="0.2">
      <c r="A433" s="28"/>
      <c r="B433" s="16"/>
      <c r="C433" s="16"/>
      <c r="D433" s="13"/>
    </row>
    <row r="434" spans="1:4" s="9" customFormat="1" ht="15" customHeight="1" x14ac:dyDescent="0.2">
      <c r="A434" s="28"/>
      <c r="B434" s="16"/>
      <c r="C434" s="16"/>
      <c r="D434" s="13"/>
    </row>
    <row r="435" spans="1:4" s="9" customFormat="1" ht="15" customHeight="1" x14ac:dyDescent="0.2">
      <c r="A435" s="28"/>
      <c r="B435" s="16"/>
      <c r="C435" s="16"/>
      <c r="D435" s="13"/>
    </row>
    <row r="436" spans="1:4" s="9" customFormat="1" ht="15" customHeight="1" x14ac:dyDescent="0.2">
      <c r="A436" s="28"/>
      <c r="B436" s="16"/>
      <c r="C436" s="16"/>
      <c r="D436" s="13"/>
    </row>
    <row r="437" spans="1:4" s="9" customFormat="1" ht="15" customHeight="1" x14ac:dyDescent="0.2">
      <c r="A437" s="28"/>
      <c r="B437" s="16"/>
      <c r="C437" s="16"/>
      <c r="D437" s="13"/>
    </row>
    <row r="438" spans="1:4" s="9" customFormat="1" ht="15" customHeight="1" x14ac:dyDescent="0.2">
      <c r="A438" s="28"/>
      <c r="B438" s="16"/>
      <c r="C438" s="16"/>
      <c r="D438" s="13"/>
    </row>
    <row r="439" spans="1:4" s="9" customFormat="1" ht="15" customHeight="1" x14ac:dyDescent="0.2">
      <c r="A439" s="28"/>
      <c r="B439" s="16"/>
      <c r="C439" s="16"/>
      <c r="D439" s="13"/>
    </row>
    <row r="440" spans="1:4" s="9" customFormat="1" ht="15" customHeight="1" x14ac:dyDescent="0.2">
      <c r="A440" s="28"/>
      <c r="B440" s="16"/>
      <c r="C440" s="16"/>
      <c r="D440" s="13"/>
    </row>
    <row r="441" spans="1:4" s="9" customFormat="1" ht="15" customHeight="1" x14ac:dyDescent="0.2">
      <c r="A441" s="28"/>
      <c r="B441" s="16"/>
      <c r="C441" s="16"/>
      <c r="D441" s="13"/>
    </row>
    <row r="442" spans="1:4" s="9" customFormat="1" ht="15" customHeight="1" x14ac:dyDescent="0.2">
      <c r="A442" s="28"/>
      <c r="B442" s="16"/>
      <c r="C442" s="16"/>
      <c r="D442" s="13"/>
    </row>
    <row r="443" spans="1:4" s="9" customFormat="1" ht="15" customHeight="1" x14ac:dyDescent="0.2">
      <c r="A443" s="28"/>
      <c r="B443" s="16"/>
      <c r="C443" s="16"/>
      <c r="D443" s="13"/>
    </row>
    <row r="444" spans="1:4" s="9" customFormat="1" ht="15" customHeight="1" x14ac:dyDescent="0.2">
      <c r="A444" s="28"/>
      <c r="B444" s="16"/>
      <c r="C444" s="16"/>
      <c r="D444" s="13"/>
    </row>
    <row r="445" spans="1:4" s="9" customFormat="1" ht="15" customHeight="1" x14ac:dyDescent="0.2">
      <c r="A445" s="28"/>
      <c r="B445" s="16"/>
      <c r="C445" s="16"/>
      <c r="D445" s="13"/>
    </row>
    <row r="446" spans="1:4" s="9" customFormat="1" ht="15" customHeight="1" x14ac:dyDescent="0.2">
      <c r="A446" s="28"/>
      <c r="B446" s="16"/>
      <c r="C446" s="16"/>
      <c r="D446" s="13"/>
    </row>
    <row r="447" spans="1:4" s="9" customFormat="1" ht="15" customHeight="1" x14ac:dyDescent="0.2">
      <c r="A447" s="28"/>
      <c r="B447" s="16"/>
      <c r="C447" s="16"/>
      <c r="D447" s="13"/>
    </row>
    <row r="448" spans="1:4" s="9" customFormat="1" ht="15" customHeight="1" x14ac:dyDescent="0.2">
      <c r="A448" s="28"/>
      <c r="B448" s="16"/>
      <c r="C448" s="16"/>
      <c r="D448" s="13"/>
    </row>
    <row r="449" spans="1:4" s="9" customFormat="1" ht="15" customHeight="1" x14ac:dyDescent="0.2">
      <c r="A449" s="28"/>
      <c r="B449" s="16"/>
      <c r="C449" s="16"/>
      <c r="D449" s="13"/>
    </row>
    <row r="450" spans="1:4" s="9" customFormat="1" ht="15" customHeight="1" x14ac:dyDescent="0.2">
      <c r="A450" s="28"/>
      <c r="B450" s="16"/>
      <c r="C450" s="16"/>
      <c r="D450" s="13"/>
    </row>
    <row r="451" spans="1:4" s="9" customFormat="1" ht="15" customHeight="1" x14ac:dyDescent="0.2">
      <c r="A451" s="28"/>
      <c r="B451" s="16"/>
      <c r="C451" s="16"/>
      <c r="D451" s="13"/>
    </row>
    <row r="452" spans="1:4" s="9" customFormat="1" ht="15" customHeight="1" x14ac:dyDescent="0.2">
      <c r="A452" s="28"/>
      <c r="B452" s="16"/>
      <c r="C452" s="16"/>
      <c r="D452" s="13"/>
    </row>
    <row r="453" spans="1:4" s="9" customFormat="1" ht="15" customHeight="1" x14ac:dyDescent="0.2">
      <c r="A453" s="28"/>
      <c r="B453" s="16"/>
      <c r="C453" s="16"/>
      <c r="D453" s="13"/>
    </row>
    <row r="454" spans="1:4" s="9" customFormat="1" ht="15" customHeight="1" x14ac:dyDescent="0.2">
      <c r="A454" s="28"/>
      <c r="B454" s="16"/>
      <c r="C454" s="16"/>
      <c r="D454" s="13"/>
    </row>
    <row r="455" spans="1:4" s="9" customFormat="1" ht="15" customHeight="1" x14ac:dyDescent="0.2">
      <c r="A455" s="28"/>
      <c r="B455" s="16"/>
      <c r="C455" s="16"/>
      <c r="D455" s="13"/>
    </row>
    <row r="456" spans="1:4" s="9" customFormat="1" ht="15" customHeight="1" x14ac:dyDescent="0.2">
      <c r="A456" s="28"/>
      <c r="B456" s="16"/>
      <c r="C456" s="16"/>
      <c r="D456" s="13"/>
    </row>
    <row r="457" spans="1:4" s="9" customFormat="1" ht="15" customHeight="1" x14ac:dyDescent="0.2">
      <c r="A457" s="28"/>
      <c r="B457" s="16"/>
      <c r="C457" s="16"/>
      <c r="D457" s="13"/>
    </row>
    <row r="458" spans="1:4" s="9" customFormat="1" ht="15" customHeight="1" x14ac:dyDescent="0.2">
      <c r="A458" s="28"/>
      <c r="B458" s="16"/>
      <c r="C458" s="16"/>
      <c r="D458" s="13"/>
    </row>
    <row r="459" spans="1:4" s="9" customFormat="1" ht="15" customHeight="1" x14ac:dyDescent="0.2">
      <c r="A459" s="28"/>
      <c r="B459" s="16"/>
      <c r="C459" s="16"/>
      <c r="D459" s="13"/>
    </row>
    <row r="460" spans="1:4" s="9" customFormat="1" ht="15" customHeight="1" x14ac:dyDescent="0.2">
      <c r="A460" s="28"/>
      <c r="B460" s="16"/>
      <c r="C460" s="16"/>
      <c r="D460" s="13"/>
    </row>
    <row r="461" spans="1:4" s="9" customFormat="1" ht="15" customHeight="1" x14ac:dyDescent="0.2">
      <c r="A461" s="28"/>
      <c r="B461" s="16"/>
      <c r="C461" s="16"/>
      <c r="D461" s="13"/>
    </row>
    <row r="462" spans="1:4" s="9" customFormat="1" ht="15" customHeight="1" x14ac:dyDescent="0.2">
      <c r="A462" s="28"/>
      <c r="B462" s="16"/>
      <c r="C462" s="16"/>
      <c r="D462" s="13"/>
    </row>
    <row r="463" spans="1:4" s="9" customFormat="1" ht="15" customHeight="1" x14ac:dyDescent="0.2">
      <c r="A463" s="28"/>
      <c r="B463" s="16"/>
      <c r="C463" s="16"/>
      <c r="D463" s="13"/>
    </row>
    <row r="464" spans="1:4" s="9" customFormat="1" ht="15" customHeight="1" x14ac:dyDescent="0.2">
      <c r="A464" s="28"/>
      <c r="B464" s="16"/>
      <c r="C464" s="16"/>
      <c r="D464" s="13"/>
    </row>
    <row r="465" spans="1:4" s="9" customFormat="1" ht="15" customHeight="1" x14ac:dyDescent="0.2">
      <c r="A465" s="28"/>
      <c r="B465" s="16"/>
      <c r="C465" s="16"/>
      <c r="D465" s="13"/>
    </row>
    <row r="466" spans="1:4" s="9" customFormat="1" ht="15" customHeight="1" x14ac:dyDescent="0.2">
      <c r="A466" s="28"/>
      <c r="B466" s="16"/>
      <c r="C466" s="16"/>
      <c r="D466" s="13"/>
    </row>
    <row r="467" spans="1:4" s="9" customFormat="1" ht="15" customHeight="1" x14ac:dyDescent="0.2">
      <c r="A467" s="28"/>
      <c r="B467" s="16"/>
      <c r="C467" s="16"/>
      <c r="D467" s="13"/>
    </row>
    <row r="468" spans="1:4" s="9" customFormat="1" ht="15" customHeight="1" x14ac:dyDescent="0.2">
      <c r="A468" s="28"/>
      <c r="B468" s="16"/>
      <c r="C468" s="16"/>
      <c r="D468" s="13"/>
    </row>
    <row r="469" spans="1:4" s="9" customFormat="1" ht="15" customHeight="1" x14ac:dyDescent="0.2">
      <c r="A469" s="28"/>
      <c r="B469" s="16"/>
      <c r="C469" s="16"/>
      <c r="D469" s="13"/>
    </row>
    <row r="470" spans="1:4" s="9" customFormat="1" ht="15" customHeight="1" x14ac:dyDescent="0.2">
      <c r="A470" s="28"/>
      <c r="B470" s="16"/>
      <c r="C470" s="16"/>
      <c r="D470" s="13"/>
    </row>
    <row r="471" spans="1:4" s="9" customFormat="1" ht="15" customHeight="1" x14ac:dyDescent="0.2">
      <c r="A471" s="28"/>
      <c r="B471" s="16"/>
      <c r="C471" s="16"/>
      <c r="D471" s="13"/>
    </row>
    <row r="472" spans="1:4" s="9" customFormat="1" ht="15" customHeight="1" x14ac:dyDescent="0.2">
      <c r="A472" s="28"/>
      <c r="B472" s="16"/>
      <c r="C472" s="16"/>
      <c r="D472" s="13"/>
    </row>
    <row r="473" spans="1:4" s="9" customFormat="1" ht="15" customHeight="1" x14ac:dyDescent="0.2">
      <c r="A473" s="28"/>
      <c r="B473" s="16"/>
      <c r="C473" s="16"/>
      <c r="D473" s="13"/>
    </row>
    <row r="474" spans="1:4" s="9" customFormat="1" ht="15" customHeight="1" x14ac:dyDescent="0.2">
      <c r="A474" s="28"/>
      <c r="B474" s="16"/>
      <c r="C474" s="16"/>
      <c r="D474" s="13"/>
    </row>
    <row r="475" spans="1:4" s="9" customFormat="1" ht="15" customHeight="1" x14ac:dyDescent="0.2">
      <c r="A475" s="28"/>
      <c r="B475" s="16"/>
      <c r="C475" s="16"/>
      <c r="D475" s="13"/>
    </row>
    <row r="476" spans="1:4" s="9" customFormat="1" ht="15" customHeight="1" x14ac:dyDescent="0.2">
      <c r="A476" s="28"/>
      <c r="B476" s="16"/>
      <c r="C476" s="16"/>
      <c r="D476" s="13"/>
    </row>
    <row r="477" spans="1:4" s="9" customFormat="1" ht="15" customHeight="1" x14ac:dyDescent="0.2">
      <c r="A477" s="28"/>
      <c r="B477" s="16"/>
      <c r="C477" s="16"/>
      <c r="D477" s="13"/>
    </row>
    <row r="478" spans="1:4" s="9" customFormat="1" ht="15" customHeight="1" x14ac:dyDescent="0.2">
      <c r="A478" s="28"/>
      <c r="B478" s="16"/>
      <c r="C478" s="16"/>
      <c r="D478" s="13"/>
    </row>
    <row r="479" spans="1:4" s="9" customFormat="1" ht="15" customHeight="1" x14ac:dyDescent="0.2">
      <c r="A479" s="28"/>
      <c r="B479" s="16"/>
      <c r="C479" s="16"/>
      <c r="D479" s="13"/>
    </row>
    <row r="480" spans="1:4" s="9" customFormat="1" ht="15" customHeight="1" x14ac:dyDescent="0.2">
      <c r="A480" s="28"/>
      <c r="B480" s="16"/>
      <c r="C480" s="16"/>
      <c r="D480" s="13"/>
    </row>
    <row r="481" spans="1:4" s="9" customFormat="1" ht="15" customHeight="1" x14ac:dyDescent="0.2">
      <c r="A481" s="28"/>
      <c r="B481" s="16"/>
      <c r="C481" s="16"/>
      <c r="D481" s="13"/>
    </row>
    <row r="482" spans="1:4" s="9" customFormat="1" ht="15" customHeight="1" x14ac:dyDescent="0.2">
      <c r="A482" s="28"/>
      <c r="B482" s="16"/>
      <c r="C482" s="16"/>
      <c r="D482" s="13"/>
    </row>
    <row r="483" spans="1:4" s="9" customFormat="1" ht="15" customHeight="1" x14ac:dyDescent="0.2">
      <c r="A483" s="28"/>
      <c r="B483" s="16"/>
      <c r="C483" s="16"/>
      <c r="D483" s="13"/>
    </row>
    <row r="484" spans="1:4" s="9" customFormat="1" ht="15" customHeight="1" x14ac:dyDescent="0.2">
      <c r="A484" s="28"/>
      <c r="B484" s="16"/>
      <c r="C484" s="16"/>
      <c r="D484" s="13"/>
    </row>
    <row r="485" spans="1:4" s="9" customFormat="1" ht="15" customHeight="1" x14ac:dyDescent="0.2">
      <c r="A485" s="28"/>
      <c r="B485" s="16"/>
      <c r="C485" s="16"/>
      <c r="D485" s="13"/>
    </row>
    <row r="486" spans="1:4" s="9" customFormat="1" ht="15" customHeight="1" x14ac:dyDescent="0.2">
      <c r="A486" s="28"/>
      <c r="B486" s="16"/>
      <c r="C486" s="16"/>
      <c r="D486" s="13"/>
    </row>
    <row r="487" spans="1:4" s="9" customFormat="1" ht="15" customHeight="1" x14ac:dyDescent="0.2">
      <c r="A487" s="28"/>
      <c r="B487" s="16"/>
      <c r="C487" s="16"/>
      <c r="D487" s="13"/>
    </row>
    <row r="488" spans="1:4" s="9" customFormat="1" ht="15" customHeight="1" x14ac:dyDescent="0.2">
      <c r="A488" s="28"/>
      <c r="B488" s="16"/>
      <c r="C488" s="16"/>
      <c r="D488" s="13"/>
    </row>
    <row r="489" spans="1:4" s="9" customFormat="1" ht="15" customHeight="1" x14ac:dyDescent="0.2">
      <c r="A489" s="28"/>
      <c r="B489" s="16"/>
      <c r="C489" s="16"/>
      <c r="D489" s="13"/>
    </row>
    <row r="490" spans="1:4" s="9" customFormat="1" ht="15" customHeight="1" x14ac:dyDescent="0.2">
      <c r="A490" s="28"/>
      <c r="B490" s="16"/>
      <c r="C490" s="16"/>
      <c r="D490" s="13"/>
    </row>
    <row r="491" spans="1:4" s="9" customFormat="1" ht="15" customHeight="1" x14ac:dyDescent="0.2">
      <c r="A491" s="28"/>
      <c r="B491" s="16"/>
      <c r="C491" s="16"/>
      <c r="D491" s="13"/>
    </row>
    <row r="492" spans="1:4" s="9" customFormat="1" ht="15" customHeight="1" x14ac:dyDescent="0.2">
      <c r="A492" s="28"/>
      <c r="B492" s="16"/>
      <c r="C492" s="16"/>
      <c r="D492" s="13"/>
    </row>
    <row r="493" spans="1:4" s="9" customFormat="1" ht="15" customHeight="1" x14ac:dyDescent="0.2">
      <c r="A493" s="28"/>
      <c r="B493" s="16"/>
      <c r="C493" s="16"/>
      <c r="D493" s="13"/>
    </row>
    <row r="494" spans="1:4" s="9" customFormat="1" ht="15" customHeight="1" x14ac:dyDescent="0.2">
      <c r="A494" s="28"/>
      <c r="B494" s="16"/>
      <c r="C494" s="16"/>
      <c r="D494" s="13"/>
    </row>
    <row r="495" spans="1:4" s="9" customFormat="1" ht="15" customHeight="1" x14ac:dyDescent="0.2">
      <c r="A495" s="28"/>
      <c r="B495" s="16"/>
      <c r="C495" s="16"/>
      <c r="D495" s="13"/>
    </row>
    <row r="496" spans="1:4" s="9" customFormat="1" ht="15" customHeight="1" x14ac:dyDescent="0.2">
      <c r="A496" s="28"/>
      <c r="B496" s="16"/>
      <c r="C496" s="16"/>
      <c r="D496" s="13"/>
    </row>
    <row r="497" spans="1:4" s="9" customFormat="1" ht="15" customHeight="1" x14ac:dyDescent="0.2">
      <c r="A497" s="28"/>
      <c r="B497" s="16"/>
      <c r="C497" s="16"/>
      <c r="D497" s="13"/>
    </row>
    <row r="498" spans="1:4" s="9" customFormat="1" ht="15" customHeight="1" x14ac:dyDescent="0.2">
      <c r="A498" s="28"/>
      <c r="B498" s="16"/>
      <c r="C498" s="16"/>
      <c r="D498" s="13"/>
    </row>
    <row r="499" spans="1:4" s="9" customFormat="1" ht="15" customHeight="1" x14ac:dyDescent="0.2">
      <c r="A499" s="28"/>
      <c r="B499" s="16"/>
      <c r="C499" s="16"/>
      <c r="D499" s="13"/>
    </row>
    <row r="500" spans="1:4" s="9" customFormat="1" ht="15" customHeight="1" x14ac:dyDescent="0.2">
      <c r="A500" s="28"/>
      <c r="B500" s="16"/>
      <c r="C500" s="16"/>
      <c r="D500" s="13"/>
    </row>
    <row r="501" spans="1:4" s="9" customFormat="1" ht="15" customHeight="1" x14ac:dyDescent="0.2">
      <c r="A501" s="28"/>
      <c r="B501" s="16"/>
      <c r="C501" s="16"/>
      <c r="D501" s="13"/>
    </row>
    <row r="502" spans="1:4" s="9" customFormat="1" ht="15" customHeight="1" x14ac:dyDescent="0.2">
      <c r="A502" s="28"/>
      <c r="B502" s="16"/>
      <c r="C502" s="16"/>
      <c r="D502" s="13"/>
    </row>
    <row r="503" spans="1:4" s="9" customFormat="1" ht="15" customHeight="1" x14ac:dyDescent="0.2">
      <c r="A503" s="28"/>
      <c r="B503" s="16"/>
      <c r="C503" s="16"/>
      <c r="D503" s="13"/>
    </row>
    <row r="504" spans="1:4" s="9" customFormat="1" ht="15" customHeight="1" x14ac:dyDescent="0.2">
      <c r="A504" s="28"/>
      <c r="B504" s="16"/>
      <c r="C504" s="16"/>
      <c r="D504" s="13"/>
    </row>
    <row r="505" spans="1:4" s="9" customFormat="1" ht="15" customHeight="1" x14ac:dyDescent="0.2">
      <c r="A505" s="28"/>
      <c r="B505" s="16"/>
      <c r="C505" s="16"/>
      <c r="D505" s="13"/>
    </row>
    <row r="506" spans="1:4" s="9" customFormat="1" ht="15" customHeight="1" x14ac:dyDescent="0.2">
      <c r="A506" s="28"/>
      <c r="B506" s="16"/>
      <c r="C506" s="16"/>
      <c r="D506" s="13"/>
    </row>
    <row r="507" spans="1:4" s="9" customFormat="1" ht="15" customHeight="1" x14ac:dyDescent="0.2">
      <c r="A507" s="28"/>
      <c r="B507" s="16"/>
      <c r="C507" s="16"/>
      <c r="D507" s="13"/>
    </row>
    <row r="508" spans="1:4" s="9" customFormat="1" ht="15" customHeight="1" x14ac:dyDescent="0.2">
      <c r="A508" s="28"/>
      <c r="B508" s="16"/>
      <c r="C508" s="16"/>
      <c r="D508" s="13"/>
    </row>
    <row r="509" spans="1:4" s="9" customFormat="1" ht="15" customHeight="1" x14ac:dyDescent="0.2">
      <c r="A509" s="28"/>
      <c r="B509" s="16"/>
      <c r="C509" s="16"/>
      <c r="D509" s="13"/>
    </row>
    <row r="510" spans="1:4" s="9" customFormat="1" ht="15" customHeight="1" x14ac:dyDescent="0.2">
      <c r="A510" s="28"/>
      <c r="B510" s="16"/>
      <c r="C510" s="16"/>
      <c r="D510" s="13"/>
    </row>
    <row r="511" spans="1:4" s="9" customFormat="1" ht="15" customHeight="1" x14ac:dyDescent="0.2">
      <c r="A511" s="28"/>
      <c r="B511" s="16"/>
      <c r="C511" s="16"/>
      <c r="D511" s="13"/>
    </row>
    <row r="512" spans="1:4" s="9" customFormat="1" ht="15" customHeight="1" x14ac:dyDescent="0.2">
      <c r="A512" s="28"/>
      <c r="B512" s="16"/>
      <c r="C512" s="16"/>
      <c r="D512" s="13"/>
    </row>
    <row r="513" spans="1:4" s="9" customFormat="1" ht="15" customHeight="1" x14ac:dyDescent="0.2">
      <c r="A513" s="28"/>
      <c r="B513" s="16"/>
      <c r="C513" s="16"/>
      <c r="D513" s="13"/>
    </row>
    <row r="514" spans="1:4" s="9" customFormat="1" ht="15" customHeight="1" x14ac:dyDescent="0.2">
      <c r="A514" s="28"/>
      <c r="B514" s="16"/>
      <c r="C514" s="16"/>
      <c r="D514" s="13"/>
    </row>
    <row r="515" spans="1:4" s="9" customFormat="1" ht="15" customHeight="1" x14ac:dyDescent="0.2">
      <c r="A515" s="28"/>
      <c r="B515" s="16"/>
      <c r="C515" s="16"/>
      <c r="D515" s="13"/>
    </row>
    <row r="516" spans="1:4" s="9" customFormat="1" ht="15" customHeight="1" x14ac:dyDescent="0.2">
      <c r="A516" s="28"/>
      <c r="B516" s="16"/>
      <c r="C516" s="16"/>
      <c r="D516" s="13"/>
    </row>
    <row r="517" spans="1:4" s="9" customFormat="1" ht="15" customHeight="1" x14ac:dyDescent="0.2">
      <c r="A517" s="28"/>
      <c r="B517" s="16"/>
      <c r="C517" s="16"/>
      <c r="D517" s="13"/>
    </row>
    <row r="518" spans="1:4" s="9" customFormat="1" ht="15" customHeight="1" x14ac:dyDescent="0.2">
      <c r="A518" s="28"/>
      <c r="B518" s="16"/>
      <c r="C518" s="16"/>
      <c r="D518" s="13"/>
    </row>
    <row r="519" spans="1:4" s="9" customFormat="1" ht="15" customHeight="1" x14ac:dyDescent="0.2">
      <c r="A519" s="28"/>
      <c r="B519" s="16"/>
      <c r="C519" s="16"/>
      <c r="D519" s="13"/>
    </row>
    <row r="520" spans="1:4" s="9" customFormat="1" ht="15" customHeight="1" x14ac:dyDescent="0.2">
      <c r="A520" s="28"/>
      <c r="B520" s="16"/>
      <c r="C520" s="16"/>
      <c r="D520" s="13"/>
    </row>
    <row r="521" spans="1:4" s="9" customFormat="1" ht="15" customHeight="1" x14ac:dyDescent="0.2">
      <c r="A521" s="28"/>
      <c r="B521" s="16"/>
      <c r="C521" s="16"/>
      <c r="D521" s="13"/>
    </row>
    <row r="522" spans="1:4" s="9" customFormat="1" ht="15" customHeight="1" x14ac:dyDescent="0.2">
      <c r="A522" s="28"/>
      <c r="B522" s="16"/>
      <c r="C522" s="16"/>
      <c r="D522" s="13"/>
    </row>
    <row r="523" spans="1:4" s="9" customFormat="1" ht="15" customHeight="1" x14ac:dyDescent="0.2">
      <c r="A523" s="28"/>
      <c r="B523" s="16"/>
      <c r="C523" s="16"/>
      <c r="D523" s="13"/>
    </row>
    <row r="524" spans="1:4" s="9" customFormat="1" ht="15" customHeight="1" x14ac:dyDescent="0.2">
      <c r="A524" s="28"/>
      <c r="B524" s="16"/>
      <c r="C524" s="16"/>
      <c r="D524" s="13"/>
    </row>
    <row r="525" spans="1:4" s="9" customFormat="1" ht="15" customHeight="1" x14ac:dyDescent="0.2">
      <c r="A525" s="28"/>
      <c r="B525" s="16"/>
      <c r="C525" s="16"/>
      <c r="D525" s="13"/>
    </row>
    <row r="526" spans="1:4" s="9" customFormat="1" ht="15" customHeight="1" x14ac:dyDescent="0.2">
      <c r="A526" s="28"/>
      <c r="B526" s="16"/>
      <c r="C526" s="16"/>
      <c r="D526" s="13"/>
    </row>
    <row r="527" spans="1:4" s="9" customFormat="1" ht="15" customHeight="1" x14ac:dyDescent="0.2">
      <c r="A527" s="28"/>
      <c r="B527" s="16"/>
      <c r="C527" s="16"/>
      <c r="D527" s="13"/>
    </row>
    <row r="528" spans="1:4" s="9" customFormat="1" ht="15" customHeight="1" x14ac:dyDescent="0.2">
      <c r="A528" s="28"/>
      <c r="B528" s="16"/>
      <c r="C528" s="16"/>
      <c r="D528" s="13"/>
    </row>
    <row r="529" spans="1:4" s="9" customFormat="1" ht="15" customHeight="1" x14ac:dyDescent="0.2">
      <c r="A529" s="28"/>
      <c r="B529" s="16"/>
      <c r="C529" s="16"/>
      <c r="D529" s="13"/>
    </row>
    <row r="530" spans="1:4" s="9" customFormat="1" ht="15" customHeight="1" x14ac:dyDescent="0.2">
      <c r="A530" s="28"/>
      <c r="B530" s="16"/>
      <c r="C530" s="16"/>
      <c r="D530" s="13"/>
    </row>
    <row r="531" spans="1:4" s="9" customFormat="1" ht="15" customHeight="1" x14ac:dyDescent="0.2">
      <c r="A531" s="28"/>
      <c r="B531" s="16"/>
      <c r="C531" s="16"/>
      <c r="D531" s="13"/>
    </row>
    <row r="532" spans="1:4" s="9" customFormat="1" ht="15" customHeight="1" x14ac:dyDescent="0.2">
      <c r="A532" s="28"/>
      <c r="B532" s="16"/>
      <c r="C532" s="16"/>
      <c r="D532" s="13"/>
    </row>
    <row r="533" spans="1:4" s="9" customFormat="1" ht="15" customHeight="1" x14ac:dyDescent="0.2">
      <c r="A533" s="28"/>
      <c r="B533" s="16"/>
      <c r="C533" s="16"/>
      <c r="D533" s="13"/>
    </row>
    <row r="534" spans="1:4" s="9" customFormat="1" ht="15" customHeight="1" x14ac:dyDescent="0.2">
      <c r="A534" s="28"/>
      <c r="B534" s="16"/>
      <c r="C534" s="16"/>
      <c r="D534" s="13"/>
    </row>
    <row r="535" spans="1:4" s="9" customFormat="1" ht="15" customHeight="1" x14ac:dyDescent="0.2">
      <c r="A535" s="28"/>
      <c r="B535" s="16"/>
      <c r="C535" s="16"/>
      <c r="D535" s="13"/>
    </row>
    <row r="536" spans="1:4" s="9" customFormat="1" ht="15" customHeight="1" x14ac:dyDescent="0.2">
      <c r="A536" s="28"/>
      <c r="B536" s="16"/>
      <c r="C536" s="16"/>
      <c r="D536" s="13"/>
    </row>
    <row r="537" spans="1:4" s="9" customFormat="1" ht="15" customHeight="1" x14ac:dyDescent="0.2">
      <c r="A537" s="28"/>
      <c r="B537" s="16"/>
      <c r="C537" s="16"/>
      <c r="D537" s="13"/>
    </row>
    <row r="538" spans="1:4" s="9" customFormat="1" ht="15" customHeight="1" x14ac:dyDescent="0.2">
      <c r="A538" s="28"/>
      <c r="B538" s="16"/>
      <c r="C538" s="16"/>
      <c r="D538" s="13"/>
    </row>
    <row r="539" spans="1:4" s="9" customFormat="1" ht="15" customHeight="1" x14ac:dyDescent="0.2">
      <c r="A539" s="28"/>
      <c r="B539" s="16"/>
      <c r="C539" s="16"/>
      <c r="D539" s="13"/>
    </row>
    <row r="540" spans="1:4" s="9" customFormat="1" ht="15" customHeight="1" x14ac:dyDescent="0.2">
      <c r="A540" s="28"/>
      <c r="B540" s="16"/>
      <c r="C540" s="16"/>
      <c r="D540" s="13"/>
    </row>
  </sheetData>
  <sheetProtection algorithmName="SHA-512" hashValue="qNzE4133Nen+ciJ98eixOmrlU/JLl/cmrJWs/ICORjUgpYiSqvsMZd4Bk2UQZrSy5zOYZSfWfmz8QF9ZrOakHw==" saltValue="9VAHkJ/AzJsrZlxCJehHgg==" spinCount="100000" sheet="1" objects="1" scenarios="1" formatCells="0" formatColumns="0" formatRows="0"/>
  <sortState xmlns:xlrd2="http://schemas.microsoft.com/office/spreadsheetml/2017/richdata2" columnSort="1" ref="E3:BG540">
    <sortCondition ref="E3:BG3"/>
  </sortState>
  <customSheetViews>
    <customSheetView guid="{B8E02330-2419-4DE6-AD01-7ACC7A5D18DD}" scale="90" topLeftCell="A227">
      <selection activeCell="C248" sqref="C248"/>
      <rowBreaks count="9" manualBreakCount="9">
        <brk id="17" max="4" man="1"/>
        <brk id="48" max="4" man="1"/>
        <brk id="76" max="4" man="1"/>
        <brk id="111" max="4" man="1"/>
        <brk id="130" max="4" man="1"/>
        <brk id="150" max="4" man="1"/>
        <brk id="169" max="4" man="1"/>
        <brk id="189" max="4" man="1"/>
        <brk id="215" max="4" man="1"/>
      </rowBreaks>
      <pageMargins left="0.7" right="0.7" top="0.75" bottom="0.75" header="0.3" footer="0.3"/>
      <printOptions headings="1"/>
      <pageSetup scale="75" orientation="landscape"/>
      <headerFooter>
        <oddFooter>&amp;LWESPUS beta version 1, by Dr. Paul Adamus&amp;R&amp;P&amp;N</oddFooter>
      </headerFooter>
    </customSheetView>
  </customSheetViews>
  <mergeCells count="88">
    <mergeCell ref="E147:E150"/>
    <mergeCell ref="E161:E165"/>
    <mergeCell ref="E153:E157"/>
    <mergeCell ref="E123:E127"/>
    <mergeCell ref="E128:E132"/>
    <mergeCell ref="E133:E138"/>
    <mergeCell ref="E139:E142"/>
    <mergeCell ref="E143:E146"/>
    <mergeCell ref="E91:E96"/>
    <mergeCell ref="E97:E102"/>
    <mergeCell ref="E103:E107"/>
    <mergeCell ref="E110:E117"/>
    <mergeCell ref="E118:E122"/>
    <mergeCell ref="E61:E67"/>
    <mergeCell ref="E68:E74"/>
    <mergeCell ref="E75:E79"/>
    <mergeCell ref="E80:E83"/>
    <mergeCell ref="E84:E89"/>
    <mergeCell ref="E34:E39"/>
    <mergeCell ref="E40:E42"/>
    <mergeCell ref="E43:E48"/>
    <mergeCell ref="E49:E55"/>
    <mergeCell ref="E56:E60"/>
    <mergeCell ref="E4:E7"/>
    <mergeCell ref="E8:E13"/>
    <mergeCell ref="E14:E19"/>
    <mergeCell ref="E21:E27"/>
    <mergeCell ref="E28:E33"/>
    <mergeCell ref="A161:A165"/>
    <mergeCell ref="B128:B132"/>
    <mergeCell ref="B139:B142"/>
    <mergeCell ref="B147:B150"/>
    <mergeCell ref="A147:A150"/>
    <mergeCell ref="B133:B138"/>
    <mergeCell ref="B161:B165"/>
    <mergeCell ref="A143:A146"/>
    <mergeCell ref="A128:A132"/>
    <mergeCell ref="A133:A138"/>
    <mergeCell ref="A139:A142"/>
    <mergeCell ref="B153:B157"/>
    <mergeCell ref="A153:A157"/>
    <mergeCell ref="B103:B107"/>
    <mergeCell ref="B123:B127"/>
    <mergeCell ref="B118:B122"/>
    <mergeCell ref="B143:B146"/>
    <mergeCell ref="B84:B89"/>
    <mergeCell ref="B97:B102"/>
    <mergeCell ref="B80:B83"/>
    <mergeCell ref="B91:B96"/>
    <mergeCell ref="A4:A7"/>
    <mergeCell ref="B4:B7"/>
    <mergeCell ref="B8:B13"/>
    <mergeCell ref="B68:B74"/>
    <mergeCell ref="B49:B55"/>
    <mergeCell ref="B56:B60"/>
    <mergeCell ref="A91:A96"/>
    <mergeCell ref="A118:A122"/>
    <mergeCell ref="B21:B27"/>
    <mergeCell ref="A49:A55"/>
    <mergeCell ref="A56:A60"/>
    <mergeCell ref="B28:B33"/>
    <mergeCell ref="B40:B42"/>
    <mergeCell ref="A34:A39"/>
    <mergeCell ref="B61:B67"/>
    <mergeCell ref="B34:B39"/>
    <mergeCell ref="A28:A33"/>
    <mergeCell ref="A75:A79"/>
    <mergeCell ref="A40:A42"/>
    <mergeCell ref="A43:A48"/>
    <mergeCell ref="B110:B117"/>
    <mergeCell ref="A97:A102"/>
    <mergeCell ref="B75:B79"/>
    <mergeCell ref="E1:E2"/>
    <mergeCell ref="D1:D2"/>
    <mergeCell ref="A2:C2"/>
    <mergeCell ref="A1:C1"/>
    <mergeCell ref="A123:A127"/>
    <mergeCell ref="A8:A13"/>
    <mergeCell ref="A21:A27"/>
    <mergeCell ref="A14:A19"/>
    <mergeCell ref="B14:B19"/>
    <mergeCell ref="A80:A83"/>
    <mergeCell ref="A84:A89"/>
    <mergeCell ref="A110:A117"/>
    <mergeCell ref="B43:B48"/>
    <mergeCell ref="A103:A107"/>
    <mergeCell ref="A68:A74"/>
    <mergeCell ref="A61:A67"/>
  </mergeCells>
  <phoneticPr fontId="2" type="noConversion"/>
  <dataValidations count="1">
    <dataValidation type="whole" allowBlank="1" showInputMessage="1" showErrorMessage="1" sqref="D786454:D786489 D851990:D852025 D917526:D917561 D983062:D983097 D65690:D65703 D131226:D131239 D196762:D196775 D262298:D262311 D327834:D327847 D393370:D393383 D458906:D458919 D524442:D524455 D589978:D589991 D655514:D655527 D721050:D721063 D786586:D786599 D852122:D852135 D917658:D917671 D983194:D983207 D65621:D65644 D131157:D131180 D196693:D196716 D262229:D262252 D327765:D327788 D393301:D393324 D458837:D458860 D524373:D524396 D589909:D589932 D655445:D655468 D720981:D721004 D786517:D786540 D852053:D852076 D917589:D917612 D983125:D983148 D65670:D65687 D131206:D131223 D196742:D196759 D262278:D262295 D327814:D327831 D393350:D393367 D458886:D458903 D524422:D524439 D589958:D589975 D655494:D655511 D721030:D721047 D786566:D786583 D852102:D852119 D917638:D917655 D983174:D983191 D65646:D65668 D131182:D131204 D196718:D196740 D262254:D262276 D327790:D327812 D393326:D393348 D458862:D458884 D524398:D524420 D589934:D589956 D655470:D655492 D721006:D721028 D786542:D786564 D852078:D852100 D917614:D917636 D983150:D983172 D65617 D131153 D196689 D262225 D327761 D393297 D458833 D524369 D589905 D655441 D720977 D786513 D852049 D917585 D983121 D65609:D65612 D131145:D131148 D196681:D196684 D262217:D262220 D327753:D327756 D393289:D393292 D458825:D458828 D524361:D524364 D589897:D589900 D655433:D655436 D720969:D720972 D786505:D786508 D852041:D852044 D917577:D917580 D983113:D983116 D65598:D65605 D131134:D131141 D196670:D196677 D262206:D262213 D327742:D327749 D393278:D393285 D458814:D458821 D524350:D524357 D589886:D589893 D655422:D655429 D720958:D720965 D786494:D786501 D852030:D852037 D917566:D917573 D983102:D983109 D65541:D65556 D131077:D131092 D196613:D196628 D262149:D262164 D327685:D327700 D393221:D393236 D458757:D458772 D524293:D524308 D589829:D589844 D655365:D655380 D720901:D720916 D786437:D786452 D851973:D851988 D917509:D917524 D983045:D983060 D65558:D65593 D131094:D131129 D196630:D196665 D262166:D262201 D327702:D327737 D393238:D393273 D458774:D458809 D524310:D524345 D589846:D589881 D655382:D655417 D720918:D720953 D61:D68 D21:D56 D109:D131 D4:D19 D84:D107 D80 D72:D75 D153:D167 D133:D150" xr:uid="{00000000-0002-0000-0000-000000000000}">
      <formula1>0</formula1>
      <formula2>1</formula2>
    </dataValidation>
  </dataValidations>
  <printOptions headings="1" gridLines="1"/>
  <pageMargins left="0.25" right="0.25" top="0.75" bottom="0.75" header="0.3" footer="0.3"/>
  <pageSetup scale="70" pageOrder="overThenDown" orientation="landscape" draft="1" r:id="rId1"/>
  <headerFooter>
    <oddFooter>&amp;LWESPAK-SE Tidal&amp;R&amp;P</oddFooter>
  </headerFooter>
  <rowBreaks count="5" manualBreakCount="5">
    <brk id="7" max="16383" man="1"/>
    <brk id="27" max="16383" man="1"/>
    <brk id="48" max="16383" man="1"/>
    <brk id="122" max="16383" man="1"/>
    <brk id="157" max="16383" man="1"/>
  </rowBreak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M120"/>
  <sheetViews>
    <sheetView workbookViewId="0">
      <selection activeCell="D9" sqref="D9"/>
    </sheetView>
  </sheetViews>
  <sheetFormatPr defaultColWidth="9.33203125" defaultRowHeight="15" customHeight="1" x14ac:dyDescent="0.2"/>
  <cols>
    <col min="1" max="1" width="5.83203125" style="26" customWidth="1"/>
    <col min="2" max="2" width="18.83203125" style="26" customWidth="1"/>
    <col min="3" max="3" width="77.83203125" style="26" customWidth="1"/>
    <col min="4" max="4" width="6.83203125" style="430" customWidth="1"/>
    <col min="5" max="5" width="7.5" style="430" customWidth="1"/>
    <col min="6" max="6" width="7.6640625" style="430" customWidth="1"/>
    <col min="7" max="7" width="9.83203125" style="431" customWidth="1"/>
    <col min="8" max="8" width="75.83203125" style="26" customWidth="1"/>
    <col min="9" max="9" width="15.1640625" style="25" customWidth="1"/>
    <col min="10" max="10" width="9.33203125" style="115"/>
    <col min="11" max="16384" width="9.33203125" style="25"/>
  </cols>
  <sheetData>
    <row r="1" spans="1:10" s="8" customFormat="1" ht="74.25" customHeight="1" thickBot="1" x14ac:dyDescent="0.25">
      <c r="A1" s="888" t="s">
        <v>3640</v>
      </c>
      <c r="B1" s="889"/>
      <c r="C1" s="68" t="s">
        <v>52</v>
      </c>
      <c r="D1" s="69" t="s">
        <v>53</v>
      </c>
      <c r="E1" s="997"/>
      <c r="F1" s="998"/>
      <c r="G1" s="998"/>
      <c r="H1" s="998"/>
      <c r="J1" s="42"/>
    </row>
    <row r="2" spans="1:10" s="8" customFormat="1" ht="30" customHeight="1" thickBot="1" x14ac:dyDescent="0.25">
      <c r="A2" s="293" t="s">
        <v>770</v>
      </c>
      <c r="B2" s="288" t="s">
        <v>3641</v>
      </c>
      <c r="C2" s="289" t="s">
        <v>32</v>
      </c>
      <c r="D2" s="288" t="s">
        <v>805</v>
      </c>
      <c r="E2" s="290" t="s">
        <v>1017</v>
      </c>
      <c r="F2" s="291" t="s">
        <v>1018</v>
      </c>
      <c r="G2" s="292" t="s">
        <v>355</v>
      </c>
      <c r="H2" s="288" t="s">
        <v>60</v>
      </c>
      <c r="J2" s="42"/>
    </row>
    <row r="3" spans="1:10" s="20" customFormat="1" ht="30" customHeight="1" thickBot="1" x14ac:dyDescent="0.25">
      <c r="A3" s="909" t="str">
        <f>T!A10</f>
        <v>T3</v>
      </c>
      <c r="B3" s="908" t="str">
        <f>T!B10</f>
        <v>Low Marsh</v>
      </c>
      <c r="C3" s="275" t="str">
        <f>T!C10</f>
        <v>The percent of the vegetated part of the AA that is "low marsh" (covered by tidal water for part of almost every day) is:</v>
      </c>
      <c r="D3" s="338"/>
      <c r="E3" s="338"/>
      <c r="F3" s="359"/>
      <c r="G3" s="163">
        <f>MAX(F4:F10)/MAX(E4:E10)</f>
        <v>0</v>
      </c>
      <c r="H3" s="908" t="s">
        <v>230</v>
      </c>
      <c r="I3" s="28"/>
      <c r="J3" s="78"/>
    </row>
    <row r="4" spans="1:10" s="20" customFormat="1" ht="15" customHeight="1" x14ac:dyDescent="0.2">
      <c r="A4" s="910"/>
      <c r="B4" s="907"/>
      <c r="C4" s="3" t="str">
        <f>T!C11</f>
        <v>none, or &lt;1%</v>
      </c>
      <c r="D4" s="131">
        <f>T!D11</f>
        <v>0</v>
      </c>
      <c r="E4" s="326">
        <v>7</v>
      </c>
      <c r="F4" s="327">
        <f t="shared" ref="F4:F10" si="0">D4*E4</f>
        <v>0</v>
      </c>
      <c r="G4" s="349"/>
      <c r="H4" s="907"/>
      <c r="I4" s="28"/>
      <c r="J4" s="78"/>
    </row>
    <row r="5" spans="1:10" s="20" customFormat="1" ht="15" customHeight="1" x14ac:dyDescent="0.2">
      <c r="A5" s="910"/>
      <c r="B5" s="907"/>
      <c r="C5" s="465" t="str">
        <f>T!C12</f>
        <v>1-10%</v>
      </c>
      <c r="D5" s="131">
        <f>T!D12</f>
        <v>0</v>
      </c>
      <c r="E5" s="326">
        <v>6</v>
      </c>
      <c r="F5" s="327">
        <f t="shared" si="0"/>
        <v>0</v>
      </c>
      <c r="G5" s="349"/>
      <c r="H5" s="907"/>
      <c r="I5" s="28"/>
      <c r="J5" s="78"/>
    </row>
    <row r="6" spans="1:10" s="20" customFormat="1" ht="15" customHeight="1" x14ac:dyDescent="0.2">
      <c r="A6" s="910"/>
      <c r="B6" s="907"/>
      <c r="C6" s="465" t="str">
        <f>T!C13</f>
        <v>10-25%</v>
      </c>
      <c r="D6" s="131">
        <f>T!D13</f>
        <v>0</v>
      </c>
      <c r="E6" s="326">
        <v>5</v>
      </c>
      <c r="F6" s="327">
        <f t="shared" si="0"/>
        <v>0</v>
      </c>
      <c r="G6" s="349"/>
      <c r="H6" s="907"/>
      <c r="I6" s="28"/>
      <c r="J6" s="78"/>
    </row>
    <row r="7" spans="1:10" s="20" customFormat="1" ht="15" customHeight="1" x14ac:dyDescent="0.2">
      <c r="A7" s="910"/>
      <c r="B7" s="907"/>
      <c r="C7" s="465" t="str">
        <f>T!C14</f>
        <v>25-50%</v>
      </c>
      <c r="D7" s="131">
        <f>T!D14</f>
        <v>0</v>
      </c>
      <c r="E7" s="326">
        <v>4</v>
      </c>
      <c r="F7" s="327">
        <f t="shared" si="0"/>
        <v>0</v>
      </c>
      <c r="G7" s="349"/>
      <c r="H7" s="907"/>
      <c r="I7" s="28"/>
      <c r="J7" s="78"/>
    </row>
    <row r="8" spans="1:10" s="20" customFormat="1" ht="15" customHeight="1" x14ac:dyDescent="0.2">
      <c r="A8" s="910"/>
      <c r="B8" s="907"/>
      <c r="C8" s="465" t="str">
        <f>T!C15</f>
        <v>50-75%</v>
      </c>
      <c r="D8" s="131">
        <f>T!D15</f>
        <v>0</v>
      </c>
      <c r="E8" s="326">
        <v>3</v>
      </c>
      <c r="F8" s="327">
        <f t="shared" si="0"/>
        <v>0</v>
      </c>
      <c r="G8" s="349"/>
      <c r="H8" s="907"/>
      <c r="I8" s="28"/>
      <c r="J8" s="78"/>
    </row>
    <row r="9" spans="1:10" s="20" customFormat="1" ht="15" customHeight="1" x14ac:dyDescent="0.2">
      <c r="A9" s="910"/>
      <c r="B9" s="907"/>
      <c r="C9" s="465" t="str">
        <f>T!C16</f>
        <v>75-90%</v>
      </c>
      <c r="D9" s="131">
        <f>T!D16</f>
        <v>0</v>
      </c>
      <c r="E9" s="326">
        <v>2</v>
      </c>
      <c r="F9" s="327">
        <f t="shared" si="0"/>
        <v>0</v>
      </c>
      <c r="G9" s="349"/>
      <c r="H9" s="907"/>
      <c r="I9" s="28"/>
      <c r="J9" s="78"/>
    </row>
    <row r="10" spans="1:10" s="20" customFormat="1" ht="15" customHeight="1" thickBot="1" x14ac:dyDescent="0.25">
      <c r="A10" s="768"/>
      <c r="B10" s="774"/>
      <c r="C10" s="230" t="str">
        <f>T!C17</f>
        <v>&gt;90%</v>
      </c>
      <c r="D10" s="328">
        <f>T!D17</f>
        <v>1</v>
      </c>
      <c r="E10" s="329">
        <v>0</v>
      </c>
      <c r="F10" s="330">
        <f t="shared" si="0"/>
        <v>0</v>
      </c>
      <c r="G10" s="350"/>
      <c r="H10" s="774"/>
      <c r="I10" s="28"/>
      <c r="J10" s="78"/>
    </row>
    <row r="11" spans="1:10" ht="45" customHeight="1" thickBot="1" x14ac:dyDescent="0.25">
      <c r="A11" s="890" t="str">
        <f>T!A24</f>
        <v>T5</v>
      </c>
      <c r="B11" s="907" t="str">
        <f>T!B24</f>
        <v>Width of Vegetated Zone at Daily High Tide</v>
      </c>
      <c r="C11" s="269" t="str">
        <f>T!C24</f>
        <v>At daily high tide, the average width of vegetated area in the AA that separates adjoining uplands from most deepwater (subtidal water) within or adjoining the AA, or from the largest intersecting river or tributary (whichever is less), is:</v>
      </c>
      <c r="D11" s="323"/>
      <c r="E11" s="323"/>
      <c r="F11" s="332"/>
      <c r="G11" s="320">
        <f>MAX(F12:F16)/MAX(E12:E16)</f>
        <v>0.5</v>
      </c>
      <c r="H11" s="907" t="s">
        <v>161</v>
      </c>
      <c r="I11" s="25" t="s">
        <v>682</v>
      </c>
    </row>
    <row r="12" spans="1:10" ht="15" customHeight="1" x14ac:dyDescent="0.2">
      <c r="A12" s="890"/>
      <c r="B12" s="907"/>
      <c r="C12" s="414" t="str">
        <f>T!C25</f>
        <v xml:space="preserve">1-5 ft </v>
      </c>
      <c r="D12" s="131">
        <f>T!D25</f>
        <v>0</v>
      </c>
      <c r="E12" s="326">
        <v>1</v>
      </c>
      <c r="F12" s="333">
        <f>D12*E12</f>
        <v>0</v>
      </c>
      <c r="G12" s="351"/>
      <c r="H12" s="907"/>
    </row>
    <row r="13" spans="1:10" ht="15" customHeight="1" x14ac:dyDescent="0.2">
      <c r="A13" s="890"/>
      <c r="B13" s="907"/>
      <c r="C13" s="466" t="str">
        <f>T!C26</f>
        <v>5-25 ft</v>
      </c>
      <c r="D13" s="131">
        <f>T!D26</f>
        <v>1</v>
      </c>
      <c r="E13" s="326">
        <v>3</v>
      </c>
      <c r="F13" s="333">
        <f>D13*E13</f>
        <v>3</v>
      </c>
      <c r="G13" s="352"/>
      <c r="H13" s="907"/>
    </row>
    <row r="14" spans="1:10" ht="15" customHeight="1" x14ac:dyDescent="0.2">
      <c r="A14" s="890"/>
      <c r="B14" s="907"/>
      <c r="C14" s="466" t="str">
        <f>T!C27</f>
        <v>25-100 ft</v>
      </c>
      <c r="D14" s="131">
        <f>T!D27</f>
        <v>0</v>
      </c>
      <c r="E14" s="326">
        <v>4</v>
      </c>
      <c r="F14" s="333">
        <f>D14*E14</f>
        <v>0</v>
      </c>
      <c r="G14" s="352"/>
      <c r="H14" s="907"/>
    </row>
    <row r="15" spans="1:10" ht="15" customHeight="1" x14ac:dyDescent="0.2">
      <c r="A15" s="890"/>
      <c r="B15" s="907"/>
      <c r="C15" s="466" t="str">
        <f>T!C28</f>
        <v>100-300 ft</v>
      </c>
      <c r="D15" s="131">
        <f>T!D28</f>
        <v>0</v>
      </c>
      <c r="E15" s="326">
        <v>5</v>
      </c>
      <c r="F15" s="333">
        <f>D15*E15</f>
        <v>0</v>
      </c>
      <c r="G15" s="352"/>
      <c r="H15" s="907"/>
    </row>
    <row r="16" spans="1:10" ht="15" customHeight="1" thickBot="1" x14ac:dyDescent="0.25">
      <c r="A16" s="890"/>
      <c r="B16" s="907"/>
      <c r="C16" s="466" t="str">
        <f>T!C29</f>
        <v>&gt;300 ft</v>
      </c>
      <c r="D16" s="325">
        <f>T!D29</f>
        <v>0</v>
      </c>
      <c r="E16" s="425">
        <v>6</v>
      </c>
      <c r="F16" s="335">
        <f>D16*E16</f>
        <v>0</v>
      </c>
      <c r="G16" s="349"/>
      <c r="H16" s="907"/>
    </row>
    <row r="17" spans="1:9" ht="21" customHeight="1" thickBot="1" x14ac:dyDescent="0.25">
      <c r="A17" s="909" t="str">
        <f>T!A61</f>
        <v>T12</v>
      </c>
      <c r="B17" s="908" t="str">
        <f>T!B61</f>
        <v>Large Woody Debris</v>
      </c>
      <c r="C17" s="317" t="str">
        <f>T!C61</f>
        <v>Large woody debris that rises at least 3 ft above the marsh terrace or is present in tidal channels is:</v>
      </c>
      <c r="D17" s="338"/>
      <c r="E17" s="338"/>
      <c r="F17" s="340"/>
      <c r="G17" s="163">
        <f>MAX(F18:F20)/MAX(E18:E20)</f>
        <v>0.66666666666666663</v>
      </c>
      <c r="H17" s="908" t="s">
        <v>162</v>
      </c>
      <c r="I17" s="25" t="s">
        <v>699</v>
      </c>
    </row>
    <row r="18" spans="1:9" ht="15" customHeight="1" x14ac:dyDescent="0.2">
      <c r="A18" s="910"/>
      <c r="B18" s="907"/>
      <c r="C18" s="416" t="str">
        <f>T!C62</f>
        <v>none or few (&lt;1 per 10 acres)</v>
      </c>
      <c r="D18" s="131">
        <f>T!D62</f>
        <v>0</v>
      </c>
      <c r="E18" s="326">
        <v>0</v>
      </c>
      <c r="F18" s="333">
        <f>D18*E18</f>
        <v>0</v>
      </c>
      <c r="G18" s="351"/>
      <c r="H18" s="907"/>
    </row>
    <row r="19" spans="1:9" ht="15" customHeight="1" x14ac:dyDescent="0.2">
      <c r="A19" s="910"/>
      <c r="B19" s="907"/>
      <c r="C19" s="467" t="str">
        <f>T!C63</f>
        <v>intermediate</v>
      </c>
      <c r="D19" s="131">
        <f>T!D63</f>
        <v>1</v>
      </c>
      <c r="E19" s="326">
        <v>2</v>
      </c>
      <c r="F19" s="333">
        <f>D19*E19</f>
        <v>2</v>
      </c>
      <c r="G19" s="352"/>
      <c r="H19" s="907"/>
    </row>
    <row r="20" spans="1:9" ht="15" customHeight="1" thickBot="1" x14ac:dyDescent="0.25">
      <c r="A20" s="768"/>
      <c r="B20" s="774"/>
      <c r="C20" s="264" t="str">
        <f>T!C64</f>
        <v>many (&gt;5 pieces per 10 acres or per 10 channel widths)</v>
      </c>
      <c r="D20" s="328">
        <f>T!D64</f>
        <v>0</v>
      </c>
      <c r="E20" s="329">
        <v>3</v>
      </c>
      <c r="F20" s="341">
        <f>D20*E20</f>
        <v>0</v>
      </c>
      <c r="G20" s="350"/>
      <c r="H20" s="774"/>
    </row>
    <row r="21" spans="1:9" ht="30" customHeight="1" thickBot="1" x14ac:dyDescent="0.25">
      <c r="A21" s="890" t="str">
        <f>T!A65</f>
        <v>T13</v>
      </c>
      <c r="B21" s="907" t="str">
        <f>T!B65</f>
        <v>Driftwood</v>
      </c>
      <c r="C21" s="269" t="str">
        <f>T!C65</f>
        <v>On or near the AA's edge with upland (or the upper edge of tidal influence), the percent of the edge occupied by driftwood is:</v>
      </c>
      <c r="D21" s="323"/>
      <c r="E21" s="323"/>
      <c r="F21" s="332"/>
      <c r="G21" s="320">
        <f>MAX(F22:F26)/MAX(E22:E26)</f>
        <v>0</v>
      </c>
      <c r="H21" s="907" t="s">
        <v>163</v>
      </c>
      <c r="I21" s="25" t="s">
        <v>700</v>
      </c>
    </row>
    <row r="22" spans="1:9" ht="15" customHeight="1" x14ac:dyDescent="0.2">
      <c r="A22" s="890"/>
      <c r="B22" s="907"/>
      <c r="C22" s="416" t="str">
        <f>T!C66</f>
        <v>none</v>
      </c>
      <c r="D22" s="131">
        <f>T!D66</f>
        <v>1</v>
      </c>
      <c r="E22" s="326">
        <v>0</v>
      </c>
      <c r="F22" s="333">
        <f>D22*E22</f>
        <v>0</v>
      </c>
      <c r="G22" s="351"/>
      <c r="H22" s="907"/>
    </row>
    <row r="23" spans="1:9" ht="15" customHeight="1" x14ac:dyDescent="0.2">
      <c r="A23" s="890"/>
      <c r="B23" s="907"/>
      <c r="C23" s="467" t="str">
        <f>T!C67</f>
        <v xml:space="preserve">1-25% </v>
      </c>
      <c r="D23" s="131">
        <f>T!D67</f>
        <v>0</v>
      </c>
      <c r="E23" s="326">
        <v>1</v>
      </c>
      <c r="F23" s="333">
        <f>D23*E23</f>
        <v>0</v>
      </c>
      <c r="G23" s="352"/>
      <c r="H23" s="907"/>
    </row>
    <row r="24" spans="1:9" ht="15" customHeight="1" x14ac:dyDescent="0.2">
      <c r="A24" s="890"/>
      <c r="B24" s="907"/>
      <c r="C24" s="467" t="str">
        <f>T!C68</f>
        <v xml:space="preserve">25 - 50% </v>
      </c>
      <c r="D24" s="131">
        <f>T!D68</f>
        <v>0</v>
      </c>
      <c r="E24" s="326">
        <v>2</v>
      </c>
      <c r="F24" s="333">
        <f>D24*E24</f>
        <v>0</v>
      </c>
      <c r="G24" s="352"/>
      <c r="H24" s="907"/>
    </row>
    <row r="25" spans="1:9" ht="15" customHeight="1" x14ac:dyDescent="0.2">
      <c r="A25" s="890"/>
      <c r="B25" s="907"/>
      <c r="C25" s="467" t="str">
        <f>T!C69</f>
        <v>50 - 75%</v>
      </c>
      <c r="D25" s="131">
        <f>T!D69</f>
        <v>0</v>
      </c>
      <c r="E25" s="326">
        <v>3</v>
      </c>
      <c r="F25" s="333">
        <f>D25*E25</f>
        <v>0</v>
      </c>
      <c r="G25" s="352"/>
      <c r="H25" s="907"/>
    </row>
    <row r="26" spans="1:9" ht="15" customHeight="1" thickBot="1" x14ac:dyDescent="0.25">
      <c r="A26" s="890"/>
      <c r="B26" s="907"/>
      <c r="C26" s="466" t="str">
        <f>T!C70</f>
        <v>&gt;75%</v>
      </c>
      <c r="D26" s="325">
        <f>T!D70</f>
        <v>0</v>
      </c>
      <c r="E26" s="425">
        <v>4</v>
      </c>
      <c r="F26" s="335">
        <f>D26*E26</f>
        <v>0</v>
      </c>
      <c r="G26" s="349"/>
      <c r="H26" s="907"/>
    </row>
    <row r="27" spans="1:9" ht="30" customHeight="1" thickBot="1" x14ac:dyDescent="0.25">
      <c r="A27" s="909" t="str">
        <f>T!A77</f>
        <v>T15</v>
      </c>
      <c r="B27" s="908" t="str">
        <f>T!B77</f>
        <v>Natural Cover in Buffer</v>
      </c>
      <c r="C27" s="317" t="str">
        <f>T!C77</f>
        <v>Within 100 ft upslope of the AA's wetland-upland edge, the percentage of the upland that contains natural (not necessarily native) land cover is:</v>
      </c>
      <c r="D27" s="338"/>
      <c r="E27" s="338"/>
      <c r="F27" s="340"/>
      <c r="G27" s="163">
        <f>MAX(F28:F32)/MAX(E28:E32)</f>
        <v>1</v>
      </c>
      <c r="H27" s="908" t="s">
        <v>165</v>
      </c>
      <c r="I27" s="25" t="s">
        <v>649</v>
      </c>
    </row>
    <row r="28" spans="1:9" ht="15" customHeight="1" x14ac:dyDescent="0.2">
      <c r="A28" s="910"/>
      <c r="B28" s="907"/>
      <c r="C28" s="416" t="str">
        <f>T!C78</f>
        <v xml:space="preserve">&lt;5% </v>
      </c>
      <c r="D28" s="132">
        <f>T!D78</f>
        <v>0</v>
      </c>
      <c r="E28" s="326">
        <v>0</v>
      </c>
      <c r="F28" s="333">
        <f>D28*E28</f>
        <v>0</v>
      </c>
      <c r="G28" s="351"/>
      <c r="H28" s="907"/>
    </row>
    <row r="29" spans="1:9" ht="15" customHeight="1" x14ac:dyDescent="0.2">
      <c r="A29" s="910"/>
      <c r="B29" s="907"/>
      <c r="C29" s="467" t="str">
        <f>T!C79</f>
        <v>5 to 30%</v>
      </c>
      <c r="D29" s="132">
        <f>T!D79</f>
        <v>0</v>
      </c>
      <c r="E29" s="326">
        <v>1</v>
      </c>
      <c r="F29" s="333">
        <f>D29*E29</f>
        <v>0</v>
      </c>
      <c r="G29" s="352"/>
      <c r="H29" s="907"/>
    </row>
    <row r="30" spans="1:9" ht="15" customHeight="1" x14ac:dyDescent="0.2">
      <c r="A30" s="910"/>
      <c r="B30" s="907"/>
      <c r="C30" s="467" t="str">
        <f>T!C80</f>
        <v>30 to 60%</v>
      </c>
      <c r="D30" s="132">
        <f>T!D80</f>
        <v>0</v>
      </c>
      <c r="E30" s="326">
        <v>2</v>
      </c>
      <c r="F30" s="333">
        <f>D30*E30</f>
        <v>0</v>
      </c>
      <c r="G30" s="352"/>
      <c r="H30" s="907"/>
    </row>
    <row r="31" spans="1:9" ht="15" customHeight="1" x14ac:dyDescent="0.2">
      <c r="A31" s="910"/>
      <c r="B31" s="907"/>
      <c r="C31" s="467" t="str">
        <f>T!C81</f>
        <v>60 to 90%</v>
      </c>
      <c r="D31" s="132">
        <f>T!D81</f>
        <v>0</v>
      </c>
      <c r="E31" s="326">
        <v>4</v>
      </c>
      <c r="F31" s="333">
        <f>D31*E31</f>
        <v>0</v>
      </c>
      <c r="G31" s="352"/>
      <c r="H31" s="907"/>
    </row>
    <row r="32" spans="1:9" ht="15" customHeight="1" thickBot="1" x14ac:dyDescent="0.25">
      <c r="A32" s="768"/>
      <c r="B32" s="774"/>
      <c r="C32" s="264" t="str">
        <f>T!C82</f>
        <v>&gt;90%.  SKIP to T17.</v>
      </c>
      <c r="D32" s="133">
        <f>T!D82</f>
        <v>1</v>
      </c>
      <c r="E32" s="329">
        <v>5</v>
      </c>
      <c r="F32" s="341">
        <f>D32*E32</f>
        <v>5</v>
      </c>
      <c r="G32" s="350"/>
      <c r="H32" s="774"/>
    </row>
    <row r="33" spans="1:9" ht="30" customHeight="1" thickBot="1" x14ac:dyDescent="0.25">
      <c r="A33" s="954" t="str">
        <f>T!A83</f>
        <v>T16</v>
      </c>
      <c r="B33" s="907" t="str">
        <f>T!B83</f>
        <v>Type of Cover in Buffer</v>
      </c>
      <c r="C33" s="269" t="str">
        <f>T!C83</f>
        <v>Within 100 ft upslope of the AA's wetland-upland edge, the upland cover that is NOT natural or water is mostly:</v>
      </c>
      <c r="D33" s="323"/>
      <c r="E33" s="323"/>
      <c r="F33" s="332"/>
      <c r="G33" s="320">
        <f>IF((D28=1),"",MAX(F34:F35)/MAX(E34:E35))</f>
        <v>0</v>
      </c>
      <c r="H33" s="907" t="s">
        <v>166</v>
      </c>
      <c r="I33" s="25" t="s">
        <v>650</v>
      </c>
    </row>
    <row r="34" spans="1:9" ht="15" customHeight="1" x14ac:dyDescent="0.2">
      <c r="A34" s="954"/>
      <c r="B34" s="907"/>
      <c r="C34" s="416" t="str">
        <f>T!C84</f>
        <v>impervious surface, e.g., paved road, parking lot, building, exposed rock.</v>
      </c>
      <c r="D34" s="132">
        <f>T!D84</f>
        <v>0</v>
      </c>
      <c r="E34" s="326">
        <v>0</v>
      </c>
      <c r="F34" s="333">
        <f>D34*E34</f>
        <v>0</v>
      </c>
      <c r="G34" s="351"/>
      <c r="H34" s="907"/>
    </row>
    <row r="35" spans="1:9" ht="15" customHeight="1" thickBot="1" x14ac:dyDescent="0.25">
      <c r="A35" s="954"/>
      <c r="B35" s="907"/>
      <c r="C35" s="466" t="str">
        <f>T!C85</f>
        <v>bare or semi-bare pervious surface, e.g., dirt road, dike, dunes, lawn, recent clearcut, landslide.</v>
      </c>
      <c r="D35" s="334">
        <f>T!D85</f>
        <v>0</v>
      </c>
      <c r="E35" s="425">
        <v>1</v>
      </c>
      <c r="F35" s="335">
        <f>D35*E35</f>
        <v>0</v>
      </c>
      <c r="G35" s="349"/>
      <c r="H35" s="907"/>
    </row>
    <row r="36" spans="1:9" ht="55.5" customHeight="1" thickBot="1" x14ac:dyDescent="0.25">
      <c r="A36" s="99" t="str">
        <f>T!A91</f>
        <v>T18</v>
      </c>
      <c r="B36" s="70" t="str">
        <f>T!B91</f>
        <v>Cliffs or Banks</v>
      </c>
      <c r="C36" s="313" t="str">
        <f>T!C91</f>
        <v xml:space="preserve">In the AA or within its wetland or within 100 ft of the AA, there are elevated terrestrial features such as cliffs, stream banks, excavated pits, or pumice walls (but not riprap) that extend at least 6 ft  nearly vertically, are unvegetated, and potentially contain crevices or other substrate suitable for nesting or den areas. </v>
      </c>
      <c r="D36" s="336"/>
      <c r="E36" s="337"/>
      <c r="F36" s="336"/>
      <c r="G36" s="473" t="str">
        <f>IF((T!D91=0),"",1)</f>
        <v/>
      </c>
      <c r="H36" s="70" t="s">
        <v>167</v>
      </c>
      <c r="I36" s="25" t="s">
        <v>651</v>
      </c>
    </row>
    <row r="37" spans="1:9" ht="60" customHeight="1" thickBot="1" x14ac:dyDescent="0.25">
      <c r="A37" s="99" t="str">
        <f>T!A118</f>
        <v>T24</v>
      </c>
      <c r="B37" s="70" t="str">
        <f>T!B118</f>
        <v>BMP - Wildlife Protection</v>
      </c>
      <c r="C37" s="317" t="str">
        <f>T!C118</f>
        <v xml:space="preserve">Fences, observation blinds, platforms, paved trails, exclusion periods, and/or well-enforced prohibitions on motorized boats, off-leash pets, and off road vehicles appear to effectively exclude or divert visitors and their pets from the AA at critical times in order to minimize disturbance of wildlife (except during hunting seasons).  Enter "1" if true. </v>
      </c>
      <c r="D37" s="462">
        <f>T!D118</f>
        <v>0</v>
      </c>
      <c r="E37" s="336"/>
      <c r="F37" s="463"/>
      <c r="G37" s="163">
        <f>IF((NoDisturb=0),D37,"")</f>
        <v>0</v>
      </c>
      <c r="H37" s="70" t="s">
        <v>80</v>
      </c>
      <c r="I37" s="25" t="s">
        <v>144</v>
      </c>
    </row>
    <row r="38" spans="1:9" ht="21" customHeight="1" thickBot="1" x14ac:dyDescent="0.25">
      <c r="A38" s="954" t="str">
        <f>T!A131</f>
        <v>T28</v>
      </c>
      <c r="B38" s="907" t="str">
        <f>T!B131</f>
        <v>Upland Edge Shape Complexity</v>
      </c>
      <c r="C38" s="269" t="str">
        <f>T!C131</f>
        <v>Most of the edge between the AA's wetland and upland is (select one):</v>
      </c>
      <c r="D38" s="323"/>
      <c r="E38" s="323"/>
      <c r="F38" s="332"/>
      <c r="G38" s="320">
        <f>MAX(F39:F41)/MAX(E39:E41)</f>
        <v>0.5</v>
      </c>
      <c r="H38" s="907" t="s">
        <v>164</v>
      </c>
      <c r="I38" s="25" t="s">
        <v>648</v>
      </c>
    </row>
    <row r="39" spans="1:9" ht="27" customHeight="1" x14ac:dyDescent="0.2">
      <c r="A39" s="954"/>
      <c r="B39" s="907"/>
      <c r="C39" s="416" t="str">
        <f>T!C132</f>
        <v>Linear: a significant proportion of the wetland's upland edge is straight, as in wetlands bounded partly or wholly by dikes or roads.</v>
      </c>
      <c r="D39" s="132">
        <f>T!D132</f>
        <v>0</v>
      </c>
      <c r="E39" s="326">
        <v>0</v>
      </c>
      <c r="F39" s="333">
        <f>D39*E39</f>
        <v>0</v>
      </c>
      <c r="G39" s="351"/>
      <c r="H39" s="907"/>
    </row>
    <row r="40" spans="1:9" ht="27" customHeight="1" x14ac:dyDescent="0.2">
      <c r="A40" s="954"/>
      <c r="B40" s="907"/>
      <c r="C40" s="416" t="str">
        <f>T!C133</f>
        <v>Convoluted: many times longer than maximum width of the wetland, with many alcoves and indentations ("fingers").</v>
      </c>
      <c r="D40" s="132">
        <f>T!D133</f>
        <v>0</v>
      </c>
      <c r="E40" s="326">
        <v>2</v>
      </c>
      <c r="F40" s="333">
        <f>D40*E40</f>
        <v>0</v>
      </c>
      <c r="G40" s="352"/>
      <c r="H40" s="907"/>
    </row>
    <row r="41" spans="1:9" ht="27" customHeight="1" thickBot="1" x14ac:dyDescent="0.25">
      <c r="A41" s="954"/>
      <c r="B41" s="907"/>
      <c r="C41" s="416" t="str">
        <f>T!C134</f>
        <v>Intermediate: either (a) only mildly convoluted, or (b) mixed -- contains about lengths of linear and convoluted segments.</v>
      </c>
      <c r="D41" s="334">
        <f>T!D134</f>
        <v>1</v>
      </c>
      <c r="E41" s="425">
        <v>1</v>
      </c>
      <c r="F41" s="335">
        <f>D41*E41</f>
        <v>1</v>
      </c>
      <c r="G41" s="349"/>
      <c r="H41" s="907"/>
    </row>
    <row r="42" spans="1:9" ht="21" customHeight="1" thickBot="1" x14ac:dyDescent="0.25">
      <c r="A42" s="909" t="str">
        <f>T!A140</f>
        <v>T31</v>
      </c>
      <c r="B42" s="908" t="str">
        <f>T!B140</f>
        <v>Vegetation Connectivity to Non-tidal Pond</v>
      </c>
      <c r="C42" s="317" t="str">
        <f>T!C140</f>
        <v>On a direct overland route between the AA and the feature described in T29, there is (select ONE):</v>
      </c>
      <c r="D42" s="338"/>
      <c r="E42" s="338"/>
      <c r="F42" s="339"/>
      <c r="G42" s="163">
        <f>IF((NearPond=1),"", MAX(F43:F46)/MAX(E43:E46))</f>
        <v>0</v>
      </c>
      <c r="H42" s="723" t="s">
        <v>6</v>
      </c>
      <c r="I42" s="25" t="s">
        <v>353</v>
      </c>
    </row>
    <row r="43" spans="1:9" ht="15" customHeight="1" x14ac:dyDescent="0.2">
      <c r="A43" s="910"/>
      <c r="B43" s="907"/>
      <c r="C43" s="207" t="str">
        <f>T!C141</f>
        <v>mostly water, pavement, rock, glacier, or other unvegetated surfaces.</v>
      </c>
      <c r="D43" s="131">
        <f>T!D141</f>
        <v>0</v>
      </c>
      <c r="E43" s="326">
        <v>0</v>
      </c>
      <c r="F43" s="333">
        <f>D43*E43</f>
        <v>0</v>
      </c>
      <c r="G43" s="352"/>
      <c r="H43" s="730"/>
    </row>
    <row r="44" spans="1:9" ht="24.75" customHeight="1" x14ac:dyDescent="0.2">
      <c r="A44" s="910"/>
      <c r="B44" s="907"/>
      <c r="C44" s="311" t="str">
        <f>T!C142</f>
        <v>mostly natural vegetation, uninterrupted by water, pavement, rock, ice, or other unvegetated feature.</v>
      </c>
      <c r="D44" s="131">
        <f>T!D142</f>
        <v>0</v>
      </c>
      <c r="E44" s="326">
        <v>3</v>
      </c>
      <c r="F44" s="333">
        <f>D44*E44</f>
        <v>0</v>
      </c>
      <c r="G44" s="352"/>
      <c r="H44" s="730"/>
    </row>
    <row r="45" spans="1:9" ht="25.5" customHeight="1" x14ac:dyDescent="0.2">
      <c r="A45" s="910"/>
      <c r="B45" s="907"/>
      <c r="C45" s="311" t="str">
        <f>T!C143</f>
        <v>mostly natural vegetation, but interrupted by water, pavement, rock, ice, or other unvegetated feature.</v>
      </c>
      <c r="D45" s="131">
        <f>T!D143</f>
        <v>0</v>
      </c>
      <c r="E45" s="326">
        <v>2</v>
      </c>
      <c r="F45" s="333">
        <f>D45*E45</f>
        <v>0</v>
      </c>
      <c r="G45" s="352"/>
      <c r="H45" s="730"/>
    </row>
    <row r="46" spans="1:9" ht="15" customHeight="1" thickBot="1" x14ac:dyDescent="0.25">
      <c r="A46" s="768"/>
      <c r="B46" s="774"/>
      <c r="C46" s="318" t="str">
        <f>T!C144</f>
        <v>mostly non-natural vegetation (lawn, landscaping, or invasive plants).</v>
      </c>
      <c r="D46" s="328">
        <f>T!D144</f>
        <v>0</v>
      </c>
      <c r="E46" s="329">
        <v>1</v>
      </c>
      <c r="F46" s="341">
        <f>D46*E46</f>
        <v>0</v>
      </c>
      <c r="G46" s="350"/>
      <c r="H46" s="731"/>
    </row>
    <row r="47" spans="1:9" ht="21" customHeight="1" thickBot="1" x14ac:dyDescent="0.25">
      <c r="A47" s="890" t="str">
        <f>OF!A4</f>
        <v>OF1</v>
      </c>
      <c r="B47" s="907" t="str">
        <f>OF!B4</f>
        <v>Geography</v>
      </c>
      <c r="C47" s="269" t="str">
        <f>OF!C4</f>
        <v>Enter 1 for ALL that are true.  The AA is located:</v>
      </c>
      <c r="D47" s="323"/>
      <c r="E47" s="323"/>
      <c r="F47" s="332"/>
      <c r="G47" s="320">
        <f>MAX(F48:F50)/MAX(E48:E50)</f>
        <v>0.66666666666666663</v>
      </c>
      <c r="H47" s="907" t="s">
        <v>169</v>
      </c>
      <c r="I47" s="25" t="s">
        <v>680</v>
      </c>
    </row>
    <row r="48" spans="1:9" ht="15" customHeight="1" x14ac:dyDescent="0.2">
      <c r="A48" s="890"/>
      <c r="B48" s="907"/>
      <c r="C48" s="416" t="str">
        <f>OF!C5</f>
        <v>in the Stikine, Alsek, Taiya-Chilkat-Skagway, or Taku deltas or estuaries</v>
      </c>
      <c r="D48" s="131">
        <f>OF!D5</f>
        <v>0</v>
      </c>
      <c r="E48" s="326">
        <v>3</v>
      </c>
      <c r="F48" s="333">
        <f>D48*E48</f>
        <v>0</v>
      </c>
      <c r="G48" s="351"/>
      <c r="H48" s="907"/>
    </row>
    <row r="49" spans="1:9" ht="15" customHeight="1" x14ac:dyDescent="0.2">
      <c r="A49" s="890"/>
      <c r="B49" s="907"/>
      <c r="C49" s="467" t="str">
        <f>OF!C6</f>
        <v>in another mainland area or inner coast</v>
      </c>
      <c r="D49" s="131">
        <f>OF!D6</f>
        <v>1</v>
      </c>
      <c r="E49" s="326">
        <v>2</v>
      </c>
      <c r="F49" s="333">
        <f>D49*E49</f>
        <v>2</v>
      </c>
      <c r="G49" s="352"/>
      <c r="H49" s="907"/>
    </row>
    <row r="50" spans="1:9" ht="15" customHeight="1" thickBot="1" x14ac:dyDescent="0.25">
      <c r="A50" s="890"/>
      <c r="B50" s="907"/>
      <c r="C50" s="466" t="str">
        <f>OF!C7</f>
        <v>on or close to the outer coast</v>
      </c>
      <c r="D50" s="325">
        <f>OF!D7</f>
        <v>0</v>
      </c>
      <c r="E50" s="425">
        <v>1</v>
      </c>
      <c r="F50" s="335">
        <f>D50*E50</f>
        <v>0</v>
      </c>
      <c r="G50" s="349"/>
      <c r="H50" s="907"/>
    </row>
    <row r="51" spans="1:9" ht="21" customHeight="1" thickBot="1" x14ac:dyDescent="0.25">
      <c r="A51" s="909" t="str">
        <f>OF!A8</f>
        <v>OF2</v>
      </c>
      <c r="B51" s="908" t="str">
        <f>OF!B8</f>
        <v>Geomorphic Setting</v>
      </c>
      <c r="C51" s="317" t="str">
        <f>OF!C8</f>
        <v>As viewed at a coarse (e.g., 1:24000) scale, the AA is (select one):</v>
      </c>
      <c r="D51" s="338"/>
      <c r="E51" s="338"/>
      <c r="F51" s="340"/>
      <c r="G51" s="163">
        <f>IF((D56=1),"",MAX(F52:F55)/MAX(E52:E55))</f>
        <v>0.75</v>
      </c>
      <c r="H51" s="908" t="s">
        <v>170</v>
      </c>
      <c r="I51" s="25" t="s">
        <v>681</v>
      </c>
    </row>
    <row r="52" spans="1:9" ht="27" customHeight="1" x14ac:dyDescent="0.2">
      <c r="A52" s="910"/>
      <c r="B52" s="907"/>
      <c r="C52" s="416" t="str">
        <f>OF!C9</f>
        <v>Adjoined by a major* river, and is closer to the upriver head-of-tide than to marine bays or ocean; if known, the water salinity is &lt;5 ppt at low tide nearly all the year.</v>
      </c>
      <c r="D52" s="131">
        <f>OF!D9</f>
        <v>0</v>
      </c>
      <c r="E52" s="326">
        <v>4</v>
      </c>
      <c r="F52" s="333">
        <f>D52*E52</f>
        <v>0</v>
      </c>
      <c r="G52" s="351"/>
      <c r="H52" s="907"/>
    </row>
    <row r="53" spans="1:9" ht="27" customHeight="1" x14ac:dyDescent="0.2">
      <c r="A53" s="910"/>
      <c r="B53" s="907"/>
      <c r="C53" s="467" t="str">
        <f>OF!C10</f>
        <v>Adjoined by a major* river, and is closer to marine bays or ocean than to upriver head-of-tide; may be in a river delta; if known, the water salinity is &gt;5 ppt at low tide nearly all the year.</v>
      </c>
      <c r="D53" s="131">
        <f>OF!D10</f>
        <v>1</v>
      </c>
      <c r="E53" s="326">
        <v>3</v>
      </c>
      <c r="F53" s="333">
        <f>D53*E53</f>
        <v>3</v>
      </c>
      <c r="G53" s="352"/>
      <c r="H53" s="907"/>
    </row>
    <row r="54" spans="1:9" ht="39" customHeight="1" x14ac:dyDescent="0.2">
      <c r="A54" s="910"/>
      <c r="B54" s="907"/>
      <c r="C54" s="467" t="str">
        <f>OF!C11</f>
        <v xml:space="preserve">In a sheltered fish-accessible lagoon, embayment, pocket beach, or tidal slough with a relatively narrow connection to other marine waters and no direct river inputs (a small tributary may be present). </v>
      </c>
      <c r="D54" s="131">
        <f>OF!D11</f>
        <v>0</v>
      </c>
      <c r="E54" s="326">
        <v>2</v>
      </c>
      <c r="F54" s="333">
        <f>D54*E54</f>
        <v>0</v>
      </c>
      <c r="G54" s="352"/>
      <c r="H54" s="907"/>
    </row>
    <row r="55" spans="1:9" ht="15" customHeight="1" x14ac:dyDescent="0.2">
      <c r="A55" s="910"/>
      <c r="B55" s="907"/>
      <c r="C55" s="467" t="str">
        <f>OF!C12</f>
        <v>On a marine fjord, canal, or strait with no major river adjoining the AA itself.</v>
      </c>
      <c r="D55" s="131">
        <f>OF!D12</f>
        <v>0</v>
      </c>
      <c r="E55" s="326">
        <v>1</v>
      </c>
      <c r="F55" s="333">
        <f>D55*E55</f>
        <v>0</v>
      </c>
      <c r="G55" s="352"/>
      <c r="H55" s="907"/>
    </row>
    <row r="56" spans="1:9" ht="15" customHeight="1" thickBot="1" x14ac:dyDescent="0.25">
      <c r="A56" s="768"/>
      <c r="B56" s="774"/>
      <c r="C56" s="264" t="str">
        <f>OF!C13</f>
        <v>Other setting</v>
      </c>
      <c r="D56" s="328">
        <f>OF!D13</f>
        <v>0</v>
      </c>
      <c r="E56" s="329"/>
      <c r="F56" s="341"/>
      <c r="G56" s="350"/>
      <c r="H56" s="774"/>
    </row>
    <row r="57" spans="1:9" ht="28.5" customHeight="1" thickBot="1" x14ac:dyDescent="0.25">
      <c r="A57" s="890" t="str">
        <f>OF!A14</f>
        <v>OF3</v>
      </c>
      <c r="B57" s="907" t="str">
        <f>OF!B14</f>
        <v>Distance to Nearest Population Center</v>
      </c>
      <c r="C57" s="269" t="str">
        <f>OF!C14</f>
        <v>From the center of the AA, the distance to the nearest population center, via the nearest maintained road, is:</v>
      </c>
      <c r="D57" s="323"/>
      <c r="E57" s="323"/>
      <c r="F57" s="332"/>
      <c r="G57" s="320">
        <f>MAX(F58:F62)/MAX(E58:E62)</f>
        <v>0.5</v>
      </c>
      <c r="H57" s="907" t="s">
        <v>168</v>
      </c>
      <c r="I57" s="25" t="s">
        <v>683</v>
      </c>
    </row>
    <row r="58" spans="1:9" ht="15" customHeight="1" x14ac:dyDescent="0.2">
      <c r="A58" s="890"/>
      <c r="B58" s="907"/>
      <c r="C58" s="414" t="str">
        <f>OF!C15</f>
        <v>&lt;0.5 mile</v>
      </c>
      <c r="D58" s="131">
        <f>OF!D22</f>
        <v>0</v>
      </c>
      <c r="E58" s="326">
        <v>1</v>
      </c>
      <c r="F58" s="333">
        <f>D58*E58</f>
        <v>0</v>
      </c>
      <c r="G58" s="351"/>
      <c r="H58" s="907"/>
    </row>
    <row r="59" spans="1:9" ht="15" customHeight="1" x14ac:dyDescent="0.2">
      <c r="A59" s="890"/>
      <c r="B59" s="907"/>
      <c r="C59" s="466" t="str">
        <f>OF!C16</f>
        <v>0.5 - 2 miles</v>
      </c>
      <c r="D59" s="131">
        <f>OF!D23</f>
        <v>1</v>
      </c>
      <c r="E59" s="326">
        <v>3</v>
      </c>
      <c r="F59" s="333">
        <f>D59*E59</f>
        <v>3</v>
      </c>
      <c r="G59" s="352"/>
      <c r="H59" s="907"/>
    </row>
    <row r="60" spans="1:9" ht="15" customHeight="1" x14ac:dyDescent="0.2">
      <c r="A60" s="890"/>
      <c r="B60" s="907"/>
      <c r="C60" s="466" t="str">
        <f>OF!C17</f>
        <v>2-5 miles</v>
      </c>
      <c r="D60" s="131">
        <f>OF!D24</f>
        <v>0</v>
      </c>
      <c r="E60" s="326">
        <v>4</v>
      </c>
      <c r="F60" s="333">
        <f>D60*E60</f>
        <v>0</v>
      </c>
      <c r="G60" s="352"/>
      <c r="H60" s="907"/>
    </row>
    <row r="61" spans="1:9" ht="15" customHeight="1" x14ac:dyDescent="0.2">
      <c r="A61" s="890"/>
      <c r="B61" s="907"/>
      <c r="C61" s="466" t="str">
        <f>OF!C18</f>
        <v>5-10 miles</v>
      </c>
      <c r="D61" s="131">
        <f>OF!D25</f>
        <v>0</v>
      </c>
      <c r="E61" s="326">
        <v>5</v>
      </c>
      <c r="F61" s="333">
        <f>D61*E61</f>
        <v>0</v>
      </c>
      <c r="G61" s="352"/>
      <c r="H61" s="907"/>
    </row>
    <row r="62" spans="1:9" ht="15" customHeight="1" thickBot="1" x14ac:dyDescent="0.25">
      <c r="A62" s="890"/>
      <c r="B62" s="907"/>
      <c r="C62" s="466" t="str">
        <f>OF!C19</f>
        <v>&gt;10 miles</v>
      </c>
      <c r="D62" s="325">
        <f>OF!D26</f>
        <v>0</v>
      </c>
      <c r="E62" s="425">
        <v>6</v>
      </c>
      <c r="F62" s="335">
        <f>D62*E62</f>
        <v>0</v>
      </c>
      <c r="G62" s="349"/>
      <c r="H62" s="907"/>
    </row>
    <row r="63" spans="1:9" ht="60" customHeight="1" thickBot="1" x14ac:dyDescent="0.25">
      <c r="A63" s="99" t="str">
        <f>OF!A20</f>
        <v>OF4</v>
      </c>
      <c r="B63" s="70" t="str">
        <f>OF!B20</f>
        <v>Wildlife Access</v>
      </c>
      <c r="C63" s="313" t="str">
        <f>OF!C20</f>
        <v>Draw a circle of radius of 0.5 mile from the center of the AA.  If mammals and amphibians can move from the center of the AA to all other separate wetlands located within the circle without being forced to cross maintained roads (any width), lawns, bare ground, marine waters, and/or steep (&gt;30%) slopes, mark 1= yes can move, or 0= no.</v>
      </c>
      <c r="D63" s="464">
        <f>OF!D20</f>
        <v>0</v>
      </c>
      <c r="E63" s="337"/>
      <c r="F63" s="463"/>
      <c r="G63" s="163">
        <f>D63</f>
        <v>0</v>
      </c>
      <c r="H63" s="70" t="s">
        <v>891</v>
      </c>
      <c r="I63" s="25" t="s">
        <v>652</v>
      </c>
    </row>
    <row r="64" spans="1:9" ht="30" customHeight="1" thickBot="1" x14ac:dyDescent="0.25">
      <c r="A64" s="954" t="str">
        <f>OF!A28</f>
        <v>OF6</v>
      </c>
      <c r="B64" s="907" t="str">
        <f>OF!B28</f>
        <v>Distance to Natural Land Cover</v>
      </c>
      <c r="C64" s="269" t="str">
        <f>OF!C28</f>
        <v>The minimum distance from the AA edge to the edge of the closest tract or corridor of natural (not necessarily native) land cover larger than 100 acres, is:</v>
      </c>
      <c r="D64" s="323"/>
      <c r="E64" s="323"/>
      <c r="F64" s="332"/>
      <c r="G64" s="320">
        <f>MAX(F65:F69)/MAX(E65:E69)</f>
        <v>1</v>
      </c>
      <c r="H64" s="907" t="s">
        <v>171</v>
      </c>
      <c r="I64" s="25" t="s">
        <v>653</v>
      </c>
    </row>
    <row r="65" spans="1:9" ht="42" customHeight="1" x14ac:dyDescent="0.2">
      <c r="A65" s="954"/>
      <c r="B65" s="907"/>
      <c r="C65" s="416" t="str">
        <f>OF!C29</f>
        <v>&lt;150 ft, or &gt;100 acres of natural land cover is connected to the AA (not separated by roads, stretches of open water, bare ground, lawn, or impervious surface of any width), or the AA contains &gt;100 acres of vegetation.</v>
      </c>
      <c r="D65" s="131">
        <f>OF!D29</f>
        <v>1</v>
      </c>
      <c r="E65" s="326">
        <v>4</v>
      </c>
      <c r="F65" s="333">
        <f>D65*E65</f>
        <v>4</v>
      </c>
      <c r="G65" s="351"/>
      <c r="H65" s="907"/>
    </row>
    <row r="66" spans="1:9" ht="39" customHeight="1" x14ac:dyDescent="0.2">
      <c r="A66" s="954"/>
      <c r="B66" s="907"/>
      <c r="C66" s="467" t="str">
        <f>OF!C30</f>
        <v>&lt;150 ft, but separated from the 100-acre natural land patch by roads, stretches of open water, bare ground, lawn, or impervious surface of any width, and the AA does not contain &gt;100 acres of vegetation.</v>
      </c>
      <c r="D66" s="131">
        <f>OF!D30</f>
        <v>0</v>
      </c>
      <c r="E66" s="326">
        <v>3</v>
      </c>
      <c r="F66" s="333">
        <f>D66*E66</f>
        <v>0</v>
      </c>
      <c r="G66" s="352"/>
      <c r="H66" s="907"/>
    </row>
    <row r="67" spans="1:9" ht="15" customHeight="1" x14ac:dyDescent="0.2">
      <c r="A67" s="954"/>
      <c r="B67" s="907"/>
      <c r="C67" s="467" t="str">
        <f>OF!C31</f>
        <v>150-300 ft, with or without interrupting features</v>
      </c>
      <c r="D67" s="131">
        <f>OF!D31</f>
        <v>0</v>
      </c>
      <c r="E67" s="326">
        <v>2</v>
      </c>
      <c r="F67" s="333">
        <f>D67*E67</f>
        <v>0</v>
      </c>
      <c r="G67" s="352"/>
      <c r="H67" s="907"/>
    </row>
    <row r="68" spans="1:9" ht="15" customHeight="1" x14ac:dyDescent="0.2">
      <c r="A68" s="954"/>
      <c r="B68" s="907"/>
      <c r="C68" s="467" t="str">
        <f>OF!C32</f>
        <v>300-1000 ft, with or without interrupting features</v>
      </c>
      <c r="D68" s="131">
        <f>OF!D32</f>
        <v>0</v>
      </c>
      <c r="E68" s="326">
        <v>1</v>
      </c>
      <c r="F68" s="333">
        <f>D68*E68</f>
        <v>0</v>
      </c>
      <c r="G68" s="352"/>
      <c r="H68" s="907"/>
    </row>
    <row r="69" spans="1:9" ht="15" customHeight="1" thickBot="1" x14ac:dyDescent="0.25">
      <c r="A69" s="954"/>
      <c r="B69" s="907"/>
      <c r="C69" s="466" t="str">
        <f>OF!C33</f>
        <v>none of the above</v>
      </c>
      <c r="D69" s="325">
        <f>OF!D33</f>
        <v>0</v>
      </c>
      <c r="E69" s="425">
        <v>0</v>
      </c>
      <c r="F69" s="335">
        <f>D69*E69</f>
        <v>0</v>
      </c>
      <c r="G69" s="349"/>
      <c r="H69" s="907"/>
    </row>
    <row r="70" spans="1:9" ht="30" customHeight="1" thickBot="1" x14ac:dyDescent="0.25">
      <c r="A70" s="909" t="str">
        <f>OF!A34</f>
        <v>OF7</v>
      </c>
      <c r="B70" s="908" t="str">
        <f>OF!B34</f>
        <v>Natural Cover Extent</v>
      </c>
      <c r="C70" s="317" t="str">
        <f>OF!C34</f>
        <v>Within a 2-mile radius measured from the center of the AA, the percent of the land that has natural land cover (see definition on right) is:</v>
      </c>
      <c r="D70" s="338"/>
      <c r="E70" s="338"/>
      <c r="F70" s="340"/>
      <c r="G70" s="163">
        <f>MAX(F71:F75)/MAX(E71:E75)</f>
        <v>1</v>
      </c>
      <c r="H70" s="908" t="s">
        <v>7</v>
      </c>
      <c r="I70" s="25" t="s">
        <v>654</v>
      </c>
    </row>
    <row r="71" spans="1:9" ht="15" customHeight="1" x14ac:dyDescent="0.2">
      <c r="A71" s="910"/>
      <c r="B71" s="907"/>
      <c r="C71" s="416" t="str">
        <f>OF!C35</f>
        <v>&lt;5% of the land (excluding ocean and bay)</v>
      </c>
      <c r="D71" s="131">
        <f>OF!D35</f>
        <v>0</v>
      </c>
      <c r="E71" s="326">
        <v>0</v>
      </c>
      <c r="F71" s="333">
        <f>D71*E71</f>
        <v>0</v>
      </c>
      <c r="G71" s="351"/>
      <c r="H71" s="907"/>
    </row>
    <row r="72" spans="1:9" ht="15" customHeight="1" x14ac:dyDescent="0.2">
      <c r="A72" s="910"/>
      <c r="B72" s="907"/>
      <c r="C72" s="467" t="str">
        <f>OF!C36</f>
        <v>5 to 20% of the land</v>
      </c>
      <c r="D72" s="131">
        <f>OF!D36</f>
        <v>0</v>
      </c>
      <c r="E72" s="326">
        <v>1</v>
      </c>
      <c r="F72" s="333">
        <f>D72*E72</f>
        <v>0</v>
      </c>
      <c r="G72" s="352"/>
      <c r="H72" s="907"/>
    </row>
    <row r="73" spans="1:9" ht="15" customHeight="1" x14ac:dyDescent="0.2">
      <c r="A73" s="910"/>
      <c r="B73" s="907"/>
      <c r="C73" s="467" t="str">
        <f>OF!C37</f>
        <v>20 to 60% of the land</v>
      </c>
      <c r="D73" s="131">
        <f>OF!D37</f>
        <v>0</v>
      </c>
      <c r="E73" s="326">
        <v>2</v>
      </c>
      <c r="F73" s="333">
        <f>D73*E73</f>
        <v>0</v>
      </c>
      <c r="G73" s="352"/>
      <c r="H73" s="907"/>
    </row>
    <row r="74" spans="1:9" ht="15" customHeight="1" x14ac:dyDescent="0.2">
      <c r="A74" s="910"/>
      <c r="B74" s="907"/>
      <c r="C74" s="467" t="str">
        <f>OF!C38</f>
        <v>60 to 90% of the land</v>
      </c>
      <c r="D74" s="131">
        <f>OF!D38</f>
        <v>0</v>
      </c>
      <c r="E74" s="326">
        <v>4</v>
      </c>
      <c r="F74" s="333">
        <f>D74*E74</f>
        <v>0</v>
      </c>
      <c r="G74" s="352"/>
      <c r="H74" s="907"/>
    </row>
    <row r="75" spans="1:9" ht="15" customHeight="1" thickBot="1" x14ac:dyDescent="0.25">
      <c r="A75" s="768"/>
      <c r="B75" s="774"/>
      <c r="C75" s="264" t="str">
        <f>OF!C39</f>
        <v>&gt;90% of the land.  SKIP to OF9.</v>
      </c>
      <c r="D75" s="328">
        <f>OF!D39</f>
        <v>1</v>
      </c>
      <c r="E75" s="329">
        <v>6</v>
      </c>
      <c r="F75" s="341">
        <f>D75*E75</f>
        <v>6</v>
      </c>
      <c r="G75" s="350"/>
      <c r="H75" s="774"/>
    </row>
    <row r="76" spans="1:9" ht="30" customHeight="1" thickBot="1" x14ac:dyDescent="0.25">
      <c r="A76" s="954" t="str">
        <f>OF!A40</f>
        <v>OF8</v>
      </c>
      <c r="B76" s="907" t="str">
        <f>OF!B40</f>
        <v>Type of Cover Alteration</v>
      </c>
      <c r="C76" s="269" t="str">
        <f>OF!C40</f>
        <v>Within a 2-mile radius measured from the center of the AA, the area that is not "natural cover" or water is mostly:</v>
      </c>
      <c r="D76" s="323"/>
      <c r="E76" s="323"/>
      <c r="F76" s="332"/>
      <c r="G76" s="320" t="str">
        <f>IF((D75=1),"",MAX(F77:F78)/MAX(E77:E78))</f>
        <v/>
      </c>
      <c r="H76" s="907" t="s">
        <v>8</v>
      </c>
      <c r="I76" s="25" t="s">
        <v>655</v>
      </c>
    </row>
    <row r="77" spans="1:9" ht="15" customHeight="1" x14ac:dyDescent="0.2">
      <c r="A77" s="954"/>
      <c r="B77" s="907"/>
      <c r="C77" s="416" t="str">
        <f>OF!C41</f>
        <v>impervious surface, e.g., paved road, parking lot, building, exposed rock.</v>
      </c>
      <c r="D77" s="131">
        <f>OF!D41</f>
        <v>0</v>
      </c>
      <c r="E77" s="326">
        <v>0</v>
      </c>
      <c r="F77" s="333">
        <f>D77*E77</f>
        <v>0</v>
      </c>
      <c r="G77" s="351"/>
      <c r="H77" s="907"/>
    </row>
    <row r="78" spans="1:9" ht="32.25" customHeight="1" thickBot="1" x14ac:dyDescent="0.25">
      <c r="A78" s="954"/>
      <c r="B78" s="907"/>
      <c r="C78" s="466" t="str">
        <f>OF!C42</f>
        <v>bare or semi-bare pervious surface, e.g., recent clearcut, dirt or gravel road, lawn, plowed fields, landslide.</v>
      </c>
      <c r="D78" s="325">
        <f>OF!D42</f>
        <v>0</v>
      </c>
      <c r="E78" s="425">
        <v>1</v>
      </c>
      <c r="F78" s="335">
        <f>D78*E78</f>
        <v>0</v>
      </c>
      <c r="G78" s="349"/>
      <c r="H78" s="907"/>
    </row>
    <row r="79" spans="1:9" ht="53.25" customHeight="1" thickBot="1" x14ac:dyDescent="0.25">
      <c r="A79" s="891" t="str">
        <f>OF!A43</f>
        <v>OF9</v>
      </c>
      <c r="B79" s="908" t="str">
        <f>OF!B43</f>
        <v>Size of Largest Nearby Tract or Corridor of Natural Land Cover</v>
      </c>
      <c r="C79" s="317" t="str">
        <f>OF!C43</f>
        <v>The largest patch or corridor that is natural land cover and is contiguous with vegetation in the AA (i.e., not separated by roads or channels that create gaps wider than 150 ft), and includes the AA's vegetated area itself, occupies:</v>
      </c>
      <c r="D79" s="338"/>
      <c r="E79" s="338"/>
      <c r="F79" s="340"/>
      <c r="G79" s="163">
        <f>MAX(F80:F84)/MAX(E80:E84)</f>
        <v>1</v>
      </c>
      <c r="H79" s="908" t="s">
        <v>9</v>
      </c>
      <c r="I79" s="25" t="s">
        <v>656</v>
      </c>
    </row>
    <row r="80" spans="1:9" ht="15" customHeight="1" x14ac:dyDescent="0.2">
      <c r="A80" s="892"/>
      <c r="B80" s="907"/>
      <c r="C80" s="416" t="str">
        <f>OF!C44</f>
        <v>&lt;1 acre, or larger but with average width &lt;150 ft</v>
      </c>
      <c r="D80" s="131">
        <f>OF!D44</f>
        <v>0</v>
      </c>
      <c r="E80" s="326">
        <v>0</v>
      </c>
      <c r="F80" s="333">
        <f>D80*E80</f>
        <v>0</v>
      </c>
      <c r="G80" s="351"/>
      <c r="H80" s="907"/>
    </row>
    <row r="81" spans="1:9" ht="15" customHeight="1" x14ac:dyDescent="0.2">
      <c r="A81" s="892"/>
      <c r="B81" s="907"/>
      <c r="C81" s="467" t="str">
        <f>OF!C45</f>
        <v>1-10 acres</v>
      </c>
      <c r="D81" s="131">
        <f>OF!D45</f>
        <v>0</v>
      </c>
      <c r="E81" s="326">
        <v>1</v>
      </c>
      <c r="F81" s="333">
        <f>D81*E81</f>
        <v>0</v>
      </c>
      <c r="G81" s="352"/>
      <c r="H81" s="907"/>
    </row>
    <row r="82" spans="1:9" ht="15" customHeight="1" x14ac:dyDescent="0.2">
      <c r="A82" s="892"/>
      <c r="B82" s="907"/>
      <c r="C82" s="467" t="str">
        <f>OF!C46</f>
        <v>10-100 acres</v>
      </c>
      <c r="D82" s="131">
        <f>OF!D46</f>
        <v>0</v>
      </c>
      <c r="E82" s="326">
        <v>3</v>
      </c>
      <c r="F82" s="333">
        <f>D82*E82</f>
        <v>0</v>
      </c>
      <c r="G82" s="352"/>
      <c r="H82" s="907"/>
    </row>
    <row r="83" spans="1:9" ht="15" customHeight="1" x14ac:dyDescent="0.2">
      <c r="A83" s="892"/>
      <c r="B83" s="907"/>
      <c r="C83" s="467" t="str">
        <f>OF!C47</f>
        <v>100-1000 acres</v>
      </c>
      <c r="D83" s="131">
        <f>OF!D47</f>
        <v>0</v>
      </c>
      <c r="E83" s="326">
        <v>4</v>
      </c>
      <c r="F83" s="333">
        <f>D83*E83</f>
        <v>0</v>
      </c>
      <c r="G83" s="352"/>
      <c r="H83" s="907"/>
    </row>
    <row r="84" spans="1:9" ht="15" customHeight="1" thickBot="1" x14ac:dyDescent="0.25">
      <c r="A84" s="893"/>
      <c r="B84" s="774"/>
      <c r="C84" s="264" t="str">
        <f>OF!C48</f>
        <v>&gt;1000 acres</v>
      </c>
      <c r="D84" s="328">
        <f>OF!D48</f>
        <v>1</v>
      </c>
      <c r="E84" s="329">
        <v>5</v>
      </c>
      <c r="F84" s="341">
        <f>D84*E84</f>
        <v>5</v>
      </c>
      <c r="G84" s="350"/>
      <c r="H84" s="774"/>
    </row>
    <row r="85" spans="1:9" ht="21" customHeight="1" thickBot="1" x14ac:dyDescent="0.25">
      <c r="A85" s="890" t="str">
        <f>OF!A68</f>
        <v>OF13</v>
      </c>
      <c r="B85" s="907" t="str">
        <f>OF!B68</f>
        <v>Biological Wave Exposure</v>
      </c>
      <c r="C85" s="269" t="str">
        <f>OF!C68</f>
        <v>The Biological Wave Exposure of most of the AA is shown as: (see directions in column E)</v>
      </c>
      <c r="D85" s="323"/>
      <c r="E85" s="323"/>
      <c r="F85" s="332"/>
      <c r="G85" s="320">
        <f>MAX(F86:F89)/MAX(E86:E89)</f>
        <v>0</v>
      </c>
      <c r="H85" s="907" t="s">
        <v>170</v>
      </c>
      <c r="I85" s="25" t="s">
        <v>657</v>
      </c>
    </row>
    <row r="86" spans="1:9" ht="15" customHeight="1" x14ac:dyDescent="0.2">
      <c r="A86" s="890"/>
      <c r="B86" s="907"/>
      <c r="C86" s="416" t="str">
        <f>OF!C69</f>
        <v xml:space="preserve">very protected </v>
      </c>
      <c r="D86" s="131">
        <f>OF!D69</f>
        <v>0</v>
      </c>
      <c r="E86" s="326">
        <v>4</v>
      </c>
      <c r="F86" s="333">
        <f>D86*E86</f>
        <v>0</v>
      </c>
      <c r="G86" s="351"/>
      <c r="H86" s="907"/>
    </row>
    <row r="87" spans="1:9" ht="15" customHeight="1" x14ac:dyDescent="0.2">
      <c r="A87" s="890"/>
      <c r="B87" s="907"/>
      <c r="C87" s="467" t="str">
        <f>OF!C71</f>
        <v>semi-protected</v>
      </c>
      <c r="D87" s="131">
        <f>OF!D71</f>
        <v>0</v>
      </c>
      <c r="E87" s="326">
        <v>3</v>
      </c>
      <c r="F87" s="333">
        <f>D87*E87</f>
        <v>0</v>
      </c>
      <c r="G87" s="352"/>
      <c r="H87" s="907"/>
    </row>
    <row r="88" spans="1:9" ht="15" customHeight="1" x14ac:dyDescent="0.2">
      <c r="A88" s="890"/>
      <c r="B88" s="907"/>
      <c r="C88" s="467" t="str">
        <f>OF!C72</f>
        <v>semi-exposed</v>
      </c>
      <c r="D88" s="131">
        <f>OF!D72</f>
        <v>0</v>
      </c>
      <c r="E88" s="326">
        <v>2</v>
      </c>
      <c r="F88" s="333">
        <f>D88*E88</f>
        <v>0</v>
      </c>
      <c r="G88" s="352"/>
      <c r="H88" s="907"/>
    </row>
    <row r="89" spans="1:9" ht="15" customHeight="1" thickBot="1" x14ac:dyDescent="0.25">
      <c r="A89" s="890"/>
      <c r="B89" s="907"/>
      <c r="C89" s="466" t="str">
        <f>OF!C73</f>
        <v>exposed or very exposed</v>
      </c>
      <c r="D89" s="325">
        <f>OF!D74</f>
        <v>0</v>
      </c>
      <c r="E89" s="425">
        <v>1</v>
      </c>
      <c r="F89" s="335">
        <f>D89*E89</f>
        <v>0</v>
      </c>
      <c r="G89" s="349"/>
      <c r="H89" s="907"/>
    </row>
    <row r="90" spans="1:9" ht="45" customHeight="1" thickBot="1" x14ac:dyDescent="0.25">
      <c r="A90" s="99" t="str">
        <f>OF!A90</f>
        <v>OF17</v>
      </c>
      <c r="B90" s="70" t="str">
        <f>OF!B90</f>
        <v>Input Tributary</v>
      </c>
      <c r="C90" s="317" t="str">
        <f>OF!C90</f>
        <v xml:space="preserve">The AA is intersected by a freshwater stream (tributary) that flows during most of the growing season and originates in the upland directly adjoining this wetland. Or the AA is a fringe wetland along a river.  If yes, enter 1 and continue.  If no, enter 0 and SKIP to OF19.  </v>
      </c>
      <c r="D90" s="337"/>
      <c r="E90" s="337"/>
      <c r="F90" s="336"/>
      <c r="G90" s="163">
        <f>OF!D90</f>
        <v>1</v>
      </c>
      <c r="H90" s="70" t="s">
        <v>173</v>
      </c>
      <c r="I90" s="25" t="s">
        <v>678</v>
      </c>
    </row>
    <row r="91" spans="1:9" ht="30" customHeight="1" thickBot="1" x14ac:dyDescent="0.25">
      <c r="A91" s="99" t="str">
        <f>OF!A108</f>
        <v>OF21</v>
      </c>
      <c r="B91" s="70" t="str">
        <f>OF!B108</f>
        <v>Bear Habitat Suitability</v>
      </c>
      <c r="C91" s="263" t="str">
        <f>OF!C108</f>
        <v xml:space="preserve">From the online Wetlands Module&gt; Habitat&gt; Bear Summer Habitat, the suitability surrounding the AA is: 3=Very High, 2= High, 1= Moderate, 0= all other.  </v>
      </c>
      <c r="D91" s="337"/>
      <c r="E91" s="337"/>
      <c r="F91" s="336"/>
      <c r="G91" s="163">
        <f>OF!D108/3</f>
        <v>0.66666666666666663</v>
      </c>
      <c r="H91" s="192" t="s">
        <v>337</v>
      </c>
      <c r="I91" s="25" t="s">
        <v>677</v>
      </c>
    </row>
    <row r="92" spans="1:9" ht="30" customHeight="1" thickBot="1" x14ac:dyDescent="0.25">
      <c r="A92" s="909" t="str">
        <f>OF!A133</f>
        <v>OF27</v>
      </c>
      <c r="B92" s="908" t="str">
        <f>OF!B133</f>
        <v>Tidal Wetland Age</v>
      </c>
      <c r="C92" s="468" t="str">
        <f>OF!C133</f>
        <v>The age of the AA since last covered by a glacier or mostly submerged below tidal low water prior to glacial rebound is:</v>
      </c>
      <c r="D92" s="338"/>
      <c r="E92" s="338"/>
      <c r="F92" s="340"/>
      <c r="G92" s="163">
        <f>IF((D97=1),"",MAX(F93:F96)/MAX(E93:E96))</f>
        <v>1</v>
      </c>
      <c r="H92" s="908" t="s">
        <v>172</v>
      </c>
      <c r="I92" s="25" t="s">
        <v>658</v>
      </c>
    </row>
    <row r="93" spans="1:9" ht="15" customHeight="1" x14ac:dyDescent="0.2">
      <c r="A93" s="910"/>
      <c r="B93" s="907"/>
      <c r="C93" s="469" t="str">
        <f>OF!C134</f>
        <v>&lt; 3 years old</v>
      </c>
      <c r="D93" s="131">
        <f>OF!D134</f>
        <v>0</v>
      </c>
      <c r="E93" s="326">
        <v>0</v>
      </c>
      <c r="F93" s="333">
        <f>D93*E93</f>
        <v>0</v>
      </c>
      <c r="G93" s="351"/>
      <c r="H93" s="907"/>
    </row>
    <row r="94" spans="1:9" ht="15" customHeight="1" x14ac:dyDescent="0.2">
      <c r="A94" s="910"/>
      <c r="B94" s="907"/>
      <c r="C94" s="470" t="str">
        <f>OF!C135</f>
        <v>3-20 years ago</v>
      </c>
      <c r="D94" s="131">
        <f>OF!D135</f>
        <v>0</v>
      </c>
      <c r="E94" s="326">
        <v>2</v>
      </c>
      <c r="F94" s="333">
        <f>D94*E94</f>
        <v>0</v>
      </c>
      <c r="G94" s="352"/>
      <c r="H94" s="907"/>
    </row>
    <row r="95" spans="1:9" ht="15" customHeight="1" x14ac:dyDescent="0.2">
      <c r="A95" s="910"/>
      <c r="B95" s="907"/>
      <c r="C95" s="470" t="str">
        <f>OF!C136</f>
        <v>20- 200 years ago</v>
      </c>
      <c r="D95" s="131">
        <f>OF!D136</f>
        <v>0</v>
      </c>
      <c r="E95" s="326">
        <v>3</v>
      </c>
      <c r="F95" s="333">
        <f>D95*E95</f>
        <v>0</v>
      </c>
      <c r="G95" s="352"/>
      <c r="H95" s="907"/>
    </row>
    <row r="96" spans="1:9" ht="15" customHeight="1" x14ac:dyDescent="0.2">
      <c r="A96" s="910"/>
      <c r="B96" s="907"/>
      <c r="C96" s="467" t="str">
        <f>OF!C137</f>
        <v>&gt;200 years ago</v>
      </c>
      <c r="D96" s="131">
        <f>OF!D137</f>
        <v>1</v>
      </c>
      <c r="E96" s="326">
        <v>4</v>
      </c>
      <c r="F96" s="333">
        <f>D96*E96</f>
        <v>4</v>
      </c>
      <c r="G96" s="352"/>
      <c r="H96" s="907"/>
    </row>
    <row r="97" spans="1:10" ht="15" customHeight="1" thickBot="1" x14ac:dyDescent="0.25">
      <c r="A97" s="768"/>
      <c r="B97" s="774"/>
      <c r="C97" s="471" t="str">
        <f>OF!C138</f>
        <v>unknown</v>
      </c>
      <c r="D97" s="328">
        <f>OF!D138</f>
        <v>0</v>
      </c>
      <c r="E97" s="329"/>
      <c r="F97" s="341"/>
      <c r="G97" s="350"/>
      <c r="H97" s="774"/>
    </row>
    <row r="98" spans="1:10" ht="21" customHeight="1" thickBot="1" x14ac:dyDescent="0.25">
      <c r="A98" s="890" t="str">
        <f>OF!A139</f>
        <v>OF28</v>
      </c>
      <c r="B98" s="907" t="str">
        <f>OF!B139</f>
        <v>Aspect</v>
      </c>
      <c r="C98" s="269" t="str">
        <f>OF!C139</f>
        <v xml:space="preserve">Most of the contributing area within 1000 ft upslope from the AA faces: </v>
      </c>
      <c r="D98" s="323"/>
      <c r="E98" s="323"/>
      <c r="F98" s="331"/>
      <c r="G98" s="320">
        <f>MAX(F99:F101)/MAX(E99:E101)</f>
        <v>0.66666666666666663</v>
      </c>
      <c r="H98" s="907" t="s">
        <v>348</v>
      </c>
      <c r="I98" s="25" t="s">
        <v>349</v>
      </c>
    </row>
    <row r="99" spans="1:10" ht="15" customHeight="1" x14ac:dyDescent="0.2">
      <c r="A99" s="890"/>
      <c r="B99" s="907"/>
      <c r="C99" s="207" t="str">
        <f>OF!C140</f>
        <v>Northward (N, NE)</v>
      </c>
      <c r="D99" s="454">
        <f>OF!D140</f>
        <v>0</v>
      </c>
      <c r="E99" s="326">
        <v>1</v>
      </c>
      <c r="F99" s="333">
        <f>D99*E99</f>
        <v>0</v>
      </c>
      <c r="G99" s="352"/>
      <c r="H99" s="907"/>
    </row>
    <row r="100" spans="1:10" ht="15" customHeight="1" x14ac:dyDescent="0.2">
      <c r="A100" s="890"/>
      <c r="B100" s="907"/>
      <c r="C100" s="207" t="str">
        <f>OF!C141</f>
        <v>Southward (S, SW)</v>
      </c>
      <c r="D100" s="454">
        <f>OF!D141</f>
        <v>0</v>
      </c>
      <c r="E100" s="326">
        <v>3</v>
      </c>
      <c r="F100" s="333">
        <f>D100*E100</f>
        <v>0</v>
      </c>
      <c r="G100" s="352"/>
      <c r="H100" s="907"/>
    </row>
    <row r="101" spans="1:10" ht="15" customHeight="1" thickBot="1" x14ac:dyDescent="0.25">
      <c r="A101" s="994"/>
      <c r="B101" s="995"/>
      <c r="C101" s="207" t="str">
        <f>OF!C142</f>
        <v>other (E, SE, W, NW), or no detectable uphill slope (flat)</v>
      </c>
      <c r="D101" s="205">
        <f>OF!D142</f>
        <v>1</v>
      </c>
      <c r="E101" s="326">
        <v>2</v>
      </c>
      <c r="F101" s="333">
        <f>D101*E101</f>
        <v>2</v>
      </c>
      <c r="G101" s="352"/>
      <c r="H101" s="995"/>
    </row>
    <row r="102" spans="1:10" s="20" customFormat="1" ht="30" customHeight="1" thickBot="1" x14ac:dyDescent="0.25">
      <c r="A102" s="188" t="s">
        <v>770</v>
      </c>
      <c r="B102" s="189" t="s">
        <v>3642</v>
      </c>
      <c r="C102" s="452" t="s">
        <v>32</v>
      </c>
      <c r="D102" s="67" t="s">
        <v>805</v>
      </c>
      <c r="E102" s="67" t="s">
        <v>1017</v>
      </c>
      <c r="F102" s="67" t="s">
        <v>1018</v>
      </c>
      <c r="G102" s="421" t="s">
        <v>355</v>
      </c>
      <c r="H102" s="189" t="s">
        <v>503</v>
      </c>
      <c r="J102" s="78"/>
    </row>
    <row r="103" spans="1:10" ht="45" customHeight="1" thickBot="1" x14ac:dyDescent="0.25">
      <c r="A103" s="203" t="str">
        <f>OF!A109</f>
        <v>OF22</v>
      </c>
      <c r="B103" s="472" t="str">
        <f>OF!B109</f>
        <v>Designated IBA</v>
      </c>
      <c r="C103" s="466" t="str">
        <f>OF!C109</f>
        <v>The AA is within or contains part of an IBA (Important Bird Area) as officially designated by the American Bird Conservancy or local affiliates.  Enter 1= yes, 0= no.  See list on right, and online Wetlands Module&gt; Habitat Layers&gt; IBA for maps.</v>
      </c>
      <c r="D103" s="403"/>
      <c r="E103" s="425"/>
      <c r="F103" s="335"/>
      <c r="G103" s="474">
        <f>OF!D109</f>
        <v>0</v>
      </c>
      <c r="H103" s="198" t="s">
        <v>5</v>
      </c>
      <c r="I103" s="25" t="s">
        <v>659</v>
      </c>
    </row>
    <row r="104" spans="1:10" ht="60" customHeight="1" thickBot="1" x14ac:dyDescent="0.25">
      <c r="A104" s="99" t="str">
        <f>OF!A166</f>
        <v>OF39</v>
      </c>
      <c r="B104" s="70" t="str">
        <f>OF!B166</f>
        <v>Songbird or Raptor Species of Conservation Concern</v>
      </c>
      <c r="C104" s="313" t="str">
        <f>OF!C166</f>
        <v>One or more of these species -- Osprey, Peregrine Falcon, Queen Charlotte Goshawk, Olive-sided Flycatcher, Rusty Blackbird -- has been detected nesting semi-annually along the AA's upland edge (within 300 ft) under conditions similar to what now occur, by a qualified observer.  Enter "1" if yes, "0" if no or unknown.</v>
      </c>
      <c r="D104" s="336"/>
      <c r="E104" s="337"/>
      <c r="F104" s="336"/>
      <c r="G104" s="401">
        <f>OF!D166</f>
        <v>0</v>
      </c>
      <c r="H104" s="70" t="s">
        <v>174</v>
      </c>
      <c r="I104" s="25" t="s">
        <v>660</v>
      </c>
    </row>
    <row r="105" spans="1:10" ht="21" customHeight="1" thickBot="1" x14ac:dyDescent="0.25">
      <c r="A105" s="980"/>
      <c r="B105" s="980"/>
      <c r="C105" s="980"/>
      <c r="D105" s="996"/>
      <c r="E105" s="996"/>
      <c r="F105" s="996"/>
      <c r="G105" s="996"/>
      <c r="H105" s="996"/>
    </row>
    <row r="106" spans="1:10" s="8" customFormat="1" ht="21" customHeight="1" x14ac:dyDescent="0.2">
      <c r="A106" s="970"/>
      <c r="B106" s="970"/>
      <c r="C106" s="970"/>
      <c r="D106" s="985" t="s">
        <v>610</v>
      </c>
      <c r="E106" s="986"/>
      <c r="F106" s="986"/>
      <c r="G106" s="354">
        <f>AVERAGE(VwidthHi6, MAX(Driftwd7,_LWD7), EdgeShape6, MarshAge6)</f>
        <v>0.66666666666666663</v>
      </c>
      <c r="H106" s="91" t="s">
        <v>336</v>
      </c>
      <c r="J106" s="42"/>
    </row>
    <row r="107" spans="1:10" s="8" customFormat="1" ht="21" customHeight="1" x14ac:dyDescent="0.2">
      <c r="A107" s="970"/>
      <c r="B107" s="970"/>
      <c r="C107" s="970"/>
      <c r="D107" s="988" t="s">
        <v>577</v>
      </c>
      <c r="E107" s="989"/>
      <c r="F107" s="989"/>
      <c r="G107" s="355">
        <f>AVERAGE(TribFresh6, Aspect6,BayRiver6, Fetch6, Bearshed6, Cliffs6)</f>
        <v>0.61666666666666659</v>
      </c>
      <c r="H107" s="92" t="s">
        <v>84</v>
      </c>
      <c r="J107" s="42"/>
    </row>
    <row r="108" spans="1:10" s="8" customFormat="1" ht="30" customHeight="1" thickBot="1" x14ac:dyDescent="0.25">
      <c r="A108" s="970"/>
      <c r="B108" s="970"/>
      <c r="C108" s="970"/>
      <c r="D108" s="990" t="s">
        <v>611</v>
      </c>
      <c r="E108" s="991"/>
      <c r="F108" s="991"/>
      <c r="G108" s="356">
        <f>AVERAGE(Geog6,AVERAGE(VegConn6,Barrier6,BuffLC6, BuffLCtype6), AVERAGE(DistNatur6, NatPct6, LCaltType6, PopCtr6,BMP6w,PatchSize6))</f>
        <v>0.53888888888888886</v>
      </c>
      <c r="H108" s="98" t="s">
        <v>81</v>
      </c>
      <c r="J108" s="42"/>
    </row>
    <row r="109" spans="1:10" s="8" customFormat="1" ht="21" customHeight="1" thickBot="1" x14ac:dyDescent="0.25">
      <c r="A109" s="970"/>
      <c r="B109" s="970"/>
      <c r="C109" s="970"/>
      <c r="D109" s="951"/>
      <c r="E109" s="951"/>
      <c r="F109" s="951"/>
      <c r="G109" s="951"/>
      <c r="H109" s="951"/>
      <c r="J109" s="42"/>
    </row>
    <row r="110" spans="1:10" s="8" customFormat="1" ht="30" customHeight="1" thickBot="1" x14ac:dyDescent="0.25">
      <c r="A110" s="707"/>
      <c r="B110" s="993"/>
      <c r="C110" s="894" t="s">
        <v>684</v>
      </c>
      <c r="D110" s="895"/>
      <c r="E110" s="896"/>
      <c r="F110" s="404" t="s">
        <v>552</v>
      </c>
      <c r="G110" s="357">
        <f>10*AVERAGE(LowMarshT6,AVERAGE(Structure6,Productiv6,Lscape6))</f>
        <v>3.0370370370370363</v>
      </c>
      <c r="H110" s="70" t="s">
        <v>76</v>
      </c>
      <c r="J110" s="42"/>
    </row>
    <row r="111" spans="1:10" s="8" customFormat="1" ht="30" customHeight="1" thickBot="1" x14ac:dyDescent="0.25">
      <c r="A111" s="707"/>
      <c r="B111" s="993"/>
      <c r="C111" s="894" t="s">
        <v>685</v>
      </c>
      <c r="D111" s="895"/>
      <c r="E111" s="896"/>
      <c r="F111" s="404" t="s">
        <v>554</v>
      </c>
      <c r="G111" s="406">
        <f>10*MAX(_IBA6,RareBird6,0.1)</f>
        <v>1</v>
      </c>
      <c r="H111" s="70" t="s">
        <v>890</v>
      </c>
      <c r="J111" s="42"/>
    </row>
    <row r="112" spans="1:10" s="8" customFormat="1" ht="21" customHeight="1" thickBot="1" x14ac:dyDescent="0.25">
      <c r="H112" s="20"/>
      <c r="J112" s="42"/>
    </row>
    <row r="113" spans="1:13" s="8" customFormat="1" ht="21" customHeight="1" thickBot="1" x14ac:dyDescent="0.25">
      <c r="H113" s="80" t="s">
        <v>377</v>
      </c>
      <c r="J113" s="42"/>
    </row>
    <row r="114" spans="1:13" ht="42" customHeight="1" x14ac:dyDescent="0.2">
      <c r="A114" s="8"/>
      <c r="B114" s="8"/>
      <c r="C114" s="8"/>
      <c r="D114" s="8"/>
      <c r="E114" s="8"/>
      <c r="F114" s="8"/>
      <c r="G114" s="8"/>
      <c r="H114" s="81" t="s">
        <v>422</v>
      </c>
      <c r="I114" s="37"/>
      <c r="J114" s="116"/>
      <c r="K114" s="37"/>
      <c r="L114" s="37"/>
      <c r="M114" s="38"/>
    </row>
    <row r="115" spans="1:13" ht="42" customHeight="1" x14ac:dyDescent="0.2">
      <c r="A115" s="8"/>
      <c r="B115" s="8"/>
      <c r="C115" s="8"/>
      <c r="D115" s="8"/>
      <c r="E115" s="8"/>
      <c r="F115" s="8"/>
      <c r="G115" s="8"/>
      <c r="H115" s="83" t="s">
        <v>427</v>
      </c>
    </row>
    <row r="116" spans="1:13" ht="42" customHeight="1" x14ac:dyDescent="0.2">
      <c r="A116" s="8"/>
      <c r="B116" s="8"/>
      <c r="C116" s="8"/>
      <c r="D116" s="8"/>
      <c r="E116" s="8"/>
      <c r="F116" s="8"/>
      <c r="G116" s="8"/>
      <c r="H116" s="617" t="s">
        <v>3651</v>
      </c>
    </row>
    <row r="117" spans="1:13" ht="42" customHeight="1" x14ac:dyDescent="0.2">
      <c r="A117" s="8"/>
      <c r="B117" s="8"/>
      <c r="C117" s="8"/>
      <c r="D117" s="8"/>
      <c r="E117" s="8"/>
      <c r="F117" s="8"/>
      <c r="G117" s="8"/>
      <c r="H117" s="86" t="s">
        <v>419</v>
      </c>
    </row>
    <row r="118" spans="1:13" ht="27" customHeight="1" x14ac:dyDescent="0.2">
      <c r="A118" s="8"/>
      <c r="B118" s="8"/>
      <c r="C118" s="8"/>
      <c r="D118" s="8"/>
      <c r="E118" s="8"/>
      <c r="F118" s="8"/>
      <c r="G118" s="8"/>
      <c r="H118" s="83" t="s">
        <v>420</v>
      </c>
    </row>
    <row r="119" spans="1:13" ht="27" customHeight="1" x14ac:dyDescent="0.2">
      <c r="A119" s="8"/>
      <c r="B119" s="8"/>
      <c r="C119" s="8"/>
      <c r="D119" s="8"/>
      <c r="E119" s="8"/>
      <c r="F119" s="8"/>
      <c r="G119" s="8"/>
      <c r="H119" s="83" t="s">
        <v>423</v>
      </c>
    </row>
    <row r="120" spans="1:13" ht="41.25" customHeight="1" thickBot="1" x14ac:dyDescent="0.25">
      <c r="A120" s="8"/>
      <c r="B120" s="8"/>
      <c r="C120" s="8"/>
      <c r="D120" s="8"/>
      <c r="E120" s="8"/>
      <c r="F120" s="8"/>
      <c r="G120" s="8"/>
      <c r="H120" s="87" t="s">
        <v>414</v>
      </c>
    </row>
  </sheetData>
  <sheetProtection password="C74A" sheet="1" objects="1" scenarios="1" formatCells="0" formatColumns="0" formatRows="0"/>
  <mergeCells count="65">
    <mergeCell ref="A1:B1"/>
    <mergeCell ref="A17:A20"/>
    <mergeCell ref="A3:A10"/>
    <mergeCell ref="A11:A16"/>
    <mergeCell ref="E1:H1"/>
    <mergeCell ref="H11:H16"/>
    <mergeCell ref="H17:H20"/>
    <mergeCell ref="B17:B20"/>
    <mergeCell ref="H3:H10"/>
    <mergeCell ref="B3:B10"/>
    <mergeCell ref="A42:A46"/>
    <mergeCell ref="A47:A50"/>
    <mergeCell ref="A51:A56"/>
    <mergeCell ref="B47:B50"/>
    <mergeCell ref="H42:H46"/>
    <mergeCell ref="A38:A41"/>
    <mergeCell ref="H21:H26"/>
    <mergeCell ref="B11:B16"/>
    <mergeCell ref="A33:A35"/>
    <mergeCell ref="A21:A26"/>
    <mergeCell ref="B21:B26"/>
    <mergeCell ref="B27:B32"/>
    <mergeCell ref="B38:B41"/>
    <mergeCell ref="A27:A32"/>
    <mergeCell ref="H38:H41"/>
    <mergeCell ref="H27:H32"/>
    <mergeCell ref="H33:H35"/>
    <mergeCell ref="B33:B35"/>
    <mergeCell ref="H92:H97"/>
    <mergeCell ref="B79:B84"/>
    <mergeCell ref="H76:H78"/>
    <mergeCell ref="H70:H75"/>
    <mergeCell ref="B42:B46"/>
    <mergeCell ref="H85:H89"/>
    <mergeCell ref="H79:H84"/>
    <mergeCell ref="B85:B89"/>
    <mergeCell ref="B64:B69"/>
    <mergeCell ref="H57:H62"/>
    <mergeCell ref="B70:B75"/>
    <mergeCell ref="H51:H56"/>
    <mergeCell ref="B51:B56"/>
    <mergeCell ref="H47:H50"/>
    <mergeCell ref="H64:H69"/>
    <mergeCell ref="D108:F108"/>
    <mergeCell ref="H98:H101"/>
    <mergeCell ref="B98:B101"/>
    <mergeCell ref="A105:C109"/>
    <mergeCell ref="D105:H105"/>
    <mergeCell ref="D109:H109"/>
    <mergeCell ref="C111:E111"/>
    <mergeCell ref="A57:A62"/>
    <mergeCell ref="A76:A78"/>
    <mergeCell ref="B76:B78"/>
    <mergeCell ref="A98:A101"/>
    <mergeCell ref="D106:F106"/>
    <mergeCell ref="B92:B97"/>
    <mergeCell ref="B57:B62"/>
    <mergeCell ref="A70:A75"/>
    <mergeCell ref="A92:A97"/>
    <mergeCell ref="C110:E110"/>
    <mergeCell ref="A85:A89"/>
    <mergeCell ref="A79:A84"/>
    <mergeCell ref="A64:A69"/>
    <mergeCell ref="A110:B111"/>
    <mergeCell ref="D107:F107"/>
  </mergeCells>
  <phoneticPr fontId="19" type="noConversion"/>
  <pageMargins left="0.75" right="0.75" top="1" bottom="1" header="0.5" footer="0.5"/>
  <pageSetup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N130"/>
  <sheetViews>
    <sheetView workbookViewId="0">
      <selection activeCell="D132" sqref="D132"/>
    </sheetView>
  </sheetViews>
  <sheetFormatPr defaultColWidth="9.33203125" defaultRowHeight="15" customHeight="1" x14ac:dyDescent="0.2"/>
  <cols>
    <col min="1" max="1" width="5.83203125" style="26" customWidth="1"/>
    <col min="2" max="2" width="18.83203125" style="26" customWidth="1"/>
    <col min="3" max="3" width="75.83203125" style="26" customWidth="1"/>
    <col min="4" max="4" width="6.83203125" style="430" customWidth="1"/>
    <col min="5" max="6" width="7.33203125" style="430" customWidth="1"/>
    <col min="7" max="7" width="9.83203125" style="431" customWidth="1"/>
    <col min="8" max="8" width="75.83203125" style="26" customWidth="1"/>
    <col min="9" max="9" width="18.6640625" style="25" customWidth="1"/>
    <col min="10" max="16384" width="9.33203125" style="25"/>
  </cols>
  <sheetData>
    <row r="1" spans="1:10" s="123" customFormat="1" ht="60" customHeight="1" thickBot="1" x14ac:dyDescent="0.25">
      <c r="A1" s="999" t="s">
        <v>3643</v>
      </c>
      <c r="B1" s="1000"/>
      <c r="C1" s="68" t="s">
        <v>56</v>
      </c>
      <c r="D1" s="120" t="s">
        <v>57</v>
      </c>
      <c r="E1" s="475"/>
      <c r="F1" s="476"/>
      <c r="G1" s="477"/>
      <c r="H1" s="102"/>
      <c r="I1" s="121"/>
      <c r="J1" s="122"/>
    </row>
    <row r="2" spans="1:10" s="40" customFormat="1" ht="30" customHeight="1" thickBot="1" x14ac:dyDescent="0.25">
      <c r="A2" s="293" t="s">
        <v>770</v>
      </c>
      <c r="B2" s="288" t="s">
        <v>3641</v>
      </c>
      <c r="C2" s="310" t="s">
        <v>32</v>
      </c>
      <c r="D2" s="64" t="s">
        <v>805</v>
      </c>
      <c r="E2" s="65" t="s">
        <v>1017</v>
      </c>
      <c r="F2" s="66" t="s">
        <v>1018</v>
      </c>
      <c r="G2" s="319" t="s">
        <v>355</v>
      </c>
      <c r="H2" s="288" t="s">
        <v>60</v>
      </c>
    </row>
    <row r="3" spans="1:10" s="20" customFormat="1" ht="30" customHeight="1" thickBot="1" x14ac:dyDescent="0.25">
      <c r="A3" s="909" t="str">
        <f>T!A10</f>
        <v>T3</v>
      </c>
      <c r="B3" s="908" t="str">
        <f>T!B10</f>
        <v>Low Marsh</v>
      </c>
      <c r="C3" s="275" t="str">
        <f>T!C10</f>
        <v>The percent of the vegetated part of the AA that is "low marsh" (covered by tidal water for part of almost every day) is:</v>
      </c>
      <c r="D3" s="338"/>
      <c r="E3" s="338"/>
      <c r="F3" s="359"/>
      <c r="G3" s="163">
        <f>MAX(F4:F10)/MAX(E4:E10)</f>
        <v>0.14285714285714285</v>
      </c>
      <c r="H3" s="908" t="s">
        <v>229</v>
      </c>
      <c r="I3" s="28" t="s">
        <v>77</v>
      </c>
    </row>
    <row r="4" spans="1:10" s="20" customFormat="1" ht="15" customHeight="1" x14ac:dyDescent="0.2">
      <c r="A4" s="910"/>
      <c r="B4" s="907"/>
      <c r="C4" s="202" t="str">
        <f>T!C11</f>
        <v>none, or &lt;1%</v>
      </c>
      <c r="D4" s="325">
        <f>T!D11</f>
        <v>0</v>
      </c>
      <c r="E4" s="326">
        <v>7</v>
      </c>
      <c r="F4" s="327">
        <f t="shared" ref="F4:F10" si="0">D4*E4</f>
        <v>0</v>
      </c>
      <c r="G4" s="349"/>
      <c r="H4" s="907"/>
      <c r="I4" s="28"/>
    </row>
    <row r="5" spans="1:10" s="20" customFormat="1" ht="15" customHeight="1" x14ac:dyDescent="0.2">
      <c r="A5" s="910"/>
      <c r="B5" s="907"/>
      <c r="C5" s="276" t="str">
        <f>T!C12</f>
        <v>1-10%</v>
      </c>
      <c r="D5" s="325">
        <f>T!D12</f>
        <v>0</v>
      </c>
      <c r="E5" s="326">
        <v>6</v>
      </c>
      <c r="F5" s="327">
        <f t="shared" si="0"/>
        <v>0</v>
      </c>
      <c r="G5" s="349"/>
      <c r="H5" s="907"/>
      <c r="I5" s="28"/>
    </row>
    <row r="6" spans="1:10" s="20" customFormat="1" ht="15" customHeight="1" x14ac:dyDescent="0.2">
      <c r="A6" s="910"/>
      <c r="B6" s="907"/>
      <c r="C6" s="276" t="str">
        <f>T!C13</f>
        <v>10-25%</v>
      </c>
      <c r="D6" s="325">
        <f>T!D13</f>
        <v>0</v>
      </c>
      <c r="E6" s="326">
        <v>5</v>
      </c>
      <c r="F6" s="327">
        <f t="shared" si="0"/>
        <v>0</v>
      </c>
      <c r="G6" s="349"/>
      <c r="H6" s="907"/>
      <c r="I6" s="28"/>
    </row>
    <row r="7" spans="1:10" s="20" customFormat="1" ht="15" customHeight="1" x14ac:dyDescent="0.2">
      <c r="A7" s="910"/>
      <c r="B7" s="907"/>
      <c r="C7" s="276" t="str">
        <f>T!C14</f>
        <v>25-50%</v>
      </c>
      <c r="D7" s="325">
        <f>T!D14</f>
        <v>0</v>
      </c>
      <c r="E7" s="326">
        <v>4</v>
      </c>
      <c r="F7" s="327">
        <f t="shared" si="0"/>
        <v>0</v>
      </c>
      <c r="G7" s="349"/>
      <c r="H7" s="907"/>
      <c r="I7" s="28"/>
    </row>
    <row r="8" spans="1:10" s="20" customFormat="1" ht="15" customHeight="1" x14ac:dyDescent="0.2">
      <c r="A8" s="910"/>
      <c r="B8" s="907"/>
      <c r="C8" s="276" t="str">
        <f>T!C15</f>
        <v>50-75%</v>
      </c>
      <c r="D8" s="325">
        <f>T!D15</f>
        <v>0</v>
      </c>
      <c r="E8" s="326">
        <v>3</v>
      </c>
      <c r="F8" s="327">
        <f t="shared" si="0"/>
        <v>0</v>
      </c>
      <c r="G8" s="349"/>
      <c r="H8" s="907"/>
      <c r="I8" s="28"/>
    </row>
    <row r="9" spans="1:10" s="20" customFormat="1" ht="15" customHeight="1" x14ac:dyDescent="0.2">
      <c r="A9" s="910"/>
      <c r="B9" s="907"/>
      <c r="C9" s="276" t="str">
        <f>T!C16</f>
        <v>75-90%</v>
      </c>
      <c r="D9" s="325">
        <f>T!D16</f>
        <v>0</v>
      </c>
      <c r="E9" s="326">
        <v>2</v>
      </c>
      <c r="F9" s="327">
        <f t="shared" si="0"/>
        <v>0</v>
      </c>
      <c r="G9" s="349"/>
      <c r="H9" s="907"/>
      <c r="I9" s="28"/>
    </row>
    <row r="10" spans="1:10" s="20" customFormat="1" ht="15" customHeight="1" thickBot="1" x14ac:dyDescent="0.25">
      <c r="A10" s="768"/>
      <c r="B10" s="774"/>
      <c r="C10" s="277" t="str">
        <f>T!C17</f>
        <v>&gt;90%</v>
      </c>
      <c r="D10" s="328">
        <f>T!D17</f>
        <v>1</v>
      </c>
      <c r="E10" s="329">
        <v>1</v>
      </c>
      <c r="F10" s="330">
        <f t="shared" si="0"/>
        <v>1</v>
      </c>
      <c r="G10" s="350"/>
      <c r="H10" s="774"/>
      <c r="I10" s="28"/>
    </row>
    <row r="11" spans="1:10" ht="45" customHeight="1" thickBot="1" x14ac:dyDescent="0.25">
      <c r="A11" s="954" t="str">
        <f>T!A24</f>
        <v>T5</v>
      </c>
      <c r="B11" s="907" t="str">
        <f>T!B24</f>
        <v>Width of Vegetated Zone at Daily High Tide</v>
      </c>
      <c r="C11" s="269" t="str">
        <f>T!C24</f>
        <v>At daily high tide, the average width of vegetated area in the AA that separates adjoining uplands from most deepwater (subtidal water) within or adjoining the AA, or from the largest intersecting river or tributary (whichever is less), is:</v>
      </c>
      <c r="D11" s="323"/>
      <c r="E11" s="331"/>
      <c r="F11" s="332"/>
      <c r="G11" s="320">
        <f>MAX(F12:F16)/MAX(E12:E16)</f>
        <v>0.33333333333333331</v>
      </c>
      <c r="H11" s="907" t="s">
        <v>231</v>
      </c>
      <c r="I11" s="25" t="s">
        <v>661</v>
      </c>
    </row>
    <row r="12" spans="1:10" ht="15" customHeight="1" x14ac:dyDescent="0.2">
      <c r="A12" s="954"/>
      <c r="B12" s="907"/>
      <c r="C12" s="207" t="str">
        <f>T!C25</f>
        <v xml:space="preserve">1-5 ft </v>
      </c>
      <c r="D12" s="132">
        <f>T!D25</f>
        <v>0</v>
      </c>
      <c r="E12" s="333">
        <v>1</v>
      </c>
      <c r="F12" s="333">
        <f>D12*E12</f>
        <v>0</v>
      </c>
      <c r="G12" s="351"/>
      <c r="H12" s="907"/>
    </row>
    <row r="13" spans="1:10" ht="15" customHeight="1" x14ac:dyDescent="0.2">
      <c r="A13" s="954"/>
      <c r="B13" s="907"/>
      <c r="C13" s="311" t="str">
        <f>T!C26</f>
        <v>5-25 ft</v>
      </c>
      <c r="D13" s="132">
        <f>T!D26</f>
        <v>1</v>
      </c>
      <c r="E13" s="333">
        <v>2</v>
      </c>
      <c r="F13" s="333">
        <f>D13*E13</f>
        <v>2</v>
      </c>
      <c r="G13" s="352"/>
      <c r="H13" s="907"/>
    </row>
    <row r="14" spans="1:10" ht="15" customHeight="1" x14ac:dyDescent="0.2">
      <c r="A14" s="954"/>
      <c r="B14" s="907"/>
      <c r="C14" s="311" t="str">
        <f>T!C27</f>
        <v>25-100 ft</v>
      </c>
      <c r="D14" s="132">
        <f>T!D27</f>
        <v>0</v>
      </c>
      <c r="E14" s="333">
        <v>3</v>
      </c>
      <c r="F14" s="333">
        <f>D14*E14</f>
        <v>0</v>
      </c>
      <c r="G14" s="352"/>
      <c r="H14" s="907"/>
    </row>
    <row r="15" spans="1:10" ht="15" customHeight="1" x14ac:dyDescent="0.2">
      <c r="A15" s="954"/>
      <c r="B15" s="907"/>
      <c r="C15" s="311" t="str">
        <f>T!C28</f>
        <v>100-300 ft</v>
      </c>
      <c r="D15" s="132">
        <f>T!D28</f>
        <v>0</v>
      </c>
      <c r="E15" s="333">
        <v>4</v>
      </c>
      <c r="F15" s="333">
        <f>D15*E15</f>
        <v>0</v>
      </c>
      <c r="G15" s="352"/>
      <c r="H15" s="907"/>
    </row>
    <row r="16" spans="1:10" ht="15" customHeight="1" thickBot="1" x14ac:dyDescent="0.25">
      <c r="A16" s="954"/>
      <c r="B16" s="907"/>
      <c r="C16" s="312" t="str">
        <f>T!C29</f>
        <v>&gt;300 ft</v>
      </c>
      <c r="D16" s="334">
        <f>T!D29</f>
        <v>0</v>
      </c>
      <c r="E16" s="335">
        <v>6</v>
      </c>
      <c r="F16" s="335">
        <f>D16*E16</f>
        <v>0</v>
      </c>
      <c r="G16" s="349"/>
      <c r="H16" s="907"/>
    </row>
    <row r="17" spans="1:9" ht="30" customHeight="1" thickBot="1" x14ac:dyDescent="0.25">
      <c r="A17" s="891" t="str">
        <f>T!A34</f>
        <v>T7</v>
      </c>
      <c r="B17" s="908" t="str">
        <f>T!B34</f>
        <v>Bare Ground &amp; Accumulated Plant Litter</v>
      </c>
      <c r="C17" s="317" t="str">
        <f>T!C34</f>
        <v>Consider the parts of the AA that are not inundated by tides on most days, i.e., high marsh.  Viewed from 6 inches above the soil surface, the condition in most of this area is:</v>
      </c>
      <c r="D17" s="338"/>
      <c r="E17" s="339"/>
      <c r="F17" s="339"/>
      <c r="G17" s="163">
        <f>MAX(F18:F21)/MAX(E18:E21)</f>
        <v>0.66666666666666663</v>
      </c>
      <c r="H17" s="908" t="s">
        <v>175</v>
      </c>
      <c r="I17" s="25" t="s">
        <v>662</v>
      </c>
    </row>
    <row r="18" spans="1:9" ht="42" customHeight="1" x14ac:dyDescent="0.2">
      <c r="A18" s="892"/>
      <c r="B18" s="907"/>
      <c r="C18" s="207" t="str">
        <f>T!C35</f>
        <v xml:space="preserve">little or no (&lt;5%) bare ground or plant litter (thatch) is visible between erect stems or under canopy.  This can occur if ground surface is extensively blanketed by graminoids with great stem densities, or plants with ground-hugging foliage.  </v>
      </c>
      <c r="D18" s="132">
        <f>T!D35</f>
        <v>0</v>
      </c>
      <c r="E18" s="333">
        <v>2</v>
      </c>
      <c r="F18" s="333">
        <f>D18*E18</f>
        <v>0</v>
      </c>
      <c r="G18" s="352"/>
      <c r="H18" s="907"/>
    </row>
    <row r="19" spans="1:9" ht="27" customHeight="1" x14ac:dyDescent="0.2">
      <c r="A19" s="892"/>
      <c r="B19" s="907"/>
      <c r="C19" s="311" t="str">
        <f>T!C36</f>
        <v>some (5-20%) bare ground or litter is visible.  Herbaceous plants have moderate stem densities and do not closely hug the ground.</v>
      </c>
      <c r="D19" s="132">
        <f>T!D36</f>
        <v>0</v>
      </c>
      <c r="E19" s="333">
        <v>3</v>
      </c>
      <c r="F19" s="333">
        <f>D19*E19</f>
        <v>0</v>
      </c>
      <c r="G19" s="352"/>
      <c r="H19" s="907"/>
    </row>
    <row r="20" spans="1:9" ht="27" customHeight="1" x14ac:dyDescent="0.2">
      <c r="A20" s="892"/>
      <c r="B20" s="907"/>
      <c r="C20" s="311" t="str">
        <f>T!C37</f>
        <v>much (20-50%) bare ground or plant litter is visible.  Low stem density and/or tall plants with little near-ground foliage.</v>
      </c>
      <c r="D20" s="132">
        <f>T!D37</f>
        <v>1</v>
      </c>
      <c r="E20" s="333">
        <v>2</v>
      </c>
      <c r="F20" s="333">
        <f>D20*E20</f>
        <v>2</v>
      </c>
      <c r="G20" s="352"/>
      <c r="H20" s="907"/>
    </row>
    <row r="21" spans="1:9" ht="15" customHeight="1" thickBot="1" x14ac:dyDescent="0.25">
      <c r="A21" s="893"/>
      <c r="B21" s="774"/>
      <c r="C21" s="318" t="str">
        <f>T!C38</f>
        <v xml:space="preserve">mostly (&gt;50%) bare ground or accumulated plant litter. </v>
      </c>
      <c r="D21" s="133">
        <f>T!D38</f>
        <v>0</v>
      </c>
      <c r="E21" s="341">
        <v>1</v>
      </c>
      <c r="F21" s="341">
        <f>D21*E21</f>
        <v>0</v>
      </c>
      <c r="G21" s="350"/>
      <c r="H21" s="774"/>
    </row>
    <row r="22" spans="1:9" ht="21" customHeight="1" thickBot="1" x14ac:dyDescent="0.25">
      <c r="A22" s="890" t="str">
        <f>T!A39</f>
        <v>T8</v>
      </c>
      <c r="B22" s="907" t="str">
        <f>T!B39</f>
        <v>Groundwater Seeps</v>
      </c>
      <c r="C22" s="269" t="str">
        <f>T!C39</f>
        <v>Select one:</v>
      </c>
      <c r="D22" s="323"/>
      <c r="E22" s="331"/>
      <c r="F22" s="331"/>
      <c r="G22" s="320">
        <f>MAX(F23:F25)/MAX(E23:E25)</f>
        <v>0.66666666666666663</v>
      </c>
      <c r="H22" s="907" t="s">
        <v>892</v>
      </c>
      <c r="I22" s="25" t="s">
        <v>663</v>
      </c>
    </row>
    <row r="23" spans="1:9" ht="40.5" customHeight="1" x14ac:dyDescent="0.2">
      <c r="A23" s="890"/>
      <c r="B23" s="907"/>
      <c r="C23" s="207" t="str">
        <f>T!C40</f>
        <v>Part of the AA contains strong evidence of fresh groundwater discharges at the marsh surface: (a) Springs are observed, or (b) measurements from shallow wells indicate groundwater is discharging to the wetland.</v>
      </c>
      <c r="D23" s="132">
        <f>T!D40</f>
        <v>0</v>
      </c>
      <c r="E23" s="333">
        <v>3</v>
      </c>
      <c r="F23" s="333">
        <f>D23*E23</f>
        <v>0</v>
      </c>
      <c r="G23" s="352"/>
      <c r="H23" s="907"/>
    </row>
    <row r="24" spans="1:9" ht="42" customHeight="1" x14ac:dyDescent="0.2">
      <c r="A24" s="890"/>
      <c r="B24" s="907"/>
      <c r="C24" s="311" t="str">
        <f>T!C41</f>
        <v xml:space="preserve">Part of the AA has less definitive evidence of discharging groundwater during summer.  Wetland is on organic, sandy, or gravelly soil AND is at the base of a natural slope of &gt;5% (as averaged over a distance of 1000 ft or until the first opposing break in elevation occurs). </v>
      </c>
      <c r="D24" s="132">
        <f>T!D41</f>
        <v>1</v>
      </c>
      <c r="E24" s="333">
        <v>2</v>
      </c>
      <c r="F24" s="333">
        <f>D24*E24</f>
        <v>2</v>
      </c>
      <c r="G24" s="352"/>
      <c r="H24" s="907"/>
    </row>
    <row r="25" spans="1:9" ht="27" customHeight="1" thickBot="1" x14ac:dyDescent="0.25">
      <c r="A25" s="890"/>
      <c r="B25" s="907"/>
      <c r="C25" s="312" t="str">
        <f>T!C42</f>
        <v>Neither of above is true, although some groundwater may discharge to or flow through the wetland, or groundwater influx is unknown.</v>
      </c>
      <c r="D25" s="334">
        <f>T!D42</f>
        <v>0</v>
      </c>
      <c r="E25" s="335">
        <v>1</v>
      </c>
      <c r="F25" s="335">
        <f>D25*E25</f>
        <v>0</v>
      </c>
      <c r="G25" s="349"/>
      <c r="H25" s="907"/>
    </row>
    <row r="26" spans="1:9" ht="30" customHeight="1" thickBot="1" x14ac:dyDescent="0.25">
      <c r="A26" s="891" t="str">
        <f>T!A43</f>
        <v>T9</v>
      </c>
      <c r="B26" s="908" t="str">
        <f>T!B43</f>
        <v>Forb Cover</v>
      </c>
      <c r="C26" s="317" t="str">
        <f>T!C43</f>
        <v>In parts of the AA that don't flood daily (i.e., "high marsh"), the areal cover of forbs reaches an annual maximum of:</v>
      </c>
      <c r="D26" s="338"/>
      <c r="E26" s="339"/>
      <c r="F26" s="339"/>
      <c r="G26" s="163">
        <f>MAX(F27:F30)/MAX(E27:E30)</f>
        <v>0.25</v>
      </c>
      <c r="H26" s="908" t="s">
        <v>176</v>
      </c>
      <c r="I26" s="25" t="s">
        <v>664</v>
      </c>
    </row>
    <row r="27" spans="1:9" ht="15" customHeight="1" x14ac:dyDescent="0.2">
      <c r="A27" s="892"/>
      <c r="B27" s="907"/>
      <c r="C27" s="207" t="str">
        <f>T!C44</f>
        <v>&lt;5% of the herbaceous cover, or the AA contains no high marsh</v>
      </c>
      <c r="D27" s="132">
        <f>T!D44</f>
        <v>1</v>
      </c>
      <c r="E27" s="333">
        <v>1</v>
      </c>
      <c r="F27" s="333">
        <f>D27*E27</f>
        <v>1</v>
      </c>
      <c r="G27" s="352"/>
      <c r="H27" s="907"/>
    </row>
    <row r="28" spans="1:9" ht="15" customHeight="1" x14ac:dyDescent="0.2">
      <c r="A28" s="892"/>
      <c r="B28" s="907"/>
      <c r="C28" s="311" t="str">
        <f>T!C46</f>
        <v>25-50% of the herbaceous cover</v>
      </c>
      <c r="D28" s="132">
        <f>T!D46</f>
        <v>0</v>
      </c>
      <c r="E28" s="333">
        <v>2</v>
      </c>
      <c r="F28" s="333">
        <f>D28*E28</f>
        <v>0</v>
      </c>
      <c r="G28" s="352"/>
      <c r="H28" s="907"/>
    </row>
    <row r="29" spans="1:9" ht="15" customHeight="1" x14ac:dyDescent="0.2">
      <c r="A29" s="892"/>
      <c r="B29" s="907"/>
      <c r="C29" s="311" t="str">
        <f>T!C47</f>
        <v>50-95% of the herbaceous cover</v>
      </c>
      <c r="D29" s="132">
        <f>T!D47</f>
        <v>0</v>
      </c>
      <c r="E29" s="333">
        <v>4</v>
      </c>
      <c r="F29" s="333">
        <f>D29*E29</f>
        <v>0</v>
      </c>
      <c r="G29" s="352"/>
      <c r="H29" s="907"/>
    </row>
    <row r="30" spans="1:9" ht="15" customHeight="1" thickBot="1" x14ac:dyDescent="0.25">
      <c r="A30" s="893"/>
      <c r="B30" s="774"/>
      <c r="C30" s="318" t="str">
        <f>T!C48</f>
        <v>&gt;95% of the herbaceous cover.</v>
      </c>
      <c r="D30" s="133">
        <f>T!D48</f>
        <v>0</v>
      </c>
      <c r="E30" s="341">
        <v>3</v>
      </c>
      <c r="F30" s="341">
        <f>D30*E30</f>
        <v>0</v>
      </c>
      <c r="G30" s="350"/>
      <c r="H30" s="774"/>
    </row>
    <row r="31" spans="1:9" ht="21" customHeight="1" thickBot="1" x14ac:dyDescent="0.25">
      <c r="A31" s="954" t="str">
        <f>T!A49</f>
        <v>T10</v>
      </c>
      <c r="B31" s="907" t="str">
        <f>T!B49</f>
        <v>Herbaceous Species Dominance</v>
      </c>
      <c r="C31" s="269" t="str">
        <f>T!C49</f>
        <v>Of just the herbaceous (non-woody) plant species:</v>
      </c>
      <c r="D31" s="323"/>
      <c r="E31" s="331"/>
      <c r="F31" s="343"/>
      <c r="G31" s="320">
        <f>MAX(F32:F35)/MAX(E32:E35)</f>
        <v>0.33333333333333331</v>
      </c>
      <c r="H31" s="907" t="s">
        <v>177</v>
      </c>
      <c r="I31" s="25" t="s">
        <v>665</v>
      </c>
    </row>
    <row r="32" spans="1:9" ht="27" customHeight="1" x14ac:dyDescent="0.2">
      <c r="A32" s="954"/>
      <c r="B32" s="907"/>
      <c r="C32" s="207" t="str">
        <f>T!C50</f>
        <v xml:space="preserve">One or two species together comprise &gt;50% of the areal cover of herbaceous plants at any time during the year, and one or both are non-native species (see NonNtvPlants worksheet tab). </v>
      </c>
      <c r="D32" s="131">
        <f>T!D50</f>
        <v>0</v>
      </c>
      <c r="E32" s="333">
        <v>0</v>
      </c>
      <c r="F32" s="333">
        <f>D32*E32</f>
        <v>0</v>
      </c>
      <c r="G32" s="351"/>
      <c r="H32" s="907"/>
    </row>
    <row r="33" spans="1:9" ht="27" customHeight="1" x14ac:dyDescent="0.2">
      <c r="A33" s="954"/>
      <c r="B33" s="907"/>
      <c r="C33" s="311" t="str">
        <f>T!C51</f>
        <v>One or two species together comprise &gt;50% of the areal cover of herbaceous plants at any time during the year, and both are native species.</v>
      </c>
      <c r="D33" s="131">
        <f>T!D51</f>
        <v>1</v>
      </c>
      <c r="E33" s="333">
        <v>1</v>
      </c>
      <c r="F33" s="333">
        <f>D33*E33</f>
        <v>1</v>
      </c>
      <c r="G33" s="352"/>
      <c r="H33" s="907"/>
    </row>
    <row r="34" spans="1:9" ht="27" customHeight="1" x14ac:dyDescent="0.2">
      <c r="A34" s="954"/>
      <c r="B34" s="907"/>
      <c r="C34" s="311" t="str">
        <f>T!C52</f>
        <v>There are several herbaceous species, including some non-natives, but no species is dominant. That is, no two of the species together comprise &gt;50% of the areal cover of herbaceous plants.</v>
      </c>
      <c r="D34" s="131">
        <f>T!D52</f>
        <v>0</v>
      </c>
      <c r="E34" s="333">
        <v>2</v>
      </c>
      <c r="F34" s="333">
        <f>D34*E34</f>
        <v>0</v>
      </c>
      <c r="G34" s="352"/>
      <c r="H34" s="907"/>
    </row>
    <row r="35" spans="1:9" ht="27" customHeight="1" thickBot="1" x14ac:dyDescent="0.25">
      <c r="A35" s="954"/>
      <c r="B35" s="907"/>
      <c r="C35" s="312" t="str">
        <f>T!C53</f>
        <v>There are several herbaceous species but no species is non-native or dominant. No two of the native species together comprise &gt;50% of the areal cover of herbaceous plants.</v>
      </c>
      <c r="D35" s="325">
        <f>T!D53</f>
        <v>0</v>
      </c>
      <c r="E35" s="335">
        <v>3</v>
      </c>
      <c r="F35" s="335">
        <f>D35*E35</f>
        <v>0</v>
      </c>
      <c r="G35" s="349"/>
      <c r="H35" s="907"/>
    </row>
    <row r="36" spans="1:9" ht="30" customHeight="1" thickBot="1" x14ac:dyDescent="0.25">
      <c r="A36" s="909" t="str">
        <f>T!A54</f>
        <v>T11</v>
      </c>
      <c r="B36" s="908" t="str">
        <f>T!B54</f>
        <v>Soil Texture</v>
      </c>
      <c r="C36" s="317" t="str">
        <f>T!C54</f>
        <v>Excluding subtidal waters and channels that stay flooded throughout the tidal cycle, the texture of soil in the uppermost layer in most of the AA is predominantly:</v>
      </c>
      <c r="D36" s="338"/>
      <c r="E36" s="339"/>
      <c r="F36" s="340"/>
      <c r="G36" s="163">
        <f>MAX(F37:F41)/MAX(E37:E41)</f>
        <v>1</v>
      </c>
      <c r="H36" s="908" t="s">
        <v>356</v>
      </c>
      <c r="I36" s="25" t="s">
        <v>695</v>
      </c>
    </row>
    <row r="37" spans="1:9" ht="15" customHeight="1" x14ac:dyDescent="0.2">
      <c r="A37" s="910"/>
      <c r="B37" s="907"/>
      <c r="C37" s="207" t="str">
        <f>T!C55</f>
        <v>Loamy: includes loam, sandy loam.</v>
      </c>
      <c r="D37" s="131">
        <f>T!D55</f>
        <v>0</v>
      </c>
      <c r="E37" s="333">
        <v>3</v>
      </c>
      <c r="F37" s="333">
        <f>D37*E37</f>
        <v>0</v>
      </c>
      <c r="G37" s="351"/>
      <c r="H37" s="907"/>
    </row>
    <row r="38" spans="1:9" ht="26.25" customHeight="1" x14ac:dyDescent="0.2">
      <c r="A38" s="910"/>
      <c r="B38" s="907"/>
      <c r="C38" s="311" t="str">
        <f>T!C56</f>
        <v>Fines: includes silt, glacial flour, clay, clay loam, silty clay, silty clay loam, sandy clay, sandy clay loam.</v>
      </c>
      <c r="D38" s="131">
        <f>T!D56</f>
        <v>0</v>
      </c>
      <c r="E38" s="333">
        <v>1</v>
      </c>
      <c r="F38" s="333">
        <f>D38*E38</f>
        <v>0</v>
      </c>
      <c r="G38" s="352"/>
      <c r="H38" s="907"/>
    </row>
    <row r="39" spans="1:9" ht="15" customHeight="1" x14ac:dyDescent="0.2">
      <c r="A39" s="910"/>
      <c r="B39" s="907"/>
      <c r="C39" s="311" t="str">
        <f>T!C57</f>
        <v>Organic, from surface to within 4 inches of surface only.  Exclude live roots.</v>
      </c>
      <c r="D39" s="131">
        <f>T!D57</f>
        <v>0</v>
      </c>
      <c r="E39" s="333">
        <v>2</v>
      </c>
      <c r="F39" s="333">
        <f>D39*E39</f>
        <v>0</v>
      </c>
      <c r="G39" s="352"/>
      <c r="H39" s="907"/>
    </row>
    <row r="40" spans="1:9" ht="15" customHeight="1" x14ac:dyDescent="0.2">
      <c r="A40" s="910"/>
      <c r="B40" s="907"/>
      <c r="C40" s="311" t="str">
        <f>T!C59</f>
        <v>Organic, from surface to greater than 16 inch depth. Exclude live roots.</v>
      </c>
      <c r="D40" s="131">
        <f>T!D59</f>
        <v>0</v>
      </c>
      <c r="E40" s="333">
        <v>2</v>
      </c>
      <c r="F40" s="333">
        <f>D40*E40</f>
        <v>0</v>
      </c>
      <c r="G40" s="352"/>
      <c r="H40" s="907"/>
    </row>
    <row r="41" spans="1:9" ht="27" customHeight="1" thickBot="1" x14ac:dyDescent="0.25">
      <c r="A41" s="768"/>
      <c r="B41" s="774"/>
      <c r="C41" s="318" t="str">
        <f>T!C60</f>
        <v>Coarse: includes sand, loamy sand, gravel, cobble, stones, boulders, fluvents, fluvaquents, riverwash.</v>
      </c>
      <c r="D41" s="328">
        <f>T!D60</f>
        <v>1</v>
      </c>
      <c r="E41" s="341">
        <v>3</v>
      </c>
      <c r="F41" s="341">
        <f>D41*E41</f>
        <v>3</v>
      </c>
      <c r="G41" s="350"/>
      <c r="H41" s="774"/>
    </row>
    <row r="42" spans="1:9" ht="30" customHeight="1" thickBot="1" x14ac:dyDescent="0.25">
      <c r="A42" s="890" t="str">
        <f>T!A77</f>
        <v>T15</v>
      </c>
      <c r="B42" s="907" t="str">
        <f>T!B77</f>
        <v>Natural Cover in Buffer</v>
      </c>
      <c r="C42" s="269" t="str">
        <f>T!C77</f>
        <v>Within 100 ft upslope of the AA's wetland-upland edge, the percentage of the upland that contains natural (not necessarily native) land cover is:</v>
      </c>
      <c r="D42" s="323"/>
      <c r="E42" s="331"/>
      <c r="F42" s="331"/>
      <c r="G42" s="320">
        <f>MAX(F43:F47)/MAX(E43:E47)</f>
        <v>1</v>
      </c>
      <c r="H42" s="907" t="s">
        <v>178</v>
      </c>
      <c r="I42" s="25" t="s">
        <v>666</v>
      </c>
    </row>
    <row r="43" spans="1:9" ht="15" customHeight="1" x14ac:dyDescent="0.2">
      <c r="A43" s="890"/>
      <c r="B43" s="907"/>
      <c r="C43" s="207" t="str">
        <f>T!C78</f>
        <v xml:space="preserve">&lt;5% </v>
      </c>
      <c r="D43" s="132">
        <f>T!D78</f>
        <v>0</v>
      </c>
      <c r="E43" s="333">
        <v>0</v>
      </c>
      <c r="F43" s="333">
        <f>D43*E43</f>
        <v>0</v>
      </c>
      <c r="G43" s="352"/>
      <c r="H43" s="907"/>
    </row>
    <row r="44" spans="1:9" ht="15" customHeight="1" x14ac:dyDescent="0.2">
      <c r="A44" s="890"/>
      <c r="B44" s="907"/>
      <c r="C44" s="311" t="str">
        <f>T!C79</f>
        <v>5 to 30%</v>
      </c>
      <c r="D44" s="132">
        <f>T!D79</f>
        <v>0</v>
      </c>
      <c r="E44" s="333">
        <v>1</v>
      </c>
      <c r="F44" s="333">
        <f>D44*E44</f>
        <v>0</v>
      </c>
      <c r="G44" s="352"/>
      <c r="H44" s="907"/>
    </row>
    <row r="45" spans="1:9" ht="15" customHeight="1" x14ac:dyDescent="0.2">
      <c r="A45" s="890"/>
      <c r="B45" s="907"/>
      <c r="C45" s="311" t="str">
        <f>T!C80</f>
        <v>30 to 60%</v>
      </c>
      <c r="D45" s="132">
        <f>T!D80</f>
        <v>0</v>
      </c>
      <c r="E45" s="333">
        <v>2</v>
      </c>
      <c r="F45" s="333">
        <f>D45*E45</f>
        <v>0</v>
      </c>
      <c r="G45" s="352"/>
      <c r="H45" s="907"/>
    </row>
    <row r="46" spans="1:9" ht="15" customHeight="1" x14ac:dyDescent="0.2">
      <c r="A46" s="890"/>
      <c r="B46" s="907"/>
      <c r="C46" s="311" t="str">
        <f>T!C81</f>
        <v>60 to 90%</v>
      </c>
      <c r="D46" s="132">
        <f>T!D81</f>
        <v>0</v>
      </c>
      <c r="E46" s="333">
        <v>4</v>
      </c>
      <c r="F46" s="333">
        <f>D46*E46</f>
        <v>0</v>
      </c>
      <c r="G46" s="352"/>
      <c r="H46" s="907"/>
    </row>
    <row r="47" spans="1:9" ht="15" customHeight="1" thickBot="1" x14ac:dyDescent="0.25">
      <c r="A47" s="890"/>
      <c r="B47" s="907"/>
      <c r="C47" s="312" t="str">
        <f>T!C82</f>
        <v>&gt;90%.  SKIP to T17.</v>
      </c>
      <c r="D47" s="334">
        <f>T!D82</f>
        <v>1</v>
      </c>
      <c r="E47" s="335">
        <v>5</v>
      </c>
      <c r="F47" s="335">
        <f>D47*E47</f>
        <v>5</v>
      </c>
      <c r="G47" s="349"/>
      <c r="H47" s="907"/>
    </row>
    <row r="48" spans="1:9" ht="30" customHeight="1" thickBot="1" x14ac:dyDescent="0.25">
      <c r="A48" s="1002" t="str">
        <f>T!A83</f>
        <v>T16</v>
      </c>
      <c r="B48" s="908" t="str">
        <f>T!B83</f>
        <v>Type of Cover in Buffer</v>
      </c>
      <c r="C48" s="317" t="str">
        <f>T!C83</f>
        <v>Within 100 ft upslope of the AA's wetland-upland edge, the upland cover that is NOT natural or water is mostly:</v>
      </c>
      <c r="D48" s="338"/>
      <c r="E48" s="339"/>
      <c r="F48" s="339"/>
      <c r="G48" s="163">
        <f>MAX(F49:F50)/MAX(E49:E50)</f>
        <v>0</v>
      </c>
      <c r="H48" s="908" t="s">
        <v>10</v>
      </c>
      <c r="I48" s="25" t="s">
        <v>667</v>
      </c>
    </row>
    <row r="49" spans="1:9" ht="15" customHeight="1" x14ac:dyDescent="0.2">
      <c r="A49" s="1003"/>
      <c r="B49" s="907"/>
      <c r="C49" s="207" t="str">
        <f>T!C84</f>
        <v>impervious surface, e.g., paved road, parking lot, building, exposed rock.</v>
      </c>
      <c r="D49" s="132">
        <f>T!D84</f>
        <v>0</v>
      </c>
      <c r="E49" s="333">
        <v>0</v>
      </c>
      <c r="F49" s="333">
        <f>D49*E49</f>
        <v>0</v>
      </c>
      <c r="G49" s="352"/>
      <c r="H49" s="907"/>
    </row>
    <row r="50" spans="1:9" ht="15" customHeight="1" thickBot="1" x14ac:dyDescent="0.25">
      <c r="A50" s="1004"/>
      <c r="B50" s="774"/>
      <c r="C50" s="318" t="str">
        <f>T!C85</f>
        <v>bare or semi-bare pervious surface, e.g., dirt road, dike, dunes, lawn, recent clearcut, landslide.</v>
      </c>
      <c r="D50" s="133">
        <f>T!D85</f>
        <v>0</v>
      </c>
      <c r="E50" s="341">
        <v>1</v>
      </c>
      <c r="F50" s="341">
        <f>D50*E50</f>
        <v>0</v>
      </c>
      <c r="G50" s="350"/>
      <c r="H50" s="774"/>
    </row>
    <row r="51" spans="1:9" ht="60" customHeight="1" thickBot="1" x14ac:dyDescent="0.25">
      <c r="A51" s="890" t="str">
        <f>T!A92</f>
        <v>T19</v>
      </c>
      <c r="B51" s="907" t="str">
        <f>T!B92</f>
        <v>Core Area 1</v>
      </c>
      <c r="C51" s="269" t="str">
        <f>T!C92</f>
        <v xml:space="preserve">The percentage of the AA almost never visited by humans during an average growing season probably comprises: [Note: Do not include visitors on trails outside of the AA unless more than half the wetland is visible from the trails and they are within 100 ft of the wetland edge.  In that case include only the area occupied by the trail]. </v>
      </c>
      <c r="D51" s="323"/>
      <c r="E51" s="331"/>
      <c r="F51" s="331"/>
      <c r="G51" s="320">
        <f>MAX(F52:F57)/MAX(E52:E57)</f>
        <v>0.16666666666666666</v>
      </c>
      <c r="H51" s="907" t="s">
        <v>179</v>
      </c>
      <c r="I51" s="25" t="s">
        <v>668</v>
      </c>
    </row>
    <row r="52" spans="1:9" ht="15" customHeight="1" x14ac:dyDescent="0.2">
      <c r="A52" s="890"/>
      <c r="B52" s="907"/>
      <c r="C52" s="207" t="str">
        <f>T!C93</f>
        <v>&lt;5% and no inhabited building is within 300 ft of the AA</v>
      </c>
      <c r="D52" s="132">
        <f>T!D93</f>
        <v>0</v>
      </c>
      <c r="E52" s="333">
        <v>2</v>
      </c>
      <c r="F52" s="333">
        <f t="shared" ref="F52:F57" si="1">D52*E52</f>
        <v>0</v>
      </c>
      <c r="G52" s="352"/>
      <c r="H52" s="907"/>
    </row>
    <row r="53" spans="1:9" ht="15" customHeight="1" x14ac:dyDescent="0.2">
      <c r="A53" s="890"/>
      <c r="B53" s="907"/>
      <c r="C53" s="311" t="str">
        <f>T!C94</f>
        <v>&lt;5% and inhabited building is within 300 ft of the AA</v>
      </c>
      <c r="D53" s="132">
        <f>T!D94</f>
        <v>1</v>
      </c>
      <c r="E53" s="333">
        <v>1</v>
      </c>
      <c r="F53" s="333">
        <f t="shared" si="1"/>
        <v>1</v>
      </c>
      <c r="G53" s="352"/>
      <c r="H53" s="907"/>
    </row>
    <row r="54" spans="1:9" ht="15" customHeight="1" x14ac:dyDescent="0.2">
      <c r="A54" s="890"/>
      <c r="B54" s="907"/>
      <c r="C54" s="478" t="str">
        <f>T!C95</f>
        <v>5-50% and no inhabited building is within 300 ft of the AA</v>
      </c>
      <c r="D54" s="132">
        <f>T!D95</f>
        <v>0</v>
      </c>
      <c r="E54" s="333">
        <v>4</v>
      </c>
      <c r="F54" s="333">
        <f t="shared" si="1"/>
        <v>0</v>
      </c>
      <c r="G54" s="352"/>
      <c r="H54" s="907"/>
    </row>
    <row r="55" spans="1:9" ht="15" customHeight="1" x14ac:dyDescent="0.2">
      <c r="A55" s="890"/>
      <c r="B55" s="907"/>
      <c r="C55" s="478" t="str">
        <f>T!C96</f>
        <v>5-50% and inhabited building is within 300 ft of the AA</v>
      </c>
      <c r="D55" s="132">
        <f>T!D96</f>
        <v>0</v>
      </c>
      <c r="E55" s="333">
        <v>3</v>
      </c>
      <c r="F55" s="333">
        <f t="shared" si="1"/>
        <v>0</v>
      </c>
      <c r="G55" s="352"/>
      <c r="H55" s="907"/>
    </row>
    <row r="56" spans="1:9" ht="15" customHeight="1" x14ac:dyDescent="0.2">
      <c r="A56" s="890"/>
      <c r="B56" s="907"/>
      <c r="C56" s="478" t="str">
        <f>T!C97</f>
        <v>50-95%</v>
      </c>
      <c r="D56" s="132">
        <f>T!D97</f>
        <v>0</v>
      </c>
      <c r="E56" s="333">
        <v>5</v>
      </c>
      <c r="F56" s="333">
        <f t="shared" si="1"/>
        <v>0</v>
      </c>
      <c r="G56" s="352"/>
      <c r="H56" s="907"/>
    </row>
    <row r="57" spans="1:9" ht="15" customHeight="1" thickBot="1" x14ac:dyDescent="0.25">
      <c r="A57" s="890"/>
      <c r="B57" s="907"/>
      <c r="C57" s="479" t="str">
        <f>T!C98</f>
        <v>&gt;95% of the AA</v>
      </c>
      <c r="D57" s="334">
        <f>T!D98</f>
        <v>0</v>
      </c>
      <c r="E57" s="335">
        <v>6</v>
      </c>
      <c r="F57" s="335">
        <f t="shared" si="1"/>
        <v>0</v>
      </c>
      <c r="G57" s="349"/>
      <c r="H57" s="907"/>
    </row>
    <row r="58" spans="1:9" ht="60" customHeight="1" thickBot="1" x14ac:dyDescent="0.25">
      <c r="A58" s="909" t="str">
        <f>T!A99</f>
        <v>T20</v>
      </c>
      <c r="B58" s="908" t="str">
        <f>T!B99</f>
        <v>Core Area 2</v>
      </c>
      <c r="C58" s="317" t="str">
        <f>T!C99</f>
        <v xml:space="preserve">The part of the AA visited by humans almost daily for several weeks during an average year probably comprises: [Note: Do not include visitors on trails outside of the AA unless more than half the wetland is visible from the trails and they are within 100 ft of the wetland edge.  In that case include only the area occupied by the trail]. </v>
      </c>
      <c r="D58" s="338"/>
      <c r="E58" s="339"/>
      <c r="F58" s="339"/>
      <c r="G58" s="163">
        <f>MAX(F59:F62)/MAX(E59:E62)</f>
        <v>0.25</v>
      </c>
      <c r="H58" s="908" t="s">
        <v>914</v>
      </c>
      <c r="I58" s="25" t="s">
        <v>669</v>
      </c>
    </row>
    <row r="59" spans="1:9" ht="15" customHeight="1" x14ac:dyDescent="0.2">
      <c r="A59" s="910"/>
      <c r="B59" s="907"/>
      <c r="C59" s="207" t="str">
        <f>T!C100</f>
        <v>&lt;5%</v>
      </c>
      <c r="D59" s="132">
        <f>T!D100</f>
        <v>0</v>
      </c>
      <c r="E59" s="333">
        <v>4</v>
      </c>
      <c r="F59" s="333">
        <f t="shared" ref="F59:F74" si="2">D59*E59</f>
        <v>0</v>
      </c>
      <c r="G59" s="352"/>
      <c r="H59" s="907"/>
    </row>
    <row r="60" spans="1:9" ht="15" customHeight="1" x14ac:dyDescent="0.2">
      <c r="A60" s="910"/>
      <c r="B60" s="907"/>
      <c r="C60" s="311" t="str">
        <f>T!C101</f>
        <v>5-50%</v>
      </c>
      <c r="D60" s="132">
        <f>T!D101</f>
        <v>0</v>
      </c>
      <c r="E60" s="333">
        <v>3</v>
      </c>
      <c r="F60" s="333">
        <f t="shared" si="2"/>
        <v>0</v>
      </c>
      <c r="G60" s="352"/>
      <c r="H60" s="907"/>
    </row>
    <row r="61" spans="1:9" ht="15" customHeight="1" x14ac:dyDescent="0.2">
      <c r="A61" s="910"/>
      <c r="B61" s="907"/>
      <c r="C61" s="478" t="str">
        <f>T!C102</f>
        <v>50-95%</v>
      </c>
      <c r="D61" s="132">
        <f>T!D102</f>
        <v>0</v>
      </c>
      <c r="E61" s="333">
        <v>2</v>
      </c>
      <c r="F61" s="333">
        <f t="shared" si="2"/>
        <v>0</v>
      </c>
      <c r="G61" s="352"/>
      <c r="H61" s="907"/>
    </row>
    <row r="62" spans="1:9" ht="15" customHeight="1" thickBot="1" x14ac:dyDescent="0.25">
      <c r="A62" s="768"/>
      <c r="B62" s="774"/>
      <c r="C62" s="318" t="str">
        <f>T!C103</f>
        <v>&gt;95% of the AA</v>
      </c>
      <c r="D62" s="133">
        <f>T!D103</f>
        <v>1</v>
      </c>
      <c r="E62" s="341">
        <v>1</v>
      </c>
      <c r="F62" s="341">
        <f t="shared" si="2"/>
        <v>1</v>
      </c>
      <c r="G62" s="350"/>
      <c r="H62" s="774"/>
    </row>
    <row r="63" spans="1:9" ht="21" customHeight="1" thickBot="1" x14ac:dyDescent="0.25">
      <c r="A63" s="890" t="str">
        <f>OF!A8</f>
        <v>OF2</v>
      </c>
      <c r="B63" s="1005" t="str">
        <f>OF!B8</f>
        <v>Geomorphic Setting</v>
      </c>
      <c r="C63" s="269" t="str">
        <f>OF!C8</f>
        <v>As viewed at a coarse (e.g., 1:24000) scale, the AA is (select one):</v>
      </c>
      <c r="D63" s="323"/>
      <c r="E63" s="331"/>
      <c r="F63" s="332"/>
      <c r="G63" s="320">
        <f>MAX(F64:F67)/MAX(E64:E67)</f>
        <v>0.8</v>
      </c>
      <c r="H63" s="907" t="s">
        <v>233</v>
      </c>
      <c r="I63" s="25" t="s">
        <v>690</v>
      </c>
    </row>
    <row r="64" spans="1:9" ht="27" customHeight="1" x14ac:dyDescent="0.2">
      <c r="A64" s="890"/>
      <c r="B64" s="1005"/>
      <c r="C64" s="207" t="str">
        <f>OF!C9</f>
        <v>Adjoined by a major* river, and is closer to the upriver head-of-tide than to marine bays or ocean; if known, the water salinity is &lt;5 ppt at low tide nearly all the year.</v>
      </c>
      <c r="D64" s="131">
        <f>OF!D9</f>
        <v>0</v>
      </c>
      <c r="E64" s="333">
        <v>5</v>
      </c>
      <c r="F64" s="333">
        <f>D64*E64</f>
        <v>0</v>
      </c>
      <c r="G64" s="351"/>
      <c r="H64" s="907"/>
    </row>
    <row r="65" spans="1:9" ht="27" customHeight="1" x14ac:dyDescent="0.2">
      <c r="A65" s="890"/>
      <c r="B65" s="1005"/>
      <c r="C65" s="311" t="str">
        <f>OF!C10</f>
        <v>Adjoined by a major* river, and is closer to marine bays or ocean than to upriver head-of-tide; may be in a river delta; if known, the water salinity is &gt;5 ppt at low tide nearly all the year.</v>
      </c>
      <c r="D65" s="131">
        <f>OF!D10</f>
        <v>1</v>
      </c>
      <c r="E65" s="333">
        <v>4</v>
      </c>
      <c r="F65" s="333">
        <f>D65*E65</f>
        <v>4</v>
      </c>
      <c r="G65" s="352"/>
      <c r="H65" s="907"/>
    </row>
    <row r="66" spans="1:9" ht="40.5" customHeight="1" x14ac:dyDescent="0.2">
      <c r="A66" s="890"/>
      <c r="B66" s="1005"/>
      <c r="C66" s="311" t="str">
        <f>OF!C11</f>
        <v xml:space="preserve">In a sheltered fish-accessible lagoon, embayment, pocket beach, or tidal slough with a relatively narrow connection to other marine waters and no direct river inputs (a small tributary may be present). </v>
      </c>
      <c r="D66" s="131">
        <f>OF!D11</f>
        <v>0</v>
      </c>
      <c r="E66" s="333">
        <v>2</v>
      </c>
      <c r="F66" s="333">
        <f>D66*E66</f>
        <v>0</v>
      </c>
      <c r="G66" s="352"/>
      <c r="H66" s="907"/>
    </row>
    <row r="67" spans="1:9" ht="15" customHeight="1" x14ac:dyDescent="0.2">
      <c r="A67" s="890"/>
      <c r="B67" s="1005"/>
      <c r="C67" s="311" t="str">
        <f>OF!C12</f>
        <v>On a marine fjord, canal, or strait with no major river adjoining the AA itself.</v>
      </c>
      <c r="D67" s="131">
        <f>OF!D12</f>
        <v>0</v>
      </c>
      <c r="E67" s="333">
        <v>1</v>
      </c>
      <c r="F67" s="333">
        <f>D67*E67</f>
        <v>0</v>
      </c>
      <c r="G67" s="352"/>
      <c r="H67" s="907"/>
    </row>
    <row r="68" spans="1:9" ht="15" customHeight="1" thickBot="1" x14ac:dyDescent="0.25">
      <c r="A68" s="890"/>
      <c r="B68" s="1005"/>
      <c r="C68" s="312" t="str">
        <f>OF!C13</f>
        <v>Other setting</v>
      </c>
      <c r="D68" s="325">
        <f>OF!D13</f>
        <v>0</v>
      </c>
      <c r="E68" s="335"/>
      <c r="F68" s="335"/>
      <c r="G68" s="349"/>
      <c r="H68" s="907"/>
    </row>
    <row r="69" spans="1:9" ht="31.5" customHeight="1" thickBot="1" x14ac:dyDescent="0.25">
      <c r="A69" s="909" t="str">
        <f>OF!A14</f>
        <v>OF3</v>
      </c>
      <c r="B69" s="908" t="str">
        <f>OF!B14</f>
        <v>Distance to Nearest Population Center</v>
      </c>
      <c r="C69" s="317" t="str">
        <f>OF!C14</f>
        <v>From the center of the AA, the distance to the nearest population center, via the nearest maintained road, is:</v>
      </c>
      <c r="D69" s="338"/>
      <c r="E69" s="339"/>
      <c r="F69" s="340"/>
      <c r="G69" s="163">
        <f>MAX(F70:F74)/MAX(E70:E74)</f>
        <v>0.66666666666666663</v>
      </c>
      <c r="H69" s="908" t="s">
        <v>11</v>
      </c>
      <c r="I69" s="25" t="s">
        <v>689</v>
      </c>
    </row>
    <row r="70" spans="1:9" ht="15" customHeight="1" x14ac:dyDescent="0.2">
      <c r="A70" s="910"/>
      <c r="B70" s="907"/>
      <c r="C70" s="207" t="str">
        <f>OF!C15</f>
        <v>&lt;0.5 mile</v>
      </c>
      <c r="D70" s="131">
        <f>OF!D15</f>
        <v>0</v>
      </c>
      <c r="E70" s="333">
        <v>1</v>
      </c>
      <c r="F70" s="333">
        <f t="shared" si="2"/>
        <v>0</v>
      </c>
      <c r="G70" s="351"/>
      <c r="H70" s="907"/>
    </row>
    <row r="71" spans="1:9" ht="15" customHeight="1" x14ac:dyDescent="0.2">
      <c r="A71" s="910"/>
      <c r="B71" s="907"/>
      <c r="C71" s="311" t="str">
        <f>OF!C16</f>
        <v>0.5 - 2 miles</v>
      </c>
      <c r="D71" s="131">
        <f>OF!D16</f>
        <v>1</v>
      </c>
      <c r="E71" s="333">
        <v>2</v>
      </c>
      <c r="F71" s="333">
        <f t="shared" si="2"/>
        <v>2</v>
      </c>
      <c r="G71" s="352"/>
      <c r="H71" s="907"/>
    </row>
    <row r="72" spans="1:9" ht="15" customHeight="1" x14ac:dyDescent="0.2">
      <c r="A72" s="910"/>
      <c r="B72" s="907"/>
      <c r="C72" s="311" t="str">
        <f>OF!C17</f>
        <v>2-5 miles</v>
      </c>
      <c r="D72" s="131">
        <f>OF!D17</f>
        <v>0</v>
      </c>
      <c r="E72" s="333">
        <v>3</v>
      </c>
      <c r="F72" s="333">
        <f t="shared" si="2"/>
        <v>0</v>
      </c>
      <c r="G72" s="352"/>
      <c r="H72" s="907"/>
    </row>
    <row r="73" spans="1:9" ht="15" customHeight="1" x14ac:dyDescent="0.2">
      <c r="A73" s="910"/>
      <c r="B73" s="907"/>
      <c r="C73" s="311" t="str">
        <f>OF!C18</f>
        <v>5-10 miles</v>
      </c>
      <c r="D73" s="131">
        <f>OF!D18</f>
        <v>0</v>
      </c>
      <c r="E73" s="333">
        <v>3</v>
      </c>
      <c r="F73" s="333">
        <f t="shared" si="2"/>
        <v>0</v>
      </c>
      <c r="G73" s="352"/>
      <c r="H73" s="907"/>
    </row>
    <row r="74" spans="1:9" ht="15" customHeight="1" thickBot="1" x14ac:dyDescent="0.25">
      <c r="A74" s="768"/>
      <c r="B74" s="774"/>
      <c r="C74" s="318" t="str">
        <f>OF!C19</f>
        <v>&gt;10 miles</v>
      </c>
      <c r="D74" s="328">
        <f>OF!D19</f>
        <v>0</v>
      </c>
      <c r="E74" s="341">
        <v>3</v>
      </c>
      <c r="F74" s="341">
        <f t="shared" si="2"/>
        <v>0</v>
      </c>
      <c r="G74" s="350"/>
      <c r="H74" s="774"/>
    </row>
    <row r="75" spans="1:9" ht="21" customHeight="1" thickBot="1" x14ac:dyDescent="0.25">
      <c r="A75" s="890" t="str">
        <f>OF!A21</f>
        <v>OF5</v>
      </c>
      <c r="B75" s="907" t="str">
        <f>OF!B21</f>
        <v>Distance to Nearest Road</v>
      </c>
      <c r="C75" s="269" t="str">
        <f>OF!C21</f>
        <v>The distance from the center of the AA to the nearest maintained road (dirt or paved) is:</v>
      </c>
      <c r="D75" s="323"/>
      <c r="E75" s="331"/>
      <c r="F75" s="331"/>
      <c r="G75" s="320">
        <f>MAX(F76:F81)/MAX(E76:E81)</f>
        <v>0.2857142857142857</v>
      </c>
      <c r="H75" s="907" t="s">
        <v>12</v>
      </c>
      <c r="I75" s="25" t="s">
        <v>670</v>
      </c>
    </row>
    <row r="76" spans="1:9" ht="15" customHeight="1" x14ac:dyDescent="0.2">
      <c r="A76" s="890"/>
      <c r="B76" s="907"/>
      <c r="C76" s="207" t="str">
        <f>OF!C22</f>
        <v>&lt;100 ft</v>
      </c>
      <c r="D76" s="131">
        <f>OF!D22</f>
        <v>0</v>
      </c>
      <c r="E76" s="333">
        <v>1</v>
      </c>
      <c r="F76" s="333">
        <f t="shared" ref="F76:F81" si="3">D76*E76</f>
        <v>0</v>
      </c>
      <c r="G76" s="352"/>
      <c r="H76" s="907"/>
    </row>
    <row r="77" spans="1:9" ht="15" customHeight="1" x14ac:dyDescent="0.2">
      <c r="A77" s="890"/>
      <c r="B77" s="907"/>
      <c r="C77" s="311" t="str">
        <f>OF!C23</f>
        <v>100-500 ft</v>
      </c>
      <c r="D77" s="131">
        <f>OF!D23</f>
        <v>1</v>
      </c>
      <c r="E77" s="333">
        <v>2</v>
      </c>
      <c r="F77" s="333">
        <f t="shared" si="3"/>
        <v>2</v>
      </c>
      <c r="G77" s="352"/>
      <c r="H77" s="907"/>
    </row>
    <row r="78" spans="1:9" ht="15" customHeight="1" x14ac:dyDescent="0.2">
      <c r="A78" s="890"/>
      <c r="B78" s="907"/>
      <c r="C78" s="311" t="str">
        <f>OF!C24</f>
        <v>500-1000 ft</v>
      </c>
      <c r="D78" s="131">
        <f>OF!D24</f>
        <v>0</v>
      </c>
      <c r="E78" s="333">
        <v>4</v>
      </c>
      <c r="F78" s="333">
        <f t="shared" si="3"/>
        <v>0</v>
      </c>
      <c r="G78" s="352"/>
      <c r="H78" s="907"/>
    </row>
    <row r="79" spans="1:9" ht="15" customHeight="1" x14ac:dyDescent="0.2">
      <c r="A79" s="890"/>
      <c r="B79" s="907"/>
      <c r="C79" s="311" t="str">
        <f>OF!C25</f>
        <v>1000-2600 ft</v>
      </c>
      <c r="D79" s="131">
        <f>OF!D25</f>
        <v>0</v>
      </c>
      <c r="E79" s="333">
        <v>5</v>
      </c>
      <c r="F79" s="333">
        <f t="shared" si="3"/>
        <v>0</v>
      </c>
      <c r="G79" s="352"/>
      <c r="H79" s="907"/>
    </row>
    <row r="80" spans="1:9" ht="15" customHeight="1" x14ac:dyDescent="0.2">
      <c r="A80" s="890"/>
      <c r="B80" s="907"/>
      <c r="C80" s="311" t="str">
        <f>OF!C26</f>
        <v>0.5- 1 mile</v>
      </c>
      <c r="D80" s="131">
        <f>OF!D26</f>
        <v>0</v>
      </c>
      <c r="E80" s="333">
        <v>6</v>
      </c>
      <c r="F80" s="333">
        <f t="shared" si="3"/>
        <v>0</v>
      </c>
      <c r="G80" s="352"/>
      <c r="H80" s="907"/>
    </row>
    <row r="81" spans="1:9" ht="15" customHeight="1" thickBot="1" x14ac:dyDescent="0.25">
      <c r="A81" s="890"/>
      <c r="B81" s="907"/>
      <c r="C81" s="312" t="str">
        <f>OF!C27</f>
        <v>&gt;1 mile</v>
      </c>
      <c r="D81" s="325">
        <f>OF!D27</f>
        <v>0</v>
      </c>
      <c r="E81" s="335">
        <v>7</v>
      </c>
      <c r="F81" s="335">
        <f t="shared" si="3"/>
        <v>0</v>
      </c>
      <c r="G81" s="349"/>
      <c r="H81" s="907"/>
    </row>
    <row r="82" spans="1:9" ht="30" customHeight="1" thickBot="1" x14ac:dyDescent="0.25">
      <c r="A82" s="891" t="str">
        <f>OF!A28</f>
        <v>OF6</v>
      </c>
      <c r="B82" s="908" t="str">
        <f>OF!B28</f>
        <v>Distance to Natural Land Cover</v>
      </c>
      <c r="C82" s="317" t="str">
        <f>OF!C28</f>
        <v>The minimum distance from the AA edge to the edge of the closest tract or corridor of natural (not necessarily native) land cover larger than 100 acres, is:</v>
      </c>
      <c r="D82" s="338"/>
      <c r="E82" s="339"/>
      <c r="F82" s="339"/>
      <c r="G82" s="163">
        <f>MAX(F83:F87)/MAX(E83:E87)</f>
        <v>1</v>
      </c>
      <c r="H82" s="908" t="s">
        <v>13</v>
      </c>
      <c r="I82" s="25" t="s">
        <v>671</v>
      </c>
    </row>
    <row r="83" spans="1:9" ht="42" customHeight="1" x14ac:dyDescent="0.2">
      <c r="A83" s="892"/>
      <c r="B83" s="907"/>
      <c r="C83" s="207" t="str">
        <f>OF!C29</f>
        <v>&lt;150 ft, or &gt;100 acres of natural land cover is connected to the AA (not separated by roads, stretches of open water, bare ground, lawn, or impervious surface of any width), or the AA contains &gt;100 acres of vegetation.</v>
      </c>
      <c r="D83" s="131">
        <f>OF!D29</f>
        <v>1</v>
      </c>
      <c r="E83" s="333">
        <v>4</v>
      </c>
      <c r="F83" s="333">
        <f>D83*E83</f>
        <v>4</v>
      </c>
      <c r="G83" s="352"/>
      <c r="H83" s="907"/>
    </row>
    <row r="84" spans="1:9" ht="27" customHeight="1" x14ac:dyDescent="0.2">
      <c r="A84" s="892"/>
      <c r="B84" s="907"/>
      <c r="C84" s="311" t="str">
        <f>OF!C30</f>
        <v>&lt;150 ft, but separated from the 100-acre natural land patch by roads, stretches of open water, bare ground, lawn, or impervious surface of any width, and the AA does not contain &gt;100 acres of vegetation.</v>
      </c>
      <c r="D84" s="131">
        <f>OF!D30</f>
        <v>0</v>
      </c>
      <c r="E84" s="333">
        <v>3</v>
      </c>
      <c r="F84" s="333">
        <f>D84*E84</f>
        <v>0</v>
      </c>
      <c r="G84" s="352"/>
      <c r="H84" s="907"/>
    </row>
    <row r="85" spans="1:9" ht="15" customHeight="1" x14ac:dyDescent="0.2">
      <c r="A85" s="892"/>
      <c r="B85" s="907"/>
      <c r="C85" s="311" t="str">
        <f>OF!C31</f>
        <v>150-300 ft, with or without interrupting features</v>
      </c>
      <c r="D85" s="131">
        <f>OF!D31</f>
        <v>0</v>
      </c>
      <c r="E85" s="333">
        <v>2</v>
      </c>
      <c r="F85" s="333">
        <f>D85*E85</f>
        <v>0</v>
      </c>
      <c r="G85" s="352"/>
      <c r="H85" s="907"/>
    </row>
    <row r="86" spans="1:9" ht="15" customHeight="1" x14ac:dyDescent="0.2">
      <c r="A86" s="892"/>
      <c r="B86" s="907"/>
      <c r="C86" s="311" t="str">
        <f>OF!C32</f>
        <v>300-1000 ft, with or without interrupting features</v>
      </c>
      <c r="D86" s="131">
        <f>OF!D32</f>
        <v>0</v>
      </c>
      <c r="E86" s="333">
        <v>1</v>
      </c>
      <c r="F86" s="333">
        <f>D86*E86</f>
        <v>0</v>
      </c>
      <c r="G86" s="352"/>
      <c r="H86" s="907"/>
    </row>
    <row r="87" spans="1:9" ht="15" customHeight="1" thickBot="1" x14ac:dyDescent="0.25">
      <c r="A87" s="893"/>
      <c r="B87" s="774"/>
      <c r="C87" s="318" t="str">
        <f>OF!C33</f>
        <v>none of the above</v>
      </c>
      <c r="D87" s="328">
        <f>OF!D33</f>
        <v>0</v>
      </c>
      <c r="E87" s="341">
        <v>0</v>
      </c>
      <c r="F87" s="341">
        <f>D87*E87</f>
        <v>0</v>
      </c>
      <c r="G87" s="350"/>
      <c r="H87" s="774"/>
    </row>
    <row r="88" spans="1:9" ht="30" customHeight="1" thickBot="1" x14ac:dyDescent="0.25">
      <c r="A88" s="909" t="str">
        <f>OF!A34</f>
        <v>OF7</v>
      </c>
      <c r="B88" s="908" t="str">
        <f>OF!B34</f>
        <v>Natural Cover Extent</v>
      </c>
      <c r="C88" s="317" t="str">
        <f>OF!C34</f>
        <v>Within a 2-mile radius measured from the center of the AA, the percent of the land that has natural land cover (see definition on right) is:</v>
      </c>
      <c r="D88" s="338"/>
      <c r="E88" s="339"/>
      <c r="F88" s="339"/>
      <c r="G88" s="163">
        <f>MAX(F89:F93)/MAX(E89:E93)</f>
        <v>1</v>
      </c>
      <c r="H88" s="908" t="s">
        <v>914</v>
      </c>
      <c r="I88" s="25" t="s">
        <v>672</v>
      </c>
    </row>
    <row r="89" spans="1:9" ht="15" customHeight="1" x14ac:dyDescent="0.2">
      <c r="A89" s="910"/>
      <c r="B89" s="907"/>
      <c r="C89" s="207" t="str">
        <f>OF!C35</f>
        <v>&lt;5% of the land (excluding ocean and bay)</v>
      </c>
      <c r="D89" s="131">
        <f>OF!D35</f>
        <v>0</v>
      </c>
      <c r="E89" s="333">
        <v>0</v>
      </c>
      <c r="F89" s="333">
        <f>D89*E89</f>
        <v>0</v>
      </c>
      <c r="G89" s="352"/>
      <c r="H89" s="907"/>
    </row>
    <row r="90" spans="1:9" ht="15" customHeight="1" x14ac:dyDescent="0.2">
      <c r="A90" s="910"/>
      <c r="B90" s="907"/>
      <c r="C90" s="311" t="str">
        <f>OF!C36</f>
        <v>5 to 20% of the land</v>
      </c>
      <c r="D90" s="131">
        <f>OF!D36</f>
        <v>0</v>
      </c>
      <c r="E90" s="333">
        <v>1</v>
      </c>
      <c r="F90" s="333">
        <f>D90*E90</f>
        <v>0</v>
      </c>
      <c r="G90" s="352"/>
      <c r="H90" s="907"/>
    </row>
    <row r="91" spans="1:9" ht="15" customHeight="1" x14ac:dyDescent="0.2">
      <c r="A91" s="910"/>
      <c r="B91" s="907"/>
      <c r="C91" s="311" t="str">
        <f>OF!C37</f>
        <v>20 to 60% of the land</v>
      </c>
      <c r="D91" s="131">
        <f>OF!D37</f>
        <v>0</v>
      </c>
      <c r="E91" s="333">
        <v>2</v>
      </c>
      <c r="F91" s="333">
        <f>D91*E91</f>
        <v>0</v>
      </c>
      <c r="G91" s="352"/>
      <c r="H91" s="907"/>
    </row>
    <row r="92" spans="1:9" ht="15" customHeight="1" x14ac:dyDescent="0.2">
      <c r="A92" s="910"/>
      <c r="B92" s="907"/>
      <c r="C92" s="311" t="str">
        <f>OF!C38</f>
        <v>60 to 90% of the land</v>
      </c>
      <c r="D92" s="131">
        <f>OF!D38</f>
        <v>0</v>
      </c>
      <c r="E92" s="333">
        <v>4</v>
      </c>
      <c r="F92" s="333">
        <f>D92*E92</f>
        <v>0</v>
      </c>
      <c r="G92" s="352"/>
      <c r="H92" s="907"/>
    </row>
    <row r="93" spans="1:9" ht="15" customHeight="1" thickBot="1" x14ac:dyDescent="0.25">
      <c r="A93" s="768"/>
      <c r="B93" s="774"/>
      <c r="C93" s="318" t="str">
        <f>OF!C39</f>
        <v>&gt;90% of the land.  SKIP to OF9.</v>
      </c>
      <c r="D93" s="328">
        <f>OF!D39</f>
        <v>1</v>
      </c>
      <c r="E93" s="341">
        <v>6</v>
      </c>
      <c r="F93" s="341">
        <f>D93*E93</f>
        <v>6</v>
      </c>
      <c r="G93" s="350"/>
      <c r="H93" s="774"/>
    </row>
    <row r="94" spans="1:9" ht="30" customHeight="1" thickBot="1" x14ac:dyDescent="0.25">
      <c r="A94" s="954" t="str">
        <f>OF!A40</f>
        <v>OF8</v>
      </c>
      <c r="B94" s="907" t="str">
        <f>OF!B40</f>
        <v>Type of Cover Alteration</v>
      </c>
      <c r="C94" s="269" t="str">
        <f>OF!C40</f>
        <v>Within a 2-mile radius measured from the center of the AA, the area that is not "natural cover" or water is mostly:</v>
      </c>
      <c r="D94" s="323"/>
      <c r="E94" s="331"/>
      <c r="F94" s="331"/>
      <c r="G94" s="320">
        <f>MAX(F95:F96)/MAX(E95:E96)</f>
        <v>0</v>
      </c>
      <c r="H94" s="907" t="s">
        <v>10</v>
      </c>
      <c r="I94" s="25" t="s">
        <v>673</v>
      </c>
    </row>
    <row r="95" spans="1:9" ht="15" customHeight="1" x14ac:dyDescent="0.2">
      <c r="A95" s="954"/>
      <c r="B95" s="907"/>
      <c r="C95" s="207" t="str">
        <f>OF!C41</f>
        <v>impervious surface, e.g., paved road, parking lot, building, exposed rock.</v>
      </c>
      <c r="D95" s="131">
        <f>OF!D41</f>
        <v>0</v>
      </c>
      <c r="E95" s="333">
        <v>0</v>
      </c>
      <c r="F95" s="333">
        <f>D95*E95</f>
        <v>0</v>
      </c>
      <c r="G95" s="352"/>
      <c r="H95" s="907"/>
    </row>
    <row r="96" spans="1:9" ht="28.5" customHeight="1" thickBot="1" x14ac:dyDescent="0.25">
      <c r="A96" s="954"/>
      <c r="B96" s="907"/>
      <c r="C96" s="312" t="str">
        <f>OF!C42</f>
        <v>bare or semi-bare pervious surface, e.g., recent clearcut, dirt or gravel road, lawn, plowed fields, landslide.</v>
      </c>
      <c r="D96" s="325">
        <f>OF!D42</f>
        <v>0</v>
      </c>
      <c r="E96" s="335">
        <v>1</v>
      </c>
      <c r="F96" s="335">
        <f>D96*E96</f>
        <v>0</v>
      </c>
      <c r="G96" s="349"/>
      <c r="H96" s="907"/>
    </row>
    <row r="97" spans="1:9" ht="45" customHeight="1" thickBot="1" x14ac:dyDescent="0.25">
      <c r="A97" s="891" t="str">
        <f>OF!A43</f>
        <v>OF9</v>
      </c>
      <c r="B97" s="908" t="str">
        <f>OF!B43</f>
        <v>Size of Largest Nearby Tract or Corridor of Natural Land Cover</v>
      </c>
      <c r="C97" s="317" t="str">
        <f>OF!C43</f>
        <v>The largest patch or corridor that is natural land cover and is contiguous with vegetation in the AA (i.e., not separated by roads or channels that create gaps wider than 150 ft), and includes the AA's vegetated area itself, occupies:</v>
      </c>
      <c r="D97" s="338"/>
      <c r="E97" s="339"/>
      <c r="F97" s="339"/>
      <c r="G97" s="163">
        <f>MAX(F98:F102)/MAX(E98:E102)</f>
        <v>1</v>
      </c>
      <c r="H97" s="908" t="s">
        <v>14</v>
      </c>
      <c r="I97" s="25" t="s">
        <v>674</v>
      </c>
    </row>
    <row r="98" spans="1:9" ht="15" customHeight="1" x14ac:dyDescent="0.2">
      <c r="A98" s="892"/>
      <c r="B98" s="907"/>
      <c r="C98" s="207" t="str">
        <f>OF!C44</f>
        <v>&lt;1 acre, or larger but with average width &lt;150 ft</v>
      </c>
      <c r="D98" s="131">
        <f>OF!D44</f>
        <v>0</v>
      </c>
      <c r="E98" s="333">
        <v>1</v>
      </c>
      <c r="F98" s="333">
        <f>D98*E98</f>
        <v>0</v>
      </c>
      <c r="G98" s="352"/>
      <c r="H98" s="907"/>
    </row>
    <row r="99" spans="1:9" ht="15" customHeight="1" x14ac:dyDescent="0.2">
      <c r="A99" s="892"/>
      <c r="B99" s="907"/>
      <c r="C99" s="311" t="str">
        <f>OF!C45</f>
        <v>1-10 acres</v>
      </c>
      <c r="D99" s="131">
        <f>OF!D45</f>
        <v>0</v>
      </c>
      <c r="E99" s="333">
        <v>3</v>
      </c>
      <c r="F99" s="333">
        <f>D99*E99</f>
        <v>0</v>
      </c>
      <c r="G99" s="352"/>
      <c r="H99" s="907"/>
    </row>
    <row r="100" spans="1:9" ht="15" customHeight="1" x14ac:dyDescent="0.2">
      <c r="A100" s="892"/>
      <c r="B100" s="907"/>
      <c r="C100" s="311" t="str">
        <f>OF!C46</f>
        <v>10-100 acres</v>
      </c>
      <c r="D100" s="131">
        <f>OF!D46</f>
        <v>0</v>
      </c>
      <c r="E100" s="333">
        <v>5</v>
      </c>
      <c r="F100" s="333">
        <f>D100*E100</f>
        <v>0</v>
      </c>
      <c r="G100" s="352"/>
      <c r="H100" s="907"/>
    </row>
    <row r="101" spans="1:9" ht="15" customHeight="1" x14ac:dyDescent="0.2">
      <c r="A101" s="892"/>
      <c r="B101" s="907"/>
      <c r="C101" s="311" t="str">
        <f>OF!C47</f>
        <v>100-1000 acres</v>
      </c>
      <c r="D101" s="131">
        <f>OF!D47</f>
        <v>0</v>
      </c>
      <c r="E101" s="333">
        <v>6</v>
      </c>
      <c r="F101" s="333">
        <f>D101*E101</f>
        <v>0</v>
      </c>
      <c r="G101" s="352"/>
      <c r="H101" s="907"/>
    </row>
    <row r="102" spans="1:9" ht="15" customHeight="1" thickBot="1" x14ac:dyDescent="0.25">
      <c r="A102" s="893"/>
      <c r="B102" s="774"/>
      <c r="C102" s="318" t="str">
        <f>OF!C48</f>
        <v>&gt;1000 acres</v>
      </c>
      <c r="D102" s="328">
        <f>OF!D48</f>
        <v>1</v>
      </c>
      <c r="E102" s="341">
        <v>7</v>
      </c>
      <c r="F102" s="341">
        <f>D102*E102</f>
        <v>7</v>
      </c>
      <c r="G102" s="350"/>
      <c r="H102" s="774"/>
    </row>
    <row r="103" spans="1:9" ht="30" customHeight="1" thickBot="1" x14ac:dyDescent="0.25">
      <c r="A103" s="99" t="str">
        <f>OF!A108</f>
        <v>OF21</v>
      </c>
      <c r="B103" s="70" t="str">
        <f>OF!B108</f>
        <v>Bear Habitat Suitability</v>
      </c>
      <c r="C103" s="263" t="str">
        <f>OF!C108</f>
        <v xml:space="preserve">From the online Wetlands Module&gt; Habitat&gt; Bear Summer Habitat, the suitability surrounding the AA is: 3=Very High, 2= High, 1= Moderate, 0= all other.  </v>
      </c>
      <c r="D103" s="336"/>
      <c r="E103" s="337"/>
      <c r="F103" s="336"/>
      <c r="G103" s="163">
        <f>OF!D108/3</f>
        <v>0.66666666666666663</v>
      </c>
      <c r="H103" s="70" t="s">
        <v>180</v>
      </c>
      <c r="I103" s="25" t="s">
        <v>688</v>
      </c>
    </row>
    <row r="104" spans="1:9" ht="30" customHeight="1" thickBot="1" x14ac:dyDescent="0.25">
      <c r="A104" s="890" t="str">
        <f>OF!A133</f>
        <v>OF27</v>
      </c>
      <c r="B104" s="907" t="str">
        <f>OF!B133</f>
        <v>Tidal Wetland Age</v>
      </c>
      <c r="C104" s="480" t="str">
        <f>OF!C133</f>
        <v>The age of the AA since last covered by a glacier or mostly submerged below tidal low water prior to glacial rebound is:</v>
      </c>
      <c r="D104" s="323"/>
      <c r="E104" s="331"/>
      <c r="F104" s="331"/>
      <c r="G104" s="320">
        <f>MAX(F105:F109)/MAX(E105:E109)</f>
        <v>0.8</v>
      </c>
      <c r="H104" s="907" t="s">
        <v>181</v>
      </c>
      <c r="I104" s="25" t="s">
        <v>676</v>
      </c>
    </row>
    <row r="105" spans="1:9" ht="15" customHeight="1" x14ac:dyDescent="0.2">
      <c r="A105" s="890"/>
      <c r="B105" s="907"/>
      <c r="C105" s="314" t="str">
        <f>OF!C134</f>
        <v>&lt; 3 years old</v>
      </c>
      <c r="D105" s="131">
        <f>OF!D134</f>
        <v>0</v>
      </c>
      <c r="E105" s="333">
        <v>0</v>
      </c>
      <c r="F105" s="333">
        <f>D105*E105</f>
        <v>0</v>
      </c>
      <c r="G105" s="352"/>
      <c r="H105" s="907"/>
    </row>
    <row r="106" spans="1:9" ht="15" customHeight="1" x14ac:dyDescent="0.2">
      <c r="A106" s="890"/>
      <c r="B106" s="907"/>
      <c r="C106" s="315" t="str">
        <f>OF!C135</f>
        <v>3-20 years ago</v>
      </c>
      <c r="D106" s="131">
        <f>OF!D135</f>
        <v>0</v>
      </c>
      <c r="E106" s="333">
        <v>2</v>
      </c>
      <c r="F106" s="333">
        <f>D106*E106</f>
        <v>0</v>
      </c>
      <c r="G106" s="352"/>
      <c r="H106" s="907"/>
    </row>
    <row r="107" spans="1:9" ht="15" customHeight="1" x14ac:dyDescent="0.2">
      <c r="A107" s="890"/>
      <c r="B107" s="907"/>
      <c r="C107" s="315" t="str">
        <f>OF!C136</f>
        <v>20- 200 years ago</v>
      </c>
      <c r="D107" s="131">
        <f>OF!D136</f>
        <v>0</v>
      </c>
      <c r="E107" s="333">
        <v>3</v>
      </c>
      <c r="F107" s="333">
        <f>D107*E107</f>
        <v>0</v>
      </c>
      <c r="G107" s="352"/>
      <c r="H107" s="907"/>
    </row>
    <row r="108" spans="1:9" ht="15" customHeight="1" x14ac:dyDescent="0.2">
      <c r="A108" s="890"/>
      <c r="B108" s="907"/>
      <c r="C108" s="311" t="str">
        <f>OF!C137</f>
        <v>&gt;200 years ago</v>
      </c>
      <c r="D108" s="131">
        <f>OF!D137</f>
        <v>1</v>
      </c>
      <c r="E108" s="333">
        <v>4</v>
      </c>
      <c r="F108" s="333">
        <f>D108*E108</f>
        <v>4</v>
      </c>
      <c r="G108" s="352"/>
      <c r="H108" s="907"/>
    </row>
    <row r="109" spans="1:9" ht="15" customHeight="1" thickBot="1" x14ac:dyDescent="0.25">
      <c r="A109" s="994"/>
      <c r="B109" s="995"/>
      <c r="C109" s="315" t="str">
        <f>OF!C138</f>
        <v>unknown</v>
      </c>
      <c r="D109" s="131">
        <f>OF!D138</f>
        <v>0</v>
      </c>
      <c r="E109" s="333">
        <v>5</v>
      </c>
      <c r="F109" s="333">
        <f>D109*E109</f>
        <v>0</v>
      </c>
      <c r="G109" s="352"/>
      <c r="H109" s="774"/>
    </row>
    <row r="110" spans="1:9" s="410" customFormat="1" ht="30" customHeight="1" thickBot="1" x14ac:dyDescent="0.25">
      <c r="A110" s="188" t="s">
        <v>770</v>
      </c>
      <c r="B110" s="189" t="s">
        <v>3644</v>
      </c>
      <c r="C110" s="452" t="s">
        <v>32</v>
      </c>
      <c r="D110" s="67" t="s">
        <v>805</v>
      </c>
      <c r="E110" s="67" t="s">
        <v>1017</v>
      </c>
      <c r="F110" s="67" t="s">
        <v>1018</v>
      </c>
      <c r="G110" s="421" t="s">
        <v>355</v>
      </c>
      <c r="H110" s="189" t="s">
        <v>503</v>
      </c>
    </row>
    <row r="111" spans="1:9" ht="30" customHeight="1" thickBot="1" x14ac:dyDescent="0.25">
      <c r="A111" s="1001" t="str">
        <f>OF!A75</f>
        <v>OF14</v>
      </c>
      <c r="B111" s="967" t="str">
        <f>OF!B75</f>
        <v>Distance to Separate Tidal Marsh</v>
      </c>
      <c r="C111" s="100" t="str">
        <f>OF!C75</f>
        <v>The distance by water to the closest tidal marsh that is distinct from the AA (&gt;150 ft away and separated by subtidal water, permanent channel, or upland) is:</v>
      </c>
      <c r="D111" s="326"/>
      <c r="E111" s="333"/>
      <c r="F111" s="333"/>
      <c r="G111" s="481">
        <f>MAX(F112:F115)/MAX(E112:E115)</f>
        <v>0</v>
      </c>
      <c r="H111" s="908" t="s">
        <v>88</v>
      </c>
      <c r="I111" s="25" t="s">
        <v>95</v>
      </c>
    </row>
    <row r="112" spans="1:9" ht="15" customHeight="1" x14ac:dyDescent="0.2">
      <c r="A112" s="1001"/>
      <c r="B112" s="967"/>
      <c r="C112" s="482" t="str">
        <f>OF!C76</f>
        <v>150-1000 ft</v>
      </c>
      <c r="D112" s="132">
        <f>OF!D76</f>
        <v>1</v>
      </c>
      <c r="E112" s="333">
        <v>0</v>
      </c>
      <c r="F112" s="333">
        <f>D112*E112</f>
        <v>0</v>
      </c>
      <c r="G112" s="428"/>
      <c r="H112" s="907"/>
    </row>
    <row r="113" spans="1:14" ht="15" customHeight="1" x14ac:dyDescent="0.2">
      <c r="A113" s="1001"/>
      <c r="B113" s="967"/>
      <c r="C113" s="419" t="str">
        <f>OF!C77</f>
        <v>1000 ft - 1 mile</v>
      </c>
      <c r="D113" s="132">
        <f>OF!D77</f>
        <v>0</v>
      </c>
      <c r="E113" s="333">
        <v>1</v>
      </c>
      <c r="F113" s="333">
        <f>D113*E113</f>
        <v>0</v>
      </c>
      <c r="G113" s="428"/>
      <c r="H113" s="907"/>
    </row>
    <row r="114" spans="1:14" ht="15" customHeight="1" x14ac:dyDescent="0.2">
      <c r="A114" s="1001"/>
      <c r="B114" s="967"/>
      <c r="C114" s="419" t="str">
        <f>OF!C78</f>
        <v>1-5 miles</v>
      </c>
      <c r="D114" s="132">
        <f>OF!D78</f>
        <v>0</v>
      </c>
      <c r="E114" s="333">
        <v>2</v>
      </c>
      <c r="F114" s="333">
        <f>D114*E114</f>
        <v>0</v>
      </c>
      <c r="G114" s="428"/>
      <c r="H114" s="907"/>
    </row>
    <row r="115" spans="1:14" ht="15" customHeight="1" thickBot="1" x14ac:dyDescent="0.25">
      <c r="A115" s="1001"/>
      <c r="B115" s="967"/>
      <c r="C115" s="412" t="str">
        <f>OF!C79</f>
        <v>&gt;5 miles</v>
      </c>
      <c r="D115" s="334">
        <f>OF!D79</f>
        <v>0</v>
      </c>
      <c r="E115" s="335">
        <v>3</v>
      </c>
      <c r="F115" s="335">
        <f>D115*E115</f>
        <v>0</v>
      </c>
      <c r="G115" s="483"/>
      <c r="H115" s="907"/>
    </row>
    <row r="116" spans="1:14" ht="60" customHeight="1" thickBot="1" x14ac:dyDescent="0.25">
      <c r="A116" s="99" t="str">
        <f>OF!A167</f>
        <v>OF40</v>
      </c>
      <c r="B116" s="70" t="str">
        <f>OF!B167</f>
        <v>Plant Species of Conservation Concern</v>
      </c>
      <c r="C116" s="263" t="str">
        <f>OF!C167</f>
        <v>An uncommon or imperiled wetland indicator plant that is (a) listed in Table C-6 of the Manual, or (b) is a native species that is not listed as occurring in Southeast Alaska in the PlantList worksheet below, has been detected within the AA under conditions similar to what now occur, by a qualified observer. Enter "1" if yes, "0" if no or unknown.</v>
      </c>
      <c r="D116" s="337"/>
      <c r="E116" s="337"/>
      <c r="F116" s="336"/>
      <c r="G116" s="401">
        <f>OF!D167</f>
        <v>0</v>
      </c>
      <c r="H116" s="70" t="s">
        <v>182</v>
      </c>
      <c r="I116" s="25" t="s">
        <v>675</v>
      </c>
    </row>
    <row r="117" spans="1:14" ht="21" customHeight="1" thickBot="1" x14ac:dyDescent="0.25">
      <c r="A117" s="980"/>
      <c r="B117" s="980"/>
      <c r="C117" s="980"/>
      <c r="D117" s="969"/>
      <c r="E117" s="969"/>
      <c r="F117" s="969"/>
      <c r="G117" s="969"/>
      <c r="H117" s="969"/>
    </row>
    <row r="118" spans="1:14" ht="21" customHeight="1" x14ac:dyDescent="0.2">
      <c r="A118" s="970"/>
      <c r="B118" s="970"/>
      <c r="C118" s="970"/>
      <c r="D118" s="985" t="s">
        <v>692</v>
      </c>
      <c r="E118" s="986"/>
      <c r="F118" s="986"/>
      <c r="G118" s="354">
        <f>AVERAGE(Groundw7, RiverBay7)</f>
        <v>0.73333333333333339</v>
      </c>
      <c r="H118" s="117" t="s">
        <v>696</v>
      </c>
    </row>
    <row r="119" spans="1:14" ht="21" customHeight="1" x14ac:dyDescent="0.2">
      <c r="A119" s="970"/>
      <c r="B119" s="970"/>
      <c r="C119" s="970"/>
      <c r="D119" s="988" t="s">
        <v>693</v>
      </c>
      <c r="E119" s="989"/>
      <c r="F119" s="989"/>
      <c r="G119" s="355">
        <f>AVERAGE(LowMarshT7, VwidthHi7, SoilTex7)</f>
        <v>0.49206349206349209</v>
      </c>
      <c r="H119" s="118" t="s">
        <v>78</v>
      </c>
    </row>
    <row r="120" spans="1:14" ht="21" customHeight="1" x14ac:dyDescent="0.2">
      <c r="A120" s="970"/>
      <c r="B120" s="970"/>
      <c r="C120" s="970"/>
      <c r="D120" s="988" t="s">
        <v>610</v>
      </c>
      <c r="E120" s="989"/>
      <c r="F120" s="989"/>
      <c r="G120" s="355">
        <f>AVERAGE(Bare7, GramForb7, TmarshAge7,HerbDomin7)</f>
        <v>0.51250000000000007</v>
      </c>
      <c r="H120" s="118" t="s">
        <v>339</v>
      </c>
    </row>
    <row r="121" spans="1:14" ht="21" customHeight="1" x14ac:dyDescent="0.2">
      <c r="A121" s="970"/>
      <c r="B121" s="970"/>
      <c r="C121" s="970"/>
      <c r="D121" s="988" t="s">
        <v>694</v>
      </c>
      <c r="E121" s="989"/>
      <c r="F121" s="989"/>
      <c r="G121" s="355">
        <f>AVERAGE(RoadDist7, PopCtr7, Core1_7, Core2_7, PatchSize7, BuffNatPct7, BuffLUtyp7)</f>
        <v>0.4812925170068027</v>
      </c>
      <c r="H121" s="118" t="s">
        <v>697</v>
      </c>
    </row>
    <row r="122" spans="1:14" ht="21" customHeight="1" thickBot="1" x14ac:dyDescent="0.25">
      <c r="A122" s="970"/>
      <c r="B122" s="970"/>
      <c r="C122" s="970"/>
      <c r="D122" s="990" t="s">
        <v>611</v>
      </c>
      <c r="E122" s="991"/>
      <c r="F122" s="991"/>
      <c r="G122" s="356">
        <f>AVERAGE(Dist2Nat7, NatPct7, LCaltTyp7, Bearshed7)</f>
        <v>0.66666666666666663</v>
      </c>
      <c r="H122" s="119" t="s">
        <v>698</v>
      </c>
    </row>
    <row r="123" spans="1:14" ht="21" customHeight="1" thickBot="1" x14ac:dyDescent="0.25">
      <c r="A123" s="970"/>
      <c r="B123" s="970"/>
      <c r="C123" s="970"/>
      <c r="D123" s="969"/>
      <c r="E123" s="969"/>
      <c r="F123" s="969"/>
      <c r="G123" s="969"/>
      <c r="H123" s="969"/>
    </row>
    <row r="124" spans="1:14" ht="30" customHeight="1" thickBot="1" x14ac:dyDescent="0.25">
      <c r="A124" s="970"/>
      <c r="B124" s="971"/>
      <c r="C124" s="894" t="s">
        <v>686</v>
      </c>
      <c r="D124" s="895"/>
      <c r="E124" s="896"/>
      <c r="F124" s="404" t="s">
        <v>552</v>
      </c>
      <c r="G124" s="357">
        <f>10*(AVERAGE(LowMarshT7, (2*Substrate7 + 2*Salin7 + Struc7 + InvasPot7 + Lscape7) / 7))</f>
        <v>3.6508948817622286</v>
      </c>
      <c r="H124" s="70" t="s">
        <v>1004</v>
      </c>
    </row>
    <row r="125" spans="1:14" ht="30" customHeight="1" thickBot="1" x14ac:dyDescent="0.25">
      <c r="A125" s="970"/>
      <c r="B125" s="971"/>
      <c r="C125" s="894" t="s">
        <v>687</v>
      </c>
      <c r="D125" s="895"/>
      <c r="E125" s="896"/>
      <c r="F125" s="404" t="s">
        <v>554</v>
      </c>
      <c r="G125" s="406">
        <f>10*MAX(RarePlant7,DistTidal7v,0.1)</f>
        <v>1</v>
      </c>
      <c r="H125" s="70" t="s">
        <v>99</v>
      </c>
    </row>
    <row r="126" spans="1:14" ht="21" customHeight="1" thickBot="1" x14ac:dyDescent="0.25">
      <c r="A126" s="970"/>
      <c r="B126" s="970"/>
      <c r="C126" s="970"/>
      <c r="D126" s="970"/>
      <c r="E126" s="970"/>
      <c r="F126" s="970"/>
      <c r="G126" s="970"/>
      <c r="H126" s="20"/>
    </row>
    <row r="127" spans="1:14" ht="21" customHeight="1" thickBot="1" x14ac:dyDescent="0.25">
      <c r="A127" s="970"/>
      <c r="B127" s="970"/>
      <c r="C127" s="970"/>
      <c r="D127" s="970"/>
      <c r="E127" s="970"/>
      <c r="F127" s="970"/>
      <c r="G127" s="970"/>
      <c r="H127" s="124" t="s">
        <v>377</v>
      </c>
      <c r="I127" s="555"/>
      <c r="J127" s="555"/>
      <c r="K127" s="555"/>
      <c r="L127" s="555"/>
      <c r="M127" s="555"/>
      <c r="N127" s="555"/>
    </row>
    <row r="128" spans="1:14" ht="27" customHeight="1" x14ac:dyDescent="0.2">
      <c r="A128" s="970"/>
      <c r="B128" s="970"/>
      <c r="C128" s="970"/>
      <c r="D128" s="970"/>
      <c r="E128" s="970"/>
      <c r="F128" s="970"/>
      <c r="G128" s="970"/>
      <c r="H128" s="490" t="s">
        <v>1116</v>
      </c>
      <c r="I128" s="555"/>
      <c r="J128" s="555"/>
      <c r="K128" s="555"/>
      <c r="L128" s="555"/>
      <c r="M128" s="555"/>
      <c r="N128" s="555"/>
    </row>
    <row r="129" spans="1:8" ht="41.25" customHeight="1" thickBot="1" x14ac:dyDescent="0.25">
      <c r="A129" s="970"/>
      <c r="B129" s="970"/>
      <c r="C129" s="970"/>
      <c r="D129" s="970"/>
      <c r="E129" s="970"/>
      <c r="F129" s="970"/>
      <c r="G129" s="970"/>
      <c r="H129" s="309" t="s">
        <v>415</v>
      </c>
    </row>
    <row r="130" spans="1:8" ht="15" customHeight="1" x14ac:dyDescent="0.2">
      <c r="H130" s="20"/>
    </row>
  </sheetData>
  <sheetProtection password="C74A" sheet="1" objects="1" scenarios="1" formatCells="0" formatColumns="0" formatRows="0"/>
  <mergeCells count="73">
    <mergeCell ref="H36:H41"/>
    <mergeCell ref="A31:A35"/>
    <mergeCell ref="H3:H10"/>
    <mergeCell ref="A11:A16"/>
    <mergeCell ref="A17:A21"/>
    <mergeCell ref="H11:H16"/>
    <mergeCell ref="H17:H21"/>
    <mergeCell ref="H22:H25"/>
    <mergeCell ref="H26:H30"/>
    <mergeCell ref="H31:H35"/>
    <mergeCell ref="A3:A10"/>
    <mergeCell ref="B3:B10"/>
    <mergeCell ref="A26:A30"/>
    <mergeCell ref="H51:H57"/>
    <mergeCell ref="H58:H62"/>
    <mergeCell ref="H63:H68"/>
    <mergeCell ref="A124:B125"/>
    <mergeCell ref="A126:G129"/>
    <mergeCell ref="A58:A62"/>
    <mergeCell ref="A51:A57"/>
    <mergeCell ref="B58:B62"/>
    <mergeCell ref="B51:B57"/>
    <mergeCell ref="A63:A68"/>
    <mergeCell ref="B63:B68"/>
    <mergeCell ref="H69:H74"/>
    <mergeCell ref="H75:H81"/>
    <mergeCell ref="A69:A74"/>
    <mergeCell ref="A94:A96"/>
    <mergeCell ref="H82:H87"/>
    <mergeCell ref="H48:H50"/>
    <mergeCell ref="A42:A47"/>
    <mergeCell ref="B42:B47"/>
    <mergeCell ref="H42:H47"/>
    <mergeCell ref="A48:A50"/>
    <mergeCell ref="B48:B50"/>
    <mergeCell ref="A75:A81"/>
    <mergeCell ref="B69:B74"/>
    <mergeCell ref="B75:B81"/>
    <mergeCell ref="H97:H102"/>
    <mergeCell ref="H88:H93"/>
    <mergeCell ref="H94:H96"/>
    <mergeCell ref="B94:B96"/>
    <mergeCell ref="A88:A93"/>
    <mergeCell ref="B88:B93"/>
    <mergeCell ref="B82:B87"/>
    <mergeCell ref="A82:A87"/>
    <mergeCell ref="C125:E125"/>
    <mergeCell ref="D118:F118"/>
    <mergeCell ref="C124:E124"/>
    <mergeCell ref="B97:B102"/>
    <mergeCell ref="D122:F122"/>
    <mergeCell ref="D121:F121"/>
    <mergeCell ref="A104:A109"/>
    <mergeCell ref="D119:F119"/>
    <mergeCell ref="D120:F120"/>
    <mergeCell ref="A97:A102"/>
    <mergeCell ref="A111:A115"/>
    <mergeCell ref="B111:B115"/>
    <mergeCell ref="B104:B109"/>
    <mergeCell ref="A117:C123"/>
    <mergeCell ref="D117:H117"/>
    <mergeCell ref="D123:H123"/>
    <mergeCell ref="H104:H109"/>
    <mergeCell ref="H111:H115"/>
    <mergeCell ref="A1:B1"/>
    <mergeCell ref="B11:B16"/>
    <mergeCell ref="B17:B21"/>
    <mergeCell ref="A36:A41"/>
    <mergeCell ref="B36:B41"/>
    <mergeCell ref="A22:A25"/>
    <mergeCell ref="B22:B25"/>
    <mergeCell ref="B31:B35"/>
    <mergeCell ref="B26:B30"/>
  </mergeCells>
  <phoneticPr fontId="19" type="noConversion"/>
  <pageMargins left="0.75" right="0.75" top="1" bottom="1" header="0.5" footer="0.5"/>
  <pageSetup orientation="portrai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theme="3" tint="0.39997558519241921"/>
  </sheetPr>
  <dimension ref="A1:N69"/>
  <sheetViews>
    <sheetView workbookViewId="0">
      <selection activeCell="A49" sqref="A49:H69"/>
    </sheetView>
  </sheetViews>
  <sheetFormatPr defaultColWidth="9.33203125" defaultRowHeight="15" customHeight="1" x14ac:dyDescent="0.2"/>
  <cols>
    <col min="1" max="1" width="5.83203125" style="25" customWidth="1"/>
    <col min="2" max="2" width="18.83203125" style="25" customWidth="1"/>
    <col min="3" max="3" width="75.83203125" style="25" customWidth="1"/>
    <col min="4" max="4" width="6.83203125" style="430" customWidth="1"/>
    <col min="5" max="5" width="7.83203125" style="430" customWidth="1"/>
    <col min="6" max="6" width="7.5" style="430" customWidth="1"/>
    <col min="7" max="7" width="9.83203125" style="431" customWidth="1"/>
    <col min="8" max="8" width="75.83203125" style="25" customWidth="1"/>
    <col min="9" max="9" width="17.33203125" style="25" customWidth="1"/>
    <col min="10" max="10" width="9.33203125" style="115"/>
    <col min="11" max="16384" width="9.33203125" style="25"/>
  </cols>
  <sheetData>
    <row r="1" spans="1:14" s="125" customFormat="1" ht="66" customHeight="1" thickBot="1" x14ac:dyDescent="0.35">
      <c r="A1" s="1016" t="s">
        <v>3645</v>
      </c>
      <c r="B1" s="1017"/>
      <c r="C1" s="68" t="s">
        <v>58</v>
      </c>
      <c r="D1" s="187" t="s">
        <v>59</v>
      </c>
      <c r="E1" s="1014"/>
      <c r="F1" s="1015"/>
      <c r="G1" s="1015"/>
      <c r="H1" s="1015"/>
      <c r="I1" s="102"/>
      <c r="J1" s="97"/>
    </row>
    <row r="2" spans="1:14" s="436" customFormat="1" ht="30" customHeight="1" thickBot="1" x14ac:dyDescent="0.25">
      <c r="A2" s="188" t="s">
        <v>770</v>
      </c>
      <c r="B2" s="189" t="s">
        <v>29</v>
      </c>
      <c r="C2" s="190" t="s">
        <v>32</v>
      </c>
      <c r="D2" s="189" t="s">
        <v>805</v>
      </c>
      <c r="E2" s="190" t="s">
        <v>1017</v>
      </c>
      <c r="F2" s="189" t="s">
        <v>1018</v>
      </c>
      <c r="G2" s="190" t="s">
        <v>355</v>
      </c>
      <c r="H2" s="189" t="s">
        <v>60</v>
      </c>
      <c r="J2" s="392"/>
      <c r="N2" s="436" t="s">
        <v>234</v>
      </c>
    </row>
    <row r="3" spans="1:14" ht="60" customHeight="1" thickBot="1" x14ac:dyDescent="0.25">
      <c r="A3" s="1011" t="str">
        <f>T!A92</f>
        <v>T19</v>
      </c>
      <c r="B3" s="914" t="str">
        <f>T!B92</f>
        <v>Core Area 1</v>
      </c>
      <c r="C3" s="6" t="str">
        <f>T!C92</f>
        <v xml:space="preserve">The percentage of the AA almost never visited by humans during an average growing season probably comprises: [Note: Do not include visitors on trails outside of the AA unless more than half the wetland is visible from the trails and they are within 100 ft of the wetland edge.  In that case include only the area occupied by the trail]. </v>
      </c>
      <c r="D3" s="338"/>
      <c r="E3" s="339"/>
      <c r="F3" s="340"/>
      <c r="G3" s="401">
        <f>MAX(F4:F9)/MAX(E4:E9)</f>
        <v>1</v>
      </c>
      <c r="H3" s="905" t="s">
        <v>925</v>
      </c>
      <c r="I3" s="25" t="s">
        <v>706</v>
      </c>
    </row>
    <row r="4" spans="1:14" ht="15" customHeight="1" x14ac:dyDescent="0.2">
      <c r="A4" s="1012"/>
      <c r="B4" s="1010"/>
      <c r="C4" s="5" t="str">
        <f>T!C93</f>
        <v>&lt;5% and no inhabited building is within 300 ft of the AA</v>
      </c>
      <c r="D4" s="132">
        <f>T!D93</f>
        <v>0</v>
      </c>
      <c r="E4" s="333">
        <v>5</v>
      </c>
      <c r="F4" s="333">
        <f>D4*E4</f>
        <v>0</v>
      </c>
      <c r="G4" s="351"/>
      <c r="H4" s="897"/>
    </row>
    <row r="5" spans="1:14" ht="15" customHeight="1" x14ac:dyDescent="0.2">
      <c r="A5" s="1012"/>
      <c r="B5" s="1010"/>
      <c r="C5" s="1" t="str">
        <f>T!C94</f>
        <v>&lt;5% and inhabited building is within 300 ft of the AA</v>
      </c>
      <c r="D5" s="132">
        <f>T!D94</f>
        <v>1</v>
      </c>
      <c r="E5" s="333">
        <v>6</v>
      </c>
      <c r="F5" s="333">
        <f t="shared" ref="F5:F38" si="0">D5*E5</f>
        <v>6</v>
      </c>
      <c r="G5" s="352"/>
      <c r="H5" s="897"/>
    </row>
    <row r="6" spans="1:14" ht="15" customHeight="1" x14ac:dyDescent="0.2">
      <c r="A6" s="1012"/>
      <c r="B6" s="1010"/>
      <c r="C6" s="21" t="str">
        <f>T!C95</f>
        <v>5-50% and no inhabited building is within 300 ft of the AA</v>
      </c>
      <c r="D6" s="132">
        <f>T!D95</f>
        <v>0</v>
      </c>
      <c r="E6" s="333">
        <v>3</v>
      </c>
      <c r="F6" s="333">
        <f t="shared" si="0"/>
        <v>0</v>
      </c>
      <c r="G6" s="352"/>
      <c r="H6" s="897"/>
    </row>
    <row r="7" spans="1:14" ht="15" customHeight="1" x14ac:dyDescent="0.2">
      <c r="A7" s="1012"/>
      <c r="B7" s="1010"/>
      <c r="C7" s="21" t="str">
        <f>T!C96</f>
        <v>5-50% and inhabited building is within 300 ft of the AA</v>
      </c>
      <c r="D7" s="132">
        <f>T!D96</f>
        <v>0</v>
      </c>
      <c r="E7" s="333">
        <v>4</v>
      </c>
      <c r="F7" s="333">
        <f t="shared" si="0"/>
        <v>0</v>
      </c>
      <c r="G7" s="352"/>
      <c r="H7" s="897"/>
    </row>
    <row r="8" spans="1:14" ht="15" customHeight="1" x14ac:dyDescent="0.2">
      <c r="A8" s="1012"/>
      <c r="B8" s="1010"/>
      <c r="C8" s="21" t="str">
        <f>T!C97</f>
        <v>50-95%</v>
      </c>
      <c r="D8" s="132">
        <f>T!D97</f>
        <v>0</v>
      </c>
      <c r="E8" s="333">
        <v>2</v>
      </c>
      <c r="F8" s="333">
        <f t="shared" si="0"/>
        <v>0</v>
      </c>
      <c r="G8" s="352"/>
      <c r="H8" s="897"/>
    </row>
    <row r="9" spans="1:14" ht="15" customHeight="1" thickBot="1" x14ac:dyDescent="0.25">
      <c r="A9" s="1018"/>
      <c r="B9" s="1013"/>
      <c r="C9" s="71" t="str">
        <f>T!C98</f>
        <v>&gt;95% of the AA</v>
      </c>
      <c r="D9" s="133">
        <f>T!D98</f>
        <v>0</v>
      </c>
      <c r="E9" s="341">
        <v>1</v>
      </c>
      <c r="F9" s="341">
        <f t="shared" si="0"/>
        <v>0</v>
      </c>
      <c r="G9" s="350"/>
      <c r="H9" s="906"/>
    </row>
    <row r="10" spans="1:14" ht="60" customHeight="1" thickBot="1" x14ac:dyDescent="0.25">
      <c r="A10" s="1010" t="str">
        <f>T!A99</f>
        <v>T20</v>
      </c>
      <c r="B10" s="901" t="str">
        <f>T!B99</f>
        <v>Core Area 2</v>
      </c>
      <c r="C10" s="43" t="str">
        <f>T!C99</f>
        <v xml:space="preserve">The part of the AA visited by humans almost daily for several weeks during an average year probably comprises: [Note: Do not include visitors on trails outside of the AA unless more than half the wetland is visible from the trails and they are within 100 ft of the wetland edge.  In that case include only the area occupied by the trail]. </v>
      </c>
      <c r="D10" s="323"/>
      <c r="E10" s="331"/>
      <c r="F10" s="332"/>
      <c r="G10" s="399">
        <f>MAX(F11:F14)/MAX(E11:E14)</f>
        <v>0.66666666666666663</v>
      </c>
      <c r="H10" s="897" t="s">
        <v>925</v>
      </c>
      <c r="I10" s="25" t="s">
        <v>707</v>
      </c>
    </row>
    <row r="11" spans="1:14" ht="15" customHeight="1" x14ac:dyDescent="0.2">
      <c r="A11" s="1010"/>
      <c r="B11" s="1010"/>
      <c r="C11" s="5" t="str">
        <f>T!C100</f>
        <v>&lt;5%</v>
      </c>
      <c r="D11" s="132">
        <f>T!D100</f>
        <v>0</v>
      </c>
      <c r="E11" s="333">
        <v>1</v>
      </c>
      <c r="F11" s="333">
        <f t="shared" si="0"/>
        <v>0</v>
      </c>
      <c r="G11" s="351"/>
      <c r="H11" s="897"/>
    </row>
    <row r="12" spans="1:14" ht="15" customHeight="1" x14ac:dyDescent="0.2">
      <c r="A12" s="1010"/>
      <c r="B12" s="1010"/>
      <c r="C12" s="1" t="str">
        <f>T!C101</f>
        <v>5-50%</v>
      </c>
      <c r="D12" s="132">
        <f>T!D101</f>
        <v>0</v>
      </c>
      <c r="E12" s="333">
        <v>3</v>
      </c>
      <c r="F12" s="333">
        <f t="shared" si="0"/>
        <v>0</v>
      </c>
      <c r="G12" s="352"/>
      <c r="H12" s="897"/>
    </row>
    <row r="13" spans="1:14" ht="15" customHeight="1" x14ac:dyDescent="0.2">
      <c r="A13" s="1010"/>
      <c r="B13" s="1010"/>
      <c r="C13" s="21" t="str">
        <f>T!C102</f>
        <v>50-95%</v>
      </c>
      <c r="D13" s="132">
        <f>T!D102</f>
        <v>0</v>
      </c>
      <c r="E13" s="333">
        <v>3</v>
      </c>
      <c r="F13" s="333">
        <f t="shared" si="0"/>
        <v>0</v>
      </c>
      <c r="G13" s="352"/>
      <c r="H13" s="897"/>
    </row>
    <row r="14" spans="1:14" ht="15" customHeight="1" thickBot="1" x14ac:dyDescent="0.25">
      <c r="A14" s="1010"/>
      <c r="B14" s="1010"/>
      <c r="C14" s="4" t="str">
        <f>T!C103</f>
        <v>&gt;95% of the AA</v>
      </c>
      <c r="D14" s="334">
        <f>T!D103</f>
        <v>1</v>
      </c>
      <c r="E14" s="335">
        <v>2</v>
      </c>
      <c r="F14" s="335">
        <f t="shared" si="0"/>
        <v>2</v>
      </c>
      <c r="G14" s="349"/>
      <c r="H14" s="897"/>
    </row>
    <row r="15" spans="1:14" ht="45" customHeight="1" thickBot="1" x14ac:dyDescent="0.25">
      <c r="A15" s="1011" t="str">
        <f>T!A104</f>
        <v>T21</v>
      </c>
      <c r="B15" s="914" t="str">
        <f>T!B104</f>
        <v>Visibility</v>
      </c>
      <c r="C15" s="6" t="str">
        <f>T!C104</f>
        <v>The maximum percent of the wetland that is visible from the best vantage point on public roads, public parking lots, public buildings, or public maintained trails that intersect, adjoin, or are within 300 ft of the AA (select one) is:</v>
      </c>
      <c r="D15" s="338"/>
      <c r="E15" s="339"/>
      <c r="F15" s="340"/>
      <c r="G15" s="401">
        <f>MAX(F16:F18)/MAX(E16:E18)</f>
        <v>1</v>
      </c>
      <c r="H15" s="905" t="s">
        <v>183</v>
      </c>
      <c r="I15" s="25" t="s">
        <v>708</v>
      </c>
    </row>
    <row r="16" spans="1:14" ht="15" customHeight="1" x14ac:dyDescent="0.2">
      <c r="A16" s="1012"/>
      <c r="B16" s="1010"/>
      <c r="C16" s="5" t="str">
        <f>T!C105</f>
        <v>&lt;25%</v>
      </c>
      <c r="D16" s="132">
        <f>T!D105</f>
        <v>0</v>
      </c>
      <c r="E16" s="333">
        <v>1</v>
      </c>
      <c r="F16" s="333">
        <f t="shared" si="0"/>
        <v>0</v>
      </c>
      <c r="G16" s="351"/>
      <c r="H16" s="897"/>
    </row>
    <row r="17" spans="1:9" ht="15" customHeight="1" x14ac:dyDescent="0.2">
      <c r="A17" s="1012"/>
      <c r="B17" s="1010"/>
      <c r="C17" s="1" t="str">
        <f>T!C106</f>
        <v>25-50%</v>
      </c>
      <c r="D17" s="132">
        <f>T!D106</f>
        <v>0</v>
      </c>
      <c r="E17" s="333">
        <v>2</v>
      </c>
      <c r="F17" s="333">
        <f t="shared" si="0"/>
        <v>0</v>
      </c>
      <c r="G17" s="352"/>
      <c r="H17" s="897"/>
    </row>
    <row r="18" spans="1:9" ht="15" customHeight="1" thickBot="1" x14ac:dyDescent="0.25">
      <c r="A18" s="1018"/>
      <c r="B18" s="1013"/>
      <c r="C18" s="72" t="str">
        <f>T!C107</f>
        <v>&gt;50%</v>
      </c>
      <c r="D18" s="133">
        <f>T!D107</f>
        <v>1</v>
      </c>
      <c r="E18" s="341">
        <v>3</v>
      </c>
      <c r="F18" s="341">
        <f t="shared" si="0"/>
        <v>3</v>
      </c>
      <c r="G18" s="350"/>
      <c r="H18" s="906"/>
    </row>
    <row r="19" spans="1:9" ht="21" customHeight="1" thickBot="1" x14ac:dyDescent="0.25">
      <c r="A19" s="1010" t="str">
        <f>T!A108</f>
        <v>T22</v>
      </c>
      <c r="B19" s="901" t="str">
        <f>T!B108</f>
        <v>Ownership</v>
      </c>
      <c r="C19" s="43" t="str">
        <f>T!C108</f>
        <v>Most of the AA's upland edge is (select one):</v>
      </c>
      <c r="D19" s="323"/>
      <c r="E19" s="331"/>
      <c r="F19" s="332"/>
      <c r="G19" s="399">
        <f>MAX(F20:F23)/MAX(E20:E23)</f>
        <v>0.25</v>
      </c>
      <c r="H19" s="897" t="s">
        <v>924</v>
      </c>
      <c r="I19" s="25" t="s">
        <v>709</v>
      </c>
    </row>
    <row r="20" spans="1:9" ht="15" customHeight="1" x14ac:dyDescent="0.2">
      <c r="A20" s="1010"/>
      <c r="B20" s="1010"/>
      <c r="C20" s="5" t="str">
        <f>T!C109</f>
        <v xml:space="preserve">publicly owned (federal, state, municipal) and leases are mostly excluded.  </v>
      </c>
      <c r="D20" s="132">
        <f>T!D109</f>
        <v>0</v>
      </c>
      <c r="E20" s="333">
        <v>4</v>
      </c>
      <c r="F20" s="333">
        <f t="shared" si="0"/>
        <v>0</v>
      </c>
      <c r="G20" s="351"/>
      <c r="H20" s="897"/>
    </row>
    <row r="21" spans="1:9" ht="15" customHeight="1" x14ac:dyDescent="0.2">
      <c r="A21" s="1010"/>
      <c r="B21" s="1010"/>
      <c r="C21" s="5" t="str">
        <f>T!C110</f>
        <v>other publicly owned or unknown.</v>
      </c>
      <c r="D21" s="132">
        <f>T!D110</f>
        <v>0</v>
      </c>
      <c r="E21" s="335">
        <v>3</v>
      </c>
      <c r="F21" s="335">
        <f t="shared" si="0"/>
        <v>0</v>
      </c>
      <c r="G21" s="484"/>
      <c r="H21" s="737"/>
    </row>
    <row r="22" spans="1:9" ht="15" customHeight="1" x14ac:dyDescent="0.2">
      <c r="A22" s="1010"/>
      <c r="B22" s="1010"/>
      <c r="C22" s="5" t="str">
        <f>T!C111</f>
        <v>owned by non-profit conservation organization or lease holder who allows public access.</v>
      </c>
      <c r="D22" s="132">
        <f>T!D111</f>
        <v>0</v>
      </c>
      <c r="E22" s="335">
        <v>2</v>
      </c>
      <c r="F22" s="335">
        <f t="shared" si="0"/>
        <v>0</v>
      </c>
      <c r="G22" s="423"/>
      <c r="H22" s="897"/>
    </row>
    <row r="23" spans="1:9" ht="15" customHeight="1" thickBot="1" x14ac:dyDescent="0.25">
      <c r="A23" s="1010"/>
      <c r="B23" s="1010"/>
      <c r="C23" s="5" t="str">
        <f>T!C112</f>
        <v>other private ownership, including Tribes.</v>
      </c>
      <c r="D23" s="132">
        <f>T!D112</f>
        <v>1</v>
      </c>
      <c r="E23" s="335">
        <v>1</v>
      </c>
      <c r="F23" s="335">
        <f t="shared" si="0"/>
        <v>1</v>
      </c>
      <c r="G23" s="349"/>
      <c r="H23" s="897"/>
    </row>
    <row r="24" spans="1:9" ht="31.5" customHeight="1" thickBot="1" x14ac:dyDescent="0.25">
      <c r="A24" s="1011" t="str">
        <f>T!A113</f>
        <v>T23</v>
      </c>
      <c r="B24" s="914" t="str">
        <f>T!B113</f>
        <v>Non-consumptive Uses - Actual or Potential</v>
      </c>
      <c r="C24" s="6" t="str">
        <f>T!C113</f>
        <v>Assuming access permission was granted, select all statements that are true of this AA as it currently exists:</v>
      </c>
      <c r="D24" s="338"/>
      <c r="E24" s="339"/>
      <c r="F24" s="340"/>
      <c r="G24" s="401">
        <f>SUM(F25:F27)/3</f>
        <v>0.66666666666666663</v>
      </c>
      <c r="H24" s="905" t="s">
        <v>926</v>
      </c>
      <c r="I24" s="25" t="s">
        <v>710</v>
      </c>
    </row>
    <row r="25" spans="1:9" ht="27" customHeight="1" x14ac:dyDescent="0.2">
      <c r="A25" s="1012"/>
      <c r="B25" s="1010"/>
      <c r="C25" s="5" t="str">
        <f>T!C114</f>
        <v>Walking is physically possible in &gt;5% of the AA during most of year, e.g., free of deep water and dense shrub thickets.</v>
      </c>
      <c r="D25" s="132">
        <f>T!D114</f>
        <v>1</v>
      </c>
      <c r="E25" s="333">
        <v>1</v>
      </c>
      <c r="F25" s="333">
        <f t="shared" si="0"/>
        <v>1</v>
      </c>
      <c r="G25" s="351"/>
      <c r="H25" s="897"/>
    </row>
    <row r="26" spans="1:9" ht="27" customHeight="1" x14ac:dyDescent="0.2">
      <c r="A26" s="1012"/>
      <c r="B26" s="1010"/>
      <c r="C26" s="1" t="str">
        <f>T!C115</f>
        <v>Maintained roads, parking areas, or foot-trails are within 30 ft of the AA, or the AA can be accessed most of the year by boat.</v>
      </c>
      <c r="D26" s="132">
        <f>T!D115</f>
        <v>1</v>
      </c>
      <c r="E26" s="333">
        <v>1</v>
      </c>
      <c r="F26" s="333">
        <f t="shared" si="0"/>
        <v>1</v>
      </c>
      <c r="G26" s="352"/>
      <c r="H26" s="897"/>
    </row>
    <row r="27" spans="1:9" ht="27" customHeight="1" thickBot="1" x14ac:dyDescent="0.25">
      <c r="A27" s="1018"/>
      <c r="B27" s="1013"/>
      <c r="C27" s="72" t="str">
        <f>T!C117</f>
        <v>The AA adjoins or is within 0.5 mile of a public boat dock or ramp, ferry terminal, or airstrip -- or public lodge, campsite, snowmobile park, or picnic area.</v>
      </c>
      <c r="D27" s="133">
        <f>T!D117</f>
        <v>0</v>
      </c>
      <c r="E27" s="341">
        <v>1</v>
      </c>
      <c r="F27" s="341">
        <f t="shared" si="0"/>
        <v>0</v>
      </c>
      <c r="G27" s="350"/>
      <c r="H27" s="906"/>
    </row>
    <row r="28" spans="1:9" ht="33.75" customHeight="1" thickBot="1" x14ac:dyDescent="0.25">
      <c r="A28" s="1011" t="str">
        <f>OF!A14</f>
        <v>OF3</v>
      </c>
      <c r="B28" s="914" t="str">
        <f>OF!B14</f>
        <v>Distance to Nearest Population Center</v>
      </c>
      <c r="C28" s="6" t="str">
        <f>OF!C14</f>
        <v>From the center of the AA, the distance to the nearest population center, via the nearest maintained road, is:</v>
      </c>
      <c r="D28" s="338"/>
      <c r="E28" s="339"/>
      <c r="F28" s="340"/>
      <c r="G28" s="401">
        <f>MAX(F29:F33)/MAX(E29:E33)</f>
        <v>0.66666666666666663</v>
      </c>
      <c r="H28" s="905" t="s">
        <v>927</v>
      </c>
      <c r="I28" s="25" t="s">
        <v>711</v>
      </c>
    </row>
    <row r="29" spans="1:9" ht="15" customHeight="1" x14ac:dyDescent="0.2">
      <c r="A29" s="1012"/>
      <c r="B29" s="1010"/>
      <c r="C29" s="5" t="str">
        <f>OF!C15</f>
        <v>&lt;0.5 mile</v>
      </c>
      <c r="D29" s="131">
        <f>OF!D15</f>
        <v>0</v>
      </c>
      <c r="E29" s="333">
        <v>6</v>
      </c>
      <c r="F29" s="333">
        <f t="shared" si="0"/>
        <v>0</v>
      </c>
      <c r="G29" s="351"/>
      <c r="H29" s="1009"/>
    </row>
    <row r="30" spans="1:9" ht="15" customHeight="1" x14ac:dyDescent="0.2">
      <c r="A30" s="1012"/>
      <c r="B30" s="1010"/>
      <c r="C30" s="1" t="str">
        <f>OF!C16</f>
        <v>0.5 - 2 miles</v>
      </c>
      <c r="D30" s="131">
        <f>OF!D16</f>
        <v>1</v>
      </c>
      <c r="E30" s="333">
        <v>4</v>
      </c>
      <c r="F30" s="333">
        <f t="shared" si="0"/>
        <v>4</v>
      </c>
      <c r="G30" s="352"/>
      <c r="H30" s="1009"/>
    </row>
    <row r="31" spans="1:9" ht="15" customHeight="1" x14ac:dyDescent="0.2">
      <c r="A31" s="1012"/>
      <c r="B31" s="1010"/>
      <c r="C31" s="1" t="str">
        <f>OF!C17</f>
        <v>2-5 miles</v>
      </c>
      <c r="D31" s="131">
        <f>OF!D17</f>
        <v>0</v>
      </c>
      <c r="E31" s="333">
        <v>3</v>
      </c>
      <c r="F31" s="333">
        <f t="shared" si="0"/>
        <v>0</v>
      </c>
      <c r="G31" s="352"/>
      <c r="H31" s="1009"/>
    </row>
    <row r="32" spans="1:9" ht="15" customHeight="1" x14ac:dyDescent="0.2">
      <c r="A32" s="1012"/>
      <c r="B32" s="1010"/>
      <c r="C32" s="1" t="str">
        <f>OF!C18</f>
        <v>5-10 miles</v>
      </c>
      <c r="D32" s="131">
        <f>OF!D18</f>
        <v>0</v>
      </c>
      <c r="E32" s="333">
        <v>2</v>
      </c>
      <c r="F32" s="333">
        <f t="shared" si="0"/>
        <v>0</v>
      </c>
      <c r="G32" s="352"/>
      <c r="H32" s="1009"/>
    </row>
    <row r="33" spans="1:9" ht="15" customHeight="1" thickBot="1" x14ac:dyDescent="0.25">
      <c r="A33" s="1012"/>
      <c r="B33" s="1010"/>
      <c r="C33" s="4" t="str">
        <f>OF!C19</f>
        <v>&gt;10 miles</v>
      </c>
      <c r="D33" s="325">
        <f>OF!D19</f>
        <v>0</v>
      </c>
      <c r="E33" s="335">
        <v>1</v>
      </c>
      <c r="F33" s="335">
        <f t="shared" si="0"/>
        <v>0</v>
      </c>
      <c r="G33" s="349"/>
      <c r="H33" s="1009"/>
    </row>
    <row r="34" spans="1:9" ht="30" customHeight="1" thickBot="1" x14ac:dyDescent="0.25">
      <c r="A34" s="1006" t="str">
        <f>OF!A75</f>
        <v>OF14</v>
      </c>
      <c r="B34" s="981" t="str">
        <f>OF!B75</f>
        <v>Distance to Separate Tidal Marsh</v>
      </c>
      <c r="C34" s="6" t="str">
        <f>OF!C75</f>
        <v>The distance by water to the closest tidal marsh that is distinct from the AA (&gt;150 ft away and separated by subtidal water, permanent channel, or upland) is:</v>
      </c>
      <c r="D34" s="326"/>
      <c r="E34" s="333"/>
      <c r="F34" s="333"/>
      <c r="G34" s="401">
        <f>MAX(F35:F38)/MAX(E35:E38)</f>
        <v>0</v>
      </c>
      <c r="H34" s="1006" t="s">
        <v>96</v>
      </c>
      <c r="I34" s="25" t="s">
        <v>97</v>
      </c>
    </row>
    <row r="35" spans="1:9" ht="15" customHeight="1" x14ac:dyDescent="0.2">
      <c r="A35" s="1007"/>
      <c r="B35" s="1007"/>
      <c r="C35" s="5" t="str">
        <f>OF!C76</f>
        <v>150-1000 ft</v>
      </c>
      <c r="D35" s="131">
        <f>OF!D76</f>
        <v>1</v>
      </c>
      <c r="E35" s="333">
        <v>0</v>
      </c>
      <c r="F35" s="335">
        <f t="shared" si="0"/>
        <v>0</v>
      </c>
      <c r="G35" s="484"/>
      <c r="H35" s="1007"/>
    </row>
    <row r="36" spans="1:9" ht="15" customHeight="1" x14ac:dyDescent="0.2">
      <c r="A36" s="1007"/>
      <c r="B36" s="1007"/>
      <c r="C36" s="1" t="str">
        <f>OF!C77</f>
        <v>1000 ft - 1 mile</v>
      </c>
      <c r="D36" s="131">
        <f>OF!D77</f>
        <v>0</v>
      </c>
      <c r="E36" s="333">
        <v>1</v>
      </c>
      <c r="F36" s="335">
        <f t="shared" si="0"/>
        <v>0</v>
      </c>
      <c r="G36" s="484"/>
      <c r="H36" s="1007"/>
    </row>
    <row r="37" spans="1:9" ht="15" customHeight="1" x14ac:dyDescent="0.2">
      <c r="A37" s="1007"/>
      <c r="B37" s="1007"/>
      <c r="C37" s="1" t="str">
        <f>OF!C78</f>
        <v>1-5 miles</v>
      </c>
      <c r="D37" s="131">
        <f>OF!D78</f>
        <v>0</v>
      </c>
      <c r="E37" s="333">
        <v>2</v>
      </c>
      <c r="F37" s="335">
        <f t="shared" si="0"/>
        <v>0</v>
      </c>
      <c r="G37" s="484"/>
      <c r="H37" s="1007"/>
    </row>
    <row r="38" spans="1:9" ht="15" customHeight="1" thickBot="1" x14ac:dyDescent="0.25">
      <c r="A38" s="1008"/>
      <c r="B38" s="1008"/>
      <c r="C38" s="1" t="str">
        <f>OF!C79</f>
        <v>&gt;5 miles</v>
      </c>
      <c r="D38" s="131">
        <f>OF!D79</f>
        <v>0</v>
      </c>
      <c r="E38" s="333">
        <v>4</v>
      </c>
      <c r="F38" s="333">
        <f t="shared" si="0"/>
        <v>0</v>
      </c>
      <c r="G38" s="484"/>
      <c r="H38" s="1008"/>
    </row>
    <row r="39" spans="1:9" ht="30" customHeight="1" thickBot="1" x14ac:dyDescent="0.25">
      <c r="A39" s="73" t="str">
        <f>OF!A158</f>
        <v>OF35</v>
      </c>
      <c r="B39" s="74" t="str">
        <f>OF!B158</f>
        <v>Mitigation Investment</v>
      </c>
      <c r="C39" s="75" t="str">
        <f>OF!C158</f>
        <v>The AA is all or part of a mitigation site used explicitly to offset impacts elsewhere.  Enter: yes= 1, no= 0, no information= change to blank.</v>
      </c>
      <c r="D39" s="336"/>
      <c r="E39" s="337"/>
      <c r="F39" s="336"/>
      <c r="G39" s="406">
        <f>IF((OF!D158=""),"", OF!D158)</f>
        <v>0</v>
      </c>
      <c r="H39" s="6" t="s">
        <v>928</v>
      </c>
      <c r="I39" s="25" t="s">
        <v>712</v>
      </c>
    </row>
    <row r="40" spans="1:9" ht="45" customHeight="1" thickBot="1" x14ac:dyDescent="0.25">
      <c r="A40" s="10" t="str">
        <f>OF!A159</f>
        <v>OF36</v>
      </c>
      <c r="B40" s="10" t="str">
        <f>OF!B159</f>
        <v>Conservation Investment</v>
      </c>
      <c r="C40" s="30" t="str">
        <f>OF!C159</f>
        <v>The AA is part of or contiguous to a wetland on which public or private organizational funds were spent to preserve, create, restore, enhance, the wetland (excluding mitigation wetlands). Enter: yes= 1, no= 0, no information= change to blank.</v>
      </c>
      <c r="D40" s="343"/>
      <c r="E40" s="342"/>
      <c r="F40" s="343"/>
      <c r="G40" s="406">
        <f>IF((OF!D159=""),"", OF!D159)</f>
        <v>0</v>
      </c>
      <c r="H40" s="44" t="s">
        <v>929</v>
      </c>
      <c r="I40" s="25" t="s">
        <v>713</v>
      </c>
    </row>
    <row r="41" spans="1:9" ht="54" customHeight="1" thickBot="1" x14ac:dyDescent="0.25">
      <c r="A41" s="73" t="str">
        <f>OF!A160</f>
        <v>OF37</v>
      </c>
      <c r="B41" s="74" t="str">
        <f>OF!B160</f>
        <v>Sustained Scientific Use</v>
      </c>
      <c r="C41" s="75" t="str">
        <f>OF!C160</f>
        <v>Plants, animals, or water in the AA have been monitored for &gt;2 years, unrelated to any regulatory requirements, and data are available to the public. Or the AA is part of an area that has been designated by an agency or institution as a benchmark, reference, or status-trends monitoring area.</v>
      </c>
      <c r="D41" s="336"/>
      <c r="E41" s="337"/>
      <c r="F41" s="336"/>
      <c r="G41" s="406">
        <f>IF((OF!D160=""),"", OF!D160)</f>
        <v>0</v>
      </c>
      <c r="H41" s="6" t="s">
        <v>930</v>
      </c>
      <c r="I41" s="25" t="s">
        <v>714</v>
      </c>
    </row>
    <row r="42" spans="1:9" ht="21" customHeight="1" thickBot="1" x14ac:dyDescent="0.25">
      <c r="A42" s="980"/>
      <c r="B42" s="980"/>
      <c r="C42" s="980"/>
      <c r="D42" s="969"/>
      <c r="E42" s="969"/>
      <c r="F42" s="969"/>
      <c r="G42" s="969"/>
      <c r="H42" s="969"/>
    </row>
    <row r="43" spans="1:9" ht="21" customHeight="1" x14ac:dyDescent="0.2">
      <c r="A43" s="970"/>
      <c r="B43" s="970"/>
      <c r="C43" s="970"/>
      <c r="D43" s="978" t="s">
        <v>701</v>
      </c>
      <c r="E43" s="979"/>
      <c r="F43" s="979"/>
      <c r="G43" s="432">
        <f>AVERAGE(VisibPU,Core1PU,Core2PU,PopCtrPU, OwnershpPU)</f>
        <v>0.71666666666666656</v>
      </c>
      <c r="H43" s="485" t="s">
        <v>357</v>
      </c>
    </row>
    <row r="44" spans="1:9" ht="21" customHeight="1" x14ac:dyDescent="0.2">
      <c r="A44" s="970"/>
      <c r="B44" s="970"/>
      <c r="C44" s="970"/>
      <c r="D44" s="974" t="s">
        <v>702</v>
      </c>
      <c r="E44" s="975"/>
      <c r="F44" s="975"/>
      <c r="G44" s="433">
        <f>IFERROR(MAX(MitigSite,ConservSite,SciUse),"")</f>
        <v>0</v>
      </c>
      <c r="H44" s="486" t="s">
        <v>703</v>
      </c>
    </row>
    <row r="45" spans="1:9" ht="21" customHeight="1" x14ac:dyDescent="0.2">
      <c r="A45" s="970"/>
      <c r="B45" s="970"/>
      <c r="C45" s="970"/>
      <c r="D45" s="974" t="s">
        <v>704</v>
      </c>
      <c r="E45" s="975"/>
      <c r="F45" s="975"/>
      <c r="G45" s="433">
        <f>RecPotenPU</f>
        <v>0.66666666666666663</v>
      </c>
      <c r="H45" s="486" t="s">
        <v>705</v>
      </c>
    </row>
    <row r="46" spans="1:9" ht="21" customHeight="1" thickBot="1" x14ac:dyDescent="0.25">
      <c r="A46" s="970"/>
      <c r="B46" s="970"/>
      <c r="C46" s="970"/>
      <c r="D46" s="972" t="s">
        <v>715</v>
      </c>
      <c r="E46" s="973"/>
      <c r="F46" s="973"/>
      <c r="G46" s="434">
        <f>DistTidalPU</f>
        <v>0</v>
      </c>
      <c r="H46" s="487" t="s">
        <v>98</v>
      </c>
    </row>
    <row r="47" spans="1:9" ht="21" customHeight="1" thickBot="1" x14ac:dyDescent="0.25">
      <c r="A47" s="970"/>
      <c r="B47" s="970"/>
      <c r="C47" s="970"/>
      <c r="D47" s="969"/>
      <c r="E47" s="969"/>
      <c r="F47" s="969"/>
      <c r="G47" s="969"/>
      <c r="H47" s="969"/>
    </row>
    <row r="48" spans="1:9" ht="30" customHeight="1" thickBot="1" x14ac:dyDescent="0.25">
      <c r="A48" s="970"/>
      <c r="B48" s="971"/>
      <c r="C48" s="894" t="s">
        <v>716</v>
      </c>
      <c r="D48" s="895"/>
      <c r="E48" s="896"/>
      <c r="F48" s="404" t="s">
        <v>554</v>
      </c>
      <c r="G48" s="435">
        <f>10*AVERAGE(Convenience,Investment,RecPotenPU,OppRarity1)</f>
        <v>3.458333333333333</v>
      </c>
      <c r="H48" s="70" t="s">
        <v>186</v>
      </c>
    </row>
    <row r="49" spans="1:8" ht="15" customHeight="1" x14ac:dyDescent="0.2">
      <c r="A49" s="970"/>
      <c r="B49" s="970"/>
      <c r="C49" s="970"/>
      <c r="D49" s="970"/>
      <c r="E49" s="970"/>
      <c r="F49" s="970"/>
      <c r="G49" s="970"/>
      <c r="H49" s="970"/>
    </row>
    <row r="50" spans="1:8" ht="15" customHeight="1" x14ac:dyDescent="0.2">
      <c r="A50" s="970"/>
      <c r="B50" s="970"/>
      <c r="C50" s="970"/>
      <c r="D50" s="970"/>
      <c r="E50" s="970"/>
      <c r="F50" s="970"/>
      <c r="G50" s="970"/>
      <c r="H50" s="970"/>
    </row>
    <row r="51" spans="1:8" ht="15" customHeight="1" x14ac:dyDescent="0.2">
      <c r="A51" s="970"/>
      <c r="B51" s="970"/>
      <c r="C51" s="970"/>
      <c r="D51" s="970"/>
      <c r="E51" s="970"/>
      <c r="F51" s="970"/>
      <c r="G51" s="970"/>
      <c r="H51" s="970"/>
    </row>
    <row r="52" spans="1:8" ht="15" customHeight="1" x14ac:dyDescent="0.2">
      <c r="A52" s="970"/>
      <c r="B52" s="970"/>
      <c r="C52" s="970"/>
      <c r="D52" s="970"/>
      <c r="E52" s="970"/>
      <c r="F52" s="970"/>
      <c r="G52" s="970"/>
      <c r="H52" s="970"/>
    </row>
    <row r="53" spans="1:8" ht="15" customHeight="1" x14ac:dyDescent="0.2">
      <c r="A53" s="970"/>
      <c r="B53" s="970"/>
      <c r="C53" s="970"/>
      <c r="D53" s="970"/>
      <c r="E53" s="970"/>
      <c r="F53" s="970"/>
      <c r="G53" s="970"/>
      <c r="H53" s="970"/>
    </row>
    <row r="54" spans="1:8" ht="15" customHeight="1" x14ac:dyDescent="0.2">
      <c r="A54" s="970"/>
      <c r="B54" s="970"/>
      <c r="C54" s="970"/>
      <c r="D54" s="970"/>
      <c r="E54" s="970"/>
      <c r="F54" s="970"/>
      <c r="G54" s="970"/>
      <c r="H54" s="970"/>
    </row>
    <row r="55" spans="1:8" ht="15" customHeight="1" x14ac:dyDescent="0.2">
      <c r="A55" s="970"/>
      <c r="B55" s="970"/>
      <c r="C55" s="970"/>
      <c r="D55" s="970"/>
      <c r="E55" s="970"/>
      <c r="F55" s="970"/>
      <c r="G55" s="970"/>
      <c r="H55" s="970"/>
    </row>
    <row r="56" spans="1:8" ht="15" customHeight="1" x14ac:dyDescent="0.2">
      <c r="A56" s="970"/>
      <c r="B56" s="970"/>
      <c r="C56" s="970"/>
      <c r="D56" s="970"/>
      <c r="E56" s="970"/>
      <c r="F56" s="970"/>
      <c r="G56" s="970"/>
      <c r="H56" s="970"/>
    </row>
    <row r="57" spans="1:8" ht="15" customHeight="1" x14ac:dyDescent="0.2">
      <c r="A57" s="970"/>
      <c r="B57" s="970"/>
      <c r="C57" s="970"/>
      <c r="D57" s="970"/>
      <c r="E57" s="970"/>
      <c r="F57" s="970"/>
      <c r="G57" s="970"/>
      <c r="H57" s="970"/>
    </row>
    <row r="58" spans="1:8" ht="15" customHeight="1" x14ac:dyDescent="0.2">
      <c r="A58" s="970"/>
      <c r="B58" s="970"/>
      <c r="C58" s="970"/>
      <c r="D58" s="970"/>
      <c r="E58" s="970"/>
      <c r="F58" s="970"/>
      <c r="G58" s="970"/>
      <c r="H58" s="970"/>
    </row>
    <row r="59" spans="1:8" ht="15" customHeight="1" x14ac:dyDescent="0.2">
      <c r="A59" s="970"/>
      <c r="B59" s="970"/>
      <c r="C59" s="970"/>
      <c r="D59" s="970"/>
      <c r="E59" s="970"/>
      <c r="F59" s="970"/>
      <c r="G59" s="970"/>
      <c r="H59" s="970"/>
    </row>
    <row r="60" spans="1:8" ht="15" customHeight="1" x14ac:dyDescent="0.2">
      <c r="A60" s="970"/>
      <c r="B60" s="970"/>
      <c r="C60" s="970"/>
      <c r="D60" s="970"/>
      <c r="E60" s="970"/>
      <c r="F60" s="970"/>
      <c r="G60" s="970"/>
      <c r="H60" s="970"/>
    </row>
    <row r="61" spans="1:8" ht="15" customHeight="1" x14ac:dyDescent="0.2">
      <c r="A61" s="970"/>
      <c r="B61" s="970"/>
      <c r="C61" s="970"/>
      <c r="D61" s="970"/>
      <c r="E61" s="970"/>
      <c r="F61" s="970"/>
      <c r="G61" s="970"/>
      <c r="H61" s="970"/>
    </row>
    <row r="62" spans="1:8" ht="15" customHeight="1" x14ac:dyDescent="0.2">
      <c r="A62" s="970"/>
      <c r="B62" s="970"/>
      <c r="C62" s="970"/>
      <c r="D62" s="970"/>
      <c r="E62" s="970"/>
      <c r="F62" s="970"/>
      <c r="G62" s="970"/>
      <c r="H62" s="970"/>
    </row>
    <row r="63" spans="1:8" ht="15" customHeight="1" x14ac:dyDescent="0.2">
      <c r="A63" s="970"/>
      <c r="B63" s="970"/>
      <c r="C63" s="970"/>
      <c r="D63" s="970"/>
      <c r="E63" s="970"/>
      <c r="F63" s="970"/>
      <c r="G63" s="970"/>
      <c r="H63" s="970"/>
    </row>
    <row r="64" spans="1:8" ht="15" customHeight="1" x14ac:dyDescent="0.2">
      <c r="A64" s="970"/>
      <c r="B64" s="970"/>
      <c r="C64" s="970"/>
      <c r="D64" s="970"/>
      <c r="E64" s="970"/>
      <c r="F64" s="970"/>
      <c r="G64" s="970"/>
      <c r="H64" s="970"/>
    </row>
    <row r="65" spans="1:8" ht="15" customHeight="1" x14ac:dyDescent="0.2">
      <c r="A65" s="970"/>
      <c r="B65" s="970"/>
      <c r="C65" s="970"/>
      <c r="D65" s="970"/>
      <c r="E65" s="970"/>
      <c r="F65" s="970"/>
      <c r="G65" s="970"/>
      <c r="H65" s="970"/>
    </row>
    <row r="66" spans="1:8" ht="15" customHeight="1" x14ac:dyDescent="0.2">
      <c r="A66" s="970"/>
      <c r="B66" s="970"/>
      <c r="C66" s="970"/>
      <c r="D66" s="970"/>
      <c r="E66" s="970"/>
      <c r="F66" s="970"/>
      <c r="G66" s="970"/>
      <c r="H66" s="970"/>
    </row>
    <row r="67" spans="1:8" ht="15" customHeight="1" x14ac:dyDescent="0.2">
      <c r="A67" s="970"/>
      <c r="B67" s="970"/>
      <c r="C67" s="970"/>
      <c r="D67" s="970"/>
      <c r="E67" s="970"/>
      <c r="F67" s="970"/>
      <c r="G67" s="970"/>
      <c r="H67" s="970"/>
    </row>
    <row r="68" spans="1:8" ht="15" customHeight="1" x14ac:dyDescent="0.2">
      <c r="A68" s="970"/>
      <c r="B68" s="970"/>
      <c r="C68" s="970"/>
      <c r="D68" s="970"/>
      <c r="E68" s="970"/>
      <c r="F68" s="970"/>
      <c r="G68" s="970"/>
      <c r="H68" s="970"/>
    </row>
    <row r="69" spans="1:8" ht="15" customHeight="1" x14ac:dyDescent="0.2">
      <c r="A69" s="970"/>
      <c r="B69" s="970"/>
      <c r="C69" s="970"/>
      <c r="D69" s="970"/>
      <c r="E69" s="970"/>
      <c r="F69" s="970"/>
      <c r="G69" s="970"/>
      <c r="H69" s="970"/>
    </row>
  </sheetData>
  <sheetProtection password="C74A" sheet="1" objects="1" scenarios="1" formatCells="0" formatColumns="0"/>
  <mergeCells count="33">
    <mergeCell ref="A49:H69"/>
    <mergeCell ref="E1:H1"/>
    <mergeCell ref="D42:H42"/>
    <mergeCell ref="D47:H47"/>
    <mergeCell ref="A42:C47"/>
    <mergeCell ref="A48:B48"/>
    <mergeCell ref="A1:B1"/>
    <mergeCell ref="A3:A9"/>
    <mergeCell ref="A15:A18"/>
    <mergeCell ref="A10:A14"/>
    <mergeCell ref="A34:A38"/>
    <mergeCell ref="B34:B38"/>
    <mergeCell ref="A19:A23"/>
    <mergeCell ref="A24:A27"/>
    <mergeCell ref="B3:B9"/>
    <mergeCell ref="B24:B27"/>
    <mergeCell ref="B28:B33"/>
    <mergeCell ref="A28:A33"/>
    <mergeCell ref="B19:B23"/>
    <mergeCell ref="B15:B18"/>
    <mergeCell ref="B10:B14"/>
    <mergeCell ref="H3:H9"/>
    <mergeCell ref="H24:H27"/>
    <mergeCell ref="H15:H18"/>
    <mergeCell ref="C48:E48"/>
    <mergeCell ref="D43:F43"/>
    <mergeCell ref="D44:F44"/>
    <mergeCell ref="D45:F45"/>
    <mergeCell ref="D46:F46"/>
    <mergeCell ref="H34:H38"/>
    <mergeCell ref="H10:H14"/>
    <mergeCell ref="H19:H23"/>
    <mergeCell ref="H28:H33"/>
  </mergeCells>
  <phoneticPr fontId="19" type="noConversion"/>
  <pageMargins left="0.75" right="0.75" top="1" bottom="1" header="0.5" footer="0.5"/>
  <pageSetup orientation="portrait"/>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tabColor theme="3" tint="0.39997558519241921"/>
  </sheetPr>
  <dimension ref="A1:J68"/>
  <sheetViews>
    <sheetView workbookViewId="0">
      <selection sqref="A1:B1"/>
    </sheetView>
  </sheetViews>
  <sheetFormatPr defaultColWidth="9.33203125" defaultRowHeight="15" customHeight="1" x14ac:dyDescent="0.2"/>
  <cols>
    <col min="1" max="1" width="5.83203125" style="8" customWidth="1"/>
    <col min="2" max="2" width="18.83203125" style="20" customWidth="1"/>
    <col min="3" max="3" width="75.83203125" style="8" customWidth="1"/>
    <col min="4" max="4" width="6.83203125" style="209" customWidth="1"/>
    <col min="5" max="5" width="7.6640625" style="209" customWidth="1"/>
    <col min="6" max="6" width="7.83203125" style="209" customWidth="1"/>
    <col min="7" max="7" width="9.83203125" style="358" customWidth="1"/>
    <col min="8" max="8" width="75.83203125" style="8" customWidth="1"/>
    <col min="9" max="9" width="17.33203125" style="8" customWidth="1"/>
    <col min="10" max="10" width="9.33203125" style="42"/>
    <col min="11" max="16384" width="9.33203125" style="8"/>
  </cols>
  <sheetData>
    <row r="1" spans="1:10" s="112" customFormat="1" ht="45" customHeight="1" thickBot="1" x14ac:dyDescent="0.25">
      <c r="A1" s="1019" t="s">
        <v>61</v>
      </c>
      <c r="B1" s="1020"/>
      <c r="C1" s="127" t="s">
        <v>62</v>
      </c>
      <c r="D1" s="126" t="s">
        <v>63</v>
      </c>
      <c r="E1" s="488"/>
      <c r="F1" s="488"/>
      <c r="G1" s="488"/>
      <c r="J1" s="113"/>
    </row>
    <row r="2" spans="1:10" s="436" customFormat="1" ht="30" customHeight="1" thickBot="1" x14ac:dyDescent="0.25">
      <c r="A2" s="188" t="s">
        <v>770</v>
      </c>
      <c r="B2" s="189" t="s">
        <v>29</v>
      </c>
      <c r="C2" s="190" t="s">
        <v>32</v>
      </c>
      <c r="D2" s="189" t="s">
        <v>805</v>
      </c>
      <c r="E2" s="190" t="s">
        <v>1017</v>
      </c>
      <c r="F2" s="189" t="s">
        <v>1018</v>
      </c>
      <c r="G2" s="190" t="s">
        <v>355</v>
      </c>
      <c r="H2" s="189" t="s">
        <v>60</v>
      </c>
      <c r="J2" s="392"/>
    </row>
    <row r="3" spans="1:10" ht="21" customHeight="1" thickBot="1" x14ac:dyDescent="0.25">
      <c r="A3" s="902" t="str">
        <f>T!A108</f>
        <v>T22</v>
      </c>
      <c r="B3" s="908" t="str">
        <f>T!B108</f>
        <v>Ownership</v>
      </c>
      <c r="C3" s="275" t="str">
        <f>T!C108</f>
        <v>Most of the AA's upland edge is (select one):</v>
      </c>
      <c r="D3" s="338"/>
      <c r="E3" s="339"/>
      <c r="F3" s="340"/>
      <c r="G3" s="401">
        <f>MAX(F4:F7)/MAX(E4:E7)</f>
        <v>0.25</v>
      </c>
      <c r="H3" s="905" t="s">
        <v>931</v>
      </c>
      <c r="I3" s="8" t="s">
        <v>709</v>
      </c>
    </row>
    <row r="4" spans="1:10" ht="15" customHeight="1" x14ac:dyDescent="0.2">
      <c r="A4" s="903"/>
      <c r="B4" s="907"/>
      <c r="C4" s="278" t="str">
        <f>T!C109</f>
        <v xml:space="preserve">publicly owned (federal, state, municipal) and leases are mostly excluded.  </v>
      </c>
      <c r="D4" s="132">
        <f>T!D109</f>
        <v>0</v>
      </c>
      <c r="E4" s="333">
        <v>4</v>
      </c>
      <c r="F4" s="333">
        <f t="shared" ref="F4:F24" si="0">D4*E4</f>
        <v>0</v>
      </c>
      <c r="G4" s="351"/>
      <c r="H4" s="897"/>
    </row>
    <row r="5" spans="1:10" ht="15" customHeight="1" x14ac:dyDescent="0.2">
      <c r="A5" s="903"/>
      <c r="B5" s="907"/>
      <c r="C5" s="278" t="str">
        <f>T!C110</f>
        <v>other publicly owned or unknown.</v>
      </c>
      <c r="D5" s="132">
        <f>T!D110</f>
        <v>0</v>
      </c>
      <c r="E5" s="335">
        <v>3</v>
      </c>
      <c r="F5" s="333">
        <f t="shared" si="0"/>
        <v>0</v>
      </c>
      <c r="G5" s="352"/>
      <c r="H5" s="897"/>
    </row>
    <row r="6" spans="1:10" ht="15" customHeight="1" x14ac:dyDescent="0.2">
      <c r="A6" s="903"/>
      <c r="B6" s="907"/>
      <c r="C6" s="278" t="str">
        <f>T!C111</f>
        <v>owned by non-profit conservation organization or lease holder who allows public access.</v>
      </c>
      <c r="D6" s="132">
        <f>T!D111</f>
        <v>0</v>
      </c>
      <c r="E6" s="335">
        <v>2</v>
      </c>
      <c r="F6" s="333">
        <f t="shared" si="0"/>
        <v>0</v>
      </c>
      <c r="G6" s="423"/>
      <c r="H6" s="897"/>
    </row>
    <row r="7" spans="1:10" ht="15" customHeight="1" thickBot="1" x14ac:dyDescent="0.25">
      <c r="A7" s="904"/>
      <c r="B7" s="774"/>
      <c r="C7" s="447" t="str">
        <f>T!C112</f>
        <v>other private ownership, including Tribes.</v>
      </c>
      <c r="D7" s="133">
        <f>T!D112</f>
        <v>1</v>
      </c>
      <c r="E7" s="341">
        <v>1</v>
      </c>
      <c r="F7" s="341">
        <f t="shared" si="0"/>
        <v>1</v>
      </c>
      <c r="G7" s="350"/>
      <c r="H7" s="906"/>
    </row>
    <row r="8" spans="1:10" ht="30" customHeight="1" thickBot="1" x14ac:dyDescent="0.25">
      <c r="A8" s="901" t="str">
        <f>T!A119</f>
        <v>T25</v>
      </c>
      <c r="B8" s="907" t="str">
        <f>T!B119</f>
        <v>Consumptive Uses (Provisioning Services)</v>
      </c>
      <c r="C8" s="269" t="str">
        <f>T!C119</f>
        <v>Recent evidence was found within the AA of the following potentially-sustainable consumptive uses.  Select all that apply.</v>
      </c>
      <c r="D8" s="323"/>
      <c r="E8" s="331"/>
      <c r="F8" s="332"/>
      <c r="G8" s="399">
        <f>(SUM(D9:D11))/3</f>
        <v>0.33333333333333331</v>
      </c>
      <c r="H8" s="897" t="s">
        <v>933</v>
      </c>
      <c r="I8" s="8" t="s">
        <v>719</v>
      </c>
    </row>
    <row r="9" spans="1:10" ht="15" customHeight="1" x14ac:dyDescent="0.2">
      <c r="A9" s="901"/>
      <c r="B9" s="907"/>
      <c r="C9" s="207" t="str">
        <f>T!C120</f>
        <v>subsistence-focused harvesting of native plants, their fruits, or mushrooms</v>
      </c>
      <c r="D9" s="131">
        <f>T!D120</f>
        <v>0</v>
      </c>
      <c r="E9" s="333"/>
      <c r="F9" s="333">
        <f t="shared" si="0"/>
        <v>0</v>
      </c>
      <c r="G9" s="351"/>
      <c r="H9" s="897"/>
    </row>
    <row r="10" spans="1:10" ht="15" customHeight="1" x14ac:dyDescent="0.2">
      <c r="A10" s="901"/>
      <c r="B10" s="907"/>
      <c r="C10" s="311" t="str">
        <f>T!C121</f>
        <v>waterfowl hunting or furbearer trapping</v>
      </c>
      <c r="D10" s="131">
        <f>T!D121</f>
        <v>0</v>
      </c>
      <c r="E10" s="333"/>
      <c r="F10" s="333">
        <f t="shared" si="0"/>
        <v>0</v>
      </c>
      <c r="G10" s="352"/>
      <c r="H10" s="897"/>
    </row>
    <row r="11" spans="1:10" ht="15" customHeight="1" x14ac:dyDescent="0.2">
      <c r="A11" s="901"/>
      <c r="B11" s="907"/>
      <c r="C11" s="311" t="str">
        <f>T!C122</f>
        <v>fishing (including shellfish harvest)</v>
      </c>
      <c r="D11" s="131">
        <f>T!D122</f>
        <v>1</v>
      </c>
      <c r="E11" s="333"/>
      <c r="F11" s="333">
        <f t="shared" si="0"/>
        <v>0</v>
      </c>
      <c r="G11" s="352"/>
      <c r="H11" s="897"/>
    </row>
    <row r="12" spans="1:10" ht="15" customHeight="1" thickBot="1" x14ac:dyDescent="0.25">
      <c r="A12" s="901"/>
      <c r="B12" s="907"/>
      <c r="C12" s="312" t="str">
        <f>T!C123</f>
        <v>None of the above</v>
      </c>
      <c r="D12" s="325">
        <f>T!D123</f>
        <v>0</v>
      </c>
      <c r="E12" s="335"/>
      <c r="F12" s="335"/>
      <c r="G12" s="349"/>
      <c r="H12" s="897"/>
    </row>
    <row r="13" spans="1:10" ht="30.75" customHeight="1" thickBot="1" x14ac:dyDescent="0.25">
      <c r="A13" s="902" t="str">
        <f>OF!A14</f>
        <v>OF3</v>
      </c>
      <c r="B13" s="908" t="str">
        <f>OF!B14</f>
        <v>Distance to Nearest Population Center</v>
      </c>
      <c r="C13" s="317" t="str">
        <f>OF!C14</f>
        <v>From the center of the AA, the distance to the nearest population center, via the nearest maintained road, is:</v>
      </c>
      <c r="D13" s="338"/>
      <c r="E13" s="339"/>
      <c r="F13" s="340"/>
      <c r="G13" s="401">
        <f>MAX(F14:F18)/MAX(E14:E18)</f>
        <v>0.66666666666666663</v>
      </c>
      <c r="H13" s="905" t="s">
        <v>934</v>
      </c>
      <c r="I13" s="8" t="s">
        <v>711</v>
      </c>
    </row>
    <row r="14" spans="1:10" ht="15" customHeight="1" x14ac:dyDescent="0.2">
      <c r="A14" s="903"/>
      <c r="B14" s="907"/>
      <c r="C14" s="207" t="str">
        <f>OF!C15</f>
        <v>&lt;0.5 mile</v>
      </c>
      <c r="D14" s="131">
        <f>OF!D15</f>
        <v>0</v>
      </c>
      <c r="E14" s="333">
        <v>6</v>
      </c>
      <c r="F14" s="333">
        <f t="shared" si="0"/>
        <v>0</v>
      </c>
      <c r="G14" s="351"/>
      <c r="H14" s="897"/>
    </row>
    <row r="15" spans="1:10" ht="15" customHeight="1" x14ac:dyDescent="0.2">
      <c r="A15" s="903"/>
      <c r="B15" s="907"/>
      <c r="C15" s="311" t="str">
        <f>OF!C16</f>
        <v>0.5 - 2 miles</v>
      </c>
      <c r="D15" s="131">
        <f>OF!D16</f>
        <v>1</v>
      </c>
      <c r="E15" s="333">
        <v>4</v>
      </c>
      <c r="F15" s="333">
        <f t="shared" si="0"/>
        <v>4</v>
      </c>
      <c r="G15" s="352"/>
      <c r="H15" s="897"/>
    </row>
    <row r="16" spans="1:10" ht="15" customHeight="1" x14ac:dyDescent="0.2">
      <c r="A16" s="903"/>
      <c r="B16" s="907"/>
      <c r="C16" s="311" t="str">
        <f>OF!C17</f>
        <v>2-5 miles</v>
      </c>
      <c r="D16" s="131">
        <f>OF!D17</f>
        <v>0</v>
      </c>
      <c r="E16" s="333">
        <v>3</v>
      </c>
      <c r="F16" s="333">
        <f t="shared" si="0"/>
        <v>0</v>
      </c>
      <c r="G16" s="352"/>
      <c r="H16" s="897"/>
    </row>
    <row r="17" spans="1:9" ht="15" customHeight="1" x14ac:dyDescent="0.2">
      <c r="A17" s="903"/>
      <c r="B17" s="907"/>
      <c r="C17" s="311" t="str">
        <f>OF!C18</f>
        <v>5-10 miles</v>
      </c>
      <c r="D17" s="131">
        <f>OF!D18</f>
        <v>0</v>
      </c>
      <c r="E17" s="333">
        <v>2</v>
      </c>
      <c r="F17" s="333">
        <f t="shared" si="0"/>
        <v>0</v>
      </c>
      <c r="G17" s="352"/>
      <c r="H17" s="897"/>
    </row>
    <row r="18" spans="1:9" ht="15" customHeight="1" thickBot="1" x14ac:dyDescent="0.25">
      <c r="A18" s="904"/>
      <c r="B18" s="774"/>
      <c r="C18" s="318" t="str">
        <f>OF!C19</f>
        <v>&gt;10 miles</v>
      </c>
      <c r="D18" s="328">
        <f>OF!D19</f>
        <v>0</v>
      </c>
      <c r="E18" s="341">
        <v>1</v>
      </c>
      <c r="F18" s="341">
        <f t="shared" si="0"/>
        <v>0</v>
      </c>
      <c r="G18" s="350"/>
      <c r="H18" s="906"/>
    </row>
    <row r="19" spans="1:9" ht="45" customHeight="1" thickBot="1" x14ac:dyDescent="0.25">
      <c r="A19" s="196" t="str">
        <f>OF!A90</f>
        <v>OF17</v>
      </c>
      <c r="B19" s="192" t="str">
        <f>OF!B90</f>
        <v>Input Tributary</v>
      </c>
      <c r="C19" s="414" t="str">
        <f>OF!C90</f>
        <v xml:space="preserve">The AA is intersected by a freshwater stream (tributary) that flows during most of the growing season and originates in the upland directly adjoining this wetland. Or the AA is a fringe wetland along a river.  If yes, enter 1 and continue.  If no, enter 0 and SKIP to OF19.  </v>
      </c>
      <c r="D19" s="336"/>
      <c r="E19" s="342"/>
      <c r="F19" s="343"/>
      <c r="G19" s="489">
        <f>OF!D90</f>
        <v>1</v>
      </c>
      <c r="H19" s="200" t="s">
        <v>938</v>
      </c>
      <c r="I19" s="8" t="s">
        <v>720</v>
      </c>
    </row>
    <row r="20" spans="1:9" ht="15" customHeight="1" thickBot="1" x14ac:dyDescent="0.25">
      <c r="A20" s="902" t="str">
        <f>OF!A91</f>
        <v>OF18</v>
      </c>
      <c r="B20" s="908" t="str">
        <f>OF!B91</f>
        <v>Fish Access or Use</v>
      </c>
      <c r="C20" s="317" t="str">
        <f>OF!C91</f>
        <v>The stream identified above: (select ONE -- mark only the first applicable choice)</v>
      </c>
      <c r="D20" s="338"/>
      <c r="E20" s="339"/>
      <c r="F20" s="339"/>
      <c r="G20" s="401">
        <f>IF((TributaryIn=0),0,IF((D25=1),"",(MAX(F21:F24)/MAX(E21:E24))))</f>
        <v>1</v>
      </c>
      <c r="H20" s="905" t="s">
        <v>935</v>
      </c>
      <c r="I20" s="8" t="s">
        <v>721</v>
      </c>
    </row>
    <row r="21" spans="1:9" ht="30.75" customHeight="1" x14ac:dyDescent="0.2">
      <c r="A21" s="903"/>
      <c r="B21" s="907"/>
      <c r="C21" s="207" t="str">
        <f>OF!C92</f>
        <v>a) is accessible to anadromous fish at 1 mile above tidewater (some Class I streams). SKIP to OF20.</v>
      </c>
      <c r="D21" s="454">
        <f>OF!D92</f>
        <v>1</v>
      </c>
      <c r="E21" s="333">
        <v>4</v>
      </c>
      <c r="F21" s="333">
        <f t="shared" si="0"/>
        <v>4</v>
      </c>
      <c r="G21" s="351"/>
      <c r="H21" s="897"/>
    </row>
    <row r="22" spans="1:9" ht="27" customHeight="1" x14ac:dyDescent="0.2">
      <c r="A22" s="903"/>
      <c r="B22" s="907"/>
      <c r="C22" s="207" t="str">
        <f>OF!C93</f>
        <v>b) is not accessible to anadromous fish 1 mile above tidewater, but closer portions above tidewater are accessible to anadromous fish (some Class I streams).  SKIP to OF20.</v>
      </c>
      <c r="D22" s="454">
        <f>OF!D93</f>
        <v>0</v>
      </c>
      <c r="E22" s="333">
        <v>2</v>
      </c>
      <c r="F22" s="333">
        <f t="shared" si="0"/>
        <v>0</v>
      </c>
      <c r="G22" s="352"/>
      <c r="H22" s="897"/>
    </row>
    <row r="23" spans="1:9" ht="27" customHeight="1" x14ac:dyDescent="0.2">
      <c r="A23" s="903"/>
      <c r="B23" s="907"/>
      <c r="C23" s="207" t="str">
        <f>OF!C94</f>
        <v xml:space="preserve">c) stream areas above tidewater support resident fish only; anadromous fish access is blocked at tidewater (Class 2 streams).  </v>
      </c>
      <c r="D23" s="454">
        <f>OF!D94</f>
        <v>0</v>
      </c>
      <c r="E23" s="333">
        <v>1</v>
      </c>
      <c r="F23" s="333">
        <f t="shared" si="0"/>
        <v>0</v>
      </c>
      <c r="G23" s="352"/>
      <c r="H23" s="897"/>
    </row>
    <row r="24" spans="1:9" ht="15" customHeight="1" x14ac:dyDescent="0.2">
      <c r="A24" s="903"/>
      <c r="B24" s="907"/>
      <c r="C24" s="207" t="str">
        <f>OF!C95</f>
        <v>d) stream areas above tidewater are not accessible to any fish (Class 3 and 4 streams).</v>
      </c>
      <c r="D24" s="454">
        <f>OF!D95</f>
        <v>0</v>
      </c>
      <c r="E24" s="333">
        <v>0</v>
      </c>
      <c r="F24" s="333">
        <f t="shared" si="0"/>
        <v>0</v>
      </c>
      <c r="G24" s="352"/>
      <c r="H24" s="897"/>
    </row>
    <row r="25" spans="1:9" ht="15" customHeight="1" thickBot="1" x14ac:dyDescent="0.25">
      <c r="A25" s="904"/>
      <c r="B25" s="774"/>
      <c r="C25" s="420" t="str">
        <f>OF!C96</f>
        <v>e) unknown and undeterminable</v>
      </c>
      <c r="D25" s="455">
        <f>OF!D96</f>
        <v>0</v>
      </c>
      <c r="E25" s="341"/>
      <c r="F25" s="341"/>
      <c r="G25" s="350"/>
      <c r="H25" s="906"/>
    </row>
    <row r="26" spans="1:9" ht="30" customHeight="1" thickBot="1" x14ac:dyDescent="0.25">
      <c r="A26" s="196" t="str">
        <f>OF!A152</f>
        <v>OF33</v>
      </c>
      <c r="B26" s="192" t="str">
        <f>OF!B152</f>
        <v>Salmonid Watershed</v>
      </c>
      <c r="C26" s="414" t="str">
        <f>OF!C152</f>
        <v xml:space="preserve">Refer to map in the Manual (Appendix A, Fig. A-1).  Suitability surrounding the AA is: 3=Very High, 2= High, 1= Moderate, 0= all other. </v>
      </c>
      <c r="D26" s="403"/>
      <c r="E26" s="342"/>
      <c r="F26" s="343"/>
      <c r="G26" s="489">
        <f>OF!D152/3</f>
        <v>1</v>
      </c>
      <c r="H26" s="200" t="s">
        <v>936</v>
      </c>
      <c r="I26" s="8" t="s">
        <v>722</v>
      </c>
    </row>
    <row r="27" spans="1:9" ht="21" customHeight="1" thickBot="1" x14ac:dyDescent="0.25">
      <c r="A27" s="909" t="str">
        <f>OF!A153</f>
        <v>OF34</v>
      </c>
      <c r="B27" s="908" t="str">
        <f>OF!B153</f>
        <v>Subsistence Focal Area</v>
      </c>
      <c r="C27" s="317" t="str">
        <f>OF!C153</f>
        <v>The AA or waters that directly adjoin it:</v>
      </c>
      <c r="D27" s="338"/>
      <c r="E27" s="339"/>
      <c r="F27" s="340"/>
      <c r="G27" s="401">
        <f>IF((D31=1),"", MAX(F28:F30)/MAX(E28:E30))</f>
        <v>0.33333333333333331</v>
      </c>
      <c r="H27" s="1021" t="s">
        <v>937</v>
      </c>
      <c r="I27" s="8" t="s">
        <v>723</v>
      </c>
    </row>
    <row r="28" spans="1:9" ht="26.25" customHeight="1" x14ac:dyDescent="0.2">
      <c r="A28" s="910"/>
      <c r="B28" s="907"/>
      <c r="C28" s="207" t="str">
        <f>OF!C154</f>
        <v>is in Juneau or Ketchikan, and thus is a designated Non-subsistence Use Area (see WESPAK-SE Wetlands Module&gt; ADFG Nonsubsistence Use Areas for exact boundaries)</v>
      </c>
      <c r="D28" s="131">
        <f>OF!D154</f>
        <v>0</v>
      </c>
      <c r="E28" s="333">
        <v>0</v>
      </c>
      <c r="F28" s="333">
        <f>D28*E28</f>
        <v>0</v>
      </c>
      <c r="G28" s="332"/>
      <c r="H28" s="1022"/>
    </row>
    <row r="29" spans="1:9" ht="27" customHeight="1" x14ac:dyDescent="0.2">
      <c r="A29" s="910"/>
      <c r="B29" s="907"/>
      <c r="C29" s="311" t="str">
        <f>OF!C155</f>
        <v>is accessible to salmon AND is a major salmon subsistence harvest area according to (a) Table B-6 of the manual, OR (b) Figures A2a-c of the manual (shown as a point on the maps)</v>
      </c>
      <c r="D29" s="131">
        <f>OF!D155</f>
        <v>0</v>
      </c>
      <c r="E29" s="333">
        <v>3</v>
      </c>
      <c r="F29" s="333">
        <f>D29*E29</f>
        <v>0</v>
      </c>
      <c r="G29" s="428"/>
      <c r="H29" s="1022"/>
    </row>
    <row r="30" spans="1:9" ht="15" customHeight="1" x14ac:dyDescent="0.2">
      <c r="A30" s="910"/>
      <c r="B30" s="907"/>
      <c r="C30" s="312" t="str">
        <f>OF!C156</f>
        <v>neither of the above</v>
      </c>
      <c r="D30" s="325">
        <f>OF!D156</f>
        <v>1</v>
      </c>
      <c r="E30" s="335">
        <v>1</v>
      </c>
      <c r="F30" s="335">
        <f>D30*E30</f>
        <v>1</v>
      </c>
      <c r="G30" s="483"/>
      <c r="H30" s="1022"/>
    </row>
    <row r="31" spans="1:9" ht="15" customHeight="1" thickBot="1" x14ac:dyDescent="0.25">
      <c r="A31" s="768"/>
      <c r="B31" s="774"/>
      <c r="C31" s="318" t="str">
        <f>OF!C157</f>
        <v>no data (outside of the regions shown on the maps, and not listed in Table B-6)</v>
      </c>
      <c r="D31" s="328">
        <f>OF!D157</f>
        <v>0</v>
      </c>
      <c r="E31" s="341"/>
      <c r="F31" s="341"/>
      <c r="G31" s="491"/>
      <c r="H31" s="1023"/>
    </row>
    <row r="32" spans="1:9" ht="21" customHeight="1" thickBot="1" x14ac:dyDescent="0.25">
      <c r="A32" s="887"/>
      <c r="B32" s="887"/>
      <c r="C32" s="886"/>
      <c r="D32" s="886"/>
      <c r="E32" s="886"/>
      <c r="F32" s="886"/>
      <c r="G32" s="886"/>
      <c r="H32" s="886"/>
    </row>
    <row r="33" spans="1:10" s="19" customFormat="1" ht="30" customHeight="1" thickBot="1" x14ac:dyDescent="0.25">
      <c r="A33" s="707"/>
      <c r="B33" s="707"/>
      <c r="C33" s="894" t="s">
        <v>959</v>
      </c>
      <c r="D33" s="895"/>
      <c r="E33" s="896"/>
      <c r="F33" s="344" t="s">
        <v>554</v>
      </c>
      <c r="G33" s="406">
        <f>IF((NoSubsist=1),0,10*AVERAGE(ConsumpUse, Subsist20,AVERAGE(PopCtrPU,Salmoshed20, FishAccess)))</f>
        <v>5.1851851851851851</v>
      </c>
      <c r="H33" s="70" t="s">
        <v>79</v>
      </c>
      <c r="I33" s="8"/>
      <c r="J33" s="128"/>
    </row>
    <row r="34" spans="1:10" ht="21" customHeight="1" x14ac:dyDescent="0.2">
      <c r="A34" s="707"/>
      <c r="B34" s="707"/>
      <c r="D34" s="887"/>
      <c r="E34" s="887"/>
      <c r="F34" s="887"/>
      <c r="G34" s="887"/>
      <c r="H34" s="887"/>
    </row>
    <row r="38" spans="1:10" ht="15" customHeight="1" x14ac:dyDescent="0.2">
      <c r="C38" s="3"/>
    </row>
    <row r="45" spans="1:10" ht="15" customHeight="1" x14ac:dyDescent="0.2">
      <c r="H45" s="31"/>
    </row>
    <row r="46" spans="1:10" ht="15" customHeight="1" x14ac:dyDescent="0.2">
      <c r="H46" s="31"/>
    </row>
    <row r="47" spans="1:10" ht="15" customHeight="1" x14ac:dyDescent="0.2">
      <c r="H47" s="31"/>
    </row>
    <row r="48" spans="1:10" ht="15" customHeight="1" x14ac:dyDescent="0.2">
      <c r="H48" s="31"/>
    </row>
    <row r="49" spans="8:8" ht="15" customHeight="1" x14ac:dyDescent="0.2">
      <c r="H49" s="31"/>
    </row>
    <row r="50" spans="8:8" ht="15" customHeight="1" x14ac:dyDescent="0.2">
      <c r="H50" s="31"/>
    </row>
    <row r="51" spans="8:8" ht="15" customHeight="1" x14ac:dyDescent="0.2">
      <c r="H51" s="31"/>
    </row>
    <row r="52" spans="8:8" ht="15" customHeight="1" x14ac:dyDescent="0.2">
      <c r="H52" s="31"/>
    </row>
    <row r="53" spans="8:8" ht="15" customHeight="1" x14ac:dyDescent="0.2">
      <c r="H53" s="31"/>
    </row>
    <row r="54" spans="8:8" ht="15" customHeight="1" x14ac:dyDescent="0.2">
      <c r="H54" s="31"/>
    </row>
    <row r="55" spans="8:8" ht="15" customHeight="1" x14ac:dyDescent="0.2">
      <c r="H55" s="31"/>
    </row>
    <row r="56" spans="8:8" ht="15" customHeight="1" x14ac:dyDescent="0.2">
      <c r="H56" s="31"/>
    </row>
    <row r="57" spans="8:8" ht="15" customHeight="1" x14ac:dyDescent="0.2">
      <c r="H57" s="31"/>
    </row>
    <row r="58" spans="8:8" ht="15" customHeight="1" x14ac:dyDescent="0.2">
      <c r="H58" s="31"/>
    </row>
    <row r="59" spans="8:8" ht="15" customHeight="1" x14ac:dyDescent="0.2">
      <c r="H59" s="31"/>
    </row>
    <row r="60" spans="8:8" ht="15" customHeight="1" x14ac:dyDescent="0.2">
      <c r="H60" s="31"/>
    </row>
    <row r="61" spans="8:8" ht="15" customHeight="1" x14ac:dyDescent="0.2">
      <c r="H61" s="31"/>
    </row>
    <row r="62" spans="8:8" ht="15" customHeight="1" x14ac:dyDescent="0.2">
      <c r="H62" s="31"/>
    </row>
    <row r="63" spans="8:8" ht="15" customHeight="1" x14ac:dyDescent="0.2">
      <c r="H63" s="31"/>
    </row>
    <row r="64" spans="8:8" ht="15" customHeight="1" x14ac:dyDescent="0.2">
      <c r="H64" s="31"/>
    </row>
    <row r="65" spans="8:8" ht="15" customHeight="1" x14ac:dyDescent="0.2">
      <c r="H65" s="31"/>
    </row>
    <row r="66" spans="8:8" ht="15" customHeight="1" x14ac:dyDescent="0.2">
      <c r="H66" s="31"/>
    </row>
    <row r="67" spans="8:8" ht="15" customHeight="1" x14ac:dyDescent="0.2">
      <c r="H67" s="31"/>
    </row>
    <row r="68" spans="8:8" ht="15" customHeight="1" x14ac:dyDescent="0.2">
      <c r="H68" s="31"/>
    </row>
  </sheetData>
  <sheetProtection password="C74A" sheet="1" objects="1" scenarios="1" formatCells="0" formatColumns="0" formatRows="0"/>
  <mergeCells count="20">
    <mergeCell ref="C33:E33"/>
    <mergeCell ref="H20:H25"/>
    <mergeCell ref="B20:B25"/>
    <mergeCell ref="A20:A25"/>
    <mergeCell ref="B27:B31"/>
    <mergeCell ref="H27:H31"/>
    <mergeCell ref="A27:A31"/>
    <mergeCell ref="C32:H32"/>
    <mergeCell ref="A32:B34"/>
    <mergeCell ref="D34:H34"/>
    <mergeCell ref="H13:H18"/>
    <mergeCell ref="H8:H12"/>
    <mergeCell ref="B8:B12"/>
    <mergeCell ref="A8:A12"/>
    <mergeCell ref="A1:B1"/>
    <mergeCell ref="A3:A7"/>
    <mergeCell ref="B3:B7"/>
    <mergeCell ref="H3:H7"/>
    <mergeCell ref="A13:A18"/>
    <mergeCell ref="B13:B18"/>
  </mergeCells>
  <phoneticPr fontId="24" type="noConversion"/>
  <pageMargins left="0.75" right="0.75" top="1" bottom="1" header="0.5" footer="0.5"/>
  <pageSetup orientation="portrait"/>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9" tint="-0.249977111117893"/>
  </sheetPr>
  <dimension ref="A1:I112"/>
  <sheetViews>
    <sheetView workbookViewId="0">
      <selection activeCell="C54" sqref="C54"/>
    </sheetView>
  </sheetViews>
  <sheetFormatPr defaultColWidth="9.33203125" defaultRowHeight="15" customHeight="1" x14ac:dyDescent="0.2"/>
  <cols>
    <col min="1" max="1" width="5.83203125" style="23" customWidth="1"/>
    <col min="2" max="2" width="18.83203125" style="22" customWidth="1"/>
    <col min="3" max="3" width="77.83203125" style="22" customWidth="1"/>
    <col min="4" max="4" width="6.83203125" style="308" customWidth="1"/>
    <col min="5" max="5" width="7.1640625" style="308" customWidth="1"/>
    <col min="6" max="6" width="8.1640625" style="308" customWidth="1"/>
    <col min="7" max="7" width="9.83203125" style="390" customWidth="1"/>
    <col min="8" max="8" width="74.33203125" style="22" customWidth="1"/>
    <col min="9" max="9" width="17.33203125" style="22" customWidth="1"/>
    <col min="10" max="16384" width="9.33203125" style="22"/>
  </cols>
  <sheetData>
    <row r="1" spans="1:9" s="123" customFormat="1" ht="45" customHeight="1" thickBot="1" x14ac:dyDescent="0.25">
      <c r="A1" s="888" t="s">
        <v>3646</v>
      </c>
      <c r="B1" s="889"/>
      <c r="C1" s="129" t="s">
        <v>64</v>
      </c>
      <c r="D1" s="130" t="s">
        <v>65</v>
      </c>
      <c r="E1" s="1029"/>
      <c r="F1" s="1030"/>
      <c r="G1" s="1030"/>
      <c r="H1" s="1030"/>
    </row>
    <row r="2" spans="1:9" s="345" customFormat="1" ht="30" customHeight="1" thickBot="1" x14ac:dyDescent="0.25">
      <c r="A2" s="188" t="s">
        <v>770</v>
      </c>
      <c r="B2" s="189" t="s">
        <v>29</v>
      </c>
      <c r="C2" s="190" t="s">
        <v>32</v>
      </c>
      <c r="D2" s="189" t="s">
        <v>805</v>
      </c>
      <c r="E2" s="190" t="s">
        <v>1017</v>
      </c>
      <c r="F2" s="189" t="s">
        <v>1018</v>
      </c>
      <c r="G2" s="190" t="s">
        <v>355</v>
      </c>
      <c r="H2" s="189" t="s">
        <v>60</v>
      </c>
    </row>
    <row r="3" spans="1:9" ht="45" customHeight="1" thickBot="1" x14ac:dyDescent="0.25">
      <c r="A3" s="1026" t="str">
        <f>T!A24</f>
        <v>T5</v>
      </c>
      <c r="B3" s="1033" t="str">
        <f>T!B24</f>
        <v>Width of Vegetated Zone at Daily High Tide</v>
      </c>
      <c r="C3" s="298" t="str">
        <f>T!C24</f>
        <v>At daily high tide, the average width of vegetated area in the AA that separates adjoining uplands from most deepwater (subtidal water) within or adjoining the AA, or from the largest intersecting river or tributary (whichever is less), is:</v>
      </c>
      <c r="D3" s="360"/>
      <c r="E3" s="365"/>
      <c r="F3" s="492"/>
      <c r="G3" s="493">
        <f>MAX(F4:F8)/MAX(E4:E8)</f>
        <v>0.5</v>
      </c>
      <c r="H3" s="905" t="s">
        <v>939</v>
      </c>
      <c r="I3" s="22" t="s">
        <v>724</v>
      </c>
    </row>
    <row r="4" spans="1:9" ht="15" customHeight="1" x14ac:dyDescent="0.2">
      <c r="A4" s="1027"/>
      <c r="B4" s="927"/>
      <c r="C4" s="295" t="str">
        <f>T!C25</f>
        <v xml:space="preserve">1-5 ft </v>
      </c>
      <c r="D4" s="364">
        <f>T!D25</f>
        <v>0</v>
      </c>
      <c r="E4" s="365">
        <v>8</v>
      </c>
      <c r="F4" s="365">
        <f>D4*E4</f>
        <v>0</v>
      </c>
      <c r="G4" s="366"/>
      <c r="H4" s="927"/>
    </row>
    <row r="5" spans="1:9" ht="15" customHeight="1" x14ac:dyDescent="0.2">
      <c r="A5" s="1027"/>
      <c r="B5" s="927"/>
      <c r="C5" s="296" t="str">
        <f>T!C26</f>
        <v>5-25 ft</v>
      </c>
      <c r="D5" s="364">
        <f>T!D26</f>
        <v>1</v>
      </c>
      <c r="E5" s="365">
        <v>4</v>
      </c>
      <c r="F5" s="365">
        <f t="shared" ref="F5:F20" si="0">D5*E5</f>
        <v>4</v>
      </c>
      <c r="G5" s="367"/>
      <c r="H5" s="927"/>
    </row>
    <row r="6" spans="1:9" ht="15" customHeight="1" x14ac:dyDescent="0.2">
      <c r="A6" s="1027"/>
      <c r="B6" s="927"/>
      <c r="C6" s="296" t="str">
        <f>T!C27</f>
        <v>25-100 ft</v>
      </c>
      <c r="D6" s="364">
        <f>T!D27</f>
        <v>0</v>
      </c>
      <c r="E6" s="365">
        <v>2</v>
      </c>
      <c r="F6" s="365">
        <f t="shared" si="0"/>
        <v>0</v>
      </c>
      <c r="G6" s="367"/>
      <c r="H6" s="927"/>
    </row>
    <row r="7" spans="1:9" ht="15" customHeight="1" x14ac:dyDescent="0.2">
      <c r="A7" s="1027"/>
      <c r="B7" s="927"/>
      <c r="C7" s="296" t="str">
        <f>T!C28</f>
        <v>100-300 ft</v>
      </c>
      <c r="D7" s="364">
        <f>T!D28</f>
        <v>0</v>
      </c>
      <c r="E7" s="365">
        <v>1</v>
      </c>
      <c r="F7" s="365">
        <f t="shared" si="0"/>
        <v>0</v>
      </c>
      <c r="G7" s="367"/>
      <c r="H7" s="927"/>
    </row>
    <row r="8" spans="1:9" ht="15" customHeight="1" thickBot="1" x14ac:dyDescent="0.25">
      <c r="A8" s="1027"/>
      <c r="B8" s="927"/>
      <c r="C8" s="297" t="str">
        <f>T!C29</f>
        <v>&gt;300 ft</v>
      </c>
      <c r="D8" s="368">
        <f>T!D29</f>
        <v>0</v>
      </c>
      <c r="E8" s="369">
        <v>0</v>
      </c>
      <c r="F8" s="369">
        <f t="shared" si="0"/>
        <v>0</v>
      </c>
      <c r="G8" s="370"/>
      <c r="H8" s="927"/>
    </row>
    <row r="9" spans="1:9" ht="21" customHeight="1" thickBot="1" x14ac:dyDescent="0.25">
      <c r="A9" s="1024" t="str">
        <f>T!A71</f>
        <v>T14</v>
      </c>
      <c r="B9" s="940" t="str">
        <f>T!B71</f>
        <v>N Fixers</v>
      </c>
      <c r="C9" s="298" t="str">
        <f>T!C71</f>
        <v>The cover of nitrogen-fixing plants (e.g., alder, sweetgale, legumes) along the AA's upland edge is:</v>
      </c>
      <c r="D9" s="371"/>
      <c r="E9" s="372"/>
      <c r="F9" s="373"/>
      <c r="G9" s="493">
        <f>MAX(F10:F14)/MAX(E10:E14)</f>
        <v>1</v>
      </c>
      <c r="H9" s="905" t="s">
        <v>940</v>
      </c>
      <c r="I9" s="22" t="s">
        <v>725</v>
      </c>
    </row>
    <row r="10" spans="1:9" ht="15" customHeight="1" x14ac:dyDescent="0.2">
      <c r="A10" s="1025"/>
      <c r="B10" s="927"/>
      <c r="C10" s="295" t="str">
        <f>T!C72</f>
        <v>&lt;1% or none, or AA has no upland edge</v>
      </c>
      <c r="D10" s="364">
        <f>T!D72</f>
        <v>1</v>
      </c>
      <c r="E10" s="365">
        <v>4</v>
      </c>
      <c r="F10" s="365">
        <f t="shared" si="0"/>
        <v>4</v>
      </c>
      <c r="G10" s="366"/>
      <c r="H10" s="927"/>
    </row>
    <row r="11" spans="1:9" ht="15" customHeight="1" x14ac:dyDescent="0.2">
      <c r="A11" s="1025"/>
      <c r="B11" s="927"/>
      <c r="C11" s="296" t="str">
        <f>T!C73</f>
        <v>1-25%</v>
      </c>
      <c r="D11" s="364">
        <f>T!D73</f>
        <v>0</v>
      </c>
      <c r="E11" s="365">
        <v>3</v>
      </c>
      <c r="F11" s="365">
        <f t="shared" si="0"/>
        <v>0</v>
      </c>
      <c r="G11" s="367"/>
      <c r="H11" s="927"/>
    </row>
    <row r="12" spans="1:9" ht="15" customHeight="1" x14ac:dyDescent="0.2">
      <c r="A12" s="1025"/>
      <c r="B12" s="927"/>
      <c r="C12" s="296" t="str">
        <f>T!C74</f>
        <v>25-50%</v>
      </c>
      <c r="D12" s="364">
        <f>T!D74</f>
        <v>0</v>
      </c>
      <c r="E12" s="365">
        <v>2</v>
      </c>
      <c r="F12" s="365">
        <f t="shared" si="0"/>
        <v>0</v>
      </c>
      <c r="G12" s="367"/>
      <c r="H12" s="927"/>
    </row>
    <row r="13" spans="1:9" ht="15" customHeight="1" x14ac:dyDescent="0.2">
      <c r="A13" s="1025"/>
      <c r="B13" s="927"/>
      <c r="C13" s="296" t="str">
        <f>T!C75</f>
        <v>50-75%</v>
      </c>
      <c r="D13" s="364">
        <f>T!D75</f>
        <v>0</v>
      </c>
      <c r="E13" s="365">
        <v>1</v>
      </c>
      <c r="F13" s="365">
        <f t="shared" si="0"/>
        <v>0</v>
      </c>
      <c r="G13" s="367"/>
      <c r="H13" s="927"/>
    </row>
    <row r="14" spans="1:9" ht="15" customHeight="1" thickBot="1" x14ac:dyDescent="0.25">
      <c r="A14" s="1028"/>
      <c r="B14" s="941"/>
      <c r="C14" s="299" t="str">
        <f>T!C76</f>
        <v>&gt;75%</v>
      </c>
      <c r="D14" s="379">
        <f>T!D76</f>
        <v>0</v>
      </c>
      <c r="E14" s="377">
        <v>0</v>
      </c>
      <c r="F14" s="377">
        <f t="shared" si="0"/>
        <v>0</v>
      </c>
      <c r="G14" s="378"/>
      <c r="H14" s="941"/>
    </row>
    <row r="15" spans="1:9" ht="30" customHeight="1" thickBot="1" x14ac:dyDescent="0.25">
      <c r="A15" s="924" t="str">
        <f>T!A77</f>
        <v>T15</v>
      </c>
      <c r="B15" s="927" t="str">
        <f>T!B77</f>
        <v>Natural Cover in Buffer</v>
      </c>
      <c r="C15" s="294" t="str">
        <f>T!C77</f>
        <v>Within 100 ft upslope of the AA's wetland-upland edge, the percentage of the upland that contains natural (not necessarily native) land cover is:</v>
      </c>
      <c r="D15" s="360"/>
      <c r="E15" s="361"/>
      <c r="F15" s="362"/>
      <c r="G15" s="494">
        <f>MAX(F16:F20)/MAX(E16:E20)</f>
        <v>0.2</v>
      </c>
      <c r="H15" s="897" t="s">
        <v>358</v>
      </c>
      <c r="I15" s="22" t="s">
        <v>726</v>
      </c>
    </row>
    <row r="16" spans="1:9" ht="15" customHeight="1" x14ac:dyDescent="0.2">
      <c r="A16" s="924"/>
      <c r="B16" s="927"/>
      <c r="C16" s="295" t="str">
        <f>T!C78</f>
        <v xml:space="preserve">&lt;5% </v>
      </c>
      <c r="D16" s="364">
        <f>T!D78</f>
        <v>0</v>
      </c>
      <c r="E16" s="365">
        <v>5</v>
      </c>
      <c r="F16" s="365">
        <f t="shared" si="0"/>
        <v>0</v>
      </c>
      <c r="G16" s="366"/>
      <c r="H16" s="927"/>
    </row>
    <row r="17" spans="1:9" ht="15" customHeight="1" x14ac:dyDescent="0.2">
      <c r="A17" s="924"/>
      <c r="B17" s="927"/>
      <c r="C17" s="296" t="str">
        <f>T!C79</f>
        <v>5 to 30%</v>
      </c>
      <c r="D17" s="364">
        <f>T!D79</f>
        <v>0</v>
      </c>
      <c r="E17" s="365">
        <v>4</v>
      </c>
      <c r="F17" s="365">
        <f t="shared" si="0"/>
        <v>0</v>
      </c>
      <c r="G17" s="367"/>
      <c r="H17" s="927"/>
    </row>
    <row r="18" spans="1:9" ht="15" customHeight="1" x14ac:dyDescent="0.2">
      <c r="A18" s="924"/>
      <c r="B18" s="927"/>
      <c r="C18" s="296" t="str">
        <f>T!C80</f>
        <v>30 to 60%</v>
      </c>
      <c r="D18" s="364">
        <f>T!D80</f>
        <v>0</v>
      </c>
      <c r="E18" s="365">
        <v>3</v>
      </c>
      <c r="F18" s="365">
        <f t="shared" si="0"/>
        <v>0</v>
      </c>
      <c r="G18" s="367"/>
      <c r="H18" s="927"/>
    </row>
    <row r="19" spans="1:9" ht="15" customHeight="1" x14ac:dyDescent="0.2">
      <c r="A19" s="924"/>
      <c r="B19" s="927"/>
      <c r="C19" s="296" t="str">
        <f>T!C81</f>
        <v>60 to 90%</v>
      </c>
      <c r="D19" s="364">
        <f>T!D81</f>
        <v>0</v>
      </c>
      <c r="E19" s="365">
        <v>2</v>
      </c>
      <c r="F19" s="365">
        <f t="shared" si="0"/>
        <v>0</v>
      </c>
      <c r="G19" s="367"/>
      <c r="H19" s="927"/>
    </row>
    <row r="20" spans="1:9" ht="15" customHeight="1" thickBot="1" x14ac:dyDescent="0.25">
      <c r="A20" s="924"/>
      <c r="B20" s="927"/>
      <c r="C20" s="297" t="str">
        <f>T!C82</f>
        <v>&gt;90%.  SKIP to T17.</v>
      </c>
      <c r="D20" s="368">
        <f>T!D82</f>
        <v>1</v>
      </c>
      <c r="E20" s="369">
        <v>1</v>
      </c>
      <c r="F20" s="369">
        <f t="shared" si="0"/>
        <v>1</v>
      </c>
      <c r="G20" s="370"/>
      <c r="H20" s="927"/>
    </row>
    <row r="21" spans="1:9" ht="30" customHeight="1" thickBot="1" x14ac:dyDescent="0.25">
      <c r="A21" s="1024" t="str">
        <f>T!A86</f>
        <v>T17</v>
      </c>
      <c r="B21" s="940" t="str">
        <f>T!B86</f>
        <v>Slope from Disturbed Lands</v>
      </c>
      <c r="C21" s="298" t="str">
        <f>T!C86</f>
        <v>Along the AA's wetland-upland edge and extending to the most extensive and/or closest disturbance feature within 100 ft uphill, the slope of the land averages:</v>
      </c>
      <c r="D21" s="371"/>
      <c r="E21" s="372"/>
      <c r="F21" s="373"/>
      <c r="G21" s="493">
        <f>MAX(F22:F25)/MAX(E22:E25)</f>
        <v>1</v>
      </c>
      <c r="H21" s="905" t="s">
        <v>941</v>
      </c>
      <c r="I21" s="22" t="s">
        <v>727</v>
      </c>
    </row>
    <row r="22" spans="1:9" ht="15" customHeight="1" x14ac:dyDescent="0.2">
      <c r="A22" s="1025"/>
      <c r="B22" s="927"/>
      <c r="C22" s="295" t="str">
        <f>T!C87</f>
        <v>&lt;1% (flat -- almost no noticeable slope)</v>
      </c>
      <c r="D22" s="364">
        <f>T!D87</f>
        <v>0</v>
      </c>
      <c r="E22" s="365">
        <v>1</v>
      </c>
      <c r="F22" s="365">
        <f>D22*E22</f>
        <v>0</v>
      </c>
      <c r="G22" s="366"/>
      <c r="H22" s="927"/>
    </row>
    <row r="23" spans="1:9" ht="15" customHeight="1" x14ac:dyDescent="0.2">
      <c r="A23" s="1025"/>
      <c r="B23" s="927"/>
      <c r="C23" s="296" t="str">
        <f>T!C88</f>
        <v>2-5%</v>
      </c>
      <c r="D23" s="364">
        <f>T!D88</f>
        <v>0</v>
      </c>
      <c r="E23" s="365">
        <v>2</v>
      </c>
      <c r="F23" s="365">
        <f>D23*E23</f>
        <v>0</v>
      </c>
      <c r="G23" s="367"/>
      <c r="H23" s="927"/>
    </row>
    <row r="24" spans="1:9" ht="15" customHeight="1" x14ac:dyDescent="0.2">
      <c r="A24" s="1025"/>
      <c r="B24" s="927"/>
      <c r="C24" s="296" t="str">
        <f>T!C89</f>
        <v>5-30%</v>
      </c>
      <c r="D24" s="364">
        <f>T!D89</f>
        <v>0</v>
      </c>
      <c r="E24" s="365">
        <v>3</v>
      </c>
      <c r="F24" s="365">
        <f>D24*E24</f>
        <v>0</v>
      </c>
      <c r="G24" s="367"/>
      <c r="H24" s="927"/>
    </row>
    <row r="25" spans="1:9" ht="15" customHeight="1" thickBot="1" x14ac:dyDescent="0.25">
      <c r="A25" s="1025"/>
      <c r="B25" s="927"/>
      <c r="C25" s="297" t="str">
        <f>T!C90</f>
        <v>&gt;30%</v>
      </c>
      <c r="D25" s="368">
        <f>T!D90</f>
        <v>1</v>
      </c>
      <c r="E25" s="369">
        <v>4</v>
      </c>
      <c r="F25" s="369">
        <f>D25*E25</f>
        <v>4</v>
      </c>
      <c r="G25" s="370"/>
      <c r="H25" s="941"/>
    </row>
    <row r="26" spans="1:9" ht="60" customHeight="1" thickBot="1" x14ac:dyDescent="0.25">
      <c r="A26" s="502" t="str">
        <f>T!A118</f>
        <v>T24</v>
      </c>
      <c r="B26" s="85" t="str">
        <f>T!B118</f>
        <v>BMP - Wildlife Protection</v>
      </c>
      <c r="C26" s="307" t="str">
        <f>T!C118</f>
        <v xml:space="preserve">Fences, observation blinds, platforms, paved trails, exclusion periods, and/or well-enforced prohibitions on motorized boats, off-leash pets, and off road vehicles appear to effectively exclude or divert visitors and their pets from the AA at critical times in order to minimize disturbance of wildlife (except during hunting seasons).  Enter "1" if true. </v>
      </c>
      <c r="D26" s="495">
        <f>T!D118</f>
        <v>0</v>
      </c>
      <c r="E26" s="383"/>
      <c r="F26" s="383"/>
      <c r="G26" s="493">
        <f>IF((NoDisturb=0),D26,"")</f>
        <v>0</v>
      </c>
      <c r="H26" s="6" t="s">
        <v>82</v>
      </c>
      <c r="I26" s="8" t="s">
        <v>145</v>
      </c>
    </row>
    <row r="27" spans="1:9" ht="21" customHeight="1" thickBot="1" x14ac:dyDescent="0.25">
      <c r="A27" s="924" t="str">
        <f>OF!A68</f>
        <v>OF13</v>
      </c>
      <c r="B27" s="927" t="str">
        <f>OF!B68</f>
        <v>Biological Wave Exposure</v>
      </c>
      <c r="C27" s="294" t="str">
        <f>OF!C68</f>
        <v>The Biological Wave Exposure of most of the AA is shown as: (see directions in column E)</v>
      </c>
      <c r="D27" s="361"/>
      <c r="E27" s="361"/>
      <c r="F27" s="362"/>
      <c r="G27" s="494">
        <f>MAX(F28:F32)/MAX(E28:E32)</f>
        <v>0.4</v>
      </c>
      <c r="H27" s="897" t="s">
        <v>943</v>
      </c>
      <c r="I27" s="22" t="s">
        <v>729</v>
      </c>
    </row>
    <row r="28" spans="1:9" ht="15" customHeight="1" x14ac:dyDescent="0.2">
      <c r="A28" s="924"/>
      <c r="B28" s="927"/>
      <c r="C28" s="295" t="str">
        <f>OF!C69</f>
        <v xml:space="preserve">very protected </v>
      </c>
      <c r="D28" s="375">
        <f>OF!D69</f>
        <v>0</v>
      </c>
      <c r="E28" s="365">
        <v>1</v>
      </c>
      <c r="F28" s="365">
        <f>D28*E28</f>
        <v>0</v>
      </c>
      <c r="G28" s="366"/>
      <c r="H28" s="927"/>
    </row>
    <row r="29" spans="1:9" ht="15" customHeight="1" x14ac:dyDescent="0.2">
      <c r="A29" s="924"/>
      <c r="B29" s="927"/>
      <c r="C29" s="296" t="str">
        <f>OF!C70</f>
        <v>protected</v>
      </c>
      <c r="D29" s="375">
        <f>OF!D70</f>
        <v>1</v>
      </c>
      <c r="E29" s="365">
        <v>2</v>
      </c>
      <c r="F29" s="365">
        <f>D29*E29</f>
        <v>2</v>
      </c>
      <c r="G29" s="366"/>
      <c r="H29" s="927"/>
    </row>
    <row r="30" spans="1:9" ht="15" customHeight="1" x14ac:dyDescent="0.2">
      <c r="A30" s="924"/>
      <c r="B30" s="927"/>
      <c r="C30" s="296" t="str">
        <f>OF!C71</f>
        <v>semi-protected</v>
      </c>
      <c r="D30" s="375">
        <f>OF!D71</f>
        <v>0</v>
      </c>
      <c r="E30" s="365">
        <v>3</v>
      </c>
      <c r="F30" s="365">
        <f>D30*E30</f>
        <v>0</v>
      </c>
      <c r="G30" s="367"/>
      <c r="H30" s="927"/>
    </row>
    <row r="31" spans="1:9" ht="15" customHeight="1" x14ac:dyDescent="0.2">
      <c r="A31" s="924"/>
      <c r="B31" s="927"/>
      <c r="C31" s="296" t="str">
        <f>OF!C72</f>
        <v>semi-exposed</v>
      </c>
      <c r="D31" s="375">
        <f>OF!D72</f>
        <v>0</v>
      </c>
      <c r="E31" s="365">
        <v>4</v>
      </c>
      <c r="F31" s="365">
        <f>D31*E31</f>
        <v>0</v>
      </c>
      <c r="G31" s="367"/>
      <c r="H31" s="927"/>
    </row>
    <row r="32" spans="1:9" ht="15" customHeight="1" thickBot="1" x14ac:dyDescent="0.25">
      <c r="A32" s="924"/>
      <c r="B32" s="927"/>
      <c r="C32" s="297" t="str">
        <f>OF!C73</f>
        <v>exposed or very exposed</v>
      </c>
      <c r="D32" s="380">
        <f>OF!D74</f>
        <v>0</v>
      </c>
      <c r="E32" s="369">
        <v>5</v>
      </c>
      <c r="F32" s="369">
        <f>D32*E32</f>
        <v>0</v>
      </c>
      <c r="G32" s="370"/>
      <c r="H32" s="927"/>
    </row>
    <row r="33" spans="1:9" ht="30" customHeight="1" thickBot="1" x14ac:dyDescent="0.25">
      <c r="A33" s="1024" t="str">
        <f>OF!A75</f>
        <v>OF14</v>
      </c>
      <c r="B33" s="940" t="str">
        <f>OF!B75</f>
        <v>Distance to Separate Tidal Marsh</v>
      </c>
      <c r="C33" s="298" t="str">
        <f>OF!C75</f>
        <v>The distance by water to the closest tidal marsh that is distinct from the AA (&gt;150 ft away and separated by subtidal water, permanent channel, or upland) is:</v>
      </c>
      <c r="D33" s="371"/>
      <c r="E33" s="372"/>
      <c r="F33" s="373"/>
      <c r="G33" s="493">
        <f>MAX(F34:F37)/MAX(E34:E37)</f>
        <v>0.25</v>
      </c>
      <c r="H33" s="905" t="s">
        <v>942</v>
      </c>
      <c r="I33" s="22" t="s">
        <v>728</v>
      </c>
    </row>
    <row r="34" spans="1:9" ht="15" customHeight="1" x14ac:dyDescent="0.2">
      <c r="A34" s="1025"/>
      <c r="B34" s="927"/>
      <c r="C34" s="295" t="str">
        <f>OF!C76</f>
        <v>150-1000 ft</v>
      </c>
      <c r="D34" s="375">
        <f>OF!D76</f>
        <v>1</v>
      </c>
      <c r="E34" s="365">
        <v>1</v>
      </c>
      <c r="F34" s="365">
        <f>D34*E34</f>
        <v>1</v>
      </c>
      <c r="G34" s="366"/>
      <c r="H34" s="927"/>
    </row>
    <row r="35" spans="1:9" ht="15" customHeight="1" x14ac:dyDescent="0.2">
      <c r="A35" s="1025"/>
      <c r="B35" s="927"/>
      <c r="C35" s="296" t="str">
        <f>OF!C77</f>
        <v>1000 ft - 1 mile</v>
      </c>
      <c r="D35" s="375">
        <f>OF!D77</f>
        <v>0</v>
      </c>
      <c r="E35" s="365">
        <v>2</v>
      </c>
      <c r="F35" s="365">
        <f>D35*E35</f>
        <v>0</v>
      </c>
      <c r="G35" s="367"/>
      <c r="H35" s="927"/>
    </row>
    <row r="36" spans="1:9" ht="15" customHeight="1" x14ac:dyDescent="0.2">
      <c r="A36" s="1025"/>
      <c r="B36" s="927"/>
      <c r="C36" s="296" t="str">
        <f>OF!C78</f>
        <v>1-5 miles</v>
      </c>
      <c r="D36" s="375">
        <f>OF!D78</f>
        <v>0</v>
      </c>
      <c r="E36" s="365">
        <v>3</v>
      </c>
      <c r="F36" s="365">
        <f>D36*E36</f>
        <v>0</v>
      </c>
      <c r="G36" s="367"/>
      <c r="H36" s="927"/>
    </row>
    <row r="37" spans="1:9" ht="15" customHeight="1" thickBot="1" x14ac:dyDescent="0.25">
      <c r="A37" s="1028"/>
      <c r="B37" s="941"/>
      <c r="C37" s="299" t="str">
        <f>OF!C79</f>
        <v>&gt;5 miles</v>
      </c>
      <c r="D37" s="376">
        <f>OF!D79</f>
        <v>0</v>
      </c>
      <c r="E37" s="377">
        <v>4</v>
      </c>
      <c r="F37" s="377">
        <f>D37*E37</f>
        <v>0</v>
      </c>
      <c r="G37" s="378"/>
      <c r="H37" s="941"/>
    </row>
    <row r="38" spans="1:9" ht="30" customHeight="1" thickBot="1" x14ac:dyDescent="0.25">
      <c r="A38" s="924" t="str">
        <f>OF!A128</f>
        <v>OF26</v>
      </c>
      <c r="B38" s="927" t="str">
        <f>OF!B128</f>
        <v>Marsh Area Trend</v>
      </c>
      <c r="C38" s="305" t="str">
        <f>OF!C128</f>
        <v>Over the past 200 years or since this tidal marsh originated (whichever is less), its size is probably (select one):</v>
      </c>
      <c r="D38" s="360"/>
      <c r="E38" s="361"/>
      <c r="F38" s="362"/>
      <c r="G38" s="494">
        <f>IF((D42=1),"",MAX(F39:F41)/MAX(E39:E41))</f>
        <v>0.25</v>
      </c>
      <c r="H38" s="897" t="s">
        <v>944</v>
      </c>
      <c r="I38" s="22" t="s">
        <v>730</v>
      </c>
    </row>
    <row r="39" spans="1:9" ht="27" customHeight="1" x14ac:dyDescent="0.2">
      <c r="A39" s="924"/>
      <c r="B39" s="927"/>
      <c r="C39" s="301" t="str">
        <f>OF!C129</f>
        <v xml:space="preserve">expanding outward into formerly subtidal waters due to delta deposition from logging or landslides, or landward due to glacial recession/ uplift, earthquake, or other causes. </v>
      </c>
      <c r="D39" s="375">
        <f>OF!D129</f>
        <v>0</v>
      </c>
      <c r="E39" s="365">
        <v>0</v>
      </c>
      <c r="F39" s="365">
        <f>D39*E39</f>
        <v>0</v>
      </c>
      <c r="G39" s="366"/>
      <c r="H39" s="927"/>
    </row>
    <row r="40" spans="1:9" ht="54" customHeight="1" x14ac:dyDescent="0.2">
      <c r="A40" s="924"/>
      <c r="B40" s="927"/>
      <c r="C40" s="302" t="str">
        <f>OF!C130</f>
        <v>shrinking due to natural processes (excessive sedimentation or uplift causing succession to non-tidal upland, or partial conversion to subtidal due to erosion, sea level rise, excessive retention of nourishing sediments by upriver dams, or tilting of the marsh plain following glacial rebound or earthquake).  SKIP to OF28.</v>
      </c>
      <c r="D40" s="375">
        <f>OF!D130</f>
        <v>0</v>
      </c>
      <c r="E40" s="365">
        <v>4</v>
      </c>
      <c r="F40" s="365">
        <f>D40*E40</f>
        <v>0</v>
      </c>
      <c r="G40" s="367"/>
      <c r="H40" s="927"/>
    </row>
    <row r="41" spans="1:9" ht="15" customHeight="1" x14ac:dyDescent="0.2">
      <c r="A41" s="924"/>
      <c r="B41" s="927"/>
      <c r="C41" s="303" t="str">
        <f>OF!C131</f>
        <v>mostly unchanged.  SKIP to OF28.</v>
      </c>
      <c r="D41" s="375">
        <f>OF!D131</f>
        <v>1</v>
      </c>
      <c r="E41" s="365">
        <v>1</v>
      </c>
      <c r="F41" s="365">
        <f>D41*E41</f>
        <v>1</v>
      </c>
      <c r="G41" s="367"/>
      <c r="H41" s="927"/>
    </row>
    <row r="42" spans="1:9" ht="15" customHeight="1" thickBot="1" x14ac:dyDescent="0.25">
      <c r="A42" s="924"/>
      <c r="B42" s="927"/>
      <c r="C42" s="306" t="str">
        <f>OF!C132</f>
        <v>(trend indeterminable).  SKIP to OF28.</v>
      </c>
      <c r="D42" s="380">
        <f>OF!D132</f>
        <v>0</v>
      </c>
      <c r="E42" s="369"/>
      <c r="F42" s="369"/>
      <c r="G42" s="370"/>
      <c r="H42" s="927"/>
    </row>
    <row r="43" spans="1:9" ht="30" customHeight="1" thickBot="1" x14ac:dyDescent="0.25">
      <c r="A43" s="931" t="str">
        <f>OF!A133</f>
        <v>OF27</v>
      </c>
      <c r="B43" s="940" t="str">
        <f>OF!B133</f>
        <v>Tidal Wetland Age</v>
      </c>
      <c r="C43" s="300" t="str">
        <f>OF!C133</f>
        <v>The age of the AA since last covered by a glacier or mostly submerged below tidal low water prior to glacial rebound is:</v>
      </c>
      <c r="D43" s="371"/>
      <c r="E43" s="372"/>
      <c r="F43" s="373"/>
      <c r="G43" s="493">
        <f>IF((D48=1),"",MAX(F44:F47)/MAX(E44:E47))</f>
        <v>0.2</v>
      </c>
      <c r="H43" s="905" t="s">
        <v>945</v>
      </c>
      <c r="I43" s="22" t="s">
        <v>731</v>
      </c>
    </row>
    <row r="44" spans="1:9" ht="15" customHeight="1" x14ac:dyDescent="0.2">
      <c r="A44" s="932"/>
      <c r="B44" s="927"/>
      <c r="C44" s="301" t="str">
        <f>OF!C134</f>
        <v>&lt; 3 years old</v>
      </c>
      <c r="D44" s="375">
        <f>OF!D134</f>
        <v>0</v>
      </c>
      <c r="E44" s="365">
        <v>5</v>
      </c>
      <c r="F44" s="365">
        <f>D44*E44</f>
        <v>0</v>
      </c>
      <c r="G44" s="366"/>
      <c r="H44" s="927"/>
    </row>
    <row r="45" spans="1:9" ht="15" customHeight="1" x14ac:dyDescent="0.2">
      <c r="A45" s="932"/>
      <c r="B45" s="927"/>
      <c r="C45" s="303" t="str">
        <f>OF!C135</f>
        <v>3-20 years ago</v>
      </c>
      <c r="D45" s="375">
        <f>OF!D135</f>
        <v>0</v>
      </c>
      <c r="E45" s="365">
        <v>4</v>
      </c>
      <c r="F45" s="365">
        <f>D45*E45</f>
        <v>0</v>
      </c>
      <c r="G45" s="367"/>
      <c r="H45" s="927"/>
    </row>
    <row r="46" spans="1:9" ht="15" customHeight="1" x14ac:dyDescent="0.2">
      <c r="A46" s="932"/>
      <c r="B46" s="927"/>
      <c r="C46" s="303" t="str">
        <f>OF!C136</f>
        <v>20- 200 years ago</v>
      </c>
      <c r="D46" s="375">
        <f>OF!D136</f>
        <v>0</v>
      </c>
      <c r="E46" s="365">
        <v>3</v>
      </c>
      <c r="F46" s="365">
        <f>D46*E46</f>
        <v>0</v>
      </c>
      <c r="G46" s="367"/>
      <c r="H46" s="927"/>
    </row>
    <row r="47" spans="1:9" ht="15" customHeight="1" x14ac:dyDescent="0.2">
      <c r="A47" s="932"/>
      <c r="B47" s="927"/>
      <c r="C47" s="296" t="str">
        <f>OF!C137</f>
        <v>&gt;200 years ago</v>
      </c>
      <c r="D47" s="375">
        <f>OF!D137</f>
        <v>1</v>
      </c>
      <c r="E47" s="365">
        <v>1</v>
      </c>
      <c r="F47" s="365">
        <f>D47*E47</f>
        <v>1</v>
      </c>
      <c r="G47" s="367"/>
      <c r="H47" s="927"/>
    </row>
    <row r="48" spans="1:9" ht="15" customHeight="1" thickBot="1" x14ac:dyDescent="0.25">
      <c r="A48" s="933"/>
      <c r="B48" s="941"/>
      <c r="C48" s="304" t="str">
        <f>OF!C138</f>
        <v>unknown</v>
      </c>
      <c r="D48" s="376">
        <f>OF!D138</f>
        <v>0</v>
      </c>
      <c r="E48" s="377"/>
      <c r="F48" s="377"/>
      <c r="G48" s="497"/>
      <c r="H48" s="941"/>
    </row>
    <row r="49" spans="1:9" ht="45" customHeight="1" thickBot="1" x14ac:dyDescent="0.25">
      <c r="A49" s="931" t="str">
        <f>OF!A161</f>
        <v>OF38</v>
      </c>
      <c r="B49" s="940" t="str">
        <f>OF!B161</f>
        <v>Non-breeding (Feeding) Waterbird Species of Conservation Concern</v>
      </c>
      <c r="C49" s="298" t="str">
        <f>OF!C161</f>
        <v>Mark just the first choice below that is true. One or more of these species -- Pacific Loon, Yellow-billed Loon, Red-necked Grebe, Horned Grebe, Trumpeter Swan -- has been detected semi-annually under conditions similar to what now occur, by a qualified observer:</v>
      </c>
      <c r="D49" s="371"/>
      <c r="E49" s="372"/>
      <c r="F49" s="373"/>
      <c r="G49" s="493">
        <f>MAX(F50:F53)/MAX(E50:E53)</f>
        <v>0</v>
      </c>
      <c r="H49" s="905" t="s">
        <v>946</v>
      </c>
      <c r="I49" s="22" t="s">
        <v>733</v>
      </c>
    </row>
    <row r="50" spans="1:9" ht="15" customHeight="1" x14ac:dyDescent="0.2">
      <c r="A50" s="932"/>
      <c r="B50" s="927"/>
      <c r="C50" s="295" t="str">
        <f>OF!C162</f>
        <v xml:space="preserve">in the AA </v>
      </c>
      <c r="D50" s="375">
        <f>OF!D162</f>
        <v>0</v>
      </c>
      <c r="E50" s="365">
        <v>5</v>
      </c>
      <c r="F50" s="365">
        <f>D50*E50</f>
        <v>0</v>
      </c>
      <c r="G50" s="362"/>
      <c r="H50" s="927"/>
    </row>
    <row r="51" spans="1:9" ht="15" customHeight="1" x14ac:dyDescent="0.2">
      <c r="A51" s="932"/>
      <c r="B51" s="927"/>
      <c r="C51" s="296" t="str">
        <f>OF!C163</f>
        <v>outside the AA but within 0.5 mile, in a generally similar wetland.</v>
      </c>
      <c r="D51" s="375">
        <f>OF!D163</f>
        <v>0</v>
      </c>
      <c r="E51" s="365">
        <v>2</v>
      </c>
      <c r="F51" s="365">
        <f>D51*E51</f>
        <v>0</v>
      </c>
      <c r="G51" s="492"/>
      <c r="H51" s="927"/>
    </row>
    <row r="52" spans="1:9" ht="15" customHeight="1" x14ac:dyDescent="0.2">
      <c r="A52" s="932"/>
      <c r="B52" s="927"/>
      <c r="C52" s="296" t="str">
        <f>OF!C164</f>
        <v>outside the AA and 0.5 to 2 miles away, in a generally similar wetland.</v>
      </c>
      <c r="D52" s="375">
        <f>OF!D164</f>
        <v>0</v>
      </c>
      <c r="E52" s="365">
        <v>1</v>
      </c>
      <c r="F52" s="365">
        <f>D52*E52</f>
        <v>0</v>
      </c>
      <c r="G52" s="492"/>
      <c r="H52" s="927"/>
    </row>
    <row r="53" spans="1:9" ht="27" customHeight="1" thickBot="1" x14ac:dyDescent="0.25">
      <c r="A53" s="933"/>
      <c r="B53" s="941"/>
      <c r="C53" s="299" t="str">
        <f>OF!C165</f>
        <v>beyond 2 miles, or no recent observation of these species by a qualified observer under conditions similar to what now occur, or no data.</v>
      </c>
      <c r="D53" s="376">
        <f>OF!D165</f>
        <v>1</v>
      </c>
      <c r="E53" s="377">
        <v>0</v>
      </c>
      <c r="F53" s="377">
        <f>D53*E53</f>
        <v>0</v>
      </c>
      <c r="G53" s="497"/>
      <c r="H53" s="941"/>
    </row>
    <row r="54" spans="1:9" ht="60" customHeight="1" thickBot="1" x14ac:dyDescent="0.25">
      <c r="A54" s="201" t="str">
        <f>OF!A166</f>
        <v>OF39</v>
      </c>
      <c r="B54" s="199" t="str">
        <f>OF!B166</f>
        <v>Songbird or Raptor Species of Conservation Concern</v>
      </c>
      <c r="C54" s="24" t="str">
        <f>OF!C166</f>
        <v>One or more of these species -- Osprey, Peregrine Falcon, Queen Charlotte Goshawk, Olive-sided Flycatcher, Rusty Blackbird -- has been detected nesting semi-annually along the AA's upland edge (within 300 ft) under conditions similar to what now occur, by a qualified observer.  Enter "1" if yes, "0" if no or unknown.</v>
      </c>
      <c r="D54" s="498"/>
      <c r="E54" s="499"/>
      <c r="F54" s="500"/>
      <c r="G54" s="505">
        <f>OF!D166</f>
        <v>0</v>
      </c>
      <c r="H54" s="200" t="s">
        <v>914</v>
      </c>
      <c r="I54" s="22" t="s">
        <v>734</v>
      </c>
    </row>
    <row r="55" spans="1:9" ht="60" customHeight="1" thickBot="1" x14ac:dyDescent="0.25">
      <c r="A55" s="503" t="str">
        <f>OF!A167</f>
        <v>OF40</v>
      </c>
      <c r="B55" s="85" t="str">
        <f>OF!B167</f>
        <v>Plant Species of Conservation Concern</v>
      </c>
      <c r="C55" s="504" t="str">
        <f>OF!C167</f>
        <v>An uncommon or imperiled wetland indicator plant that is (a) listed in Table C-6 of the Manual, or (b) is a native species that is not listed as occurring in Southeast Alaska in the PlantList worksheet below, has been detected within the AA under conditions similar to what now occur, by a qualified observer. Enter "1" if yes, "0" if no or unknown.</v>
      </c>
      <c r="D55" s="383"/>
      <c r="E55" s="501"/>
      <c r="F55" s="383"/>
      <c r="G55" s="493">
        <f>OF!D167</f>
        <v>0</v>
      </c>
      <c r="H55" s="6" t="s">
        <v>914</v>
      </c>
      <c r="I55" s="22" t="s">
        <v>735</v>
      </c>
    </row>
    <row r="56" spans="1:9" s="24" customFormat="1" ht="21" customHeight="1" thickBot="1" x14ac:dyDescent="0.25">
      <c r="A56" s="1032"/>
      <c r="B56" s="1032"/>
      <c r="C56" s="1031"/>
      <c r="D56" s="1031"/>
      <c r="E56" s="1031"/>
      <c r="F56" s="1031"/>
      <c r="G56" s="1031"/>
      <c r="H56" s="1031"/>
    </row>
    <row r="57" spans="1:9" ht="30" customHeight="1" thickBot="1" x14ac:dyDescent="0.25">
      <c r="A57" s="921"/>
      <c r="B57" s="921"/>
      <c r="C57" s="894" t="s">
        <v>732</v>
      </c>
      <c r="D57" s="895"/>
      <c r="E57" s="896"/>
      <c r="F57" s="344" t="s">
        <v>554</v>
      </c>
      <c r="G57" s="496">
        <f>10*AVERAGE(VwidthHi18, BMP18s,Fetch18, Nfix18, BuffNatPct18, BuffSlope18, MarshDist18, MAX(RareWaterBird, RareWildlife, RarePlant18), Mtrend18, MarshAge18)</f>
        <v>3.8</v>
      </c>
      <c r="H57" s="70" t="s">
        <v>83</v>
      </c>
    </row>
    <row r="58" spans="1:9" ht="21" customHeight="1" thickBot="1" x14ac:dyDescent="0.25">
      <c r="A58" s="22"/>
      <c r="D58" s="22"/>
      <c r="E58" s="22"/>
      <c r="F58" s="22"/>
      <c r="G58" s="22"/>
    </row>
    <row r="59" spans="1:9" ht="21" customHeight="1" thickBot="1" x14ac:dyDescent="0.25">
      <c r="A59" s="22"/>
      <c r="D59" s="22"/>
      <c r="E59" s="22"/>
      <c r="F59" s="22"/>
      <c r="G59" s="22"/>
      <c r="H59" s="80" t="s">
        <v>377</v>
      </c>
    </row>
    <row r="60" spans="1:9" ht="27" customHeight="1" x14ac:dyDescent="0.2">
      <c r="A60" s="22"/>
      <c r="D60" s="22"/>
      <c r="E60" s="22"/>
      <c r="F60" s="22"/>
      <c r="G60" s="22"/>
      <c r="H60" s="81" t="s">
        <v>426</v>
      </c>
    </row>
    <row r="61" spans="1:9" ht="42" customHeight="1" x14ac:dyDescent="0.2">
      <c r="A61" s="22"/>
      <c r="D61" s="22"/>
      <c r="E61" s="22"/>
      <c r="F61" s="22"/>
      <c r="G61" s="22"/>
      <c r="H61" s="83" t="s">
        <v>425</v>
      </c>
    </row>
    <row r="62" spans="1:9" ht="27" customHeight="1" thickBot="1" x14ac:dyDescent="0.25">
      <c r="A62" s="22"/>
      <c r="D62" s="22"/>
      <c r="E62" s="22"/>
      <c r="F62" s="22"/>
      <c r="G62" s="22"/>
      <c r="H62" s="84" t="s">
        <v>424</v>
      </c>
    </row>
    <row r="74" spans="8:8" ht="15" customHeight="1" x14ac:dyDescent="0.2">
      <c r="H74" s="31"/>
    </row>
    <row r="75" spans="8:8" ht="15" customHeight="1" x14ac:dyDescent="0.2">
      <c r="H75" s="31"/>
    </row>
    <row r="76" spans="8:8" ht="15" customHeight="1" x14ac:dyDescent="0.2">
      <c r="H76" s="31"/>
    </row>
    <row r="77" spans="8:8" ht="15" customHeight="1" x14ac:dyDescent="0.2">
      <c r="H77" s="31"/>
    </row>
    <row r="78" spans="8:8" ht="15" customHeight="1" x14ac:dyDescent="0.2">
      <c r="H78" s="31"/>
    </row>
    <row r="79" spans="8:8" ht="15" customHeight="1" x14ac:dyDescent="0.2">
      <c r="H79" s="31"/>
    </row>
    <row r="80" spans="8:8" ht="15" customHeight="1" x14ac:dyDescent="0.2">
      <c r="H80" s="31"/>
    </row>
    <row r="81" spans="8:8" ht="15" customHeight="1" x14ac:dyDescent="0.2">
      <c r="H81" s="31"/>
    </row>
    <row r="82" spans="8:8" ht="15" customHeight="1" x14ac:dyDescent="0.2">
      <c r="H82" s="31"/>
    </row>
    <row r="83" spans="8:8" ht="15" customHeight="1" x14ac:dyDescent="0.2">
      <c r="H83" s="31"/>
    </row>
    <row r="84" spans="8:8" ht="15" customHeight="1" x14ac:dyDescent="0.2">
      <c r="H84" s="31"/>
    </row>
    <row r="85" spans="8:8" ht="15" customHeight="1" x14ac:dyDescent="0.2">
      <c r="H85" s="31"/>
    </row>
    <row r="86" spans="8:8" ht="15" customHeight="1" x14ac:dyDescent="0.2">
      <c r="H86" s="31"/>
    </row>
    <row r="87" spans="8:8" ht="15" customHeight="1" x14ac:dyDescent="0.2">
      <c r="H87" s="31"/>
    </row>
    <row r="88" spans="8:8" ht="15" customHeight="1" x14ac:dyDescent="0.2">
      <c r="H88" s="31"/>
    </row>
    <row r="89" spans="8:8" ht="15" customHeight="1" x14ac:dyDescent="0.2">
      <c r="H89" s="31"/>
    </row>
    <row r="90" spans="8:8" ht="15" customHeight="1" x14ac:dyDescent="0.2">
      <c r="H90" s="31"/>
    </row>
    <row r="91" spans="8:8" ht="15" customHeight="1" x14ac:dyDescent="0.2">
      <c r="H91" s="31"/>
    </row>
    <row r="92" spans="8:8" ht="15" customHeight="1" x14ac:dyDescent="0.2">
      <c r="H92" s="31"/>
    </row>
    <row r="93" spans="8:8" ht="15" customHeight="1" x14ac:dyDescent="0.2">
      <c r="H93" s="31"/>
    </row>
    <row r="94" spans="8:8" ht="15" customHeight="1" x14ac:dyDescent="0.2">
      <c r="H94" s="31"/>
    </row>
    <row r="95" spans="8:8" ht="15" customHeight="1" x14ac:dyDescent="0.2">
      <c r="H95" s="31"/>
    </row>
    <row r="96" spans="8:8" ht="15" customHeight="1" x14ac:dyDescent="0.2">
      <c r="H96" s="31"/>
    </row>
    <row r="97" spans="8:8" ht="15" customHeight="1" x14ac:dyDescent="0.2">
      <c r="H97" s="31"/>
    </row>
    <row r="98" spans="8:8" ht="15" customHeight="1" x14ac:dyDescent="0.2">
      <c r="H98" s="31"/>
    </row>
    <row r="99" spans="8:8" ht="15" customHeight="1" x14ac:dyDescent="0.2">
      <c r="H99" s="31"/>
    </row>
    <row r="100" spans="8:8" ht="15" customHeight="1" x14ac:dyDescent="0.2">
      <c r="H100" s="31"/>
    </row>
    <row r="101" spans="8:8" ht="15" customHeight="1" x14ac:dyDescent="0.2">
      <c r="H101" s="31"/>
    </row>
    <row r="102" spans="8:8" ht="15" customHeight="1" x14ac:dyDescent="0.2">
      <c r="H102" s="31"/>
    </row>
    <row r="103" spans="8:8" ht="15" customHeight="1" x14ac:dyDescent="0.2">
      <c r="H103" s="31"/>
    </row>
    <row r="104" spans="8:8" ht="15" customHeight="1" x14ac:dyDescent="0.2">
      <c r="H104" s="31"/>
    </row>
    <row r="105" spans="8:8" ht="15" customHeight="1" x14ac:dyDescent="0.2">
      <c r="H105" s="31"/>
    </row>
    <row r="106" spans="8:8" ht="15" customHeight="1" x14ac:dyDescent="0.2">
      <c r="H106" s="31"/>
    </row>
    <row r="107" spans="8:8" ht="15" customHeight="1" x14ac:dyDescent="0.2">
      <c r="H107" s="31"/>
    </row>
    <row r="108" spans="8:8" ht="15" customHeight="1" x14ac:dyDescent="0.2">
      <c r="H108" s="31"/>
    </row>
    <row r="109" spans="8:8" ht="15" customHeight="1" x14ac:dyDescent="0.2">
      <c r="H109" s="31"/>
    </row>
    <row r="110" spans="8:8" ht="15" customHeight="1" x14ac:dyDescent="0.2">
      <c r="H110" s="31"/>
    </row>
    <row r="111" spans="8:8" ht="15" customHeight="1" x14ac:dyDescent="0.2">
      <c r="H111" s="31"/>
    </row>
    <row r="112" spans="8:8" ht="15" customHeight="1" x14ac:dyDescent="0.2">
      <c r="H112" s="31"/>
    </row>
  </sheetData>
  <sheetProtection password="C74A" sheet="1" objects="1" scenarios="1" formatCells="0" formatColumns="0" formatRows="0"/>
  <mergeCells count="32">
    <mergeCell ref="H3:H8"/>
    <mergeCell ref="H9:H14"/>
    <mergeCell ref="H15:H20"/>
    <mergeCell ref="B3:B8"/>
    <mergeCell ref="B9:B14"/>
    <mergeCell ref="B15:B20"/>
    <mergeCell ref="H49:H53"/>
    <mergeCell ref="B43:B48"/>
    <mergeCell ref="A38:A42"/>
    <mergeCell ref="B27:B32"/>
    <mergeCell ref="H27:H32"/>
    <mergeCell ref="A33:A37"/>
    <mergeCell ref="B38:B42"/>
    <mergeCell ref="B33:B37"/>
    <mergeCell ref="H33:H37"/>
    <mergeCell ref="A27:A32"/>
    <mergeCell ref="A1:B1"/>
    <mergeCell ref="C57:E57"/>
    <mergeCell ref="A21:A25"/>
    <mergeCell ref="B49:B53"/>
    <mergeCell ref="A49:A53"/>
    <mergeCell ref="B21:B25"/>
    <mergeCell ref="A3:A8"/>
    <mergeCell ref="A9:A14"/>
    <mergeCell ref="A15:A20"/>
    <mergeCell ref="E1:H1"/>
    <mergeCell ref="C56:H56"/>
    <mergeCell ref="A56:B57"/>
    <mergeCell ref="A43:A48"/>
    <mergeCell ref="H38:H42"/>
    <mergeCell ref="H21:H25"/>
    <mergeCell ref="H43:H48"/>
  </mergeCells>
  <phoneticPr fontId="19" type="noConversion"/>
  <pageMargins left="0.75" right="0.75" top="1" bottom="1" header="0.5" footer="0.5"/>
  <pageSetup orientation="portrait"/>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theme="7" tint="0.39997558519241921"/>
  </sheetPr>
  <dimension ref="A1:H89"/>
  <sheetViews>
    <sheetView workbookViewId="0">
      <selection activeCell="C7" sqref="C7"/>
    </sheetView>
  </sheetViews>
  <sheetFormatPr defaultColWidth="9.33203125" defaultRowHeight="15" customHeight="1" x14ac:dyDescent="0.2"/>
  <cols>
    <col min="1" max="1" width="5.83203125" style="8" customWidth="1"/>
    <col min="2" max="2" width="17.83203125" style="8" customWidth="1"/>
    <col min="3" max="3" width="133.33203125" style="8" customWidth="1"/>
    <col min="4" max="6" width="7.83203125" style="209" customWidth="1"/>
    <col min="7" max="7" width="10.83203125" style="358" customWidth="1"/>
    <col min="8" max="8" width="15.83203125" style="8" customWidth="1"/>
    <col min="9" max="16384" width="9.33203125" style="8"/>
  </cols>
  <sheetData>
    <row r="1" spans="1:8" ht="45" customHeight="1" thickBot="1" x14ac:dyDescent="0.25">
      <c r="A1" s="976" t="s">
        <v>3579</v>
      </c>
      <c r="B1" s="1034"/>
      <c r="C1" s="76" t="s">
        <v>37</v>
      </c>
      <c r="D1" s="77" t="s">
        <v>38</v>
      </c>
      <c r="E1" s="916"/>
      <c r="F1" s="917"/>
      <c r="G1" s="917"/>
      <c r="H1" s="917"/>
    </row>
    <row r="2" spans="1:8" ht="30" customHeight="1" thickBot="1" x14ac:dyDescent="0.25">
      <c r="A2" s="506" t="s">
        <v>770</v>
      </c>
      <c r="B2" s="510" t="s">
        <v>29</v>
      </c>
      <c r="C2" s="514" t="s">
        <v>3652</v>
      </c>
      <c r="D2" s="510" t="s">
        <v>805</v>
      </c>
      <c r="E2" s="515" t="s">
        <v>1017</v>
      </c>
      <c r="F2" s="510" t="s">
        <v>1018</v>
      </c>
      <c r="G2" s="515" t="s">
        <v>355</v>
      </c>
      <c r="H2" s="513"/>
    </row>
    <row r="3" spans="1:8" ht="30" customHeight="1" thickBot="1" x14ac:dyDescent="0.25">
      <c r="A3" s="902" t="str">
        <f>T!A92</f>
        <v>T19</v>
      </c>
      <c r="B3" s="905" t="str">
        <f>T!B92</f>
        <v>Core Area 1</v>
      </c>
      <c r="C3" s="275" t="str">
        <f>T!C92</f>
        <v xml:space="preserve">The percentage of the AA almost never visited by humans during an average growing season probably comprises: [Note: Do not include visitors on trails outside of the AA unless more than half the wetland is visible from the trails and they are within 100 ft of the wetland edge.  In that case include only the area occupied by the trail]. </v>
      </c>
      <c r="D3" s="338"/>
      <c r="E3" s="339"/>
      <c r="F3" s="340"/>
      <c r="G3" s="520">
        <f>MAX(F4:F9)/MAX(E4:E9)</f>
        <v>1</v>
      </c>
      <c r="H3" s="908" t="s">
        <v>462</v>
      </c>
    </row>
    <row r="4" spans="1:8" ht="15" customHeight="1" x14ac:dyDescent="0.2">
      <c r="A4" s="903"/>
      <c r="B4" s="897"/>
      <c r="C4" s="278" t="str">
        <f>T!C93</f>
        <v>&lt;5% and no inhabited building is within 300 ft of the AA</v>
      </c>
      <c r="D4" s="132">
        <f>T!D93</f>
        <v>0</v>
      </c>
      <c r="E4" s="333">
        <v>4</v>
      </c>
      <c r="F4" s="333">
        <f t="shared" ref="F4:F9" si="0">D4*E4</f>
        <v>0</v>
      </c>
      <c r="G4" s="351"/>
      <c r="H4" s="907"/>
    </row>
    <row r="5" spans="1:8" ht="15" customHeight="1" x14ac:dyDescent="0.2">
      <c r="A5" s="903"/>
      <c r="B5" s="897"/>
      <c r="C5" s="195" t="str">
        <f>T!C94</f>
        <v>&lt;5% and inhabited building is within 300 ft of the AA</v>
      </c>
      <c r="D5" s="132">
        <f>T!D94</f>
        <v>1</v>
      </c>
      <c r="E5" s="333">
        <v>5</v>
      </c>
      <c r="F5" s="333">
        <f t="shared" si="0"/>
        <v>5</v>
      </c>
      <c r="G5" s="352"/>
      <c r="H5" s="907"/>
    </row>
    <row r="6" spans="1:8" ht="15" customHeight="1" x14ac:dyDescent="0.2">
      <c r="A6" s="903"/>
      <c r="B6" s="897"/>
      <c r="C6" s="448" t="str">
        <f>T!C95</f>
        <v>5-50% and no inhabited building is within 300 ft of the AA</v>
      </c>
      <c r="D6" s="132">
        <f>T!D95</f>
        <v>0</v>
      </c>
      <c r="E6" s="333">
        <v>2</v>
      </c>
      <c r="F6" s="333">
        <f t="shared" si="0"/>
        <v>0</v>
      </c>
      <c r="G6" s="352"/>
      <c r="H6" s="907"/>
    </row>
    <row r="7" spans="1:8" ht="15" customHeight="1" x14ac:dyDescent="0.2">
      <c r="A7" s="903"/>
      <c r="B7" s="897"/>
      <c r="C7" s="448" t="str">
        <f>T!C96</f>
        <v>5-50% and inhabited building is within 300 ft of the AA</v>
      </c>
      <c r="D7" s="132">
        <f>T!D96</f>
        <v>0</v>
      </c>
      <c r="E7" s="333">
        <v>3</v>
      </c>
      <c r="F7" s="333">
        <f t="shared" si="0"/>
        <v>0</v>
      </c>
      <c r="G7" s="352"/>
      <c r="H7" s="907"/>
    </row>
    <row r="8" spans="1:8" ht="15" customHeight="1" x14ac:dyDescent="0.2">
      <c r="A8" s="903"/>
      <c r="B8" s="897"/>
      <c r="C8" s="448" t="str">
        <f>T!C97</f>
        <v>50-95%</v>
      </c>
      <c r="D8" s="132">
        <f>T!D97</f>
        <v>0</v>
      </c>
      <c r="E8" s="333">
        <v>1</v>
      </c>
      <c r="F8" s="333">
        <f t="shared" si="0"/>
        <v>0</v>
      </c>
      <c r="G8" s="352"/>
      <c r="H8" s="907"/>
    </row>
    <row r="9" spans="1:8" ht="15" customHeight="1" thickBot="1" x14ac:dyDescent="0.25">
      <c r="A9" s="904"/>
      <c r="B9" s="906"/>
      <c r="C9" s="507" t="str">
        <f>T!C98</f>
        <v>&gt;95% of the AA</v>
      </c>
      <c r="D9" s="133">
        <f>T!D98</f>
        <v>0</v>
      </c>
      <c r="E9" s="341">
        <v>0</v>
      </c>
      <c r="F9" s="341">
        <f t="shared" si="0"/>
        <v>0</v>
      </c>
      <c r="G9" s="350"/>
      <c r="H9" s="774"/>
    </row>
    <row r="10" spans="1:8" ht="30" customHeight="1" thickBot="1" x14ac:dyDescent="0.25">
      <c r="A10" s="901" t="str">
        <f>T!A99</f>
        <v>T20</v>
      </c>
      <c r="B10" s="897" t="str">
        <f>T!B99</f>
        <v>Core Area 2</v>
      </c>
      <c r="C10" s="191" t="str">
        <f>T!C99</f>
        <v xml:space="preserve">The part of the AA visited by humans almost daily for several weeks during an average year probably comprises: [Note: Do not include visitors on trails outside of the AA unless more than half the wetland is visible from the trails and they are within 100 ft of the wetland edge.  In that case include only the area occupied by the trail]. </v>
      </c>
      <c r="D10" s="323"/>
      <c r="E10" s="331"/>
      <c r="F10" s="332"/>
      <c r="G10" s="521">
        <f>MAX(F11:F14)/MAX(E11:E14)</f>
        <v>1</v>
      </c>
      <c r="H10" s="908" t="s">
        <v>463</v>
      </c>
    </row>
    <row r="11" spans="1:8" ht="15" customHeight="1" x14ac:dyDescent="0.2">
      <c r="A11" s="901"/>
      <c r="B11" s="897"/>
      <c r="C11" s="278" t="str">
        <f>T!C100</f>
        <v>&lt;5%</v>
      </c>
      <c r="D11" s="132">
        <f>T!D100</f>
        <v>0</v>
      </c>
      <c r="E11" s="333">
        <v>0</v>
      </c>
      <c r="F11" s="333">
        <f>D11*E11</f>
        <v>0</v>
      </c>
      <c r="G11" s="351"/>
      <c r="H11" s="907"/>
    </row>
    <row r="12" spans="1:8" ht="15" customHeight="1" x14ac:dyDescent="0.2">
      <c r="A12" s="901"/>
      <c r="B12" s="897"/>
      <c r="C12" s="195" t="str">
        <f>T!C101</f>
        <v>5-50%</v>
      </c>
      <c r="D12" s="132">
        <f>T!D101</f>
        <v>0</v>
      </c>
      <c r="E12" s="333">
        <v>1</v>
      </c>
      <c r="F12" s="333">
        <f>D12*E12</f>
        <v>0</v>
      </c>
      <c r="G12" s="352"/>
      <c r="H12" s="907"/>
    </row>
    <row r="13" spans="1:8" ht="15" customHeight="1" x14ac:dyDescent="0.2">
      <c r="A13" s="901"/>
      <c r="B13" s="897"/>
      <c r="C13" s="448" t="str">
        <f>T!C102</f>
        <v>50-95%</v>
      </c>
      <c r="D13" s="132">
        <f>T!D102</f>
        <v>0</v>
      </c>
      <c r="E13" s="333">
        <v>2</v>
      </c>
      <c r="F13" s="333">
        <f>D13*E13</f>
        <v>0</v>
      </c>
      <c r="G13" s="352"/>
      <c r="H13" s="907"/>
    </row>
    <row r="14" spans="1:8" ht="15" customHeight="1" thickBot="1" x14ac:dyDescent="0.25">
      <c r="A14" s="901"/>
      <c r="B14" s="897"/>
      <c r="C14" s="276" t="str">
        <f>T!C103</f>
        <v>&gt;95% of the AA</v>
      </c>
      <c r="D14" s="334">
        <f>T!D103</f>
        <v>1</v>
      </c>
      <c r="E14" s="335">
        <v>3</v>
      </c>
      <c r="F14" s="335">
        <f>D14*E14</f>
        <v>3</v>
      </c>
      <c r="G14" s="349"/>
      <c r="H14" s="774"/>
    </row>
    <row r="15" spans="1:8" ht="30" customHeight="1" thickBot="1" x14ac:dyDescent="0.25">
      <c r="A15" s="902" t="str">
        <f>T!A104</f>
        <v>T21</v>
      </c>
      <c r="B15" s="905" t="str">
        <f>T!B104</f>
        <v>Visibility</v>
      </c>
      <c r="C15" s="275" t="str">
        <f>T!C104</f>
        <v>The maximum percent of the wetland that is visible from the best vantage point on public roads, public parking lots, public buildings, or public maintained trails that intersect, adjoin, or are within 300 ft of the AA (select one) is:</v>
      </c>
      <c r="D15" s="338"/>
      <c r="E15" s="339"/>
      <c r="F15" s="340"/>
      <c r="G15" s="520">
        <f>MAX(F16:F18)/MAX(E16:E18)</f>
        <v>1</v>
      </c>
      <c r="H15" s="908" t="s">
        <v>464</v>
      </c>
    </row>
    <row r="16" spans="1:8" ht="15" customHeight="1" x14ac:dyDescent="0.2">
      <c r="A16" s="903"/>
      <c r="B16" s="897"/>
      <c r="C16" s="278" t="str">
        <f>T!C105</f>
        <v>&lt;25%</v>
      </c>
      <c r="D16" s="132">
        <f>T!D105</f>
        <v>0</v>
      </c>
      <c r="E16" s="333">
        <v>0</v>
      </c>
      <c r="F16" s="333">
        <f>D16*E16</f>
        <v>0</v>
      </c>
      <c r="G16" s="351"/>
      <c r="H16" s="907"/>
    </row>
    <row r="17" spans="1:8" ht="15" customHeight="1" x14ac:dyDescent="0.2">
      <c r="A17" s="903"/>
      <c r="B17" s="897"/>
      <c r="C17" s="195" t="str">
        <f>T!C106</f>
        <v>25-50%</v>
      </c>
      <c r="D17" s="132">
        <f>T!D106</f>
        <v>0</v>
      </c>
      <c r="E17" s="333">
        <v>1</v>
      </c>
      <c r="F17" s="333">
        <f>D17*E17</f>
        <v>0</v>
      </c>
      <c r="G17" s="352"/>
      <c r="H17" s="907"/>
    </row>
    <row r="18" spans="1:8" ht="15" customHeight="1" thickBot="1" x14ac:dyDescent="0.25">
      <c r="A18" s="904"/>
      <c r="B18" s="906"/>
      <c r="C18" s="277" t="str">
        <f>T!C107</f>
        <v>&gt;50%</v>
      </c>
      <c r="D18" s="133">
        <f>T!D107</f>
        <v>1</v>
      </c>
      <c r="E18" s="341">
        <v>2</v>
      </c>
      <c r="F18" s="341">
        <f>D18*E18</f>
        <v>2</v>
      </c>
      <c r="G18" s="350"/>
      <c r="H18" s="774"/>
    </row>
    <row r="19" spans="1:8" ht="21" customHeight="1" thickBot="1" x14ac:dyDescent="0.25">
      <c r="A19" s="901" t="str">
        <f>OF!A14</f>
        <v>OF3</v>
      </c>
      <c r="B19" s="897" t="str">
        <f>OF!B14</f>
        <v>Distance to Nearest Population Center</v>
      </c>
      <c r="C19" s="191" t="str">
        <f>OF!C14</f>
        <v>From the center of the AA, the distance to the nearest population center, via the nearest maintained road, is:</v>
      </c>
      <c r="D19" s="323"/>
      <c r="E19" s="331"/>
      <c r="F19" s="332"/>
      <c r="G19" s="521">
        <f>MAX(F20:F24)/MAX(E20:E24)</f>
        <v>0.6</v>
      </c>
      <c r="H19" s="908" t="s">
        <v>465</v>
      </c>
    </row>
    <row r="20" spans="1:8" ht="15" customHeight="1" x14ac:dyDescent="0.2">
      <c r="A20" s="901"/>
      <c r="B20" s="897"/>
      <c r="C20" s="278" t="str">
        <f>OF!C15</f>
        <v>&lt;0.5 mile</v>
      </c>
      <c r="D20" s="131">
        <f>OF!D15</f>
        <v>0</v>
      </c>
      <c r="E20" s="333">
        <v>5</v>
      </c>
      <c r="F20" s="333">
        <f>D20*E20</f>
        <v>0</v>
      </c>
      <c r="G20" s="351"/>
      <c r="H20" s="907"/>
    </row>
    <row r="21" spans="1:8" ht="15" customHeight="1" x14ac:dyDescent="0.2">
      <c r="A21" s="901"/>
      <c r="B21" s="897"/>
      <c r="C21" s="195" t="str">
        <f>OF!C16</f>
        <v>0.5 - 2 miles</v>
      </c>
      <c r="D21" s="131">
        <f>OF!D16</f>
        <v>1</v>
      </c>
      <c r="E21" s="333">
        <v>3</v>
      </c>
      <c r="F21" s="333">
        <f>D21*E21</f>
        <v>3</v>
      </c>
      <c r="G21" s="352"/>
      <c r="H21" s="907"/>
    </row>
    <row r="22" spans="1:8" ht="15" customHeight="1" x14ac:dyDescent="0.2">
      <c r="A22" s="901"/>
      <c r="B22" s="897"/>
      <c r="C22" s="195" t="str">
        <f>OF!C17</f>
        <v>2-5 miles</v>
      </c>
      <c r="D22" s="131">
        <f>OF!D17</f>
        <v>0</v>
      </c>
      <c r="E22" s="333">
        <v>2</v>
      </c>
      <c r="F22" s="333">
        <f>D22*E22</f>
        <v>0</v>
      </c>
      <c r="G22" s="352"/>
      <c r="H22" s="907"/>
    </row>
    <row r="23" spans="1:8" ht="15" customHeight="1" x14ac:dyDescent="0.2">
      <c r="A23" s="901"/>
      <c r="B23" s="897"/>
      <c r="C23" s="195" t="str">
        <f>OF!C18</f>
        <v>5-10 miles</v>
      </c>
      <c r="D23" s="131">
        <f>OF!D18</f>
        <v>0</v>
      </c>
      <c r="E23" s="333">
        <v>1</v>
      </c>
      <c r="F23" s="333">
        <f>D23*E23</f>
        <v>0</v>
      </c>
      <c r="G23" s="352"/>
      <c r="H23" s="907"/>
    </row>
    <row r="24" spans="1:8" ht="15" customHeight="1" thickBot="1" x14ac:dyDescent="0.25">
      <c r="A24" s="901"/>
      <c r="B24" s="897"/>
      <c r="C24" s="276" t="str">
        <f>OF!C19</f>
        <v>&gt;10 miles</v>
      </c>
      <c r="D24" s="325">
        <f>OF!D19</f>
        <v>0</v>
      </c>
      <c r="E24" s="335">
        <v>0</v>
      </c>
      <c r="F24" s="335">
        <f>D24*E24</f>
        <v>0</v>
      </c>
      <c r="G24" s="349"/>
      <c r="H24" s="774"/>
    </row>
    <row r="25" spans="1:8" ht="29.25" customHeight="1" thickBot="1" x14ac:dyDescent="0.25">
      <c r="A25" s="446" t="str">
        <f>OF!A20</f>
        <v>OF4</v>
      </c>
      <c r="B25" s="6" t="str">
        <f>OF!B20</f>
        <v>Wildlife Access</v>
      </c>
      <c r="C25" s="231" t="str">
        <f>OF!C20</f>
        <v>Draw a circle of radius of 0.5 mile from the center of the AA.  If mammals and amphibians can move from the center of the AA to all other separate wetlands located within the circle without being forced to cross maintained roads (any width), lawns, bare ground, marine waters, and/or steep (&gt;30%) slopes, mark 1= yes can move, or 0= no.</v>
      </c>
      <c r="D25" s="519">
        <f>1-OF!D20</f>
        <v>1</v>
      </c>
      <c r="E25" s="337"/>
      <c r="F25" s="336"/>
      <c r="G25" s="522"/>
      <c r="H25" s="6" t="s">
        <v>466</v>
      </c>
    </row>
    <row r="26" spans="1:8" ht="21" customHeight="1" thickBot="1" x14ac:dyDescent="0.25">
      <c r="A26" s="901" t="str">
        <f>OF!A21</f>
        <v>OF5</v>
      </c>
      <c r="B26" s="897" t="str">
        <f>OF!B21</f>
        <v>Distance to Nearest Road</v>
      </c>
      <c r="C26" s="191" t="str">
        <f>OF!C21</f>
        <v>The distance from the center of the AA to the nearest maintained road (dirt or paved) is:</v>
      </c>
      <c r="D26" s="323"/>
      <c r="E26" s="331"/>
      <c r="F26" s="332"/>
      <c r="G26" s="521">
        <f>MAX(F27:F32)/MAX(E27:E32)</f>
        <v>0.8</v>
      </c>
      <c r="H26" s="908" t="s">
        <v>467</v>
      </c>
    </row>
    <row r="27" spans="1:8" ht="15" customHeight="1" x14ac:dyDescent="0.2">
      <c r="A27" s="901"/>
      <c r="B27" s="897"/>
      <c r="C27" s="278" t="str">
        <f>OF!C22</f>
        <v>&lt;100 ft</v>
      </c>
      <c r="D27" s="131">
        <f>OF!D22</f>
        <v>0</v>
      </c>
      <c r="E27" s="333">
        <v>5</v>
      </c>
      <c r="F27" s="333">
        <f t="shared" ref="F27:F32" si="1">D27*E27</f>
        <v>0</v>
      </c>
      <c r="G27" s="351"/>
      <c r="H27" s="907"/>
    </row>
    <row r="28" spans="1:8" ht="15" customHeight="1" x14ac:dyDescent="0.2">
      <c r="A28" s="901"/>
      <c r="B28" s="897"/>
      <c r="C28" s="195" t="str">
        <f>OF!C23</f>
        <v>100-500 ft</v>
      </c>
      <c r="D28" s="131">
        <f>OF!D23</f>
        <v>1</v>
      </c>
      <c r="E28" s="333">
        <v>4</v>
      </c>
      <c r="F28" s="333">
        <f t="shared" si="1"/>
        <v>4</v>
      </c>
      <c r="G28" s="352"/>
      <c r="H28" s="907"/>
    </row>
    <row r="29" spans="1:8" ht="15" customHeight="1" x14ac:dyDescent="0.2">
      <c r="A29" s="901"/>
      <c r="B29" s="897"/>
      <c r="C29" s="195" t="str">
        <f>OF!C24</f>
        <v>500-1000 ft</v>
      </c>
      <c r="D29" s="131">
        <f>OF!D24</f>
        <v>0</v>
      </c>
      <c r="E29" s="333">
        <v>3</v>
      </c>
      <c r="F29" s="333">
        <f t="shared" si="1"/>
        <v>0</v>
      </c>
      <c r="G29" s="352"/>
      <c r="H29" s="907"/>
    </row>
    <row r="30" spans="1:8" ht="15" customHeight="1" x14ac:dyDescent="0.2">
      <c r="A30" s="901"/>
      <c r="B30" s="897"/>
      <c r="C30" s="195" t="str">
        <f>OF!C25</f>
        <v>1000-2600 ft</v>
      </c>
      <c r="D30" s="131">
        <f>OF!D25</f>
        <v>0</v>
      </c>
      <c r="E30" s="333">
        <v>2</v>
      </c>
      <c r="F30" s="333">
        <f t="shared" si="1"/>
        <v>0</v>
      </c>
      <c r="G30" s="352"/>
      <c r="H30" s="907"/>
    </row>
    <row r="31" spans="1:8" ht="15" customHeight="1" x14ac:dyDescent="0.2">
      <c r="A31" s="901"/>
      <c r="B31" s="897"/>
      <c r="C31" s="195" t="str">
        <f>OF!C26</f>
        <v>0.5- 1 mile</v>
      </c>
      <c r="D31" s="131">
        <f>OF!D26</f>
        <v>0</v>
      </c>
      <c r="E31" s="333">
        <v>1</v>
      </c>
      <c r="F31" s="333">
        <f t="shared" si="1"/>
        <v>0</v>
      </c>
      <c r="G31" s="352"/>
      <c r="H31" s="907"/>
    </row>
    <row r="32" spans="1:8" ht="15" customHeight="1" thickBot="1" x14ac:dyDescent="0.25">
      <c r="A32" s="901"/>
      <c r="B32" s="897"/>
      <c r="C32" s="276" t="str">
        <f>OF!C27</f>
        <v>&gt;1 mile</v>
      </c>
      <c r="D32" s="325">
        <f>OF!D27</f>
        <v>0</v>
      </c>
      <c r="E32" s="335">
        <v>0</v>
      </c>
      <c r="F32" s="335">
        <f t="shared" si="1"/>
        <v>0</v>
      </c>
      <c r="G32" s="349"/>
      <c r="H32" s="774"/>
    </row>
    <row r="33" spans="1:8" ht="21" customHeight="1" thickBot="1" x14ac:dyDescent="0.25">
      <c r="A33" s="911" t="str">
        <f>OF!A28</f>
        <v>OF6</v>
      </c>
      <c r="B33" s="905" t="str">
        <f>OF!B28</f>
        <v>Distance to Natural Land Cover</v>
      </c>
      <c r="C33" s="275" t="str">
        <f>OF!C28</f>
        <v>The minimum distance from the AA edge to the edge of the closest tract or corridor of natural (not necessarily native) land cover larger than 100 acres, is:</v>
      </c>
      <c r="D33" s="338"/>
      <c r="E33" s="339"/>
      <c r="F33" s="340"/>
      <c r="G33" s="520">
        <f>MAX(F34:F38)/MAX(E34:E38)</f>
        <v>0.75</v>
      </c>
      <c r="H33" s="908" t="s">
        <v>468</v>
      </c>
    </row>
    <row r="34" spans="1:8" ht="27" customHeight="1" x14ac:dyDescent="0.2">
      <c r="A34" s="912"/>
      <c r="B34" s="897"/>
      <c r="C34" s="278" t="str">
        <f>OF!C29</f>
        <v>&lt;150 ft, or &gt;100 acres of natural land cover is connected to the AA (not separated by roads, stretches of open water, bare ground, lawn, or impervious surface of any width), or the AA contains &gt;100 acres of vegetation.</v>
      </c>
      <c r="D34" s="131">
        <f>OF!D29</f>
        <v>1</v>
      </c>
      <c r="E34" s="333">
        <v>3</v>
      </c>
      <c r="F34" s="333">
        <f>D34*E34</f>
        <v>3</v>
      </c>
      <c r="G34" s="351"/>
      <c r="H34" s="907"/>
    </row>
    <row r="35" spans="1:8" ht="27" customHeight="1" x14ac:dyDescent="0.2">
      <c r="A35" s="912"/>
      <c r="B35" s="897"/>
      <c r="C35" s="195" t="str">
        <f>OF!C30</f>
        <v>&lt;150 ft, but separated from the 100-acre natural land patch by roads, stretches of open water, bare ground, lawn, or impervious surface of any width, and the AA does not contain &gt;100 acres of vegetation.</v>
      </c>
      <c r="D35" s="131">
        <f>OF!D30</f>
        <v>0</v>
      </c>
      <c r="E35" s="333">
        <v>4</v>
      </c>
      <c r="F35" s="333">
        <f>D35*E35</f>
        <v>0</v>
      </c>
      <c r="G35" s="352"/>
      <c r="H35" s="907"/>
    </row>
    <row r="36" spans="1:8" ht="15" customHeight="1" x14ac:dyDescent="0.2">
      <c r="A36" s="912"/>
      <c r="B36" s="897"/>
      <c r="C36" s="195" t="str">
        <f>OF!C31</f>
        <v>150-300 ft, with or without interrupting features</v>
      </c>
      <c r="D36" s="131">
        <f>OF!D31</f>
        <v>0</v>
      </c>
      <c r="E36" s="333">
        <v>1</v>
      </c>
      <c r="F36" s="333">
        <f>D36*E36</f>
        <v>0</v>
      </c>
      <c r="G36" s="352"/>
      <c r="H36" s="907"/>
    </row>
    <row r="37" spans="1:8" ht="15" customHeight="1" x14ac:dyDescent="0.2">
      <c r="A37" s="912"/>
      <c r="B37" s="897"/>
      <c r="C37" s="195" t="str">
        <f>OF!C32</f>
        <v>300-1000 ft, with or without interrupting features</v>
      </c>
      <c r="D37" s="131">
        <f>OF!D32</f>
        <v>0</v>
      </c>
      <c r="E37" s="333">
        <v>2</v>
      </c>
      <c r="F37" s="333">
        <f>D37*E37</f>
        <v>0</v>
      </c>
      <c r="G37" s="352"/>
      <c r="H37" s="907"/>
    </row>
    <row r="38" spans="1:8" ht="15" customHeight="1" thickBot="1" x14ac:dyDescent="0.25">
      <c r="A38" s="913"/>
      <c r="B38" s="906"/>
      <c r="C38" s="277" t="str">
        <f>OF!C33</f>
        <v>none of the above</v>
      </c>
      <c r="D38" s="328">
        <f>OF!D33</f>
        <v>0</v>
      </c>
      <c r="E38" s="341">
        <v>0</v>
      </c>
      <c r="F38" s="341">
        <f>D38*E38</f>
        <v>0</v>
      </c>
      <c r="G38" s="350"/>
      <c r="H38" s="774"/>
    </row>
    <row r="39" spans="1:8" ht="21" customHeight="1" thickBot="1" x14ac:dyDescent="0.25">
      <c r="A39" s="901" t="str">
        <f>OF!A34</f>
        <v>OF7</v>
      </c>
      <c r="B39" s="897" t="str">
        <f>OF!B34</f>
        <v>Natural Cover Extent</v>
      </c>
      <c r="C39" s="191" t="str">
        <f>OF!C34</f>
        <v>Within a 2-mile radius measured from the center of the AA, the percent of the land that has natural land cover (see definition on right) is:</v>
      </c>
      <c r="D39" s="323"/>
      <c r="E39" s="331"/>
      <c r="F39" s="332"/>
      <c r="G39" s="521">
        <f>MAX(F40:F44)/MAX(E40:E44)</f>
        <v>0</v>
      </c>
      <c r="H39" s="908" t="s">
        <v>469</v>
      </c>
    </row>
    <row r="40" spans="1:8" ht="15" customHeight="1" x14ac:dyDescent="0.2">
      <c r="A40" s="901"/>
      <c r="B40" s="897"/>
      <c r="C40" s="278" t="str">
        <f>OF!C35</f>
        <v>&lt;5% of the land (excluding ocean and bay)</v>
      </c>
      <c r="D40" s="131">
        <f>OF!D35</f>
        <v>0</v>
      </c>
      <c r="E40" s="333">
        <v>4</v>
      </c>
      <c r="F40" s="333">
        <f>D40*E40</f>
        <v>0</v>
      </c>
      <c r="G40" s="351"/>
      <c r="H40" s="907"/>
    </row>
    <row r="41" spans="1:8" ht="15" customHeight="1" x14ac:dyDescent="0.2">
      <c r="A41" s="901"/>
      <c r="B41" s="897"/>
      <c r="C41" s="195" t="str">
        <f>OF!C36</f>
        <v>5 to 20% of the land</v>
      </c>
      <c r="D41" s="131">
        <f>OF!D36</f>
        <v>0</v>
      </c>
      <c r="E41" s="333">
        <v>3</v>
      </c>
      <c r="F41" s="333">
        <f>D41*E41</f>
        <v>0</v>
      </c>
      <c r="G41" s="352"/>
      <c r="H41" s="907"/>
    </row>
    <row r="42" spans="1:8" ht="15" customHeight="1" x14ac:dyDescent="0.2">
      <c r="A42" s="901"/>
      <c r="B42" s="897"/>
      <c r="C42" s="195" t="str">
        <f>OF!C37</f>
        <v>20 to 60% of the land</v>
      </c>
      <c r="D42" s="131">
        <f>OF!D37</f>
        <v>0</v>
      </c>
      <c r="E42" s="333">
        <v>2</v>
      </c>
      <c r="F42" s="333">
        <f>D42*E42</f>
        <v>0</v>
      </c>
      <c r="G42" s="352"/>
      <c r="H42" s="907"/>
    </row>
    <row r="43" spans="1:8" ht="15" customHeight="1" x14ac:dyDescent="0.2">
      <c r="A43" s="901"/>
      <c r="B43" s="897"/>
      <c r="C43" s="195" t="str">
        <f>OF!C38</f>
        <v>60 to 90% of the land</v>
      </c>
      <c r="D43" s="131">
        <f>OF!D38</f>
        <v>0</v>
      </c>
      <c r="E43" s="333">
        <v>1</v>
      </c>
      <c r="F43" s="333">
        <f>D43*E43</f>
        <v>0</v>
      </c>
      <c r="G43" s="352"/>
      <c r="H43" s="907"/>
    </row>
    <row r="44" spans="1:8" ht="15" customHeight="1" thickBot="1" x14ac:dyDescent="0.25">
      <c r="A44" s="901"/>
      <c r="B44" s="897"/>
      <c r="C44" s="276" t="str">
        <f>OF!C39</f>
        <v>&gt;90% of the land.  SKIP to OF9.</v>
      </c>
      <c r="D44" s="325">
        <f>OF!D39</f>
        <v>1</v>
      </c>
      <c r="E44" s="335">
        <v>0</v>
      </c>
      <c r="F44" s="335">
        <f>D44*E44</f>
        <v>0</v>
      </c>
      <c r="G44" s="349"/>
      <c r="H44" s="774"/>
    </row>
    <row r="45" spans="1:8" ht="21" customHeight="1" thickBot="1" x14ac:dyDescent="0.25">
      <c r="A45" s="911" t="str">
        <f>OF!A40</f>
        <v>OF8</v>
      </c>
      <c r="B45" s="908" t="str">
        <f>OF!B40</f>
        <v>Type of Cover Alteration</v>
      </c>
      <c r="C45" s="275" t="str">
        <f>OF!C40</f>
        <v>Within a 2-mile radius measured from the center of the AA, the area that is not "natural cover" or water is mostly:</v>
      </c>
      <c r="D45" s="338"/>
      <c r="E45" s="339"/>
      <c r="F45" s="340"/>
      <c r="G45" s="520" t="str">
        <f>IF((D44=1),"",MAX(F46:F47)/MAX(E46:E47))</f>
        <v/>
      </c>
      <c r="H45" s="908" t="s">
        <v>470</v>
      </c>
    </row>
    <row r="46" spans="1:8" ht="15" customHeight="1" x14ac:dyDescent="0.2">
      <c r="A46" s="912"/>
      <c r="B46" s="907"/>
      <c r="C46" s="278" t="str">
        <f>OF!C41</f>
        <v>impervious surface, e.g., paved road, parking lot, building, exposed rock.</v>
      </c>
      <c r="D46" s="131">
        <f>OF!D41</f>
        <v>0</v>
      </c>
      <c r="E46" s="333">
        <v>3</v>
      </c>
      <c r="F46" s="333">
        <f>D46*E46</f>
        <v>0</v>
      </c>
      <c r="G46" s="351"/>
      <c r="H46" s="907"/>
    </row>
    <row r="47" spans="1:8" ht="15" customHeight="1" thickBot="1" x14ac:dyDescent="0.25">
      <c r="A47" s="913"/>
      <c r="B47" s="774"/>
      <c r="C47" s="277" t="str">
        <f>OF!C42</f>
        <v>bare or semi-bare pervious surface, e.g., recent clearcut, dirt or gravel road, lawn, plowed fields, landslide.</v>
      </c>
      <c r="D47" s="328">
        <f>OF!D42</f>
        <v>0</v>
      </c>
      <c r="E47" s="341">
        <v>2</v>
      </c>
      <c r="F47" s="341">
        <f>D47*E47</f>
        <v>0</v>
      </c>
      <c r="G47" s="350"/>
      <c r="H47" s="774"/>
    </row>
    <row r="48" spans="1:8" ht="30" customHeight="1" thickBot="1" x14ac:dyDescent="0.25">
      <c r="A48" s="992" t="str">
        <f>OF!A43</f>
        <v>OF9</v>
      </c>
      <c r="B48" s="897" t="str">
        <f>OF!B43</f>
        <v>Size of Largest Nearby Tract or Corridor of Natural Land Cover</v>
      </c>
      <c r="C48" s="191" t="str">
        <f>OF!C43</f>
        <v>The largest patch or corridor that is natural land cover and is contiguous with vegetation in the AA (i.e., not separated by roads or channels that create gaps wider than 150 ft), and includes the AA's vegetated area itself, occupies:</v>
      </c>
      <c r="D48" s="323"/>
      <c r="E48" s="331"/>
      <c r="F48" s="332"/>
      <c r="G48" s="521">
        <f>MAX(F49:F53)/MAX(E49:E53)</f>
        <v>0</v>
      </c>
      <c r="H48" s="908" t="s">
        <v>471</v>
      </c>
    </row>
    <row r="49" spans="1:8" ht="15" customHeight="1" x14ac:dyDescent="0.2">
      <c r="A49" s="992"/>
      <c r="B49" s="897"/>
      <c r="C49" s="278" t="str">
        <f>OF!C44</f>
        <v>&lt;1 acre, or larger but with average width &lt;150 ft</v>
      </c>
      <c r="D49" s="131">
        <f>OF!D44</f>
        <v>0</v>
      </c>
      <c r="E49" s="333">
        <v>4</v>
      </c>
      <c r="F49" s="333">
        <f>D49*E49</f>
        <v>0</v>
      </c>
      <c r="G49" s="351"/>
      <c r="H49" s="907"/>
    </row>
    <row r="50" spans="1:8" ht="15" customHeight="1" x14ac:dyDescent="0.2">
      <c r="A50" s="992"/>
      <c r="B50" s="897"/>
      <c r="C50" s="195" t="str">
        <f>OF!C45</f>
        <v>1-10 acres</v>
      </c>
      <c r="D50" s="131">
        <f>OF!D45</f>
        <v>0</v>
      </c>
      <c r="E50" s="333">
        <v>3</v>
      </c>
      <c r="F50" s="333">
        <f>D50*E50</f>
        <v>0</v>
      </c>
      <c r="G50" s="352"/>
      <c r="H50" s="907"/>
    </row>
    <row r="51" spans="1:8" ht="15" customHeight="1" x14ac:dyDescent="0.2">
      <c r="A51" s="992"/>
      <c r="B51" s="897"/>
      <c r="C51" s="195" t="str">
        <f>OF!C46</f>
        <v>10-100 acres</v>
      </c>
      <c r="D51" s="131">
        <f>OF!D46</f>
        <v>0</v>
      </c>
      <c r="E51" s="333">
        <v>2</v>
      </c>
      <c r="F51" s="333">
        <f>D51*E51</f>
        <v>0</v>
      </c>
      <c r="G51" s="352"/>
      <c r="H51" s="907"/>
    </row>
    <row r="52" spans="1:8" ht="15" customHeight="1" x14ac:dyDescent="0.2">
      <c r="A52" s="992"/>
      <c r="B52" s="897"/>
      <c r="C52" s="195" t="str">
        <f>OF!C47</f>
        <v>100-1000 acres</v>
      </c>
      <c r="D52" s="131">
        <f>OF!D47</f>
        <v>0</v>
      </c>
      <c r="E52" s="333">
        <v>1</v>
      </c>
      <c r="F52" s="333">
        <f>D52*E52</f>
        <v>0</v>
      </c>
      <c r="G52" s="352"/>
      <c r="H52" s="907"/>
    </row>
    <row r="53" spans="1:8" ht="15" customHeight="1" thickBot="1" x14ac:dyDescent="0.25">
      <c r="A53" s="992"/>
      <c r="B53" s="897"/>
      <c r="C53" s="276" t="str">
        <f>OF!C48</f>
        <v>&gt;1000 acres</v>
      </c>
      <c r="D53" s="325">
        <f>OF!D48</f>
        <v>1</v>
      </c>
      <c r="E53" s="335">
        <v>0</v>
      </c>
      <c r="F53" s="335">
        <f>D53*E53</f>
        <v>0</v>
      </c>
      <c r="G53" s="349"/>
      <c r="H53" s="774"/>
    </row>
    <row r="54" spans="1:8" ht="45" customHeight="1" thickBot="1" x14ac:dyDescent="0.25">
      <c r="A54" s="902" t="str">
        <f>OF!A118</f>
        <v>OF24</v>
      </c>
      <c r="B54" s="908" t="str">
        <f>OF!B118</f>
        <v>Documented Toxicity</v>
      </c>
      <c r="C54" s="275" t="str">
        <f>OF!C118</f>
        <v>In the online WESPAK-SE Wetlands Module, see Impaired Waters (DEC) and Contaminated Sites (Active).  Do those maps show a problem within the AA or in waters flowing into it, and the problem is that metals, hydrocarbons, or other substances in the sediment, water, or tissues are at levels known to be harmful to aquatic life or humans?  Or, other sampling has identified such a problem? Select the first true statement. These conditions are present:</v>
      </c>
      <c r="D54" s="338"/>
      <c r="E54" s="339"/>
      <c r="F54" s="340"/>
      <c r="G54" s="520" t="str">
        <f>IF((D58=1),"", IF((D57=1),0, IF((D56=1),0.2,1)))</f>
        <v/>
      </c>
      <c r="H54" s="908" t="s">
        <v>484</v>
      </c>
    </row>
    <row r="55" spans="1:8" ht="15" customHeight="1" x14ac:dyDescent="0.2">
      <c r="A55" s="903"/>
      <c r="B55" s="907"/>
      <c r="C55" s="278" t="str">
        <f>OF!C119</f>
        <v>within the AA</v>
      </c>
      <c r="D55" s="454">
        <f>OF!D119</f>
        <v>0</v>
      </c>
      <c r="E55" s="333"/>
      <c r="F55" s="333"/>
      <c r="G55" s="351"/>
      <c r="H55" s="907"/>
    </row>
    <row r="56" spans="1:8" ht="15" customHeight="1" x14ac:dyDescent="0.2">
      <c r="A56" s="903"/>
      <c r="B56" s="907"/>
      <c r="C56" s="278" t="str">
        <f>OF!C120</f>
        <v>in waters within 1 mile that flow into the AA.</v>
      </c>
      <c r="D56" s="454">
        <f>OF!D120</f>
        <v>0</v>
      </c>
      <c r="E56" s="333"/>
      <c r="F56" s="333"/>
      <c r="G56" s="352"/>
      <c r="H56" s="907"/>
    </row>
    <row r="57" spans="1:8" ht="15" customHeight="1" x14ac:dyDescent="0.2">
      <c r="A57" s="903"/>
      <c r="B57" s="907"/>
      <c r="C57" s="278" t="str">
        <f>OF!C121</f>
        <v>Sampling (not just absence of map symbols) indicates no problems.</v>
      </c>
      <c r="D57" s="454">
        <f>OF!D121</f>
        <v>0</v>
      </c>
      <c r="E57" s="333"/>
      <c r="F57" s="333"/>
      <c r="G57" s="352"/>
      <c r="H57" s="907"/>
    </row>
    <row r="58" spans="1:8" ht="15" customHeight="1" thickBot="1" x14ac:dyDescent="0.25">
      <c r="A58" s="904"/>
      <c r="B58" s="774"/>
      <c r="C58" s="447" t="str">
        <f>OF!C122</f>
        <v>insufficient data (no map symbols &amp; no sampling, or &gt;1 mile upstream).</v>
      </c>
      <c r="D58" s="455">
        <f>OF!D122</f>
        <v>1</v>
      </c>
      <c r="E58" s="341"/>
      <c r="F58" s="341"/>
      <c r="G58" s="350"/>
      <c r="H58" s="774"/>
    </row>
    <row r="59" spans="1:8" ht="21" customHeight="1" thickBot="1" x14ac:dyDescent="0.25">
      <c r="A59" s="1043" t="str">
        <f>OF!A123</f>
        <v>OF25</v>
      </c>
      <c r="B59" s="1042" t="str">
        <f>OF!B123</f>
        <v>Upslope Soil Erodibility &amp; Debris Flow Potential</v>
      </c>
      <c r="C59" s="269" t="str">
        <f>OF!C123</f>
        <v>There is documentation of landslides or severe erosion of channels or slopes above the AA:  [See directions, column E]</v>
      </c>
      <c r="D59" s="323"/>
      <c r="E59" s="331"/>
      <c r="F59" s="332"/>
      <c r="G59" s="521">
        <f>MAX(F60:F62)/2</f>
        <v>0</v>
      </c>
      <c r="H59" s="908" t="s">
        <v>472</v>
      </c>
    </row>
    <row r="60" spans="1:8" ht="15" customHeight="1" x14ac:dyDescent="0.2">
      <c r="A60" s="1037"/>
      <c r="B60" s="955"/>
      <c r="C60" s="207" t="str">
        <f>OF!C124</f>
        <v>yes, and such conditions or classifications intersect the AA.</v>
      </c>
      <c r="D60" s="131">
        <f>OF!D124</f>
        <v>0</v>
      </c>
      <c r="E60" s="333">
        <v>2</v>
      </c>
      <c r="F60" s="333">
        <f>D60*E60</f>
        <v>0</v>
      </c>
      <c r="G60" s="351"/>
      <c r="H60" s="907"/>
    </row>
    <row r="61" spans="1:8" ht="15" customHeight="1" x14ac:dyDescent="0.2">
      <c r="A61" s="1037"/>
      <c r="B61" s="955"/>
      <c r="C61" s="311" t="str">
        <f>OF!C125</f>
        <v>yes, but the conditions or classifications stop short of the AA and are within 300 ft upslope</v>
      </c>
      <c r="D61" s="131">
        <f>OF!D125</f>
        <v>0</v>
      </c>
      <c r="E61" s="333">
        <v>1</v>
      </c>
      <c r="F61" s="333">
        <f>D61*E61</f>
        <v>0</v>
      </c>
      <c r="G61" s="352"/>
      <c r="H61" s="907"/>
    </row>
    <row r="62" spans="1:8" ht="15" customHeight="1" x14ac:dyDescent="0.2">
      <c r="A62" s="1037"/>
      <c r="B62" s="955"/>
      <c r="C62" s="311" t="str">
        <f>OF!C126</f>
        <v>no, or no information but very unlikely that AA is fed sediment by nearby highly erodible lands or landslides.</v>
      </c>
      <c r="D62" s="131">
        <f>OF!D126</f>
        <v>1</v>
      </c>
      <c r="E62" s="333">
        <v>0</v>
      </c>
      <c r="F62" s="333">
        <f>D62*E62</f>
        <v>0</v>
      </c>
      <c r="G62" s="352"/>
      <c r="H62" s="907"/>
    </row>
    <row r="63" spans="1:8" ht="15" customHeight="1" thickBot="1" x14ac:dyDescent="0.25">
      <c r="A63" s="1037"/>
      <c r="B63" s="955"/>
      <c r="C63" s="312" t="str">
        <f>OF!C127</f>
        <v>no information</v>
      </c>
      <c r="D63" s="131">
        <f>OF!D127</f>
        <v>0</v>
      </c>
      <c r="E63" s="333"/>
      <c r="F63" s="333"/>
      <c r="G63" s="349"/>
      <c r="H63" s="774"/>
    </row>
    <row r="64" spans="1:8" ht="30" customHeight="1" thickBot="1" x14ac:dyDescent="0.25">
      <c r="A64" s="1037" t="str">
        <f>OF!A143</f>
        <v>OF29</v>
      </c>
      <c r="B64" s="955" t="str">
        <f>OF!B143</f>
        <v>Unvegetated Surface in the Contributing Area</v>
      </c>
      <c r="C64" s="317" t="str">
        <f>OF!C143</f>
        <v>The percentage of the contributing area (measured to no more than 1000 ft upslope) that drains directly to the AA and is comprised of buildings, roads, parking lots, other pavement, recent (&lt;5 years old) clearcuts, exposed bedrock, debris flows, and other mostly-bare (but unfrozen) surface is about :</v>
      </c>
      <c r="D64" s="326"/>
      <c r="E64" s="333"/>
      <c r="F64" s="428"/>
      <c r="G64" s="520">
        <f>MAX(F65:F67)/MAX(E65:E67)</f>
        <v>0</v>
      </c>
      <c r="H64" s="908" t="s">
        <v>473</v>
      </c>
    </row>
    <row r="65" spans="1:8" ht="15" customHeight="1" x14ac:dyDescent="0.2">
      <c r="A65" s="1037"/>
      <c r="B65" s="955"/>
      <c r="C65" s="207" t="str">
        <f>OF!C144</f>
        <v>&lt;10%</v>
      </c>
      <c r="D65" s="131">
        <f>OF!D144</f>
        <v>1</v>
      </c>
      <c r="E65" s="333">
        <v>0</v>
      </c>
      <c r="F65" s="333">
        <f>D65*E65</f>
        <v>0</v>
      </c>
      <c r="G65" s="351"/>
      <c r="H65" s="907"/>
    </row>
    <row r="66" spans="1:8" ht="15" customHeight="1" x14ac:dyDescent="0.2">
      <c r="A66" s="1037"/>
      <c r="B66" s="955"/>
      <c r="C66" s="311" t="str">
        <f>OF!C145</f>
        <v>10 to 25%</v>
      </c>
      <c r="D66" s="131">
        <f>OF!D145</f>
        <v>0</v>
      </c>
      <c r="E66" s="333">
        <v>1</v>
      </c>
      <c r="F66" s="333">
        <f>D66*E66</f>
        <v>0</v>
      </c>
      <c r="G66" s="352"/>
      <c r="H66" s="907"/>
    </row>
    <row r="67" spans="1:8" ht="15" customHeight="1" thickBot="1" x14ac:dyDescent="0.25">
      <c r="A67" s="1038"/>
      <c r="B67" s="956"/>
      <c r="C67" s="312" t="str">
        <f>OF!C146</f>
        <v>&gt;25%</v>
      </c>
      <c r="D67" s="325">
        <f>OF!D146</f>
        <v>0</v>
      </c>
      <c r="E67" s="335">
        <v>2</v>
      </c>
      <c r="F67" s="335">
        <f>D67*E67</f>
        <v>0</v>
      </c>
      <c r="G67" s="349"/>
      <c r="H67" s="774"/>
    </row>
    <row r="68" spans="1:8" ht="30" customHeight="1" thickBot="1" x14ac:dyDescent="0.25">
      <c r="A68" s="1039" t="str">
        <f>OF!A147</f>
        <v>OF30</v>
      </c>
      <c r="B68" s="1035" t="str">
        <f>OF!B147</f>
        <v>Transport From Upslope</v>
      </c>
      <c r="C68" s="70" t="str">
        <f>OF!C147</f>
        <v>A relatively large proportion of the precipitation that falls on the slope adjoining the AA reaches this wetland quickly as runoff (surface water), as indicated by the following: 
(a) input stream or channel is present, 
(b) input channels have been straightened, 
(c) upslope wetlands have been ditched extensively, 
(d) land cover is mostly non-forest, 
(e) slopes are steep, and/or
(f) most soils in the contributing area are shallow and/or have high runoff coefficients.  
This statement is:</v>
      </c>
      <c r="D68" s="338"/>
      <c r="E68" s="339"/>
      <c r="F68" s="340"/>
      <c r="G68" s="520">
        <f>MAX(F69:F71)/MAX(E69:E71)</f>
        <v>0.5</v>
      </c>
      <c r="H68" s="908" t="s">
        <v>474</v>
      </c>
    </row>
    <row r="69" spans="1:8" ht="15" customHeight="1" x14ac:dyDescent="0.2">
      <c r="A69" s="1040"/>
      <c r="B69" s="955"/>
      <c r="C69" s="207" t="str">
        <f>OF!C148</f>
        <v>Mostly true</v>
      </c>
      <c r="D69" s="131">
        <f>OF!D148</f>
        <v>0</v>
      </c>
      <c r="E69" s="333">
        <v>2</v>
      </c>
      <c r="F69" s="333">
        <f>D69*E69</f>
        <v>0</v>
      </c>
      <c r="G69" s="351"/>
      <c r="H69" s="907"/>
    </row>
    <row r="70" spans="1:8" ht="15" customHeight="1" x14ac:dyDescent="0.2">
      <c r="A70" s="1040"/>
      <c r="B70" s="955"/>
      <c r="C70" s="311" t="str">
        <f>OF!C149</f>
        <v>Somewhat true</v>
      </c>
      <c r="D70" s="131">
        <f>OF!D149</f>
        <v>1</v>
      </c>
      <c r="E70" s="333">
        <v>1</v>
      </c>
      <c r="F70" s="333">
        <f>D70*E70</f>
        <v>1</v>
      </c>
      <c r="G70" s="352"/>
      <c r="H70" s="907"/>
    </row>
    <row r="71" spans="1:8" ht="15" customHeight="1" thickBot="1" x14ac:dyDescent="0.25">
      <c r="A71" s="1041"/>
      <c r="B71" s="1036"/>
      <c r="C71" s="318" t="str">
        <f>OF!C150</f>
        <v>Mostly untrue</v>
      </c>
      <c r="D71" s="328">
        <f>OF!D150</f>
        <v>0</v>
      </c>
      <c r="E71" s="341">
        <v>0</v>
      </c>
      <c r="F71" s="341">
        <f>D71*E71</f>
        <v>0</v>
      </c>
      <c r="G71" s="350"/>
      <c r="H71" s="774"/>
    </row>
    <row r="72" spans="1:8" ht="30" customHeight="1" thickBot="1" x14ac:dyDescent="0.25">
      <c r="A72" s="6" t="s">
        <v>453</v>
      </c>
      <c r="B72" s="6" t="str">
        <f>S!B2</f>
        <v>Wetter Water Regime - Internal Causes</v>
      </c>
      <c r="C72" s="508" t="s">
        <v>36</v>
      </c>
      <c r="D72" s="519">
        <f>S!F17</f>
        <v>0</v>
      </c>
      <c r="E72" s="337"/>
      <c r="F72" s="336"/>
      <c r="G72" s="522"/>
      <c r="H72" s="6" t="s">
        <v>475</v>
      </c>
    </row>
    <row r="73" spans="1:8" ht="30" customHeight="1" thickBot="1" x14ac:dyDescent="0.25">
      <c r="A73" s="196" t="s">
        <v>811</v>
      </c>
      <c r="B73" s="200" t="str">
        <f>S!B18</f>
        <v>Wetter Water Regime - External Causes</v>
      </c>
      <c r="C73" s="509" t="s">
        <v>36</v>
      </c>
      <c r="D73" s="523">
        <f>S!F32</f>
        <v>0</v>
      </c>
      <c r="E73" s="342"/>
      <c r="F73" s="343"/>
      <c r="G73" s="423"/>
      <c r="H73" s="6" t="s">
        <v>476</v>
      </c>
    </row>
    <row r="74" spans="1:8" ht="30" customHeight="1" thickBot="1" x14ac:dyDescent="0.25">
      <c r="A74" s="446" t="s">
        <v>810</v>
      </c>
      <c r="B74" s="6" t="str">
        <f>S!B33</f>
        <v>Drier Water Regime - Internal Causes</v>
      </c>
      <c r="C74" s="508" t="s">
        <v>36</v>
      </c>
      <c r="D74" s="519">
        <f>S!F48</f>
        <v>0</v>
      </c>
      <c r="E74" s="337"/>
      <c r="F74" s="336"/>
      <c r="G74" s="522"/>
      <c r="H74" s="6" t="s">
        <v>477</v>
      </c>
    </row>
    <row r="75" spans="1:8" ht="30" customHeight="1" thickBot="1" x14ac:dyDescent="0.25">
      <c r="A75" s="196" t="s">
        <v>781</v>
      </c>
      <c r="B75" s="512" t="str">
        <f>S!B58</f>
        <v>When most of wetland's drier condition began</v>
      </c>
      <c r="C75" s="509" t="s">
        <v>36</v>
      </c>
      <c r="D75" s="523">
        <f>S!F63</f>
        <v>0</v>
      </c>
      <c r="E75" s="342"/>
      <c r="F75" s="343"/>
      <c r="G75" s="423"/>
      <c r="H75" s="6" t="s">
        <v>478</v>
      </c>
    </row>
    <row r="76" spans="1:8" ht="30" customHeight="1" thickBot="1" x14ac:dyDescent="0.25">
      <c r="A76" s="446" t="s">
        <v>751</v>
      </c>
      <c r="B76" s="6" t="str">
        <f>S!B64</f>
        <v>Altered Timing of Water Inputs</v>
      </c>
      <c r="C76" s="508" t="s">
        <v>36</v>
      </c>
      <c r="D76" s="519">
        <f>S!F78</f>
        <v>0</v>
      </c>
      <c r="E76" s="337"/>
      <c r="F76" s="336"/>
      <c r="G76" s="522"/>
      <c r="H76" s="6" t="s">
        <v>479</v>
      </c>
    </row>
    <row r="77" spans="1:8" ht="30" customHeight="1" thickBot="1" x14ac:dyDescent="0.25">
      <c r="A77" s="196" t="s">
        <v>852</v>
      </c>
      <c r="B77" s="200" t="str">
        <f>S!B79</f>
        <v>Accelerated Inputs of Contaminants and/or Salts</v>
      </c>
      <c r="C77" s="509" t="s">
        <v>36</v>
      </c>
      <c r="D77" s="523">
        <f>S!F91</f>
        <v>0</v>
      </c>
      <c r="E77" s="342"/>
      <c r="F77" s="343"/>
      <c r="G77" s="423"/>
      <c r="H77" s="6" t="s">
        <v>480</v>
      </c>
    </row>
    <row r="78" spans="1:8" ht="30" customHeight="1" thickBot="1" x14ac:dyDescent="0.25">
      <c r="A78" s="446" t="s">
        <v>853</v>
      </c>
      <c r="B78" s="6" t="str">
        <f>S!B92</f>
        <v>Accelerated Inputs of Nutrients</v>
      </c>
      <c r="C78" s="508" t="s">
        <v>36</v>
      </c>
      <c r="D78" s="519">
        <f>S!F104</f>
        <v>0</v>
      </c>
      <c r="E78" s="337"/>
      <c r="F78" s="336"/>
      <c r="G78" s="522"/>
      <c r="H78" s="6" t="s">
        <v>481</v>
      </c>
    </row>
    <row r="79" spans="1:8" ht="45" customHeight="1" thickBot="1" x14ac:dyDescent="0.25">
      <c r="A79" s="196" t="s">
        <v>757</v>
      </c>
      <c r="B79" s="200" t="str">
        <f>S!B105</f>
        <v>Excessive Sediment Loading from Contributing Area</v>
      </c>
      <c r="C79" s="509" t="s">
        <v>36</v>
      </c>
      <c r="D79" s="523">
        <f>S!F122</f>
        <v>0</v>
      </c>
      <c r="E79" s="342"/>
      <c r="F79" s="343"/>
      <c r="G79" s="423"/>
      <c r="H79" s="6" t="s">
        <v>482</v>
      </c>
    </row>
    <row r="80" spans="1:8" ht="45" customHeight="1" thickBot="1" x14ac:dyDescent="0.25">
      <c r="A80" s="446" t="s">
        <v>789</v>
      </c>
      <c r="B80" s="6" t="str">
        <f>S!B123</f>
        <v>Soil or Sediment Alteration Within the Assessment Area</v>
      </c>
      <c r="C80" s="508" t="s">
        <v>36</v>
      </c>
      <c r="D80" s="519">
        <f>S!F140</f>
        <v>0</v>
      </c>
      <c r="E80" s="337"/>
      <c r="F80" s="336"/>
      <c r="G80" s="522"/>
      <c r="H80" s="194" t="s">
        <v>483</v>
      </c>
    </row>
    <row r="81" spans="1:8" ht="21" customHeight="1" thickBot="1" x14ac:dyDescent="0.25">
      <c r="A81" s="887"/>
      <c r="B81" s="887"/>
      <c r="C81" s="887"/>
      <c r="D81" s="887"/>
      <c r="E81" s="887"/>
      <c r="F81" s="887"/>
      <c r="G81" s="887"/>
      <c r="H81" s="887"/>
    </row>
    <row r="82" spans="1:8" ht="30" customHeight="1" thickBot="1" x14ac:dyDescent="0.25">
      <c r="A82" s="707"/>
      <c r="B82" s="707"/>
      <c r="C82" s="516" t="s">
        <v>485</v>
      </c>
      <c r="D82" s="462"/>
      <c r="E82" s="518"/>
      <c r="F82" s="524"/>
      <c r="G82" s="519">
        <f>IF((D55=1),10, 10*AVERAGE(ToxDoc, AVERAGE(Core1alt, Core2alt, VisibAlt, PopCtrAlt, BarriersAlt, RoadsAlt), AVERAGE(NatDistAlt, NatPctAlt, NatTypeAlt, SizeAlt, ImpervAlt, TransptAlt), MAX(WetterIn, WetterCA, DrierIn, DrierCA, AltTiming, ToxicsIn, SedCA, SoilAltIn, VegClear, ErodAlt)))</f>
        <v>3.833333333333333</v>
      </c>
    </row>
    <row r="89" spans="1:8" ht="15" customHeight="1" x14ac:dyDescent="0.2">
      <c r="C89" s="517"/>
    </row>
  </sheetData>
  <sheetProtection password="C74A" sheet="1" objects="1" scenarios="1" formatCells="0" formatColumns="0" formatRows="0"/>
  <mergeCells count="43">
    <mergeCell ref="A81:B82"/>
    <mergeCell ref="H54:H58"/>
    <mergeCell ref="H59:H63"/>
    <mergeCell ref="H64:H67"/>
    <mergeCell ref="H68:H71"/>
    <mergeCell ref="C81:H81"/>
    <mergeCell ref="B64:B67"/>
    <mergeCell ref="A59:A63"/>
    <mergeCell ref="B54:B58"/>
    <mergeCell ref="H26:H32"/>
    <mergeCell ref="H33:H38"/>
    <mergeCell ref="H39:H44"/>
    <mergeCell ref="H45:H47"/>
    <mergeCell ref="H48:H53"/>
    <mergeCell ref="E1:H1"/>
    <mergeCell ref="H3:H9"/>
    <mergeCell ref="H10:H14"/>
    <mergeCell ref="H15:H18"/>
    <mergeCell ref="H19:H24"/>
    <mergeCell ref="A26:A32"/>
    <mergeCell ref="B26:B32"/>
    <mergeCell ref="A48:A53"/>
    <mergeCell ref="B33:B38"/>
    <mergeCell ref="A33:A38"/>
    <mergeCell ref="B39:B44"/>
    <mergeCell ref="A39:A44"/>
    <mergeCell ref="B48:B53"/>
    <mergeCell ref="A1:B1"/>
    <mergeCell ref="B68:B71"/>
    <mergeCell ref="A3:A9"/>
    <mergeCell ref="B10:B14"/>
    <mergeCell ref="A10:A14"/>
    <mergeCell ref="B15:B18"/>
    <mergeCell ref="A15:A18"/>
    <mergeCell ref="A45:A47"/>
    <mergeCell ref="B45:B47"/>
    <mergeCell ref="A19:A24"/>
    <mergeCell ref="B3:B9"/>
    <mergeCell ref="B19:B24"/>
    <mergeCell ref="A64:A67"/>
    <mergeCell ref="A68:A71"/>
    <mergeCell ref="A54:A58"/>
    <mergeCell ref="B59:B63"/>
  </mergeCells>
  <phoneticPr fontId="19" type="noConversion"/>
  <pageMargins left="0.75" right="0.75" top="1" bottom="1" header="0.5" footer="0.5"/>
  <pageSetup orientation="portrait"/>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161"/>
  <sheetViews>
    <sheetView workbookViewId="0">
      <selection sqref="A1:XFD1048576"/>
    </sheetView>
  </sheetViews>
  <sheetFormatPr defaultRowHeight="12.75" x14ac:dyDescent="0.2"/>
  <cols>
    <col min="1" max="1" width="27.6640625" bestFit="1" customWidth="1"/>
    <col min="2" max="2" width="31.83203125" bestFit="1" customWidth="1"/>
  </cols>
  <sheetData>
    <row r="1" spans="1:2" ht="13.5" thickBot="1" x14ac:dyDescent="0.25">
      <c r="A1" s="556" t="s">
        <v>1120</v>
      </c>
      <c r="B1" s="557" t="s">
        <v>1121</v>
      </c>
    </row>
    <row r="2" spans="1:2" x14ac:dyDescent="0.2">
      <c r="A2" s="558" t="s">
        <v>1122</v>
      </c>
      <c r="B2" s="559" t="s">
        <v>1123</v>
      </c>
    </row>
    <row r="3" spans="1:2" x14ac:dyDescent="0.2">
      <c r="A3" s="560" t="s">
        <v>1124</v>
      </c>
      <c r="B3" s="561" t="s">
        <v>1125</v>
      </c>
    </row>
    <row r="4" spans="1:2" x14ac:dyDescent="0.2">
      <c r="A4" s="560" t="s">
        <v>1126</v>
      </c>
      <c r="B4" s="561" t="s">
        <v>1127</v>
      </c>
    </row>
    <row r="5" spans="1:2" x14ac:dyDescent="0.2">
      <c r="A5" s="560" t="s">
        <v>1128</v>
      </c>
      <c r="B5" s="561" t="s">
        <v>1129</v>
      </c>
    </row>
    <row r="6" spans="1:2" x14ac:dyDescent="0.2">
      <c r="A6" s="560" t="s">
        <v>1130</v>
      </c>
      <c r="B6" s="561" t="s">
        <v>1131</v>
      </c>
    </row>
    <row r="7" spans="1:2" x14ac:dyDescent="0.2">
      <c r="A7" s="560" t="s">
        <v>1132</v>
      </c>
      <c r="B7" s="561" t="s">
        <v>1133</v>
      </c>
    </row>
    <row r="8" spans="1:2" x14ac:dyDescent="0.2">
      <c r="A8" s="560" t="s">
        <v>1134</v>
      </c>
      <c r="B8" s="561" t="s">
        <v>1135</v>
      </c>
    </row>
    <row r="9" spans="1:2" x14ac:dyDescent="0.2">
      <c r="A9" s="560" t="s">
        <v>1136</v>
      </c>
      <c r="B9" s="561" t="s">
        <v>1137</v>
      </c>
    </row>
    <row r="10" spans="1:2" x14ac:dyDescent="0.2">
      <c r="A10" s="560" t="s">
        <v>1138</v>
      </c>
      <c r="B10" s="561" t="s">
        <v>1139</v>
      </c>
    </row>
    <row r="11" spans="1:2" x14ac:dyDescent="0.2">
      <c r="A11" s="560" t="s">
        <v>1140</v>
      </c>
      <c r="B11" s="561" t="s">
        <v>1141</v>
      </c>
    </row>
    <row r="12" spans="1:2" x14ac:dyDescent="0.2">
      <c r="A12" s="560" t="s">
        <v>1142</v>
      </c>
      <c r="B12" s="561" t="s">
        <v>1143</v>
      </c>
    </row>
    <row r="13" spans="1:2" x14ac:dyDescent="0.2">
      <c r="A13" s="560" t="s">
        <v>1144</v>
      </c>
      <c r="B13" s="561" t="s">
        <v>1145</v>
      </c>
    </row>
    <row r="14" spans="1:2" x14ac:dyDescent="0.2">
      <c r="A14" s="560" t="s">
        <v>1146</v>
      </c>
      <c r="B14" s="561" t="s">
        <v>1147</v>
      </c>
    </row>
    <row r="15" spans="1:2" x14ac:dyDescent="0.2">
      <c r="A15" s="560" t="s">
        <v>1148</v>
      </c>
      <c r="B15" s="561" t="s">
        <v>1149</v>
      </c>
    </row>
    <row r="16" spans="1:2" x14ac:dyDescent="0.2">
      <c r="A16" s="560" t="s">
        <v>1150</v>
      </c>
      <c r="B16" s="561" t="s">
        <v>1151</v>
      </c>
    </row>
    <row r="17" spans="1:2" x14ac:dyDescent="0.2">
      <c r="A17" s="560" t="s">
        <v>1152</v>
      </c>
      <c r="B17" s="561" t="s">
        <v>1153</v>
      </c>
    </row>
    <row r="18" spans="1:2" x14ac:dyDescent="0.2">
      <c r="A18" s="560" t="s">
        <v>1154</v>
      </c>
      <c r="B18" s="561" t="s">
        <v>1155</v>
      </c>
    </row>
    <row r="19" spans="1:2" x14ac:dyDescent="0.2">
      <c r="A19" s="560" t="s">
        <v>1156</v>
      </c>
      <c r="B19" s="561" t="s">
        <v>1157</v>
      </c>
    </row>
    <row r="20" spans="1:2" x14ac:dyDescent="0.2">
      <c r="A20" s="560" t="s">
        <v>1158</v>
      </c>
      <c r="B20" s="561" t="s">
        <v>1159</v>
      </c>
    </row>
    <row r="21" spans="1:2" x14ac:dyDescent="0.2">
      <c r="A21" s="560" t="s">
        <v>1160</v>
      </c>
      <c r="B21" s="561" t="s">
        <v>1161</v>
      </c>
    </row>
    <row r="22" spans="1:2" x14ac:dyDescent="0.2">
      <c r="A22" s="560" t="s">
        <v>1162</v>
      </c>
      <c r="B22" s="561" t="s">
        <v>1163</v>
      </c>
    </row>
    <row r="23" spans="1:2" x14ac:dyDescent="0.2">
      <c r="A23" s="560" t="s">
        <v>1164</v>
      </c>
      <c r="B23" s="561" t="s">
        <v>1165</v>
      </c>
    </row>
    <row r="24" spans="1:2" x14ac:dyDescent="0.2">
      <c r="A24" s="560" t="s">
        <v>1166</v>
      </c>
      <c r="B24" s="561" t="s">
        <v>1167</v>
      </c>
    </row>
    <row r="25" spans="1:2" x14ac:dyDescent="0.2">
      <c r="A25" s="560" t="s">
        <v>1168</v>
      </c>
      <c r="B25" s="561" t="s">
        <v>1169</v>
      </c>
    </row>
    <row r="26" spans="1:2" x14ac:dyDescent="0.2">
      <c r="A26" s="560" t="s">
        <v>1170</v>
      </c>
      <c r="B26" s="561" t="s">
        <v>1171</v>
      </c>
    </row>
    <row r="27" spans="1:2" x14ac:dyDescent="0.2">
      <c r="A27" s="560" t="s">
        <v>1172</v>
      </c>
      <c r="B27" s="561" t="s">
        <v>1173</v>
      </c>
    </row>
    <row r="28" spans="1:2" x14ac:dyDescent="0.2">
      <c r="A28" s="560" t="s">
        <v>1174</v>
      </c>
      <c r="B28" s="561" t="s">
        <v>1175</v>
      </c>
    </row>
    <row r="29" spans="1:2" x14ac:dyDescent="0.2">
      <c r="A29" s="560" t="s">
        <v>1176</v>
      </c>
      <c r="B29" s="561" t="s">
        <v>1177</v>
      </c>
    </row>
    <row r="30" spans="1:2" x14ac:dyDescent="0.2">
      <c r="A30" s="560" t="s">
        <v>1178</v>
      </c>
      <c r="B30" s="561" t="s">
        <v>1179</v>
      </c>
    </row>
    <row r="31" spans="1:2" x14ac:dyDescent="0.2">
      <c r="A31" s="560" t="s">
        <v>1180</v>
      </c>
      <c r="B31" s="561" t="s">
        <v>1181</v>
      </c>
    </row>
    <row r="32" spans="1:2" x14ac:dyDescent="0.2">
      <c r="A32" s="560" t="s">
        <v>1182</v>
      </c>
      <c r="B32" s="561" t="s">
        <v>1183</v>
      </c>
    </row>
    <row r="33" spans="1:2" x14ac:dyDescent="0.2">
      <c r="A33" s="560" t="s">
        <v>1184</v>
      </c>
      <c r="B33" s="561" t="s">
        <v>1185</v>
      </c>
    </row>
    <row r="34" spans="1:2" x14ac:dyDescent="0.2">
      <c r="A34" s="560" t="s">
        <v>1186</v>
      </c>
      <c r="B34" s="561" t="s">
        <v>1187</v>
      </c>
    </row>
    <row r="35" spans="1:2" x14ac:dyDescent="0.2">
      <c r="A35" s="560" t="s">
        <v>1188</v>
      </c>
      <c r="B35" s="561" t="s">
        <v>1189</v>
      </c>
    </row>
    <row r="36" spans="1:2" x14ac:dyDescent="0.2">
      <c r="A36" s="560" t="s">
        <v>1190</v>
      </c>
      <c r="B36" s="561" t="s">
        <v>1191</v>
      </c>
    </row>
    <row r="37" spans="1:2" x14ac:dyDescent="0.2">
      <c r="A37" s="560" t="s">
        <v>1192</v>
      </c>
      <c r="B37" s="561" t="s">
        <v>1193</v>
      </c>
    </row>
    <row r="38" spans="1:2" x14ac:dyDescent="0.2">
      <c r="A38" s="560" t="s">
        <v>1194</v>
      </c>
      <c r="B38" s="561" t="s">
        <v>1195</v>
      </c>
    </row>
    <row r="39" spans="1:2" x14ac:dyDescent="0.2">
      <c r="A39" s="560" t="s">
        <v>1196</v>
      </c>
      <c r="B39" s="561" t="s">
        <v>1197</v>
      </c>
    </row>
    <row r="40" spans="1:2" x14ac:dyDescent="0.2">
      <c r="A40" s="560" t="s">
        <v>1198</v>
      </c>
      <c r="B40" s="561" t="s">
        <v>1199</v>
      </c>
    </row>
    <row r="41" spans="1:2" x14ac:dyDescent="0.2">
      <c r="A41" s="560" t="s">
        <v>1200</v>
      </c>
      <c r="B41" s="561" t="s">
        <v>1201</v>
      </c>
    </row>
    <row r="42" spans="1:2" x14ac:dyDescent="0.2">
      <c r="A42" s="560" t="s">
        <v>1202</v>
      </c>
      <c r="B42" s="561" t="s">
        <v>1203</v>
      </c>
    </row>
    <row r="43" spans="1:2" x14ac:dyDescent="0.2">
      <c r="A43" s="560" t="s">
        <v>1204</v>
      </c>
      <c r="B43" s="561" t="s">
        <v>1205</v>
      </c>
    </row>
    <row r="44" spans="1:2" x14ac:dyDescent="0.2">
      <c r="A44" s="560" t="s">
        <v>1206</v>
      </c>
      <c r="B44" s="561" t="s">
        <v>1207</v>
      </c>
    </row>
    <row r="45" spans="1:2" x14ac:dyDescent="0.2">
      <c r="A45" s="560" t="s">
        <v>1208</v>
      </c>
      <c r="B45" s="561" t="s">
        <v>1209</v>
      </c>
    </row>
    <row r="46" spans="1:2" x14ac:dyDescent="0.2">
      <c r="A46" s="560" t="s">
        <v>1210</v>
      </c>
      <c r="B46" s="561" t="s">
        <v>1211</v>
      </c>
    </row>
    <row r="47" spans="1:2" x14ac:dyDescent="0.2">
      <c r="A47" s="560" t="s">
        <v>1212</v>
      </c>
      <c r="B47" s="561" t="s">
        <v>1213</v>
      </c>
    </row>
    <row r="48" spans="1:2" x14ac:dyDescent="0.2">
      <c r="A48" s="560" t="s">
        <v>1214</v>
      </c>
      <c r="B48" s="561" t="s">
        <v>1215</v>
      </c>
    </row>
    <row r="49" spans="1:2" x14ac:dyDescent="0.2">
      <c r="A49" s="560" t="s">
        <v>1216</v>
      </c>
      <c r="B49" s="561" t="s">
        <v>1217</v>
      </c>
    </row>
    <row r="50" spans="1:2" x14ac:dyDescent="0.2">
      <c r="A50" s="560" t="s">
        <v>1218</v>
      </c>
      <c r="B50" s="561" t="s">
        <v>1219</v>
      </c>
    </row>
    <row r="51" spans="1:2" x14ac:dyDescent="0.2">
      <c r="A51" s="560" t="s">
        <v>1220</v>
      </c>
      <c r="B51" s="561" t="s">
        <v>1221</v>
      </c>
    </row>
    <row r="52" spans="1:2" x14ac:dyDescent="0.2">
      <c r="A52" s="560" t="s">
        <v>1222</v>
      </c>
      <c r="B52" s="561" t="s">
        <v>1223</v>
      </c>
    </row>
    <row r="53" spans="1:2" x14ac:dyDescent="0.2">
      <c r="A53" s="560" t="s">
        <v>1224</v>
      </c>
      <c r="B53" s="561" t="s">
        <v>1225</v>
      </c>
    </row>
    <row r="54" spans="1:2" x14ac:dyDescent="0.2">
      <c r="A54" s="560" t="s">
        <v>1226</v>
      </c>
      <c r="B54" s="561" t="s">
        <v>1227</v>
      </c>
    </row>
    <row r="55" spans="1:2" x14ac:dyDescent="0.2">
      <c r="A55" s="560" t="s">
        <v>1228</v>
      </c>
      <c r="B55" s="561"/>
    </row>
    <row r="56" spans="1:2" x14ac:dyDescent="0.2">
      <c r="A56" s="560" t="s">
        <v>1229</v>
      </c>
      <c r="B56" s="561" t="s">
        <v>1230</v>
      </c>
    </row>
    <row r="57" spans="1:2" x14ac:dyDescent="0.2">
      <c r="A57" s="560" t="s">
        <v>1231</v>
      </c>
      <c r="B57" s="561" t="s">
        <v>1232</v>
      </c>
    </row>
    <row r="58" spans="1:2" x14ac:dyDescent="0.2">
      <c r="A58" s="560" t="s">
        <v>1233</v>
      </c>
      <c r="B58" s="561" t="s">
        <v>1234</v>
      </c>
    </row>
    <row r="59" spans="1:2" x14ac:dyDescent="0.2">
      <c r="A59" s="560" t="s">
        <v>1235</v>
      </c>
      <c r="B59" s="561" t="s">
        <v>1236</v>
      </c>
    </row>
    <row r="60" spans="1:2" x14ac:dyDescent="0.2">
      <c r="A60" s="560" t="s">
        <v>1237</v>
      </c>
      <c r="B60" s="561" t="s">
        <v>1238</v>
      </c>
    </row>
    <row r="61" spans="1:2" x14ac:dyDescent="0.2">
      <c r="A61" s="560" t="s">
        <v>1239</v>
      </c>
      <c r="B61" s="561" t="s">
        <v>1240</v>
      </c>
    </row>
    <row r="62" spans="1:2" x14ac:dyDescent="0.2">
      <c r="A62" s="560" t="s">
        <v>1241</v>
      </c>
      <c r="B62" s="561" t="s">
        <v>1242</v>
      </c>
    </row>
    <row r="63" spans="1:2" x14ac:dyDescent="0.2">
      <c r="A63" s="560" t="s">
        <v>1243</v>
      </c>
      <c r="B63" s="561" t="s">
        <v>1244</v>
      </c>
    </row>
    <row r="64" spans="1:2" x14ac:dyDescent="0.2">
      <c r="A64" s="560" t="s">
        <v>1245</v>
      </c>
      <c r="B64" s="561" t="s">
        <v>1246</v>
      </c>
    </row>
    <row r="65" spans="1:2" x14ac:dyDescent="0.2">
      <c r="A65" s="560" t="s">
        <v>1247</v>
      </c>
      <c r="B65" s="561" t="s">
        <v>1248</v>
      </c>
    </row>
    <row r="66" spans="1:2" x14ac:dyDescent="0.2">
      <c r="A66" s="560" t="s">
        <v>1249</v>
      </c>
      <c r="B66" s="561" t="s">
        <v>1250</v>
      </c>
    </row>
    <row r="67" spans="1:2" x14ac:dyDescent="0.2">
      <c r="A67" s="560" t="s">
        <v>1251</v>
      </c>
      <c r="B67" s="561" t="s">
        <v>1252</v>
      </c>
    </row>
    <row r="68" spans="1:2" x14ac:dyDescent="0.2">
      <c r="A68" s="560" t="s">
        <v>1253</v>
      </c>
      <c r="B68" s="561" t="s">
        <v>1254</v>
      </c>
    </row>
    <row r="69" spans="1:2" x14ac:dyDescent="0.2">
      <c r="A69" s="560" t="s">
        <v>1255</v>
      </c>
      <c r="B69" s="561" t="s">
        <v>1256</v>
      </c>
    </row>
    <row r="70" spans="1:2" x14ac:dyDescent="0.2">
      <c r="A70" s="560" t="s">
        <v>1257</v>
      </c>
      <c r="B70" s="561" t="s">
        <v>1258</v>
      </c>
    </row>
    <row r="71" spans="1:2" x14ac:dyDescent="0.2">
      <c r="A71" s="560" t="s">
        <v>1259</v>
      </c>
      <c r="B71" s="561" t="s">
        <v>1260</v>
      </c>
    </row>
    <row r="72" spans="1:2" x14ac:dyDescent="0.2">
      <c r="A72" s="560" t="s">
        <v>1261</v>
      </c>
      <c r="B72" s="561" t="s">
        <v>1262</v>
      </c>
    </row>
    <row r="73" spans="1:2" x14ac:dyDescent="0.2">
      <c r="A73" s="560" t="s">
        <v>1263</v>
      </c>
      <c r="B73" s="561" t="s">
        <v>1264</v>
      </c>
    </row>
    <row r="74" spans="1:2" x14ac:dyDescent="0.2">
      <c r="A74" s="560" t="s">
        <v>1265</v>
      </c>
      <c r="B74" s="561" t="s">
        <v>1266</v>
      </c>
    </row>
    <row r="75" spans="1:2" x14ac:dyDescent="0.2">
      <c r="A75" s="560" t="s">
        <v>1267</v>
      </c>
      <c r="B75" s="561" t="s">
        <v>1268</v>
      </c>
    </row>
    <row r="76" spans="1:2" x14ac:dyDescent="0.2">
      <c r="A76" s="560" t="s">
        <v>1269</v>
      </c>
      <c r="B76" s="561" t="s">
        <v>1270</v>
      </c>
    </row>
    <row r="77" spans="1:2" x14ac:dyDescent="0.2">
      <c r="A77" s="560" t="s">
        <v>1271</v>
      </c>
      <c r="B77" s="561" t="s">
        <v>1272</v>
      </c>
    </row>
    <row r="78" spans="1:2" x14ac:dyDescent="0.2">
      <c r="A78" s="560" t="s">
        <v>1273</v>
      </c>
      <c r="B78" s="561" t="s">
        <v>1274</v>
      </c>
    </row>
    <row r="79" spans="1:2" x14ac:dyDescent="0.2">
      <c r="A79" s="560" t="s">
        <v>1275</v>
      </c>
      <c r="B79" s="561" t="s">
        <v>1276</v>
      </c>
    </row>
    <row r="80" spans="1:2" x14ac:dyDescent="0.2">
      <c r="A80" s="560" t="s">
        <v>1277</v>
      </c>
      <c r="B80" s="561" t="s">
        <v>1278</v>
      </c>
    </row>
    <row r="81" spans="1:2" x14ac:dyDescent="0.2">
      <c r="A81" s="560" t="s">
        <v>1279</v>
      </c>
      <c r="B81" s="561" t="s">
        <v>1280</v>
      </c>
    </row>
    <row r="82" spans="1:2" x14ac:dyDescent="0.2">
      <c r="A82" s="560" t="s">
        <v>1281</v>
      </c>
      <c r="B82" s="561" t="s">
        <v>1282</v>
      </c>
    </row>
    <row r="83" spans="1:2" x14ac:dyDescent="0.2">
      <c r="A83" s="560" t="s">
        <v>1283</v>
      </c>
      <c r="B83" s="561" t="s">
        <v>1284</v>
      </c>
    </row>
    <row r="84" spans="1:2" x14ac:dyDescent="0.2">
      <c r="A84" s="560" t="s">
        <v>1285</v>
      </c>
      <c r="B84" s="561" t="s">
        <v>1286</v>
      </c>
    </row>
    <row r="85" spans="1:2" x14ac:dyDescent="0.2">
      <c r="A85" s="560" t="s">
        <v>1287</v>
      </c>
      <c r="B85" s="561" t="s">
        <v>1288</v>
      </c>
    </row>
    <row r="86" spans="1:2" x14ac:dyDescent="0.2">
      <c r="A86" s="560" t="s">
        <v>1289</v>
      </c>
      <c r="B86" s="561" t="s">
        <v>1290</v>
      </c>
    </row>
    <row r="87" spans="1:2" x14ac:dyDescent="0.2">
      <c r="A87" s="560" t="s">
        <v>1291</v>
      </c>
      <c r="B87" s="561" t="s">
        <v>1292</v>
      </c>
    </row>
    <row r="88" spans="1:2" x14ac:dyDescent="0.2">
      <c r="A88" s="560" t="s">
        <v>1293</v>
      </c>
      <c r="B88" s="561"/>
    </row>
    <row r="89" spans="1:2" x14ac:dyDescent="0.2">
      <c r="A89" s="560" t="s">
        <v>1294</v>
      </c>
      <c r="B89" s="561" t="s">
        <v>1295</v>
      </c>
    </row>
    <row r="90" spans="1:2" x14ac:dyDescent="0.2">
      <c r="A90" s="560" t="s">
        <v>1296</v>
      </c>
      <c r="B90" s="561" t="s">
        <v>1297</v>
      </c>
    </row>
    <row r="91" spans="1:2" x14ac:dyDescent="0.2">
      <c r="A91" s="560" t="s">
        <v>1298</v>
      </c>
      <c r="B91" s="561" t="s">
        <v>1299</v>
      </c>
    </row>
    <row r="92" spans="1:2" x14ac:dyDescent="0.2">
      <c r="A92" s="560" t="s">
        <v>1300</v>
      </c>
      <c r="B92" s="561" t="s">
        <v>1301</v>
      </c>
    </row>
    <row r="93" spans="1:2" x14ac:dyDescent="0.2">
      <c r="A93" s="560" t="s">
        <v>1302</v>
      </c>
      <c r="B93" s="561" t="s">
        <v>1303</v>
      </c>
    </row>
    <row r="94" spans="1:2" x14ac:dyDescent="0.2">
      <c r="A94" s="560" t="s">
        <v>1304</v>
      </c>
      <c r="B94" s="561" t="s">
        <v>1305</v>
      </c>
    </row>
    <row r="95" spans="1:2" x14ac:dyDescent="0.2">
      <c r="A95" s="560" t="s">
        <v>1306</v>
      </c>
      <c r="B95" s="561" t="s">
        <v>1307</v>
      </c>
    </row>
    <row r="96" spans="1:2" x14ac:dyDescent="0.2">
      <c r="A96" s="560" t="s">
        <v>1308</v>
      </c>
      <c r="B96" s="561" t="s">
        <v>1309</v>
      </c>
    </row>
    <row r="97" spans="1:2" x14ac:dyDescent="0.2">
      <c r="A97" s="560" t="s">
        <v>1310</v>
      </c>
      <c r="B97" s="561" t="s">
        <v>1311</v>
      </c>
    </row>
    <row r="98" spans="1:2" x14ac:dyDescent="0.2">
      <c r="A98" s="560" t="s">
        <v>1312</v>
      </c>
      <c r="B98" s="561" t="s">
        <v>1313</v>
      </c>
    </row>
    <row r="99" spans="1:2" x14ac:dyDescent="0.2">
      <c r="A99" s="560" t="s">
        <v>1314</v>
      </c>
      <c r="B99" s="561" t="s">
        <v>1315</v>
      </c>
    </row>
    <row r="100" spans="1:2" x14ac:dyDescent="0.2">
      <c r="A100" s="560" t="s">
        <v>1316</v>
      </c>
      <c r="B100" s="561" t="s">
        <v>1317</v>
      </c>
    </row>
    <row r="101" spans="1:2" x14ac:dyDescent="0.2">
      <c r="A101" s="560" t="s">
        <v>1318</v>
      </c>
      <c r="B101" s="561" t="s">
        <v>1319</v>
      </c>
    </row>
    <row r="102" spans="1:2" x14ac:dyDescent="0.2">
      <c r="A102" s="560" t="s">
        <v>1320</v>
      </c>
      <c r="B102" s="561" t="s">
        <v>1321</v>
      </c>
    </row>
    <row r="103" spans="1:2" x14ac:dyDescent="0.2">
      <c r="A103" s="560" t="s">
        <v>1322</v>
      </c>
      <c r="B103" s="561" t="s">
        <v>1323</v>
      </c>
    </row>
    <row r="104" spans="1:2" x14ac:dyDescent="0.2">
      <c r="A104" s="560" t="s">
        <v>1324</v>
      </c>
      <c r="B104" s="561" t="s">
        <v>1325</v>
      </c>
    </row>
    <row r="105" spans="1:2" x14ac:dyDescent="0.2">
      <c r="A105" s="560" t="s">
        <v>1326</v>
      </c>
      <c r="B105" s="561" t="s">
        <v>1327</v>
      </c>
    </row>
    <row r="106" spans="1:2" x14ac:dyDescent="0.2">
      <c r="A106" s="560" t="s">
        <v>1328</v>
      </c>
      <c r="B106" s="561" t="s">
        <v>1329</v>
      </c>
    </row>
    <row r="107" spans="1:2" x14ac:dyDescent="0.2">
      <c r="A107" s="560" t="s">
        <v>1330</v>
      </c>
      <c r="B107" s="561" t="s">
        <v>1331</v>
      </c>
    </row>
    <row r="108" spans="1:2" x14ac:dyDescent="0.2">
      <c r="A108" s="560" t="s">
        <v>1332</v>
      </c>
      <c r="B108" s="561" t="s">
        <v>1333</v>
      </c>
    </row>
    <row r="109" spans="1:2" x14ac:dyDescent="0.2">
      <c r="A109" s="560" t="s">
        <v>1334</v>
      </c>
      <c r="B109" s="561" t="s">
        <v>1335</v>
      </c>
    </row>
    <row r="110" spans="1:2" x14ac:dyDescent="0.2">
      <c r="A110" s="560" t="s">
        <v>1336</v>
      </c>
      <c r="B110" s="561" t="s">
        <v>1337</v>
      </c>
    </row>
    <row r="111" spans="1:2" x14ac:dyDescent="0.2">
      <c r="A111" s="560" t="s">
        <v>1338</v>
      </c>
      <c r="B111" s="561"/>
    </row>
    <row r="112" spans="1:2" x14ac:dyDescent="0.2">
      <c r="A112" s="560" t="s">
        <v>1339</v>
      </c>
      <c r="B112" s="561" t="s">
        <v>1340</v>
      </c>
    </row>
    <row r="113" spans="1:2" x14ac:dyDescent="0.2">
      <c r="A113" s="560" t="s">
        <v>1341</v>
      </c>
      <c r="B113" s="561" t="s">
        <v>1342</v>
      </c>
    </row>
    <row r="114" spans="1:2" x14ac:dyDescent="0.2">
      <c r="A114" s="560" t="s">
        <v>1343</v>
      </c>
      <c r="B114" s="561" t="s">
        <v>1344</v>
      </c>
    </row>
    <row r="115" spans="1:2" x14ac:dyDescent="0.2">
      <c r="A115" s="560" t="s">
        <v>1345</v>
      </c>
      <c r="B115" s="561" t="s">
        <v>1346</v>
      </c>
    </row>
    <row r="116" spans="1:2" x14ac:dyDescent="0.2">
      <c r="A116" s="560" t="s">
        <v>1347</v>
      </c>
      <c r="B116" s="561" t="s">
        <v>1348</v>
      </c>
    </row>
    <row r="117" spans="1:2" x14ac:dyDescent="0.2">
      <c r="A117" s="560" t="s">
        <v>1349</v>
      </c>
      <c r="B117" s="561" t="s">
        <v>1350</v>
      </c>
    </row>
    <row r="118" spans="1:2" x14ac:dyDescent="0.2">
      <c r="A118" s="560" t="s">
        <v>1351</v>
      </c>
      <c r="B118" s="561" t="s">
        <v>1352</v>
      </c>
    </row>
    <row r="119" spans="1:2" x14ac:dyDescent="0.2">
      <c r="A119" s="560" t="s">
        <v>1353</v>
      </c>
      <c r="B119" s="561" t="s">
        <v>1354</v>
      </c>
    </row>
    <row r="120" spans="1:2" x14ac:dyDescent="0.2">
      <c r="A120" s="560" t="s">
        <v>1355</v>
      </c>
      <c r="B120" s="561" t="s">
        <v>1356</v>
      </c>
    </row>
    <row r="121" spans="1:2" x14ac:dyDescent="0.2">
      <c r="A121" s="560" t="s">
        <v>1357</v>
      </c>
      <c r="B121" s="561" t="s">
        <v>1358</v>
      </c>
    </row>
    <row r="122" spans="1:2" x14ac:dyDescent="0.2">
      <c r="A122" s="560" t="s">
        <v>1359</v>
      </c>
      <c r="B122" s="561" t="s">
        <v>1360</v>
      </c>
    </row>
    <row r="123" spans="1:2" x14ac:dyDescent="0.2">
      <c r="A123" s="560" t="s">
        <v>1361</v>
      </c>
      <c r="B123" s="561" t="s">
        <v>1362</v>
      </c>
    </row>
    <row r="124" spans="1:2" x14ac:dyDescent="0.2">
      <c r="A124" s="560" t="s">
        <v>1363</v>
      </c>
      <c r="B124" s="561" t="s">
        <v>1364</v>
      </c>
    </row>
    <row r="125" spans="1:2" x14ac:dyDescent="0.2">
      <c r="A125" s="560" t="s">
        <v>1365</v>
      </c>
      <c r="B125" s="561" t="s">
        <v>1366</v>
      </c>
    </row>
    <row r="126" spans="1:2" x14ac:dyDescent="0.2">
      <c r="A126" s="560" t="s">
        <v>1367</v>
      </c>
      <c r="B126" s="561" t="s">
        <v>1368</v>
      </c>
    </row>
    <row r="127" spans="1:2" x14ac:dyDescent="0.2">
      <c r="A127" s="560" t="s">
        <v>1369</v>
      </c>
      <c r="B127" s="561" t="s">
        <v>1370</v>
      </c>
    </row>
    <row r="128" spans="1:2" x14ac:dyDescent="0.2">
      <c r="A128" s="560" t="s">
        <v>1371</v>
      </c>
      <c r="B128" s="561" t="s">
        <v>1372</v>
      </c>
    </row>
    <row r="129" spans="1:2" x14ac:dyDescent="0.2">
      <c r="A129" s="560" t="s">
        <v>1373</v>
      </c>
      <c r="B129" s="561" t="s">
        <v>1374</v>
      </c>
    </row>
    <row r="130" spans="1:2" x14ac:dyDescent="0.2">
      <c r="A130" s="560" t="s">
        <v>1375</v>
      </c>
      <c r="B130" s="561" t="s">
        <v>1376</v>
      </c>
    </row>
    <row r="131" spans="1:2" x14ac:dyDescent="0.2">
      <c r="A131" s="560" t="s">
        <v>1377</v>
      </c>
      <c r="B131" s="561" t="s">
        <v>1378</v>
      </c>
    </row>
    <row r="132" spans="1:2" x14ac:dyDescent="0.2">
      <c r="A132" s="560" t="s">
        <v>1379</v>
      </c>
      <c r="B132" s="561" t="s">
        <v>1380</v>
      </c>
    </row>
    <row r="133" spans="1:2" x14ac:dyDescent="0.2">
      <c r="A133" s="560" t="s">
        <v>1381</v>
      </c>
      <c r="B133" s="561" t="s">
        <v>1382</v>
      </c>
    </row>
    <row r="134" spans="1:2" x14ac:dyDescent="0.2">
      <c r="A134" s="560" t="s">
        <v>1383</v>
      </c>
      <c r="B134" s="561" t="s">
        <v>1384</v>
      </c>
    </row>
    <row r="135" spans="1:2" x14ac:dyDescent="0.2">
      <c r="A135" s="560" t="s">
        <v>1385</v>
      </c>
      <c r="B135" s="561" t="s">
        <v>1386</v>
      </c>
    </row>
    <row r="136" spans="1:2" x14ac:dyDescent="0.2">
      <c r="A136" s="560" t="s">
        <v>1387</v>
      </c>
      <c r="B136" s="561" t="s">
        <v>1388</v>
      </c>
    </row>
    <row r="137" spans="1:2" x14ac:dyDescent="0.2">
      <c r="A137" s="560" t="s">
        <v>1389</v>
      </c>
      <c r="B137" s="561" t="s">
        <v>1390</v>
      </c>
    </row>
    <row r="138" spans="1:2" x14ac:dyDescent="0.2">
      <c r="A138" s="560" t="s">
        <v>1391</v>
      </c>
      <c r="B138" s="561" t="s">
        <v>1392</v>
      </c>
    </row>
    <row r="139" spans="1:2" x14ac:dyDescent="0.2">
      <c r="A139" s="560" t="s">
        <v>1393</v>
      </c>
      <c r="B139" s="561" t="s">
        <v>1394</v>
      </c>
    </row>
    <row r="140" spans="1:2" x14ac:dyDescent="0.2">
      <c r="A140" s="562" t="s">
        <v>1395</v>
      </c>
      <c r="B140" s="561"/>
    </row>
    <row r="141" spans="1:2" x14ac:dyDescent="0.2">
      <c r="A141" s="560" t="s">
        <v>1396</v>
      </c>
      <c r="B141" s="561" t="s">
        <v>1397</v>
      </c>
    </row>
    <row r="142" spans="1:2" x14ac:dyDescent="0.2">
      <c r="A142" s="560" t="s">
        <v>1398</v>
      </c>
      <c r="B142" s="561" t="s">
        <v>1399</v>
      </c>
    </row>
    <row r="143" spans="1:2" x14ac:dyDescent="0.2">
      <c r="A143" s="560" t="s">
        <v>1400</v>
      </c>
      <c r="B143" s="561" t="s">
        <v>1401</v>
      </c>
    </row>
    <row r="144" spans="1:2" x14ac:dyDescent="0.2">
      <c r="A144" s="560" t="s">
        <v>1402</v>
      </c>
      <c r="B144" s="561" t="s">
        <v>1403</v>
      </c>
    </row>
    <row r="145" spans="1:2" x14ac:dyDescent="0.2">
      <c r="A145" s="560" t="s">
        <v>1404</v>
      </c>
      <c r="B145" s="561" t="s">
        <v>1405</v>
      </c>
    </row>
    <row r="146" spans="1:2" x14ac:dyDescent="0.2">
      <c r="A146" s="560" t="s">
        <v>1406</v>
      </c>
      <c r="B146" s="561" t="s">
        <v>1407</v>
      </c>
    </row>
    <row r="147" spans="1:2" x14ac:dyDescent="0.2">
      <c r="A147" s="560" t="s">
        <v>1408</v>
      </c>
      <c r="B147" s="561" t="s">
        <v>1409</v>
      </c>
    </row>
    <row r="148" spans="1:2" x14ac:dyDescent="0.2">
      <c r="A148" s="560" t="s">
        <v>1410</v>
      </c>
      <c r="B148" s="561" t="s">
        <v>1411</v>
      </c>
    </row>
    <row r="149" spans="1:2" x14ac:dyDescent="0.2">
      <c r="A149" s="560" t="s">
        <v>1412</v>
      </c>
      <c r="B149" s="561" t="s">
        <v>1413</v>
      </c>
    </row>
    <row r="150" spans="1:2" x14ac:dyDescent="0.2">
      <c r="A150" s="560" t="s">
        <v>1414</v>
      </c>
      <c r="B150" s="561" t="s">
        <v>1415</v>
      </c>
    </row>
    <row r="151" spans="1:2" x14ac:dyDescent="0.2">
      <c r="A151" s="560" t="s">
        <v>1416</v>
      </c>
      <c r="B151" s="561" t="s">
        <v>1417</v>
      </c>
    </row>
    <row r="152" spans="1:2" x14ac:dyDescent="0.2">
      <c r="A152" s="560" t="s">
        <v>1418</v>
      </c>
      <c r="B152" s="561" t="s">
        <v>1419</v>
      </c>
    </row>
    <row r="153" spans="1:2" x14ac:dyDescent="0.2">
      <c r="A153" s="560" t="s">
        <v>1420</v>
      </c>
      <c r="B153" s="561" t="s">
        <v>1421</v>
      </c>
    </row>
    <row r="154" spans="1:2" x14ac:dyDescent="0.2">
      <c r="A154" s="560" t="s">
        <v>1422</v>
      </c>
      <c r="B154" s="561" t="s">
        <v>1423</v>
      </c>
    </row>
    <row r="155" spans="1:2" x14ac:dyDescent="0.2">
      <c r="A155" s="560" t="s">
        <v>1424</v>
      </c>
      <c r="B155" s="561" t="s">
        <v>1425</v>
      </c>
    </row>
    <row r="156" spans="1:2" x14ac:dyDescent="0.2">
      <c r="A156" s="560" t="s">
        <v>1426</v>
      </c>
      <c r="B156" s="561" t="s">
        <v>1427</v>
      </c>
    </row>
    <row r="157" spans="1:2" x14ac:dyDescent="0.2">
      <c r="A157" s="560" t="s">
        <v>1428</v>
      </c>
      <c r="B157" s="561" t="s">
        <v>1429</v>
      </c>
    </row>
    <row r="158" spans="1:2" x14ac:dyDescent="0.2">
      <c r="A158" s="560" t="s">
        <v>1430</v>
      </c>
      <c r="B158" s="561" t="s">
        <v>1431</v>
      </c>
    </row>
    <row r="159" spans="1:2" x14ac:dyDescent="0.2">
      <c r="A159" s="560" t="s">
        <v>1432</v>
      </c>
      <c r="B159" s="561" t="s">
        <v>1433</v>
      </c>
    </row>
    <row r="160" spans="1:2" x14ac:dyDescent="0.2">
      <c r="A160" s="560" t="s">
        <v>1434</v>
      </c>
      <c r="B160" s="561" t="s">
        <v>1435</v>
      </c>
    </row>
    <row r="161" spans="1:2" x14ac:dyDescent="0.2">
      <c r="A161" s="560" t="s">
        <v>1436</v>
      </c>
      <c r="B161" s="561" t="s">
        <v>1437</v>
      </c>
    </row>
  </sheetData>
  <sheetProtection password="C74A" sheet="1" objects="1" scenarios="1" formatCells="0" formatColumns="0" formatRows="0" sort="0"/>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1308"/>
  <sheetViews>
    <sheetView workbookViewId="0">
      <selection activeCell="L22" sqref="L22"/>
    </sheetView>
  </sheetViews>
  <sheetFormatPr defaultRowHeight="12.75" x14ac:dyDescent="0.2"/>
  <cols>
    <col min="1" max="1" width="93.6640625" style="577" customWidth="1"/>
    <col min="2" max="2" width="10.5" style="578" customWidth="1"/>
    <col min="3" max="4" width="8.83203125" style="578" customWidth="1"/>
    <col min="5" max="5" width="27.83203125" style="579" customWidth="1"/>
    <col min="6" max="6" width="7.1640625" style="578" customWidth="1"/>
    <col min="7" max="7" width="11.33203125" style="578" customWidth="1"/>
    <col min="8" max="8" width="7.1640625" style="578" customWidth="1"/>
  </cols>
  <sheetData>
    <row r="1" spans="1:8" ht="109.5" customHeight="1" thickBot="1" x14ac:dyDescent="0.25">
      <c r="A1" s="582" t="s">
        <v>3560</v>
      </c>
      <c r="B1" s="580"/>
      <c r="C1" s="580"/>
      <c r="D1" s="580"/>
      <c r="E1" s="580"/>
      <c r="F1" s="580"/>
      <c r="G1" s="580"/>
      <c r="H1" s="580"/>
    </row>
    <row r="2" spans="1:8" ht="26.25" thickBot="1" x14ac:dyDescent="0.25">
      <c r="A2" s="581" t="s">
        <v>1120</v>
      </c>
      <c r="B2" s="563" t="s">
        <v>3559</v>
      </c>
      <c r="C2" s="564" t="s">
        <v>1439</v>
      </c>
      <c r="D2" s="565" t="s">
        <v>3647</v>
      </c>
      <c r="E2" s="557" t="s">
        <v>1121</v>
      </c>
      <c r="F2" s="566" t="s">
        <v>3648</v>
      </c>
      <c r="G2" s="567" t="s">
        <v>1440</v>
      </c>
      <c r="H2" s="568" t="s">
        <v>1441</v>
      </c>
    </row>
    <row r="3" spans="1:8" x14ac:dyDescent="0.2">
      <c r="A3" s="558" t="s">
        <v>1442</v>
      </c>
      <c r="B3" s="569" t="s">
        <v>1443</v>
      </c>
      <c r="C3" s="569">
        <v>0</v>
      </c>
      <c r="D3" s="569" t="s">
        <v>1444</v>
      </c>
      <c r="E3" s="559" t="s">
        <v>1445</v>
      </c>
      <c r="F3" s="570"/>
      <c r="G3" s="569"/>
      <c r="H3" s="569">
        <v>1</v>
      </c>
    </row>
    <row r="4" spans="1:8" x14ac:dyDescent="0.2">
      <c r="A4" s="560" t="s">
        <v>1446</v>
      </c>
      <c r="B4" s="571" t="s">
        <v>1443</v>
      </c>
      <c r="C4" s="571">
        <v>9</v>
      </c>
      <c r="D4" s="571" t="s">
        <v>1444</v>
      </c>
      <c r="E4" s="561" t="s">
        <v>1447</v>
      </c>
      <c r="F4" s="572"/>
      <c r="G4" s="571"/>
      <c r="H4" s="571"/>
    </row>
    <row r="5" spans="1:8" x14ac:dyDescent="0.2">
      <c r="A5" s="560" t="s">
        <v>1448</v>
      </c>
      <c r="B5" s="571"/>
      <c r="C5" s="571">
        <v>0</v>
      </c>
      <c r="D5" s="571" t="s">
        <v>1449</v>
      </c>
      <c r="E5" s="561" t="s">
        <v>1450</v>
      </c>
      <c r="F5" s="572"/>
      <c r="G5" s="571"/>
      <c r="H5" s="571"/>
    </row>
    <row r="6" spans="1:8" x14ac:dyDescent="0.2">
      <c r="A6" s="560" t="s">
        <v>1451</v>
      </c>
      <c r="B6" s="571" t="s">
        <v>1443</v>
      </c>
      <c r="C6" s="571">
        <v>14</v>
      </c>
      <c r="D6" s="571" t="s">
        <v>1452</v>
      </c>
      <c r="E6" s="561" t="s">
        <v>1453</v>
      </c>
      <c r="F6" s="572"/>
      <c r="G6" s="571"/>
      <c r="H6" s="571"/>
    </row>
    <row r="7" spans="1:8" x14ac:dyDescent="0.2">
      <c r="A7" s="560" t="s">
        <v>1454</v>
      </c>
      <c r="B7" s="571" t="s">
        <v>1443</v>
      </c>
      <c r="C7" s="571">
        <v>10</v>
      </c>
      <c r="D7" s="571" t="s">
        <v>1452</v>
      </c>
      <c r="E7" s="561" t="s">
        <v>1455</v>
      </c>
      <c r="F7" s="572"/>
      <c r="G7" s="571"/>
      <c r="H7" s="571"/>
    </row>
    <row r="8" spans="1:8" x14ac:dyDescent="0.2">
      <c r="A8" s="560" t="s">
        <v>1122</v>
      </c>
      <c r="B8" s="571"/>
      <c r="C8" s="571">
        <v>0</v>
      </c>
      <c r="D8" s="571" t="s">
        <v>1452</v>
      </c>
      <c r="E8" s="561" t="s">
        <v>1123</v>
      </c>
      <c r="F8" s="572" t="s">
        <v>1456</v>
      </c>
      <c r="G8" s="571"/>
      <c r="H8" s="571"/>
    </row>
    <row r="9" spans="1:8" x14ac:dyDescent="0.2">
      <c r="A9" s="560" t="s">
        <v>1457</v>
      </c>
      <c r="B9" s="571" t="s">
        <v>1443</v>
      </c>
      <c r="C9" s="571">
        <v>19</v>
      </c>
      <c r="D9" s="571" t="s">
        <v>1449</v>
      </c>
      <c r="E9" s="561" t="s">
        <v>1458</v>
      </c>
      <c r="F9" s="572"/>
      <c r="G9" s="571"/>
      <c r="H9" s="571"/>
    </row>
    <row r="10" spans="1:8" x14ac:dyDescent="0.2">
      <c r="A10" s="560" t="s">
        <v>1459</v>
      </c>
      <c r="B10" s="571"/>
      <c r="C10" s="571">
        <v>0</v>
      </c>
      <c r="D10" s="571" t="s">
        <v>1444</v>
      </c>
      <c r="E10" s="561" t="s">
        <v>1460</v>
      </c>
      <c r="F10" s="572"/>
      <c r="G10" s="571"/>
      <c r="H10" s="571"/>
    </row>
    <row r="11" spans="1:8" x14ac:dyDescent="0.2">
      <c r="A11" s="560" t="s">
        <v>1461</v>
      </c>
      <c r="B11" s="571"/>
      <c r="C11" s="571">
        <v>0</v>
      </c>
      <c r="D11" s="571" t="s">
        <v>1449</v>
      </c>
      <c r="E11" s="561" t="s">
        <v>1462</v>
      </c>
      <c r="F11" s="572"/>
      <c r="G11" s="571"/>
      <c r="H11" s="571"/>
    </row>
    <row r="12" spans="1:8" x14ac:dyDescent="0.2">
      <c r="A12" s="560" t="s">
        <v>1463</v>
      </c>
      <c r="B12" s="571" t="s">
        <v>1443</v>
      </c>
      <c r="C12" s="571">
        <v>3</v>
      </c>
      <c r="D12" s="571" t="s">
        <v>1464</v>
      </c>
      <c r="E12" s="561" t="s">
        <v>1465</v>
      </c>
      <c r="F12" s="572"/>
      <c r="G12" s="571"/>
      <c r="H12" s="571"/>
    </row>
    <row r="13" spans="1:8" x14ac:dyDescent="0.2">
      <c r="A13" s="560" t="s">
        <v>1466</v>
      </c>
      <c r="B13" s="571" t="s">
        <v>1443</v>
      </c>
      <c r="C13" s="571">
        <v>6</v>
      </c>
      <c r="D13" s="571" t="s">
        <v>1449</v>
      </c>
      <c r="E13" s="561" t="s">
        <v>1467</v>
      </c>
      <c r="F13" s="572"/>
      <c r="G13" s="571"/>
      <c r="H13" s="571"/>
    </row>
    <row r="14" spans="1:8" x14ac:dyDescent="0.2">
      <c r="A14" s="560" t="s">
        <v>1468</v>
      </c>
      <c r="B14" s="571" t="s">
        <v>1443</v>
      </c>
      <c r="C14" s="571">
        <v>4</v>
      </c>
      <c r="D14" s="571" t="s">
        <v>1449</v>
      </c>
      <c r="E14" s="561" t="s">
        <v>1469</v>
      </c>
      <c r="F14" s="572"/>
      <c r="G14" s="571"/>
      <c r="H14" s="571"/>
    </row>
    <row r="15" spans="1:8" x14ac:dyDescent="0.2">
      <c r="A15" s="560" t="s">
        <v>1470</v>
      </c>
      <c r="B15" s="571" t="s">
        <v>1443</v>
      </c>
      <c r="C15" s="571">
        <v>0</v>
      </c>
      <c r="D15" s="571" t="s">
        <v>1449</v>
      </c>
      <c r="E15" s="561" t="s">
        <v>1471</v>
      </c>
      <c r="F15" s="572"/>
      <c r="G15" s="571"/>
      <c r="H15" s="571"/>
    </row>
    <row r="16" spans="1:8" x14ac:dyDescent="0.2">
      <c r="A16" s="560" t="s">
        <v>1472</v>
      </c>
      <c r="B16" s="571" t="s">
        <v>1443</v>
      </c>
      <c r="C16" s="571">
        <v>1</v>
      </c>
      <c r="D16" s="571" t="s">
        <v>1449</v>
      </c>
      <c r="E16" s="561" t="s">
        <v>1473</v>
      </c>
      <c r="F16" s="572"/>
      <c r="G16" s="571"/>
      <c r="H16" s="571">
        <v>1</v>
      </c>
    </row>
    <row r="17" spans="1:8" x14ac:dyDescent="0.2">
      <c r="A17" s="560" t="s">
        <v>1474</v>
      </c>
      <c r="B17" s="571" t="s">
        <v>1443</v>
      </c>
      <c r="C17" s="571">
        <v>2</v>
      </c>
      <c r="D17" s="571" t="s">
        <v>1449</v>
      </c>
      <c r="E17" s="561" t="s">
        <v>1475</v>
      </c>
      <c r="F17" s="572"/>
      <c r="G17" s="571"/>
      <c r="H17" s="571">
        <v>1</v>
      </c>
    </row>
    <row r="18" spans="1:8" x14ac:dyDescent="0.2">
      <c r="A18" s="560" t="s">
        <v>1476</v>
      </c>
      <c r="B18" s="571"/>
      <c r="C18" s="571">
        <v>0</v>
      </c>
      <c r="D18" s="571" t="s">
        <v>1464</v>
      </c>
      <c r="E18" s="561"/>
      <c r="F18" s="572"/>
      <c r="G18" s="571"/>
      <c r="H18" s="571"/>
    </row>
    <row r="19" spans="1:8" x14ac:dyDescent="0.2">
      <c r="A19" s="560" t="s">
        <v>1477</v>
      </c>
      <c r="B19" s="571"/>
      <c r="C19" s="571">
        <v>0</v>
      </c>
      <c r="D19" s="571" t="s">
        <v>1464</v>
      </c>
      <c r="E19" s="561"/>
      <c r="F19" s="572"/>
      <c r="G19" s="571"/>
      <c r="H19" s="571"/>
    </row>
    <row r="20" spans="1:8" x14ac:dyDescent="0.2">
      <c r="A20" s="560" t="s">
        <v>1124</v>
      </c>
      <c r="B20" s="571" t="s">
        <v>1443</v>
      </c>
      <c r="C20" s="571">
        <v>0</v>
      </c>
      <c r="D20" s="571" t="s">
        <v>1452</v>
      </c>
      <c r="E20" s="561" t="s">
        <v>1125</v>
      </c>
      <c r="F20" s="572" t="s">
        <v>1456</v>
      </c>
      <c r="G20" s="571"/>
      <c r="H20" s="571"/>
    </row>
    <row r="21" spans="1:8" x14ac:dyDescent="0.2">
      <c r="A21" s="560" t="s">
        <v>1478</v>
      </c>
      <c r="B21" s="571"/>
      <c r="C21" s="571">
        <v>0</v>
      </c>
      <c r="D21" s="571" t="s">
        <v>1464</v>
      </c>
      <c r="E21" s="561" t="s">
        <v>1479</v>
      </c>
      <c r="F21" s="572"/>
      <c r="G21" s="571"/>
      <c r="H21" s="571">
        <v>1</v>
      </c>
    </row>
    <row r="22" spans="1:8" x14ac:dyDescent="0.2">
      <c r="A22" s="560" t="s">
        <v>1480</v>
      </c>
      <c r="B22" s="571" t="s">
        <v>1443</v>
      </c>
      <c r="C22" s="571">
        <v>13</v>
      </c>
      <c r="D22" s="571" t="s">
        <v>1481</v>
      </c>
      <c r="E22" s="561" t="s">
        <v>1482</v>
      </c>
      <c r="F22" s="572"/>
      <c r="G22" s="571"/>
      <c r="H22" s="571"/>
    </row>
    <row r="23" spans="1:8" x14ac:dyDescent="0.2">
      <c r="A23" s="560" t="s">
        <v>1126</v>
      </c>
      <c r="B23" s="571" t="s">
        <v>1443</v>
      </c>
      <c r="C23" s="571">
        <v>0</v>
      </c>
      <c r="D23" s="571" t="s">
        <v>1449</v>
      </c>
      <c r="E23" s="561" t="s">
        <v>1127</v>
      </c>
      <c r="F23" s="572" t="s">
        <v>1456</v>
      </c>
      <c r="G23" s="571"/>
      <c r="H23" s="571"/>
    </row>
    <row r="24" spans="1:8" x14ac:dyDescent="0.2">
      <c r="A24" s="560" t="s">
        <v>1483</v>
      </c>
      <c r="B24" s="571"/>
      <c r="C24" s="571">
        <v>0</v>
      </c>
      <c r="D24" s="571" t="s">
        <v>1481</v>
      </c>
      <c r="E24" s="561" t="s">
        <v>1484</v>
      </c>
      <c r="F24" s="572"/>
      <c r="G24" s="571"/>
      <c r="H24" s="571"/>
    </row>
    <row r="25" spans="1:8" x14ac:dyDescent="0.2">
      <c r="A25" s="560" t="s">
        <v>1485</v>
      </c>
      <c r="B25" s="571" t="s">
        <v>1443</v>
      </c>
      <c r="C25" s="571">
        <v>3</v>
      </c>
      <c r="D25" s="571" t="s">
        <v>1452</v>
      </c>
      <c r="E25" s="561" t="s">
        <v>1486</v>
      </c>
      <c r="F25" s="572"/>
      <c r="G25" s="571"/>
      <c r="H25" s="571"/>
    </row>
    <row r="26" spans="1:8" x14ac:dyDescent="0.2">
      <c r="A26" s="560" t="s">
        <v>1487</v>
      </c>
      <c r="B26" s="571" t="s">
        <v>1443</v>
      </c>
      <c r="C26" s="571">
        <v>0</v>
      </c>
      <c r="D26" s="571"/>
      <c r="E26" s="561" t="s">
        <v>1488</v>
      </c>
      <c r="F26" s="572"/>
      <c r="G26" s="571"/>
      <c r="H26" s="571"/>
    </row>
    <row r="27" spans="1:8" x14ac:dyDescent="0.2">
      <c r="A27" s="560" t="s">
        <v>1489</v>
      </c>
      <c r="B27" s="571" t="s">
        <v>1443</v>
      </c>
      <c r="C27" s="571">
        <v>6</v>
      </c>
      <c r="D27" s="571" t="s">
        <v>1449</v>
      </c>
      <c r="E27" s="561" t="s">
        <v>1490</v>
      </c>
      <c r="F27" s="572"/>
      <c r="G27" s="571"/>
      <c r="H27" s="571"/>
    </row>
    <row r="28" spans="1:8" x14ac:dyDescent="0.2">
      <c r="A28" s="560" t="s">
        <v>1128</v>
      </c>
      <c r="B28" s="571" t="s">
        <v>1443</v>
      </c>
      <c r="C28" s="571">
        <v>2</v>
      </c>
      <c r="D28" s="571" t="s">
        <v>1449</v>
      </c>
      <c r="E28" s="561" t="s">
        <v>1129</v>
      </c>
      <c r="F28" s="572" t="s">
        <v>1456</v>
      </c>
      <c r="G28" s="571"/>
      <c r="H28" s="571"/>
    </row>
    <row r="29" spans="1:8" x14ac:dyDescent="0.2">
      <c r="A29" s="560" t="s">
        <v>1491</v>
      </c>
      <c r="B29" s="571"/>
      <c r="C29" s="571"/>
      <c r="D29" s="571"/>
      <c r="E29" s="561"/>
      <c r="F29" s="571"/>
      <c r="G29" s="571"/>
      <c r="H29" s="571">
        <v>1</v>
      </c>
    </row>
    <row r="30" spans="1:8" x14ac:dyDescent="0.2">
      <c r="A30" s="560" t="s">
        <v>1492</v>
      </c>
      <c r="B30" s="571"/>
      <c r="C30" s="571">
        <v>0</v>
      </c>
      <c r="D30" s="571" t="s">
        <v>1449</v>
      </c>
      <c r="E30" s="561" t="s">
        <v>1493</v>
      </c>
      <c r="F30" s="572"/>
      <c r="G30" s="571"/>
      <c r="H30" s="571"/>
    </row>
    <row r="31" spans="1:8" x14ac:dyDescent="0.2">
      <c r="A31" s="560" t="s">
        <v>1130</v>
      </c>
      <c r="B31" s="571" t="s">
        <v>1443</v>
      </c>
      <c r="C31" s="571">
        <v>0</v>
      </c>
      <c r="D31" s="571" t="s">
        <v>1449</v>
      </c>
      <c r="E31" s="561" t="s">
        <v>1131</v>
      </c>
      <c r="F31" s="572" t="s">
        <v>1456</v>
      </c>
      <c r="G31" s="571"/>
      <c r="H31" s="571"/>
    </row>
    <row r="32" spans="1:8" x14ac:dyDescent="0.2">
      <c r="A32" s="560" t="s">
        <v>1132</v>
      </c>
      <c r="B32" s="571"/>
      <c r="C32" s="571">
        <v>0</v>
      </c>
      <c r="D32" s="571" t="s">
        <v>1464</v>
      </c>
      <c r="E32" s="561" t="s">
        <v>1133</v>
      </c>
      <c r="F32" s="572" t="s">
        <v>1456</v>
      </c>
      <c r="G32" s="571"/>
      <c r="H32" s="571"/>
    </row>
    <row r="33" spans="1:8" x14ac:dyDescent="0.2">
      <c r="A33" s="560" t="s">
        <v>1494</v>
      </c>
      <c r="B33" s="571"/>
      <c r="C33" s="571">
        <v>0</v>
      </c>
      <c r="D33" s="571" t="s">
        <v>1464</v>
      </c>
      <c r="E33" s="561" t="s">
        <v>1495</v>
      </c>
      <c r="F33" s="572"/>
      <c r="G33" s="571"/>
      <c r="H33" s="571"/>
    </row>
    <row r="34" spans="1:8" x14ac:dyDescent="0.2">
      <c r="A34" s="560" t="s">
        <v>1134</v>
      </c>
      <c r="B34" s="571" t="s">
        <v>1443</v>
      </c>
      <c r="C34" s="571">
        <v>1</v>
      </c>
      <c r="D34" s="571" t="s">
        <v>1452</v>
      </c>
      <c r="E34" s="561" t="s">
        <v>1135</v>
      </c>
      <c r="F34" s="572" t="s">
        <v>1456</v>
      </c>
      <c r="G34" s="571"/>
      <c r="H34" s="571"/>
    </row>
    <row r="35" spans="1:8" x14ac:dyDescent="0.2">
      <c r="A35" s="560" t="s">
        <v>1496</v>
      </c>
      <c r="B35" s="571" t="s">
        <v>1443</v>
      </c>
      <c r="C35" s="571">
        <v>2</v>
      </c>
      <c r="D35" s="571" t="s">
        <v>1449</v>
      </c>
      <c r="E35" s="561" t="s">
        <v>1497</v>
      </c>
      <c r="F35" s="572"/>
      <c r="G35" s="571"/>
      <c r="H35" s="571"/>
    </row>
    <row r="36" spans="1:8" x14ac:dyDescent="0.2">
      <c r="A36" s="560" t="s">
        <v>1498</v>
      </c>
      <c r="B36" s="571"/>
      <c r="C36" s="571">
        <v>0</v>
      </c>
      <c r="D36" s="571" t="s">
        <v>1444</v>
      </c>
      <c r="E36" s="561" t="s">
        <v>1499</v>
      </c>
      <c r="F36" s="572"/>
      <c r="G36" s="571"/>
      <c r="H36" s="571"/>
    </row>
    <row r="37" spans="1:8" x14ac:dyDescent="0.2">
      <c r="A37" s="560" t="s">
        <v>1500</v>
      </c>
      <c r="B37" s="571" t="s">
        <v>1443</v>
      </c>
      <c r="C37" s="571">
        <v>1</v>
      </c>
      <c r="D37" s="571" t="s">
        <v>1449</v>
      </c>
      <c r="E37" s="561" t="s">
        <v>1501</v>
      </c>
      <c r="F37" s="572"/>
      <c r="G37" s="571"/>
      <c r="H37" s="571"/>
    </row>
    <row r="38" spans="1:8" x14ac:dyDescent="0.2">
      <c r="A38" s="560" t="s">
        <v>1502</v>
      </c>
      <c r="B38" s="571" t="s">
        <v>1443</v>
      </c>
      <c r="C38" s="571">
        <v>19</v>
      </c>
      <c r="D38" s="571" t="s">
        <v>1449</v>
      </c>
      <c r="E38" s="561" t="s">
        <v>1503</v>
      </c>
      <c r="F38" s="572"/>
      <c r="G38" s="571"/>
      <c r="H38" s="571"/>
    </row>
    <row r="39" spans="1:8" x14ac:dyDescent="0.2">
      <c r="A39" s="560" t="s">
        <v>1504</v>
      </c>
      <c r="B39" s="571" t="s">
        <v>1443</v>
      </c>
      <c r="C39" s="571">
        <v>16</v>
      </c>
      <c r="D39" s="571" t="s">
        <v>1449</v>
      </c>
      <c r="E39" s="561" t="s">
        <v>1505</v>
      </c>
      <c r="F39" s="572"/>
      <c r="G39" s="571"/>
      <c r="H39" s="571"/>
    </row>
    <row r="40" spans="1:8" x14ac:dyDescent="0.2">
      <c r="A40" s="560" t="s">
        <v>1506</v>
      </c>
      <c r="B40" s="571" t="s">
        <v>1443</v>
      </c>
      <c r="C40" s="571">
        <v>4</v>
      </c>
      <c r="D40" s="571" t="s">
        <v>1464</v>
      </c>
      <c r="E40" s="561" t="s">
        <v>1507</v>
      </c>
      <c r="F40" s="572"/>
      <c r="G40" s="571"/>
      <c r="H40" s="571"/>
    </row>
    <row r="41" spans="1:8" x14ac:dyDescent="0.2">
      <c r="A41" s="560" t="s">
        <v>1136</v>
      </c>
      <c r="B41" s="571" t="s">
        <v>1443</v>
      </c>
      <c r="C41" s="571">
        <v>4</v>
      </c>
      <c r="D41" s="571" t="s">
        <v>1464</v>
      </c>
      <c r="E41" s="561" t="s">
        <v>1137</v>
      </c>
      <c r="F41" s="572" t="s">
        <v>1456</v>
      </c>
      <c r="G41" s="571"/>
      <c r="H41" s="571"/>
    </row>
    <row r="42" spans="1:8" x14ac:dyDescent="0.2">
      <c r="A42" s="560" t="s">
        <v>1508</v>
      </c>
      <c r="B42" s="571"/>
      <c r="C42" s="571">
        <v>0</v>
      </c>
      <c r="D42" s="571" t="s">
        <v>1481</v>
      </c>
      <c r="E42" s="561" t="s">
        <v>1509</v>
      </c>
      <c r="F42" s="572"/>
      <c r="G42" s="571"/>
      <c r="H42" s="571"/>
    </row>
    <row r="43" spans="1:8" x14ac:dyDescent="0.2">
      <c r="A43" s="560" t="s">
        <v>1138</v>
      </c>
      <c r="B43" s="571" t="s">
        <v>1443</v>
      </c>
      <c r="C43" s="571">
        <v>2</v>
      </c>
      <c r="D43" s="571" t="s">
        <v>1481</v>
      </c>
      <c r="E43" s="561" t="s">
        <v>1139</v>
      </c>
      <c r="F43" s="572" t="s">
        <v>1456</v>
      </c>
      <c r="G43" s="571"/>
      <c r="H43" s="571"/>
    </row>
    <row r="44" spans="1:8" x14ac:dyDescent="0.2">
      <c r="A44" s="560" t="s">
        <v>1140</v>
      </c>
      <c r="B44" s="571" t="s">
        <v>1443</v>
      </c>
      <c r="C44" s="571">
        <v>0</v>
      </c>
      <c r="D44" s="571" t="s">
        <v>1452</v>
      </c>
      <c r="E44" s="561" t="s">
        <v>1141</v>
      </c>
      <c r="F44" s="572" t="s">
        <v>1456</v>
      </c>
      <c r="G44" s="571"/>
      <c r="H44" s="571"/>
    </row>
    <row r="45" spans="1:8" x14ac:dyDescent="0.2">
      <c r="A45" s="560" t="s">
        <v>1510</v>
      </c>
      <c r="B45" s="571"/>
      <c r="C45" s="571">
        <v>0</v>
      </c>
      <c r="D45" s="571" t="s">
        <v>1444</v>
      </c>
      <c r="E45" s="561" t="s">
        <v>1511</v>
      </c>
      <c r="F45" s="572"/>
      <c r="G45" s="571"/>
      <c r="H45" s="571"/>
    </row>
    <row r="46" spans="1:8" x14ac:dyDescent="0.2">
      <c r="A46" s="560" t="s">
        <v>1142</v>
      </c>
      <c r="B46" s="571" t="s">
        <v>1443</v>
      </c>
      <c r="C46" s="571">
        <v>0</v>
      </c>
      <c r="D46" s="571" t="s">
        <v>1444</v>
      </c>
      <c r="E46" s="561" t="s">
        <v>1143</v>
      </c>
      <c r="F46" s="572" t="s">
        <v>1456</v>
      </c>
      <c r="G46" s="571"/>
      <c r="H46" s="571"/>
    </row>
    <row r="47" spans="1:8" x14ac:dyDescent="0.2">
      <c r="A47" s="562" t="s">
        <v>1512</v>
      </c>
      <c r="B47" s="571" t="s">
        <v>1443</v>
      </c>
      <c r="C47" s="571">
        <v>0</v>
      </c>
      <c r="D47" s="571"/>
      <c r="E47" s="561"/>
      <c r="F47" s="572"/>
      <c r="G47" s="571"/>
      <c r="H47" s="571"/>
    </row>
    <row r="48" spans="1:8" x14ac:dyDescent="0.2">
      <c r="A48" s="560" t="s">
        <v>1513</v>
      </c>
      <c r="B48" s="571" t="s">
        <v>1443</v>
      </c>
      <c r="C48" s="571">
        <v>4</v>
      </c>
      <c r="D48" s="571" t="s">
        <v>1444</v>
      </c>
      <c r="E48" s="561" t="s">
        <v>1514</v>
      </c>
      <c r="F48" s="572"/>
      <c r="G48" s="571"/>
      <c r="H48" s="571"/>
    </row>
    <row r="49" spans="1:8" x14ac:dyDescent="0.2">
      <c r="A49" s="560" t="s">
        <v>1515</v>
      </c>
      <c r="B49" s="571" t="s">
        <v>1443</v>
      </c>
      <c r="C49" s="571">
        <v>0</v>
      </c>
      <c r="D49" s="571" t="s">
        <v>1481</v>
      </c>
      <c r="E49" s="561" t="s">
        <v>1516</v>
      </c>
      <c r="F49" s="572"/>
      <c r="G49" s="571"/>
      <c r="H49" s="571"/>
    </row>
    <row r="50" spans="1:8" x14ac:dyDescent="0.2">
      <c r="A50" s="560" t="s">
        <v>1517</v>
      </c>
      <c r="B50" s="571" t="s">
        <v>1443</v>
      </c>
      <c r="C50" s="571">
        <v>8</v>
      </c>
      <c r="D50" s="571" t="s">
        <v>1481</v>
      </c>
      <c r="E50" s="561" t="s">
        <v>1518</v>
      </c>
      <c r="F50" s="572"/>
      <c r="G50" s="571"/>
      <c r="H50" s="571"/>
    </row>
    <row r="51" spans="1:8" x14ac:dyDescent="0.2">
      <c r="A51" s="560" t="s">
        <v>1519</v>
      </c>
      <c r="B51" s="571" t="s">
        <v>1443</v>
      </c>
      <c r="C51" s="571">
        <v>2</v>
      </c>
      <c r="D51" s="571" t="s">
        <v>1452</v>
      </c>
      <c r="E51" s="561" t="s">
        <v>1520</v>
      </c>
      <c r="F51" s="572"/>
      <c r="G51" s="571"/>
      <c r="H51" s="571"/>
    </row>
    <row r="52" spans="1:8" x14ac:dyDescent="0.2">
      <c r="A52" s="560" t="s">
        <v>1521</v>
      </c>
      <c r="B52" s="571" t="s">
        <v>1443</v>
      </c>
      <c r="C52" s="571">
        <v>0</v>
      </c>
      <c r="D52" s="571" t="s">
        <v>1444</v>
      </c>
      <c r="E52" s="561" t="s">
        <v>1522</v>
      </c>
      <c r="F52" s="572"/>
      <c r="G52" s="571"/>
      <c r="H52" s="571"/>
    </row>
    <row r="53" spans="1:8" x14ac:dyDescent="0.2">
      <c r="A53" s="560" t="s">
        <v>1523</v>
      </c>
      <c r="B53" s="571" t="s">
        <v>1443</v>
      </c>
      <c r="C53" s="571">
        <v>10</v>
      </c>
      <c r="D53" s="571" t="s">
        <v>1452</v>
      </c>
      <c r="E53" s="561" t="s">
        <v>1524</v>
      </c>
      <c r="F53" s="572"/>
      <c r="G53" s="571"/>
      <c r="H53" s="571"/>
    </row>
    <row r="54" spans="1:8" x14ac:dyDescent="0.2">
      <c r="A54" s="560" t="s">
        <v>1525</v>
      </c>
      <c r="B54" s="571" t="s">
        <v>1443</v>
      </c>
      <c r="C54" s="571">
        <v>3</v>
      </c>
      <c r="D54" s="571" t="s">
        <v>1452</v>
      </c>
      <c r="E54" s="561" t="s">
        <v>1526</v>
      </c>
      <c r="F54" s="572"/>
      <c r="G54" s="571"/>
      <c r="H54" s="571"/>
    </row>
    <row r="55" spans="1:8" x14ac:dyDescent="0.2">
      <c r="A55" s="560" t="s">
        <v>1527</v>
      </c>
      <c r="B55" s="571" t="s">
        <v>1443</v>
      </c>
      <c r="C55" s="571">
        <v>6</v>
      </c>
      <c r="D55" s="571" t="s">
        <v>1449</v>
      </c>
      <c r="E55" s="561" t="s">
        <v>1528</v>
      </c>
      <c r="F55" s="572"/>
      <c r="G55" s="571"/>
      <c r="H55" s="571"/>
    </row>
    <row r="56" spans="1:8" x14ac:dyDescent="0.2">
      <c r="A56" s="560" t="s">
        <v>1529</v>
      </c>
      <c r="B56" s="571"/>
      <c r="C56" s="571">
        <v>0</v>
      </c>
      <c r="D56" s="571" t="s">
        <v>1481</v>
      </c>
      <c r="E56" s="561" t="s">
        <v>1530</v>
      </c>
      <c r="F56" s="572"/>
      <c r="G56" s="571"/>
      <c r="H56" s="571"/>
    </row>
    <row r="57" spans="1:8" x14ac:dyDescent="0.2">
      <c r="A57" s="560" t="s">
        <v>1531</v>
      </c>
      <c r="B57" s="571" t="s">
        <v>1443</v>
      </c>
      <c r="C57" s="571">
        <v>11</v>
      </c>
      <c r="D57" s="571" t="s">
        <v>1481</v>
      </c>
      <c r="E57" s="561" t="s">
        <v>1532</v>
      </c>
      <c r="F57" s="572"/>
      <c r="G57" s="571"/>
      <c r="H57" s="571"/>
    </row>
    <row r="58" spans="1:8" x14ac:dyDescent="0.2">
      <c r="A58" s="560" t="s">
        <v>1533</v>
      </c>
      <c r="B58" s="571" t="s">
        <v>1443</v>
      </c>
      <c r="C58" s="571">
        <v>3</v>
      </c>
      <c r="D58" s="571" t="s">
        <v>1452</v>
      </c>
      <c r="E58" s="561" t="s">
        <v>1534</v>
      </c>
      <c r="F58" s="572"/>
      <c r="G58" s="571"/>
      <c r="H58" s="571"/>
    </row>
    <row r="59" spans="1:8" x14ac:dyDescent="0.2">
      <c r="A59" s="560" t="s">
        <v>1535</v>
      </c>
      <c r="B59" s="571" t="s">
        <v>1443</v>
      </c>
      <c r="C59" s="571">
        <v>4</v>
      </c>
      <c r="D59" s="571" t="s">
        <v>1452</v>
      </c>
      <c r="E59" s="561" t="s">
        <v>1536</v>
      </c>
      <c r="F59" s="572"/>
      <c r="G59" s="571"/>
      <c r="H59" s="571"/>
    </row>
    <row r="60" spans="1:8" x14ac:dyDescent="0.2">
      <c r="A60" s="560" t="s">
        <v>1537</v>
      </c>
      <c r="B60" s="571" t="s">
        <v>1443</v>
      </c>
      <c r="C60" s="571">
        <v>1</v>
      </c>
      <c r="D60" s="571"/>
      <c r="E60" s="561" t="s">
        <v>1538</v>
      </c>
      <c r="F60" s="572"/>
      <c r="G60" s="571"/>
      <c r="H60" s="571"/>
    </row>
    <row r="61" spans="1:8" x14ac:dyDescent="0.2">
      <c r="A61" s="560" t="s">
        <v>1539</v>
      </c>
      <c r="B61" s="571" t="s">
        <v>1443</v>
      </c>
      <c r="C61" s="571">
        <v>2</v>
      </c>
      <c r="D61" s="571" t="s">
        <v>1449</v>
      </c>
      <c r="E61" s="561" t="s">
        <v>1540</v>
      </c>
      <c r="F61" s="572"/>
      <c r="G61" s="571"/>
      <c r="H61" s="571"/>
    </row>
    <row r="62" spans="1:8" x14ac:dyDescent="0.2">
      <c r="A62" s="560" t="s">
        <v>1541</v>
      </c>
      <c r="B62" s="571" t="s">
        <v>1443</v>
      </c>
      <c r="C62" s="571">
        <v>0</v>
      </c>
      <c r="D62" s="571"/>
      <c r="E62" s="561" t="s">
        <v>1542</v>
      </c>
      <c r="F62" s="572"/>
      <c r="G62" s="571"/>
      <c r="H62" s="571"/>
    </row>
    <row r="63" spans="1:8" x14ac:dyDescent="0.2">
      <c r="A63" s="560" t="s">
        <v>1144</v>
      </c>
      <c r="B63" s="571" t="s">
        <v>1443</v>
      </c>
      <c r="C63" s="571">
        <v>0</v>
      </c>
      <c r="D63" s="571" t="s">
        <v>1452</v>
      </c>
      <c r="E63" s="561" t="s">
        <v>1145</v>
      </c>
      <c r="F63" s="572" t="s">
        <v>1456</v>
      </c>
      <c r="G63" s="571"/>
      <c r="H63" s="571"/>
    </row>
    <row r="64" spans="1:8" x14ac:dyDescent="0.2">
      <c r="A64" s="560" t="s">
        <v>1543</v>
      </c>
      <c r="B64" s="571"/>
      <c r="C64" s="571">
        <v>0</v>
      </c>
      <c r="D64" s="571" t="s">
        <v>1481</v>
      </c>
      <c r="E64" s="561" t="s">
        <v>1544</v>
      </c>
      <c r="F64" s="572"/>
      <c r="G64" s="571"/>
      <c r="H64" s="571"/>
    </row>
    <row r="65" spans="1:8" x14ac:dyDescent="0.2">
      <c r="A65" s="560" t="s">
        <v>1545</v>
      </c>
      <c r="B65" s="571" t="s">
        <v>1443</v>
      </c>
      <c r="C65" s="571">
        <v>0</v>
      </c>
      <c r="D65" s="571" t="s">
        <v>1444</v>
      </c>
      <c r="E65" s="561" t="s">
        <v>1546</v>
      </c>
      <c r="F65" s="572"/>
      <c r="G65" s="571"/>
      <c r="H65" s="571"/>
    </row>
    <row r="66" spans="1:8" x14ac:dyDescent="0.2">
      <c r="A66" s="560" t="s">
        <v>1146</v>
      </c>
      <c r="B66" s="571" t="s">
        <v>1443</v>
      </c>
      <c r="C66" s="571">
        <v>3</v>
      </c>
      <c r="D66" s="571" t="s">
        <v>1444</v>
      </c>
      <c r="E66" s="561" t="s">
        <v>1147</v>
      </c>
      <c r="F66" s="572" t="s">
        <v>1456</v>
      </c>
      <c r="G66" s="571"/>
      <c r="H66" s="571"/>
    </row>
    <row r="67" spans="1:8" x14ac:dyDescent="0.2">
      <c r="A67" s="560" t="s">
        <v>1547</v>
      </c>
      <c r="B67" s="571"/>
      <c r="C67" s="571">
        <v>0</v>
      </c>
      <c r="D67" s="571" t="s">
        <v>1452</v>
      </c>
      <c r="E67" s="561" t="s">
        <v>1548</v>
      </c>
      <c r="F67" s="572"/>
      <c r="G67" s="571"/>
      <c r="H67" s="571"/>
    </row>
    <row r="68" spans="1:8" x14ac:dyDescent="0.2">
      <c r="A68" s="560" t="s">
        <v>1549</v>
      </c>
      <c r="B68" s="571" t="s">
        <v>1443</v>
      </c>
      <c r="C68" s="571">
        <v>0</v>
      </c>
      <c r="D68" s="571" t="s">
        <v>1481</v>
      </c>
      <c r="E68" s="561" t="s">
        <v>1550</v>
      </c>
      <c r="F68" s="572"/>
      <c r="G68" s="571"/>
      <c r="H68" s="571">
        <v>1</v>
      </c>
    </row>
    <row r="69" spans="1:8" x14ac:dyDescent="0.2">
      <c r="A69" s="560" t="s">
        <v>1551</v>
      </c>
      <c r="B69" s="571" t="s">
        <v>1443</v>
      </c>
      <c r="C69" s="571">
        <v>0</v>
      </c>
      <c r="D69" s="571" t="s">
        <v>1444</v>
      </c>
      <c r="E69" s="561" t="s">
        <v>1552</v>
      </c>
      <c r="F69" s="572"/>
      <c r="G69" s="571"/>
      <c r="H69" s="571">
        <v>1</v>
      </c>
    </row>
    <row r="70" spans="1:8" x14ac:dyDescent="0.2">
      <c r="A70" s="560" t="s">
        <v>1553</v>
      </c>
      <c r="B70" s="571" t="s">
        <v>1443</v>
      </c>
      <c r="C70" s="571">
        <v>13</v>
      </c>
      <c r="D70" s="571" t="s">
        <v>1452</v>
      </c>
      <c r="E70" s="561" t="s">
        <v>1554</v>
      </c>
      <c r="F70" s="572"/>
      <c r="G70" s="571"/>
      <c r="H70" s="571"/>
    </row>
    <row r="71" spans="1:8" x14ac:dyDescent="0.2">
      <c r="A71" s="560" t="s">
        <v>1555</v>
      </c>
      <c r="B71" s="571" t="s">
        <v>1443</v>
      </c>
      <c r="C71" s="571">
        <v>0</v>
      </c>
      <c r="D71" s="571" t="s">
        <v>1452</v>
      </c>
      <c r="E71" s="561" t="s">
        <v>1556</v>
      </c>
      <c r="F71" s="572"/>
      <c r="G71" s="571"/>
      <c r="H71" s="571"/>
    </row>
    <row r="72" spans="1:8" x14ac:dyDescent="0.2">
      <c r="A72" s="560" t="s">
        <v>1557</v>
      </c>
      <c r="B72" s="571" t="s">
        <v>1443</v>
      </c>
      <c r="C72" s="571">
        <v>0</v>
      </c>
      <c r="D72" s="571"/>
      <c r="E72" s="561" t="s">
        <v>1558</v>
      </c>
      <c r="F72" s="572"/>
      <c r="G72" s="571"/>
      <c r="H72" s="571"/>
    </row>
    <row r="73" spans="1:8" x14ac:dyDescent="0.2">
      <c r="A73" s="560" t="s">
        <v>1559</v>
      </c>
      <c r="B73" s="571" t="s">
        <v>1443</v>
      </c>
      <c r="C73" s="571">
        <v>0</v>
      </c>
      <c r="D73" s="571" t="s">
        <v>1444</v>
      </c>
      <c r="E73" s="561" t="s">
        <v>1560</v>
      </c>
      <c r="F73" s="572"/>
      <c r="G73" s="571"/>
      <c r="H73" s="571"/>
    </row>
    <row r="74" spans="1:8" x14ac:dyDescent="0.2">
      <c r="A74" s="560" t="s">
        <v>1561</v>
      </c>
      <c r="B74" s="571" t="s">
        <v>1443</v>
      </c>
      <c r="C74" s="571">
        <v>5</v>
      </c>
      <c r="D74" s="571" t="s">
        <v>1452</v>
      </c>
      <c r="E74" s="561" t="s">
        <v>1562</v>
      </c>
      <c r="F74" s="572"/>
      <c r="G74" s="571"/>
      <c r="H74" s="571"/>
    </row>
    <row r="75" spans="1:8" x14ac:dyDescent="0.2">
      <c r="A75" s="560" t="s">
        <v>1563</v>
      </c>
      <c r="B75" s="571" t="s">
        <v>1443</v>
      </c>
      <c r="C75" s="571">
        <v>1</v>
      </c>
      <c r="D75" s="571"/>
      <c r="E75" s="561"/>
      <c r="F75" s="572"/>
      <c r="G75" s="571"/>
      <c r="H75" s="571"/>
    </row>
    <row r="76" spans="1:8" x14ac:dyDescent="0.2">
      <c r="A76" s="560" t="s">
        <v>1564</v>
      </c>
      <c r="B76" s="571" t="s">
        <v>1443</v>
      </c>
      <c r="C76" s="571">
        <v>14</v>
      </c>
      <c r="D76" s="571"/>
      <c r="E76" s="561"/>
      <c r="F76" s="572"/>
      <c r="G76" s="571"/>
      <c r="H76" s="571"/>
    </row>
    <row r="77" spans="1:8" x14ac:dyDescent="0.2">
      <c r="A77" s="560" t="s">
        <v>1565</v>
      </c>
      <c r="B77" s="571" t="s">
        <v>1443</v>
      </c>
      <c r="C77" s="571">
        <v>2</v>
      </c>
      <c r="D77" s="571" t="s">
        <v>1481</v>
      </c>
      <c r="E77" s="561" t="s">
        <v>1566</v>
      </c>
      <c r="F77" s="572"/>
      <c r="G77" s="571"/>
      <c r="H77" s="571"/>
    </row>
    <row r="78" spans="1:8" x14ac:dyDescent="0.2">
      <c r="A78" s="560" t="s">
        <v>1567</v>
      </c>
      <c r="B78" s="571" t="s">
        <v>1443</v>
      </c>
      <c r="C78" s="571">
        <v>3</v>
      </c>
      <c r="D78" s="571" t="s">
        <v>1481</v>
      </c>
      <c r="E78" s="561" t="s">
        <v>1568</v>
      </c>
      <c r="F78" s="572"/>
      <c r="G78" s="571"/>
      <c r="H78" s="571"/>
    </row>
    <row r="79" spans="1:8" x14ac:dyDescent="0.2">
      <c r="A79" s="560" t="s">
        <v>1569</v>
      </c>
      <c r="B79" s="571" t="s">
        <v>1443</v>
      </c>
      <c r="C79" s="571">
        <v>0</v>
      </c>
      <c r="D79" s="571" t="s">
        <v>1464</v>
      </c>
      <c r="E79" s="561" t="s">
        <v>1570</v>
      </c>
      <c r="F79" s="572"/>
      <c r="G79" s="571"/>
      <c r="H79" s="571"/>
    </row>
    <row r="80" spans="1:8" x14ac:dyDescent="0.2">
      <c r="A80" s="560" t="s">
        <v>1571</v>
      </c>
      <c r="B80" s="571"/>
      <c r="C80" s="571">
        <v>0</v>
      </c>
      <c r="D80" s="571" t="s">
        <v>1452</v>
      </c>
      <c r="E80" s="561" t="s">
        <v>1572</v>
      </c>
      <c r="F80" s="572"/>
      <c r="G80" s="571"/>
      <c r="H80" s="571"/>
    </row>
    <row r="81" spans="1:8" x14ac:dyDescent="0.2">
      <c r="A81" s="560" t="s">
        <v>1573</v>
      </c>
      <c r="B81" s="571"/>
      <c r="C81" s="571">
        <v>0</v>
      </c>
      <c r="D81" s="571" t="s">
        <v>1449</v>
      </c>
      <c r="E81" s="561" t="s">
        <v>1574</v>
      </c>
      <c r="F81" s="572"/>
      <c r="G81" s="571"/>
      <c r="H81" s="571"/>
    </row>
    <row r="82" spans="1:8" x14ac:dyDescent="0.2">
      <c r="A82" s="560" t="s">
        <v>1575</v>
      </c>
      <c r="B82" s="571" t="s">
        <v>1443</v>
      </c>
      <c r="C82" s="571">
        <v>2</v>
      </c>
      <c r="D82" s="571" t="s">
        <v>1444</v>
      </c>
      <c r="E82" s="561" t="s">
        <v>1576</v>
      </c>
      <c r="F82" s="572"/>
      <c r="G82" s="571"/>
      <c r="H82" s="571"/>
    </row>
    <row r="83" spans="1:8" x14ac:dyDescent="0.2">
      <c r="A83" s="560" t="s">
        <v>1577</v>
      </c>
      <c r="B83" s="571" t="s">
        <v>1443</v>
      </c>
      <c r="C83" s="571">
        <v>0</v>
      </c>
      <c r="D83" s="571" t="s">
        <v>1481</v>
      </c>
      <c r="E83" s="561" t="s">
        <v>1578</v>
      </c>
      <c r="F83" s="572"/>
      <c r="G83" s="571"/>
      <c r="H83" s="571"/>
    </row>
    <row r="84" spans="1:8" x14ac:dyDescent="0.2">
      <c r="A84" s="560" t="s">
        <v>1579</v>
      </c>
      <c r="B84" s="571" t="s">
        <v>1443</v>
      </c>
      <c r="C84" s="571">
        <v>0</v>
      </c>
      <c r="D84" s="571" t="s">
        <v>1481</v>
      </c>
      <c r="E84" s="561" t="s">
        <v>1580</v>
      </c>
      <c r="F84" s="572"/>
      <c r="G84" s="571"/>
      <c r="H84" s="571"/>
    </row>
    <row r="85" spans="1:8" x14ac:dyDescent="0.2">
      <c r="A85" s="560" t="s">
        <v>1581</v>
      </c>
      <c r="B85" s="571" t="s">
        <v>1443</v>
      </c>
      <c r="C85" s="571">
        <v>0</v>
      </c>
      <c r="D85" s="571" t="s">
        <v>1452</v>
      </c>
      <c r="E85" s="561" t="s">
        <v>1582</v>
      </c>
      <c r="F85" s="572"/>
      <c r="G85" s="571"/>
      <c r="H85" s="571"/>
    </row>
    <row r="86" spans="1:8" x14ac:dyDescent="0.2">
      <c r="A86" s="560" t="s">
        <v>1583</v>
      </c>
      <c r="B86" s="571" t="s">
        <v>1443</v>
      </c>
      <c r="C86" s="571">
        <v>2</v>
      </c>
      <c r="D86" s="571"/>
      <c r="E86" s="561"/>
      <c r="F86" s="572"/>
      <c r="G86" s="571"/>
      <c r="H86" s="571"/>
    </row>
    <row r="87" spans="1:8" x14ac:dyDescent="0.2">
      <c r="A87" s="560" t="s">
        <v>1584</v>
      </c>
      <c r="B87" s="571" t="s">
        <v>1443</v>
      </c>
      <c r="C87" s="571">
        <v>2</v>
      </c>
      <c r="D87" s="571" t="s">
        <v>1481</v>
      </c>
      <c r="E87" s="561" t="s">
        <v>1585</v>
      </c>
      <c r="F87" s="572"/>
      <c r="G87" s="571"/>
      <c r="H87" s="571"/>
    </row>
    <row r="88" spans="1:8" x14ac:dyDescent="0.2">
      <c r="A88" s="560" t="s">
        <v>1586</v>
      </c>
      <c r="B88" s="571" t="s">
        <v>1443</v>
      </c>
      <c r="C88" s="571">
        <v>10</v>
      </c>
      <c r="D88" s="571" t="s">
        <v>1449</v>
      </c>
      <c r="E88" s="561" t="s">
        <v>1587</v>
      </c>
      <c r="F88" s="572"/>
      <c r="G88" s="571"/>
      <c r="H88" s="571"/>
    </row>
    <row r="89" spans="1:8" x14ac:dyDescent="0.2">
      <c r="A89" s="560" t="s">
        <v>1588</v>
      </c>
      <c r="B89" s="571" t="s">
        <v>1443</v>
      </c>
      <c r="C89" s="571">
        <v>15</v>
      </c>
      <c r="D89" s="571" t="s">
        <v>1449</v>
      </c>
      <c r="E89" s="561" t="s">
        <v>1589</v>
      </c>
      <c r="F89" s="572"/>
      <c r="G89" s="571"/>
      <c r="H89" s="571"/>
    </row>
    <row r="90" spans="1:8" x14ac:dyDescent="0.2">
      <c r="A90" s="562" t="s">
        <v>1590</v>
      </c>
      <c r="B90" s="571" t="s">
        <v>1443</v>
      </c>
      <c r="C90" s="571">
        <v>0</v>
      </c>
      <c r="D90" s="571"/>
      <c r="E90" s="561"/>
      <c r="F90" s="572"/>
      <c r="G90" s="571"/>
      <c r="H90" s="571"/>
    </row>
    <row r="91" spans="1:8" x14ac:dyDescent="0.2">
      <c r="A91" s="560" t="s">
        <v>1591</v>
      </c>
      <c r="B91" s="571" t="s">
        <v>1443</v>
      </c>
      <c r="C91" s="571">
        <v>0</v>
      </c>
      <c r="D91" s="571" t="s">
        <v>1481</v>
      </c>
      <c r="E91" s="561" t="s">
        <v>1592</v>
      </c>
      <c r="F91" s="572"/>
      <c r="G91" s="571"/>
      <c r="H91" s="571">
        <v>1</v>
      </c>
    </row>
    <row r="92" spans="1:8" x14ac:dyDescent="0.2">
      <c r="A92" s="560" t="s">
        <v>1593</v>
      </c>
      <c r="B92" s="571" t="s">
        <v>1443</v>
      </c>
      <c r="C92" s="571">
        <v>1</v>
      </c>
      <c r="D92" s="571" t="s">
        <v>1481</v>
      </c>
      <c r="E92" s="561" t="s">
        <v>1594</v>
      </c>
      <c r="F92" s="572"/>
      <c r="G92" s="571"/>
      <c r="H92" s="571"/>
    </row>
    <row r="93" spans="1:8" x14ac:dyDescent="0.2">
      <c r="A93" s="560" t="s">
        <v>1148</v>
      </c>
      <c r="B93" s="571" t="s">
        <v>1443</v>
      </c>
      <c r="C93" s="571">
        <v>3</v>
      </c>
      <c r="D93" s="571" t="s">
        <v>1444</v>
      </c>
      <c r="E93" s="561" t="s">
        <v>1149</v>
      </c>
      <c r="F93" s="572" t="s">
        <v>1456</v>
      </c>
      <c r="G93" s="571"/>
      <c r="H93" s="571"/>
    </row>
    <row r="94" spans="1:8" x14ac:dyDescent="0.2">
      <c r="A94" s="560" t="s">
        <v>1595</v>
      </c>
      <c r="B94" s="571" t="s">
        <v>1443</v>
      </c>
      <c r="C94" s="571">
        <v>11</v>
      </c>
      <c r="D94" s="571"/>
      <c r="E94" s="561"/>
      <c r="F94" s="572"/>
      <c r="G94" s="571"/>
      <c r="H94" s="571">
        <v>2</v>
      </c>
    </row>
    <row r="95" spans="1:8" x14ac:dyDescent="0.2">
      <c r="A95" s="560" t="s">
        <v>1150</v>
      </c>
      <c r="B95" s="571"/>
      <c r="C95" s="571">
        <v>0</v>
      </c>
      <c r="D95" s="571" t="s">
        <v>1449</v>
      </c>
      <c r="E95" s="561" t="s">
        <v>1151</v>
      </c>
      <c r="F95" s="572" t="s">
        <v>1456</v>
      </c>
      <c r="G95" s="571"/>
      <c r="H95" s="571"/>
    </row>
    <row r="96" spans="1:8" x14ac:dyDescent="0.2">
      <c r="A96" s="560" t="s">
        <v>1596</v>
      </c>
      <c r="B96" s="571"/>
      <c r="C96" s="571">
        <v>0</v>
      </c>
      <c r="D96" s="571" t="s">
        <v>1452</v>
      </c>
      <c r="E96" s="561" t="s">
        <v>1597</v>
      </c>
      <c r="F96" s="572"/>
      <c r="G96" s="571"/>
      <c r="H96" s="571"/>
    </row>
    <row r="97" spans="1:8" x14ac:dyDescent="0.2">
      <c r="A97" s="560" t="s">
        <v>1152</v>
      </c>
      <c r="B97" s="571"/>
      <c r="C97" s="571">
        <v>0</v>
      </c>
      <c r="D97" s="571" t="s">
        <v>1452</v>
      </c>
      <c r="E97" s="561" t="s">
        <v>1153</v>
      </c>
      <c r="F97" s="572" t="s">
        <v>1456</v>
      </c>
      <c r="G97" s="571"/>
      <c r="H97" s="571"/>
    </row>
    <row r="98" spans="1:8" x14ac:dyDescent="0.2">
      <c r="A98" s="560" t="s">
        <v>1598</v>
      </c>
      <c r="B98" s="571" t="s">
        <v>1443</v>
      </c>
      <c r="C98" s="571">
        <v>3</v>
      </c>
      <c r="D98" s="571" t="s">
        <v>1452</v>
      </c>
      <c r="E98" s="561" t="s">
        <v>1599</v>
      </c>
      <c r="F98" s="572"/>
      <c r="G98" s="571"/>
      <c r="H98" s="571"/>
    </row>
    <row r="99" spans="1:8" x14ac:dyDescent="0.2">
      <c r="A99" s="560" t="s">
        <v>1600</v>
      </c>
      <c r="B99" s="571"/>
      <c r="C99" s="571">
        <v>0</v>
      </c>
      <c r="D99" s="571" t="s">
        <v>1444</v>
      </c>
      <c r="E99" s="561" t="s">
        <v>1601</v>
      </c>
      <c r="F99" s="572"/>
      <c r="G99" s="571"/>
      <c r="H99" s="571">
        <v>1</v>
      </c>
    </row>
    <row r="100" spans="1:8" x14ac:dyDescent="0.2">
      <c r="A100" s="560" t="s">
        <v>1602</v>
      </c>
      <c r="B100" s="571" t="s">
        <v>1443</v>
      </c>
      <c r="C100" s="571">
        <v>5</v>
      </c>
      <c r="D100" s="571" t="s">
        <v>1452</v>
      </c>
      <c r="E100" s="561" t="s">
        <v>1603</v>
      </c>
      <c r="F100" s="572"/>
      <c r="G100" s="571"/>
      <c r="H100" s="571"/>
    </row>
    <row r="101" spans="1:8" x14ac:dyDescent="0.2">
      <c r="A101" s="560" t="s">
        <v>1154</v>
      </c>
      <c r="B101" s="571"/>
      <c r="C101" s="571">
        <v>0</v>
      </c>
      <c r="D101" s="571" t="s">
        <v>1444</v>
      </c>
      <c r="E101" s="561" t="s">
        <v>1155</v>
      </c>
      <c r="F101" s="572" t="s">
        <v>1456</v>
      </c>
      <c r="G101" s="571"/>
      <c r="H101" s="571"/>
    </row>
    <row r="102" spans="1:8" x14ac:dyDescent="0.2">
      <c r="A102" s="560" t="s">
        <v>1604</v>
      </c>
      <c r="B102" s="571" t="s">
        <v>1443</v>
      </c>
      <c r="C102" s="571">
        <v>0</v>
      </c>
      <c r="D102" s="571" t="s">
        <v>1444</v>
      </c>
      <c r="E102" s="561" t="s">
        <v>1605</v>
      </c>
      <c r="F102" s="572"/>
      <c r="G102" s="571"/>
      <c r="H102" s="571"/>
    </row>
    <row r="103" spans="1:8" x14ac:dyDescent="0.2">
      <c r="A103" s="560" t="s">
        <v>1156</v>
      </c>
      <c r="B103" s="571"/>
      <c r="C103" s="571">
        <v>0</v>
      </c>
      <c r="D103" s="571" t="s">
        <v>1444</v>
      </c>
      <c r="E103" s="561" t="s">
        <v>1157</v>
      </c>
      <c r="F103" s="572" t="s">
        <v>1456</v>
      </c>
      <c r="G103" s="571"/>
      <c r="H103" s="571"/>
    </row>
    <row r="104" spans="1:8" x14ac:dyDescent="0.2">
      <c r="A104" s="560" t="s">
        <v>1606</v>
      </c>
      <c r="B104" s="571" t="s">
        <v>1443</v>
      </c>
      <c r="C104" s="571">
        <v>6</v>
      </c>
      <c r="D104" s="571" t="s">
        <v>1449</v>
      </c>
      <c r="E104" s="561" t="s">
        <v>1607</v>
      </c>
      <c r="F104" s="572"/>
      <c r="G104" s="571"/>
      <c r="H104" s="571">
        <v>1</v>
      </c>
    </row>
    <row r="105" spans="1:8" x14ac:dyDescent="0.2">
      <c r="A105" s="560" t="s">
        <v>1608</v>
      </c>
      <c r="B105" s="571" t="s">
        <v>1443</v>
      </c>
      <c r="C105" s="571">
        <v>1</v>
      </c>
      <c r="D105" s="571"/>
      <c r="E105" s="561" t="s">
        <v>1609</v>
      </c>
      <c r="F105" s="572"/>
      <c r="G105" s="571"/>
      <c r="H105" s="571">
        <v>1</v>
      </c>
    </row>
    <row r="106" spans="1:8" x14ac:dyDescent="0.2">
      <c r="A106" s="562" t="s">
        <v>1610</v>
      </c>
      <c r="B106" s="571"/>
      <c r="C106" s="571">
        <v>0</v>
      </c>
      <c r="D106" s="571"/>
      <c r="E106" s="561"/>
      <c r="F106" s="572"/>
      <c r="G106" s="571"/>
      <c r="H106" s="571"/>
    </row>
    <row r="107" spans="1:8" x14ac:dyDescent="0.2">
      <c r="A107" s="560" t="s">
        <v>1611</v>
      </c>
      <c r="B107" s="571" t="s">
        <v>1443</v>
      </c>
      <c r="C107" s="571">
        <v>8</v>
      </c>
      <c r="D107" s="571"/>
      <c r="E107" s="561"/>
      <c r="F107" s="572"/>
      <c r="G107" s="571"/>
      <c r="H107" s="571"/>
    </row>
    <row r="108" spans="1:8" x14ac:dyDescent="0.2">
      <c r="A108" s="560" t="s">
        <v>1612</v>
      </c>
      <c r="B108" s="571" t="s">
        <v>1443</v>
      </c>
      <c r="C108" s="571">
        <v>19</v>
      </c>
      <c r="D108" s="571"/>
      <c r="E108" s="561"/>
      <c r="F108" s="572"/>
      <c r="G108" s="571"/>
      <c r="H108" s="571"/>
    </row>
    <row r="109" spans="1:8" x14ac:dyDescent="0.2">
      <c r="A109" s="560" t="s">
        <v>1613</v>
      </c>
      <c r="B109" s="571" t="s">
        <v>1443</v>
      </c>
      <c r="C109" s="571">
        <v>0</v>
      </c>
      <c r="D109" s="571"/>
      <c r="E109" s="561" t="s">
        <v>1614</v>
      </c>
      <c r="F109" s="572"/>
      <c r="G109" s="571"/>
      <c r="H109" s="571">
        <v>1</v>
      </c>
    </row>
    <row r="110" spans="1:8" x14ac:dyDescent="0.2">
      <c r="A110" s="560" t="s">
        <v>1615</v>
      </c>
      <c r="B110" s="571" t="s">
        <v>1443</v>
      </c>
      <c r="C110" s="571">
        <v>10</v>
      </c>
      <c r="D110" s="571" t="s">
        <v>1449</v>
      </c>
      <c r="E110" s="561" t="s">
        <v>1616</v>
      </c>
      <c r="F110" s="572"/>
      <c r="G110" s="571"/>
      <c r="H110" s="571"/>
    </row>
    <row r="111" spans="1:8" x14ac:dyDescent="0.2">
      <c r="A111" s="560" t="s">
        <v>1617</v>
      </c>
      <c r="B111" s="571" t="s">
        <v>1443</v>
      </c>
      <c r="C111" s="571">
        <v>0</v>
      </c>
      <c r="D111" s="571" t="s">
        <v>1449</v>
      </c>
      <c r="E111" s="561" t="s">
        <v>1618</v>
      </c>
      <c r="F111" s="572"/>
      <c r="G111" s="571"/>
      <c r="H111" s="571"/>
    </row>
    <row r="112" spans="1:8" x14ac:dyDescent="0.2">
      <c r="A112" s="560" t="s">
        <v>1619</v>
      </c>
      <c r="B112" s="571" t="s">
        <v>1443</v>
      </c>
      <c r="C112" s="571">
        <v>0</v>
      </c>
      <c r="D112" s="571" t="s">
        <v>1449</v>
      </c>
      <c r="E112" s="561" t="s">
        <v>1620</v>
      </c>
      <c r="F112" s="572"/>
      <c r="G112" s="571"/>
      <c r="H112" s="571"/>
    </row>
    <row r="113" spans="1:8" x14ac:dyDescent="0.2">
      <c r="A113" s="560" t="s">
        <v>1621</v>
      </c>
      <c r="B113" s="571" t="s">
        <v>1443</v>
      </c>
      <c r="C113" s="571">
        <v>0</v>
      </c>
      <c r="D113" s="571" t="s">
        <v>1444</v>
      </c>
      <c r="E113" s="561" t="s">
        <v>1622</v>
      </c>
      <c r="F113" s="572"/>
      <c r="G113" s="571"/>
      <c r="H113" s="571"/>
    </row>
    <row r="114" spans="1:8" x14ac:dyDescent="0.2">
      <c r="A114" s="560" t="s">
        <v>1623</v>
      </c>
      <c r="B114" s="571" t="s">
        <v>1443</v>
      </c>
      <c r="C114" s="571">
        <v>0</v>
      </c>
      <c r="D114" s="571" t="s">
        <v>1449</v>
      </c>
      <c r="E114" s="561" t="s">
        <v>1624</v>
      </c>
      <c r="F114" s="572"/>
      <c r="G114" s="571"/>
      <c r="H114" s="571"/>
    </row>
    <row r="115" spans="1:8" x14ac:dyDescent="0.2">
      <c r="A115" s="560" t="s">
        <v>1625</v>
      </c>
      <c r="B115" s="571"/>
      <c r="C115" s="571">
        <v>0</v>
      </c>
      <c r="D115" s="571" t="s">
        <v>1449</v>
      </c>
      <c r="E115" s="561" t="s">
        <v>1626</v>
      </c>
      <c r="F115" s="572"/>
      <c r="G115" s="571"/>
      <c r="H115" s="571"/>
    </row>
    <row r="116" spans="1:8" x14ac:dyDescent="0.2">
      <c r="A116" s="560" t="s">
        <v>1627</v>
      </c>
      <c r="B116" s="571" t="s">
        <v>1443</v>
      </c>
      <c r="C116" s="571">
        <v>0</v>
      </c>
      <c r="D116" s="571" t="s">
        <v>1449</v>
      </c>
      <c r="E116" s="561" t="s">
        <v>1628</v>
      </c>
      <c r="F116" s="572"/>
      <c r="G116" s="571"/>
      <c r="H116" s="571">
        <v>1</v>
      </c>
    </row>
    <row r="117" spans="1:8" x14ac:dyDescent="0.2">
      <c r="A117" s="560" t="s">
        <v>1629</v>
      </c>
      <c r="B117" s="571"/>
      <c r="C117" s="571">
        <v>0</v>
      </c>
      <c r="D117" s="571" t="s">
        <v>1449</v>
      </c>
      <c r="E117" s="561" t="s">
        <v>1630</v>
      </c>
      <c r="F117" s="572"/>
      <c r="G117" s="571"/>
      <c r="H117" s="571"/>
    </row>
    <row r="118" spans="1:8" x14ac:dyDescent="0.2">
      <c r="A118" s="560" t="s">
        <v>1631</v>
      </c>
      <c r="B118" s="571" t="s">
        <v>1443</v>
      </c>
      <c r="C118" s="571">
        <v>9</v>
      </c>
      <c r="D118" s="571" t="s">
        <v>1449</v>
      </c>
      <c r="E118" s="561" t="s">
        <v>1632</v>
      </c>
      <c r="F118" s="572"/>
      <c r="G118" s="571"/>
      <c r="H118" s="571"/>
    </row>
    <row r="119" spans="1:8" x14ac:dyDescent="0.2">
      <c r="A119" s="560" t="s">
        <v>1633</v>
      </c>
      <c r="B119" s="571"/>
      <c r="C119" s="571">
        <v>0</v>
      </c>
      <c r="D119" s="571" t="s">
        <v>1481</v>
      </c>
      <c r="E119" s="561" t="s">
        <v>1634</v>
      </c>
      <c r="F119" s="572"/>
      <c r="G119" s="571"/>
      <c r="H119" s="571"/>
    </row>
    <row r="120" spans="1:8" x14ac:dyDescent="0.2">
      <c r="A120" s="560" t="s">
        <v>1635</v>
      </c>
      <c r="B120" s="571" t="s">
        <v>1443</v>
      </c>
      <c r="C120" s="571">
        <v>10</v>
      </c>
      <c r="D120" s="571" t="s">
        <v>1481</v>
      </c>
      <c r="E120" s="561" t="s">
        <v>1636</v>
      </c>
      <c r="F120" s="572"/>
      <c r="G120" s="571"/>
      <c r="H120" s="571"/>
    </row>
    <row r="121" spans="1:8" x14ac:dyDescent="0.2">
      <c r="A121" s="560" t="s">
        <v>1158</v>
      </c>
      <c r="B121" s="571"/>
      <c r="C121" s="571">
        <v>0</v>
      </c>
      <c r="D121" s="571" t="s">
        <v>1481</v>
      </c>
      <c r="E121" s="561" t="s">
        <v>1159</v>
      </c>
      <c r="F121" s="572" t="s">
        <v>1456</v>
      </c>
      <c r="G121" s="571"/>
      <c r="H121" s="571"/>
    </row>
    <row r="122" spans="1:8" x14ac:dyDescent="0.2">
      <c r="A122" s="560" t="s">
        <v>1160</v>
      </c>
      <c r="B122" s="571" t="s">
        <v>1443</v>
      </c>
      <c r="C122" s="571">
        <v>6</v>
      </c>
      <c r="D122" s="571" t="s">
        <v>1481</v>
      </c>
      <c r="E122" s="561" t="s">
        <v>1161</v>
      </c>
      <c r="F122" s="572" t="s">
        <v>1456</v>
      </c>
      <c r="G122" s="571"/>
      <c r="H122" s="571"/>
    </row>
    <row r="123" spans="1:8" x14ac:dyDescent="0.2">
      <c r="A123" s="560" t="s">
        <v>1162</v>
      </c>
      <c r="B123" s="571"/>
      <c r="C123" s="571">
        <v>0</v>
      </c>
      <c r="D123" s="571" t="s">
        <v>1444</v>
      </c>
      <c r="E123" s="561" t="s">
        <v>1163</v>
      </c>
      <c r="F123" s="572" t="s">
        <v>1456</v>
      </c>
      <c r="G123" s="571"/>
      <c r="H123" s="571"/>
    </row>
    <row r="124" spans="1:8" x14ac:dyDescent="0.2">
      <c r="A124" s="560" t="s">
        <v>1637</v>
      </c>
      <c r="B124" s="571"/>
      <c r="C124" s="571">
        <v>0</v>
      </c>
      <c r="D124" s="571" t="s">
        <v>1464</v>
      </c>
      <c r="E124" s="561" t="s">
        <v>1638</v>
      </c>
      <c r="F124" s="572"/>
      <c r="G124" s="571"/>
      <c r="H124" s="571"/>
    </row>
    <row r="125" spans="1:8" x14ac:dyDescent="0.2">
      <c r="A125" s="560" t="s">
        <v>1639</v>
      </c>
      <c r="B125" s="571" t="s">
        <v>1443</v>
      </c>
      <c r="C125" s="571">
        <v>6</v>
      </c>
      <c r="D125" s="571" t="s">
        <v>1481</v>
      </c>
      <c r="E125" s="561" t="s">
        <v>1640</v>
      </c>
      <c r="F125" s="572"/>
      <c r="G125" s="571"/>
      <c r="H125" s="571"/>
    </row>
    <row r="126" spans="1:8" x14ac:dyDescent="0.2">
      <c r="A126" s="560" t="s">
        <v>1641</v>
      </c>
      <c r="B126" s="571" t="s">
        <v>1443</v>
      </c>
      <c r="C126" s="571">
        <v>1</v>
      </c>
      <c r="D126" s="571" t="s">
        <v>1464</v>
      </c>
      <c r="E126" s="561" t="s">
        <v>1642</v>
      </c>
      <c r="F126" s="572"/>
      <c r="G126" s="571"/>
      <c r="H126" s="571"/>
    </row>
    <row r="127" spans="1:8" x14ac:dyDescent="0.2">
      <c r="A127" s="560" t="s">
        <v>1643</v>
      </c>
      <c r="B127" s="571" t="s">
        <v>1443</v>
      </c>
      <c r="C127" s="571">
        <v>2</v>
      </c>
      <c r="D127" s="571" t="s">
        <v>1449</v>
      </c>
      <c r="E127" s="561" t="s">
        <v>1644</v>
      </c>
      <c r="F127" s="572"/>
      <c r="G127" s="571"/>
      <c r="H127" s="571"/>
    </row>
    <row r="128" spans="1:8" x14ac:dyDescent="0.2">
      <c r="A128" s="560" t="s">
        <v>1645</v>
      </c>
      <c r="B128" s="571" t="s">
        <v>1443</v>
      </c>
      <c r="C128" s="571">
        <v>1</v>
      </c>
      <c r="D128" s="571" t="s">
        <v>1449</v>
      </c>
      <c r="E128" s="561" t="s">
        <v>1646</v>
      </c>
      <c r="F128" s="572"/>
      <c r="G128" s="571"/>
      <c r="H128" s="571"/>
    </row>
    <row r="129" spans="1:8" x14ac:dyDescent="0.2">
      <c r="A129" s="560" t="s">
        <v>1647</v>
      </c>
      <c r="B129" s="571" t="s">
        <v>1443</v>
      </c>
      <c r="C129" s="571">
        <v>0</v>
      </c>
      <c r="D129" s="571" t="s">
        <v>1452</v>
      </c>
      <c r="E129" s="561" t="s">
        <v>1648</v>
      </c>
      <c r="F129" s="572"/>
      <c r="G129" s="571"/>
      <c r="H129" s="571"/>
    </row>
    <row r="130" spans="1:8" x14ac:dyDescent="0.2">
      <c r="A130" s="560" t="s">
        <v>1649</v>
      </c>
      <c r="B130" s="571"/>
      <c r="C130" s="571">
        <v>0</v>
      </c>
      <c r="D130" s="571" t="s">
        <v>1449</v>
      </c>
      <c r="E130" s="561" t="s">
        <v>1650</v>
      </c>
      <c r="F130" s="572"/>
      <c r="G130" s="571"/>
      <c r="H130" s="571"/>
    </row>
    <row r="131" spans="1:8" x14ac:dyDescent="0.2">
      <c r="A131" s="560" t="s">
        <v>1651</v>
      </c>
      <c r="B131" s="571" t="s">
        <v>1443</v>
      </c>
      <c r="C131" s="571">
        <v>9</v>
      </c>
      <c r="D131" s="571" t="s">
        <v>1452</v>
      </c>
      <c r="E131" s="561" t="s">
        <v>1652</v>
      </c>
      <c r="F131" s="572"/>
      <c r="G131" s="571"/>
      <c r="H131" s="571">
        <v>2</v>
      </c>
    </row>
    <row r="132" spans="1:8" x14ac:dyDescent="0.2">
      <c r="A132" s="560" t="s">
        <v>1653</v>
      </c>
      <c r="B132" s="571" t="s">
        <v>1443</v>
      </c>
      <c r="C132" s="571">
        <v>0</v>
      </c>
      <c r="D132" s="571" t="s">
        <v>1464</v>
      </c>
      <c r="E132" s="561" t="s">
        <v>1654</v>
      </c>
      <c r="F132" s="572"/>
      <c r="G132" s="571"/>
      <c r="H132" s="571"/>
    </row>
    <row r="133" spans="1:8" x14ac:dyDescent="0.2">
      <c r="A133" s="560" t="s">
        <v>1164</v>
      </c>
      <c r="B133" s="571" t="s">
        <v>1443</v>
      </c>
      <c r="C133" s="571">
        <v>0</v>
      </c>
      <c r="D133" s="571" t="s">
        <v>1481</v>
      </c>
      <c r="E133" s="561" t="s">
        <v>1165</v>
      </c>
      <c r="F133" s="572" t="s">
        <v>1456</v>
      </c>
      <c r="G133" s="571"/>
      <c r="H133" s="571"/>
    </row>
    <row r="134" spans="1:8" x14ac:dyDescent="0.2">
      <c r="A134" s="560" t="s">
        <v>1655</v>
      </c>
      <c r="B134" s="571"/>
      <c r="C134" s="571">
        <v>0</v>
      </c>
      <c r="D134" s="571" t="s">
        <v>1481</v>
      </c>
      <c r="E134" s="561" t="s">
        <v>1656</v>
      </c>
      <c r="F134" s="572"/>
      <c r="G134" s="571"/>
      <c r="H134" s="571"/>
    </row>
    <row r="135" spans="1:8" x14ac:dyDescent="0.2">
      <c r="A135" s="560" t="s">
        <v>1657</v>
      </c>
      <c r="B135" s="571" t="s">
        <v>1443</v>
      </c>
      <c r="C135" s="571">
        <v>1</v>
      </c>
      <c r="D135" s="571" t="s">
        <v>1452</v>
      </c>
      <c r="E135" s="561" t="s">
        <v>1658</v>
      </c>
      <c r="F135" s="572"/>
      <c r="G135" s="571"/>
      <c r="H135" s="571"/>
    </row>
    <row r="136" spans="1:8" x14ac:dyDescent="0.2">
      <c r="A136" s="560" t="s">
        <v>1659</v>
      </c>
      <c r="B136" s="571" t="s">
        <v>1443</v>
      </c>
      <c r="C136" s="571">
        <v>10</v>
      </c>
      <c r="D136" s="571" t="s">
        <v>1449</v>
      </c>
      <c r="E136" s="561" t="s">
        <v>1660</v>
      </c>
      <c r="F136" s="572"/>
      <c r="G136" s="571"/>
      <c r="H136" s="571"/>
    </row>
    <row r="137" spans="1:8" x14ac:dyDescent="0.2">
      <c r="A137" s="560" t="s">
        <v>1661</v>
      </c>
      <c r="B137" s="571" t="s">
        <v>1443</v>
      </c>
      <c r="C137" s="571">
        <v>7</v>
      </c>
      <c r="D137" s="571" t="s">
        <v>1449</v>
      </c>
      <c r="E137" s="561" t="s">
        <v>1662</v>
      </c>
      <c r="F137" s="572"/>
      <c r="G137" s="571"/>
      <c r="H137" s="571"/>
    </row>
    <row r="138" spans="1:8" x14ac:dyDescent="0.2">
      <c r="A138" s="560" t="s">
        <v>1663</v>
      </c>
      <c r="B138" s="571"/>
      <c r="C138" s="571">
        <v>0</v>
      </c>
      <c r="D138" s="571" t="s">
        <v>1464</v>
      </c>
      <c r="E138" s="561" t="s">
        <v>1664</v>
      </c>
      <c r="F138" s="572"/>
      <c r="G138" s="571"/>
      <c r="H138" s="571">
        <v>1</v>
      </c>
    </row>
    <row r="139" spans="1:8" x14ac:dyDescent="0.2">
      <c r="A139" s="560" t="s">
        <v>1665</v>
      </c>
      <c r="B139" s="571"/>
      <c r="C139" s="571">
        <v>0</v>
      </c>
      <c r="D139" s="571" t="s">
        <v>1452</v>
      </c>
      <c r="E139" s="561"/>
      <c r="F139" s="572"/>
      <c r="G139" s="571"/>
      <c r="H139" s="571"/>
    </row>
    <row r="140" spans="1:8" x14ac:dyDescent="0.2">
      <c r="A140" s="560" t="s">
        <v>1666</v>
      </c>
      <c r="B140" s="571"/>
      <c r="C140" s="571">
        <v>0</v>
      </c>
      <c r="D140" s="571" t="s">
        <v>1444</v>
      </c>
      <c r="E140" s="561" t="s">
        <v>1667</v>
      </c>
      <c r="F140" s="572"/>
      <c r="G140" s="571"/>
      <c r="H140" s="571"/>
    </row>
    <row r="141" spans="1:8" x14ac:dyDescent="0.2">
      <c r="A141" s="560" t="s">
        <v>1668</v>
      </c>
      <c r="B141" s="571" t="s">
        <v>1443</v>
      </c>
      <c r="C141" s="571">
        <v>0</v>
      </c>
      <c r="D141" s="571" t="s">
        <v>1444</v>
      </c>
      <c r="E141" s="561" t="s">
        <v>1669</v>
      </c>
      <c r="F141" s="572"/>
      <c r="G141" s="571"/>
      <c r="H141" s="571">
        <v>1</v>
      </c>
    </row>
    <row r="142" spans="1:8" x14ac:dyDescent="0.2">
      <c r="A142" s="560" t="s">
        <v>1670</v>
      </c>
      <c r="B142" s="571"/>
      <c r="C142" s="571">
        <v>0</v>
      </c>
      <c r="D142" s="571" t="s">
        <v>1452</v>
      </c>
      <c r="E142" s="561" t="s">
        <v>1671</v>
      </c>
      <c r="F142" s="572"/>
      <c r="G142" s="571"/>
      <c r="H142" s="571"/>
    </row>
    <row r="143" spans="1:8" x14ac:dyDescent="0.2">
      <c r="A143" s="560" t="s">
        <v>1672</v>
      </c>
      <c r="B143" s="571" t="s">
        <v>1443</v>
      </c>
      <c r="C143" s="571">
        <v>4</v>
      </c>
      <c r="D143" s="571" t="s">
        <v>1452</v>
      </c>
      <c r="E143" s="561" t="s">
        <v>1673</v>
      </c>
      <c r="F143" s="572"/>
      <c r="G143" s="571"/>
      <c r="H143" s="571"/>
    </row>
    <row r="144" spans="1:8" x14ac:dyDescent="0.2">
      <c r="A144" s="560" t="s">
        <v>1674</v>
      </c>
      <c r="B144" s="571" t="s">
        <v>1443</v>
      </c>
      <c r="C144" s="571">
        <v>3</v>
      </c>
      <c r="D144" s="571" t="s">
        <v>1452</v>
      </c>
      <c r="E144" s="561" t="s">
        <v>1675</v>
      </c>
      <c r="F144" s="572"/>
      <c r="G144" s="571"/>
      <c r="H144" s="571">
        <v>1</v>
      </c>
    </row>
    <row r="145" spans="1:8" x14ac:dyDescent="0.2">
      <c r="A145" s="560" t="s">
        <v>1676</v>
      </c>
      <c r="B145" s="571"/>
      <c r="C145" s="571">
        <v>0</v>
      </c>
      <c r="D145" s="571" t="s">
        <v>1444</v>
      </c>
      <c r="E145" s="561" t="s">
        <v>1677</v>
      </c>
      <c r="F145" s="572"/>
      <c r="G145" s="571"/>
      <c r="H145" s="571"/>
    </row>
    <row r="146" spans="1:8" x14ac:dyDescent="0.2">
      <c r="A146" s="560" t="s">
        <v>1678</v>
      </c>
      <c r="B146" s="571" t="s">
        <v>1443</v>
      </c>
      <c r="C146" s="571">
        <v>1</v>
      </c>
      <c r="D146" s="571" t="s">
        <v>1449</v>
      </c>
      <c r="E146" s="561" t="s">
        <v>1679</v>
      </c>
      <c r="F146" s="572"/>
      <c r="G146" s="571"/>
      <c r="H146" s="571"/>
    </row>
    <row r="147" spans="1:8" x14ac:dyDescent="0.2">
      <c r="A147" s="560" t="s">
        <v>1680</v>
      </c>
      <c r="B147" s="571" t="s">
        <v>1443</v>
      </c>
      <c r="C147" s="571">
        <v>3</v>
      </c>
      <c r="D147" s="571" t="s">
        <v>1481</v>
      </c>
      <c r="E147" s="561" t="s">
        <v>1681</v>
      </c>
      <c r="F147" s="572"/>
      <c r="G147" s="571"/>
      <c r="H147" s="571"/>
    </row>
    <row r="148" spans="1:8" x14ac:dyDescent="0.2">
      <c r="A148" s="562" t="s">
        <v>1682</v>
      </c>
      <c r="B148" s="571" t="s">
        <v>1443</v>
      </c>
      <c r="C148" s="571">
        <v>0</v>
      </c>
      <c r="D148" s="571"/>
      <c r="E148" s="561"/>
      <c r="F148" s="572"/>
      <c r="G148" s="571"/>
      <c r="H148" s="571"/>
    </row>
    <row r="149" spans="1:8" x14ac:dyDescent="0.2">
      <c r="A149" s="560" t="s">
        <v>1683</v>
      </c>
      <c r="B149" s="571" t="s">
        <v>1443</v>
      </c>
      <c r="C149" s="571">
        <v>1</v>
      </c>
      <c r="D149" s="571"/>
      <c r="E149" s="561" t="s">
        <v>1684</v>
      </c>
      <c r="F149" s="572"/>
      <c r="G149" s="571"/>
      <c r="H149" s="571"/>
    </row>
    <row r="150" spans="1:8" x14ac:dyDescent="0.2">
      <c r="A150" s="560" t="s">
        <v>1685</v>
      </c>
      <c r="B150" s="571" t="s">
        <v>1443</v>
      </c>
      <c r="C150" s="571">
        <v>0</v>
      </c>
      <c r="D150" s="571" t="s">
        <v>1444</v>
      </c>
      <c r="E150" s="561" t="s">
        <v>1686</v>
      </c>
      <c r="F150" s="572"/>
      <c r="G150" s="571"/>
      <c r="H150" s="571"/>
    </row>
    <row r="151" spans="1:8" x14ac:dyDescent="0.2">
      <c r="A151" s="560" t="s">
        <v>1687</v>
      </c>
      <c r="B151" s="571"/>
      <c r="C151" s="571">
        <v>0</v>
      </c>
      <c r="D151" s="571" t="s">
        <v>1452</v>
      </c>
      <c r="E151" s="561" t="s">
        <v>1688</v>
      </c>
      <c r="F151" s="572"/>
      <c r="G151" s="571"/>
      <c r="H151" s="571"/>
    </row>
    <row r="152" spans="1:8" x14ac:dyDescent="0.2">
      <c r="A152" s="562" t="s">
        <v>1689</v>
      </c>
      <c r="B152" s="571" t="s">
        <v>1443</v>
      </c>
      <c r="C152" s="571">
        <v>0</v>
      </c>
      <c r="D152" s="571"/>
      <c r="E152" s="561"/>
      <c r="F152" s="572"/>
      <c r="G152" s="571"/>
      <c r="H152" s="571">
        <v>1</v>
      </c>
    </row>
    <row r="153" spans="1:8" x14ac:dyDescent="0.2">
      <c r="A153" s="560" t="s">
        <v>1690</v>
      </c>
      <c r="B153" s="571" t="s">
        <v>1443</v>
      </c>
      <c r="C153" s="571">
        <v>1</v>
      </c>
      <c r="D153" s="571"/>
      <c r="E153" s="561" t="s">
        <v>1691</v>
      </c>
      <c r="F153" s="572"/>
      <c r="G153" s="571"/>
      <c r="H153" s="571">
        <v>1</v>
      </c>
    </row>
    <row r="154" spans="1:8" x14ac:dyDescent="0.2">
      <c r="A154" s="562" t="s">
        <v>1692</v>
      </c>
      <c r="B154" s="571" t="s">
        <v>1443</v>
      </c>
      <c r="C154" s="571">
        <v>0</v>
      </c>
      <c r="D154" s="571"/>
      <c r="E154" s="561"/>
      <c r="F154" s="572"/>
      <c r="G154" s="571"/>
      <c r="H154" s="571">
        <v>1</v>
      </c>
    </row>
    <row r="155" spans="1:8" x14ac:dyDescent="0.2">
      <c r="A155" s="560" t="s">
        <v>1693</v>
      </c>
      <c r="B155" s="571"/>
      <c r="C155" s="571">
        <v>0</v>
      </c>
      <c r="D155" s="571" t="s">
        <v>1452</v>
      </c>
      <c r="E155" s="561" t="s">
        <v>1691</v>
      </c>
      <c r="F155" s="572"/>
      <c r="G155" s="571"/>
      <c r="H155" s="571"/>
    </row>
    <row r="156" spans="1:8" x14ac:dyDescent="0.2">
      <c r="A156" s="560" t="s">
        <v>1694</v>
      </c>
      <c r="B156" s="571"/>
      <c r="C156" s="571">
        <v>0</v>
      </c>
      <c r="D156" s="571" t="s">
        <v>1444</v>
      </c>
      <c r="E156" s="561" t="s">
        <v>1695</v>
      </c>
      <c r="F156" s="572"/>
      <c r="G156" s="571"/>
      <c r="H156" s="571"/>
    </row>
    <row r="157" spans="1:8" x14ac:dyDescent="0.2">
      <c r="A157" s="560" t="s">
        <v>1696</v>
      </c>
      <c r="B157" s="571" t="s">
        <v>1443</v>
      </c>
      <c r="C157" s="571">
        <v>0</v>
      </c>
      <c r="D157" s="571" t="s">
        <v>1464</v>
      </c>
      <c r="E157" s="561" t="s">
        <v>1697</v>
      </c>
      <c r="F157" s="572"/>
      <c r="G157" s="571"/>
      <c r="H157" s="571">
        <v>1</v>
      </c>
    </row>
    <row r="158" spans="1:8" x14ac:dyDescent="0.2">
      <c r="A158" s="560" t="s">
        <v>1166</v>
      </c>
      <c r="B158" s="571" t="s">
        <v>1443</v>
      </c>
      <c r="C158" s="571">
        <v>0</v>
      </c>
      <c r="D158" s="571" t="s">
        <v>1444</v>
      </c>
      <c r="E158" s="561" t="s">
        <v>1167</v>
      </c>
      <c r="F158" s="572" t="s">
        <v>1456</v>
      </c>
      <c r="G158" s="571"/>
      <c r="H158" s="571"/>
    </row>
    <row r="159" spans="1:8" x14ac:dyDescent="0.2">
      <c r="A159" s="560" t="s">
        <v>1168</v>
      </c>
      <c r="B159" s="571" t="s">
        <v>1443</v>
      </c>
      <c r="C159" s="571">
        <v>0</v>
      </c>
      <c r="D159" s="571" t="s">
        <v>1444</v>
      </c>
      <c r="E159" s="561" t="s">
        <v>1169</v>
      </c>
      <c r="F159" s="572" t="s">
        <v>1456</v>
      </c>
      <c r="G159" s="571"/>
      <c r="H159" s="571"/>
    </row>
    <row r="160" spans="1:8" x14ac:dyDescent="0.2">
      <c r="A160" s="560" t="s">
        <v>1698</v>
      </c>
      <c r="B160" s="571"/>
      <c r="C160" s="571">
        <v>0</v>
      </c>
      <c r="D160" s="571" t="s">
        <v>1449</v>
      </c>
      <c r="E160" s="561" t="s">
        <v>1699</v>
      </c>
      <c r="F160" s="572"/>
      <c r="G160" s="571"/>
      <c r="H160" s="571"/>
    </row>
    <row r="161" spans="1:8" x14ac:dyDescent="0.2">
      <c r="A161" s="560" t="s">
        <v>1700</v>
      </c>
      <c r="B161" s="571" t="s">
        <v>1443</v>
      </c>
      <c r="C161" s="571">
        <v>0</v>
      </c>
      <c r="D161" s="571"/>
      <c r="E161" s="561" t="s">
        <v>1701</v>
      </c>
      <c r="F161" s="572"/>
      <c r="G161" s="571"/>
      <c r="H161" s="571"/>
    </row>
    <row r="162" spans="1:8" x14ac:dyDescent="0.2">
      <c r="A162" s="560" t="s">
        <v>1170</v>
      </c>
      <c r="B162" s="571"/>
      <c r="C162" s="571">
        <v>0</v>
      </c>
      <c r="D162" s="571" t="s">
        <v>1452</v>
      </c>
      <c r="E162" s="561" t="s">
        <v>1171</v>
      </c>
      <c r="F162" s="572" t="s">
        <v>1456</v>
      </c>
      <c r="G162" s="571"/>
      <c r="H162" s="571"/>
    </row>
    <row r="163" spans="1:8" x14ac:dyDescent="0.2">
      <c r="A163" s="560" t="s">
        <v>1702</v>
      </c>
      <c r="B163" s="571" t="s">
        <v>1443</v>
      </c>
      <c r="C163" s="571">
        <v>0</v>
      </c>
      <c r="D163" s="571" t="s">
        <v>1452</v>
      </c>
      <c r="E163" s="561" t="s">
        <v>1703</v>
      </c>
      <c r="F163" s="572"/>
      <c r="G163" s="571"/>
      <c r="H163" s="571"/>
    </row>
    <row r="164" spans="1:8" x14ac:dyDescent="0.2">
      <c r="A164" s="560" t="s">
        <v>1172</v>
      </c>
      <c r="B164" s="571" t="s">
        <v>1443</v>
      </c>
      <c r="C164" s="571">
        <v>2</v>
      </c>
      <c r="D164" s="571" t="s">
        <v>1452</v>
      </c>
      <c r="E164" s="561" t="s">
        <v>1173</v>
      </c>
      <c r="F164" s="572" t="s">
        <v>1456</v>
      </c>
      <c r="G164" s="571"/>
      <c r="H164" s="571"/>
    </row>
    <row r="165" spans="1:8" x14ac:dyDescent="0.2">
      <c r="A165" s="560" t="s">
        <v>1174</v>
      </c>
      <c r="B165" s="571" t="s">
        <v>1443</v>
      </c>
      <c r="C165" s="571">
        <v>3</v>
      </c>
      <c r="D165" s="571" t="s">
        <v>1444</v>
      </c>
      <c r="E165" s="561" t="s">
        <v>1175</v>
      </c>
      <c r="F165" s="572" t="s">
        <v>1456</v>
      </c>
      <c r="G165" s="571"/>
      <c r="H165" s="571"/>
    </row>
    <row r="166" spans="1:8" x14ac:dyDescent="0.2">
      <c r="A166" s="560" t="s">
        <v>1704</v>
      </c>
      <c r="B166" s="571" t="s">
        <v>1443</v>
      </c>
      <c r="C166" s="571">
        <v>0</v>
      </c>
      <c r="D166" s="571" t="s">
        <v>1452</v>
      </c>
      <c r="E166" s="561" t="s">
        <v>1705</v>
      </c>
      <c r="F166" s="572"/>
      <c r="G166" s="571"/>
      <c r="H166" s="571"/>
    </row>
    <row r="167" spans="1:8" x14ac:dyDescent="0.2">
      <c r="A167" s="562" t="s">
        <v>1706</v>
      </c>
      <c r="B167" s="571" t="s">
        <v>1443</v>
      </c>
      <c r="C167" s="571">
        <v>0</v>
      </c>
      <c r="D167" s="571"/>
      <c r="E167" s="561"/>
      <c r="F167" s="572"/>
      <c r="G167" s="571"/>
      <c r="H167" s="571"/>
    </row>
    <row r="168" spans="1:8" x14ac:dyDescent="0.2">
      <c r="A168" s="560" t="s">
        <v>1176</v>
      </c>
      <c r="B168" s="571" t="s">
        <v>1443</v>
      </c>
      <c r="C168" s="571">
        <v>0</v>
      </c>
      <c r="D168" s="571"/>
      <c r="E168" s="561" t="s">
        <v>1177</v>
      </c>
      <c r="F168" s="572" t="s">
        <v>1456</v>
      </c>
      <c r="G168" s="571"/>
      <c r="H168" s="571"/>
    </row>
    <row r="169" spans="1:8" x14ac:dyDescent="0.2">
      <c r="A169" s="560" t="s">
        <v>1707</v>
      </c>
      <c r="B169" s="571" t="s">
        <v>1443</v>
      </c>
      <c r="C169" s="571">
        <v>4</v>
      </c>
      <c r="D169" s="571" t="s">
        <v>1452</v>
      </c>
      <c r="E169" s="561" t="s">
        <v>1708</v>
      </c>
      <c r="F169" s="572"/>
      <c r="G169" s="571"/>
      <c r="H169" s="571"/>
    </row>
    <row r="170" spans="1:8" x14ac:dyDescent="0.2">
      <c r="A170" s="562" t="s">
        <v>1709</v>
      </c>
      <c r="B170" s="571" t="s">
        <v>1443</v>
      </c>
      <c r="C170" s="571">
        <v>0</v>
      </c>
      <c r="D170" s="571"/>
      <c r="E170" s="561"/>
      <c r="F170" s="572"/>
      <c r="G170" s="571"/>
      <c r="H170" s="571"/>
    </row>
    <row r="171" spans="1:8" x14ac:dyDescent="0.2">
      <c r="A171" s="560" t="s">
        <v>1710</v>
      </c>
      <c r="B171" s="571" t="s">
        <v>1443</v>
      </c>
      <c r="C171" s="571">
        <v>34</v>
      </c>
      <c r="D171" s="571" t="s">
        <v>1449</v>
      </c>
      <c r="E171" s="561" t="s">
        <v>1711</v>
      </c>
      <c r="F171" s="572"/>
      <c r="G171" s="571"/>
      <c r="H171" s="571"/>
    </row>
    <row r="172" spans="1:8" x14ac:dyDescent="0.2">
      <c r="A172" s="560" t="s">
        <v>1712</v>
      </c>
      <c r="B172" s="571" t="s">
        <v>1443</v>
      </c>
      <c r="C172" s="571">
        <v>3</v>
      </c>
      <c r="D172" s="571" t="s">
        <v>1481</v>
      </c>
      <c r="E172" s="561" t="s">
        <v>1713</v>
      </c>
      <c r="F172" s="572"/>
      <c r="G172" s="571"/>
      <c r="H172" s="571"/>
    </row>
    <row r="173" spans="1:8" x14ac:dyDescent="0.2">
      <c r="A173" s="560" t="s">
        <v>1714</v>
      </c>
      <c r="B173" s="571" t="s">
        <v>1443</v>
      </c>
      <c r="C173" s="571">
        <v>0</v>
      </c>
      <c r="D173" s="571" t="s">
        <v>1449</v>
      </c>
      <c r="E173" s="561" t="s">
        <v>1715</v>
      </c>
      <c r="F173" s="572"/>
      <c r="G173" s="571"/>
      <c r="H173" s="571"/>
    </row>
    <row r="174" spans="1:8" x14ac:dyDescent="0.2">
      <c r="A174" s="560" t="s">
        <v>1716</v>
      </c>
      <c r="B174" s="571" t="s">
        <v>1443</v>
      </c>
      <c r="C174" s="571">
        <v>6</v>
      </c>
      <c r="D174" s="571" t="s">
        <v>1449</v>
      </c>
      <c r="E174" s="561" t="s">
        <v>1717</v>
      </c>
      <c r="F174" s="572"/>
      <c r="G174" s="571"/>
      <c r="H174" s="571"/>
    </row>
    <row r="175" spans="1:8" x14ac:dyDescent="0.2">
      <c r="A175" s="560" t="s">
        <v>1718</v>
      </c>
      <c r="B175" s="571" t="s">
        <v>1443</v>
      </c>
      <c r="C175" s="571">
        <v>0</v>
      </c>
      <c r="D175" s="571" t="s">
        <v>1481</v>
      </c>
      <c r="E175" s="561" t="s">
        <v>1719</v>
      </c>
      <c r="F175" s="572"/>
      <c r="G175" s="571"/>
      <c r="H175" s="571"/>
    </row>
    <row r="176" spans="1:8" x14ac:dyDescent="0.2">
      <c r="A176" s="560" t="s">
        <v>1720</v>
      </c>
      <c r="B176" s="571"/>
      <c r="C176" s="571">
        <v>0</v>
      </c>
      <c r="D176" s="571" t="s">
        <v>1464</v>
      </c>
      <c r="E176" s="561" t="s">
        <v>1721</v>
      </c>
      <c r="F176" s="572"/>
      <c r="G176" s="571"/>
      <c r="H176" s="571"/>
    </row>
    <row r="177" spans="1:8" x14ac:dyDescent="0.2">
      <c r="A177" s="560" t="s">
        <v>1722</v>
      </c>
      <c r="B177" s="571" t="s">
        <v>1443</v>
      </c>
      <c r="C177" s="571">
        <v>0</v>
      </c>
      <c r="D177" s="571" t="s">
        <v>1464</v>
      </c>
      <c r="E177" s="561" t="s">
        <v>1723</v>
      </c>
      <c r="F177" s="572"/>
      <c r="G177" s="571"/>
      <c r="H177" s="571"/>
    </row>
    <row r="178" spans="1:8" x14ac:dyDescent="0.2">
      <c r="A178" s="560" t="s">
        <v>1724</v>
      </c>
      <c r="B178" s="571" t="s">
        <v>1443</v>
      </c>
      <c r="C178" s="571">
        <v>0</v>
      </c>
      <c r="D178" s="571" t="s">
        <v>1464</v>
      </c>
      <c r="E178" s="561" t="s">
        <v>1725</v>
      </c>
      <c r="F178" s="572"/>
      <c r="G178" s="571"/>
      <c r="H178" s="571"/>
    </row>
    <row r="179" spans="1:8" x14ac:dyDescent="0.2">
      <c r="A179" s="560" t="s">
        <v>1726</v>
      </c>
      <c r="B179" s="571" t="s">
        <v>1443</v>
      </c>
      <c r="C179" s="571">
        <v>4</v>
      </c>
      <c r="D179" s="571" t="s">
        <v>1464</v>
      </c>
      <c r="E179" s="561" t="s">
        <v>1727</v>
      </c>
      <c r="F179" s="572"/>
      <c r="G179" s="571"/>
      <c r="H179" s="571"/>
    </row>
    <row r="180" spans="1:8" x14ac:dyDescent="0.2">
      <c r="A180" s="560" t="s">
        <v>1728</v>
      </c>
      <c r="B180" s="571" t="s">
        <v>1443</v>
      </c>
      <c r="C180" s="571">
        <v>5</v>
      </c>
      <c r="D180" s="571" t="s">
        <v>1464</v>
      </c>
      <c r="E180" s="561" t="s">
        <v>1729</v>
      </c>
      <c r="F180" s="572"/>
      <c r="G180" s="571"/>
      <c r="H180" s="571"/>
    </row>
    <row r="181" spans="1:8" x14ac:dyDescent="0.2">
      <c r="A181" s="560" t="s">
        <v>1730</v>
      </c>
      <c r="B181" s="571"/>
      <c r="C181" s="571">
        <v>0</v>
      </c>
      <c r="D181" s="571" t="s">
        <v>1464</v>
      </c>
      <c r="E181" s="561" t="s">
        <v>1731</v>
      </c>
      <c r="F181" s="572"/>
      <c r="G181" s="571"/>
      <c r="H181" s="571"/>
    </row>
    <row r="182" spans="1:8" x14ac:dyDescent="0.2">
      <c r="A182" s="560" t="s">
        <v>1732</v>
      </c>
      <c r="B182" s="571" t="s">
        <v>1443</v>
      </c>
      <c r="C182" s="571">
        <v>11</v>
      </c>
      <c r="D182" s="571" t="s">
        <v>1464</v>
      </c>
      <c r="E182" s="561" t="s">
        <v>1733</v>
      </c>
      <c r="F182" s="572"/>
      <c r="G182" s="571"/>
      <c r="H182" s="571"/>
    </row>
    <row r="183" spans="1:8" x14ac:dyDescent="0.2">
      <c r="A183" s="560" t="s">
        <v>1734</v>
      </c>
      <c r="B183" s="571" t="s">
        <v>1443</v>
      </c>
      <c r="C183" s="571">
        <v>2</v>
      </c>
      <c r="D183" s="571" t="s">
        <v>1449</v>
      </c>
      <c r="E183" s="561" t="s">
        <v>1735</v>
      </c>
      <c r="F183" s="572"/>
      <c r="G183" s="571"/>
      <c r="H183" s="571"/>
    </row>
    <row r="184" spans="1:8" x14ac:dyDescent="0.2">
      <c r="A184" s="560" t="s">
        <v>1178</v>
      </c>
      <c r="B184" s="571" t="s">
        <v>1443</v>
      </c>
      <c r="C184" s="571">
        <v>2</v>
      </c>
      <c r="D184" s="571" t="s">
        <v>1449</v>
      </c>
      <c r="E184" s="561" t="s">
        <v>1179</v>
      </c>
      <c r="F184" s="572" t="s">
        <v>1456</v>
      </c>
      <c r="G184" s="571"/>
      <c r="H184" s="571"/>
    </row>
    <row r="185" spans="1:8" x14ac:dyDescent="0.2">
      <c r="A185" s="560" t="s">
        <v>1180</v>
      </c>
      <c r="B185" s="571" t="s">
        <v>1443</v>
      </c>
      <c r="C185" s="571">
        <v>0</v>
      </c>
      <c r="D185" s="571" t="s">
        <v>1444</v>
      </c>
      <c r="E185" s="561" t="s">
        <v>1181</v>
      </c>
      <c r="F185" s="572" t="s">
        <v>1456</v>
      </c>
      <c r="G185" s="571"/>
      <c r="H185" s="571"/>
    </row>
    <row r="186" spans="1:8" x14ac:dyDescent="0.2">
      <c r="A186" s="560" t="s">
        <v>1736</v>
      </c>
      <c r="B186" s="571" t="s">
        <v>1443</v>
      </c>
      <c r="C186" s="571">
        <v>8</v>
      </c>
      <c r="D186" s="571" t="s">
        <v>1444</v>
      </c>
      <c r="E186" s="561" t="s">
        <v>1737</v>
      </c>
      <c r="F186" s="572"/>
      <c r="G186" s="571"/>
      <c r="H186" s="571"/>
    </row>
    <row r="187" spans="1:8" x14ac:dyDescent="0.2">
      <c r="A187" s="560" t="s">
        <v>1738</v>
      </c>
      <c r="B187" s="571" t="s">
        <v>1443</v>
      </c>
      <c r="C187" s="571">
        <v>12</v>
      </c>
      <c r="D187" s="571" t="s">
        <v>1444</v>
      </c>
      <c r="E187" s="561" t="s">
        <v>1739</v>
      </c>
      <c r="F187" s="572"/>
      <c r="G187" s="571"/>
      <c r="H187" s="571"/>
    </row>
    <row r="188" spans="1:8" x14ac:dyDescent="0.2">
      <c r="A188" s="560" t="s">
        <v>1740</v>
      </c>
      <c r="B188" s="571" t="s">
        <v>1443</v>
      </c>
      <c r="C188" s="571">
        <v>1</v>
      </c>
      <c r="D188" s="571" t="s">
        <v>1444</v>
      </c>
      <c r="E188" s="561" t="s">
        <v>1741</v>
      </c>
      <c r="F188" s="572"/>
      <c r="G188" s="571"/>
      <c r="H188" s="571"/>
    </row>
    <row r="189" spans="1:8" x14ac:dyDescent="0.2">
      <c r="A189" s="560" t="s">
        <v>1742</v>
      </c>
      <c r="B189" s="571" t="s">
        <v>1443</v>
      </c>
      <c r="C189" s="571">
        <v>0</v>
      </c>
      <c r="D189" s="571" t="s">
        <v>1444</v>
      </c>
      <c r="E189" s="561" t="s">
        <v>1743</v>
      </c>
      <c r="F189" s="572"/>
      <c r="G189" s="571"/>
      <c r="H189" s="571"/>
    </row>
    <row r="190" spans="1:8" x14ac:dyDescent="0.2">
      <c r="A190" s="560" t="s">
        <v>1744</v>
      </c>
      <c r="B190" s="571" t="s">
        <v>1443</v>
      </c>
      <c r="C190" s="571">
        <v>0</v>
      </c>
      <c r="D190" s="571" t="s">
        <v>1449</v>
      </c>
      <c r="E190" s="561" t="s">
        <v>1745</v>
      </c>
      <c r="F190" s="572"/>
      <c r="G190" s="571"/>
      <c r="H190" s="571"/>
    </row>
    <row r="191" spans="1:8" x14ac:dyDescent="0.2">
      <c r="A191" s="560" t="s">
        <v>1182</v>
      </c>
      <c r="B191" s="571" t="s">
        <v>1443</v>
      </c>
      <c r="C191" s="571">
        <v>1</v>
      </c>
      <c r="D191" s="571" t="s">
        <v>1452</v>
      </c>
      <c r="E191" s="561" t="s">
        <v>1183</v>
      </c>
      <c r="F191" s="572" t="s">
        <v>1456</v>
      </c>
      <c r="G191" s="571" t="s">
        <v>1456</v>
      </c>
      <c r="H191" s="571"/>
    </row>
    <row r="192" spans="1:8" x14ac:dyDescent="0.2">
      <c r="A192" s="560" t="s">
        <v>1746</v>
      </c>
      <c r="B192" s="571" t="s">
        <v>1443</v>
      </c>
      <c r="C192" s="571">
        <v>1</v>
      </c>
      <c r="D192" s="571" t="s">
        <v>1481</v>
      </c>
      <c r="E192" s="561" t="s">
        <v>1747</v>
      </c>
      <c r="F192" s="572"/>
      <c r="G192" s="571"/>
      <c r="H192" s="571"/>
    </row>
    <row r="193" spans="1:8" x14ac:dyDescent="0.2">
      <c r="A193" s="560" t="s">
        <v>1748</v>
      </c>
      <c r="B193" s="571" t="s">
        <v>1443</v>
      </c>
      <c r="C193" s="571">
        <v>3</v>
      </c>
      <c r="D193" s="571" t="s">
        <v>1449</v>
      </c>
      <c r="E193" s="561" t="s">
        <v>1749</v>
      </c>
      <c r="F193" s="572"/>
      <c r="G193" s="571"/>
      <c r="H193" s="571">
        <v>1</v>
      </c>
    </row>
    <row r="194" spans="1:8" x14ac:dyDescent="0.2">
      <c r="A194" s="560" t="s">
        <v>1750</v>
      </c>
      <c r="B194" s="571" t="s">
        <v>1443</v>
      </c>
      <c r="C194" s="571">
        <v>0</v>
      </c>
      <c r="D194" s="571"/>
      <c r="E194" s="561" t="s">
        <v>1751</v>
      </c>
      <c r="F194" s="572"/>
      <c r="G194" s="571"/>
      <c r="H194" s="571"/>
    </row>
    <row r="195" spans="1:8" x14ac:dyDescent="0.2">
      <c r="A195" s="560" t="s">
        <v>1752</v>
      </c>
      <c r="B195" s="571"/>
      <c r="C195" s="571">
        <v>0</v>
      </c>
      <c r="D195" s="571" t="s">
        <v>1449</v>
      </c>
      <c r="E195" s="561" t="s">
        <v>1753</v>
      </c>
      <c r="F195" s="572"/>
      <c r="G195" s="571"/>
      <c r="H195" s="571"/>
    </row>
    <row r="196" spans="1:8" x14ac:dyDescent="0.2">
      <c r="A196" s="560" t="s">
        <v>1754</v>
      </c>
      <c r="B196" s="571"/>
      <c r="C196" s="571">
        <v>0</v>
      </c>
      <c r="D196" s="571" t="s">
        <v>1452</v>
      </c>
      <c r="E196" s="561" t="s">
        <v>1755</v>
      </c>
      <c r="F196" s="572"/>
      <c r="G196" s="571"/>
      <c r="H196" s="571"/>
    </row>
    <row r="197" spans="1:8" x14ac:dyDescent="0.2">
      <c r="A197" s="560" t="s">
        <v>1756</v>
      </c>
      <c r="B197" s="571"/>
      <c r="C197" s="571">
        <v>0</v>
      </c>
      <c r="D197" s="571" t="s">
        <v>1481</v>
      </c>
      <c r="E197" s="561" t="s">
        <v>1757</v>
      </c>
      <c r="F197" s="572"/>
      <c r="G197" s="571"/>
      <c r="H197" s="571"/>
    </row>
    <row r="198" spans="1:8" x14ac:dyDescent="0.2">
      <c r="A198" s="560" t="s">
        <v>1758</v>
      </c>
      <c r="B198" s="571" t="s">
        <v>1443</v>
      </c>
      <c r="C198" s="571">
        <v>0</v>
      </c>
      <c r="D198" s="571" t="s">
        <v>1481</v>
      </c>
      <c r="E198" s="561" t="s">
        <v>1759</v>
      </c>
      <c r="F198" s="572"/>
      <c r="G198" s="571"/>
      <c r="H198" s="571"/>
    </row>
    <row r="199" spans="1:8" x14ac:dyDescent="0.2">
      <c r="A199" s="560" t="s">
        <v>1760</v>
      </c>
      <c r="B199" s="571" t="s">
        <v>1443</v>
      </c>
      <c r="C199" s="571">
        <v>1</v>
      </c>
      <c r="D199" s="571" t="s">
        <v>1481</v>
      </c>
      <c r="E199" s="561" t="s">
        <v>1761</v>
      </c>
      <c r="F199" s="572"/>
      <c r="G199" s="571"/>
      <c r="H199" s="571"/>
    </row>
    <row r="200" spans="1:8" x14ac:dyDescent="0.2">
      <c r="A200" s="560" t="s">
        <v>1762</v>
      </c>
      <c r="B200" s="571" t="s">
        <v>1443</v>
      </c>
      <c r="C200" s="571">
        <v>0</v>
      </c>
      <c r="D200" s="571" t="s">
        <v>1464</v>
      </c>
      <c r="E200" s="561" t="s">
        <v>1763</v>
      </c>
      <c r="F200" s="572"/>
      <c r="G200" s="571"/>
      <c r="H200" s="571"/>
    </row>
    <row r="201" spans="1:8" x14ac:dyDescent="0.2">
      <c r="A201" s="560" t="s">
        <v>1764</v>
      </c>
      <c r="B201" s="571" t="s">
        <v>1443</v>
      </c>
      <c r="C201" s="571">
        <v>2</v>
      </c>
      <c r="D201" s="571" t="s">
        <v>1464</v>
      </c>
      <c r="E201" s="561" t="s">
        <v>1765</v>
      </c>
      <c r="F201" s="572"/>
      <c r="G201" s="571"/>
      <c r="H201" s="571"/>
    </row>
    <row r="202" spans="1:8" x14ac:dyDescent="0.2">
      <c r="A202" s="560" t="s">
        <v>1766</v>
      </c>
      <c r="B202" s="571"/>
      <c r="C202" s="571">
        <v>0</v>
      </c>
      <c r="D202" s="571" t="s">
        <v>1481</v>
      </c>
      <c r="E202" s="561" t="s">
        <v>1767</v>
      </c>
      <c r="F202" s="572"/>
      <c r="G202" s="571"/>
      <c r="H202" s="571"/>
    </row>
    <row r="203" spans="1:8" x14ac:dyDescent="0.2">
      <c r="A203" s="560" t="s">
        <v>1768</v>
      </c>
      <c r="B203" s="571"/>
      <c r="C203" s="571">
        <v>0</v>
      </c>
      <c r="D203" s="571" t="s">
        <v>1464</v>
      </c>
      <c r="E203" s="561" t="s">
        <v>1769</v>
      </c>
      <c r="F203" s="572"/>
      <c r="G203" s="571"/>
      <c r="H203" s="571"/>
    </row>
    <row r="204" spans="1:8" x14ac:dyDescent="0.2">
      <c r="A204" s="560" t="s">
        <v>1770</v>
      </c>
      <c r="B204" s="571" t="s">
        <v>1443</v>
      </c>
      <c r="C204" s="571">
        <v>7</v>
      </c>
      <c r="D204" s="571" t="s">
        <v>1481</v>
      </c>
      <c r="E204" s="561" t="s">
        <v>1771</v>
      </c>
      <c r="F204" s="572"/>
      <c r="G204" s="571"/>
      <c r="H204" s="571"/>
    </row>
    <row r="205" spans="1:8" x14ac:dyDescent="0.2">
      <c r="A205" s="560" t="s">
        <v>1772</v>
      </c>
      <c r="B205" s="571"/>
      <c r="C205" s="571">
        <v>0</v>
      </c>
      <c r="D205" s="571" t="s">
        <v>1464</v>
      </c>
      <c r="E205" s="561" t="s">
        <v>1773</v>
      </c>
      <c r="F205" s="572"/>
      <c r="G205" s="571"/>
      <c r="H205" s="571">
        <v>1</v>
      </c>
    </row>
    <row r="206" spans="1:8" x14ac:dyDescent="0.2">
      <c r="A206" s="560" t="s">
        <v>1774</v>
      </c>
      <c r="B206" s="571" t="s">
        <v>1443</v>
      </c>
      <c r="C206" s="571">
        <v>0</v>
      </c>
      <c r="D206" s="571" t="s">
        <v>1452</v>
      </c>
      <c r="E206" s="561" t="s">
        <v>1775</v>
      </c>
      <c r="F206" s="572"/>
      <c r="G206" s="571"/>
      <c r="H206" s="571"/>
    </row>
    <row r="207" spans="1:8" x14ac:dyDescent="0.2">
      <c r="A207" s="560" t="s">
        <v>1776</v>
      </c>
      <c r="B207" s="571" t="s">
        <v>1443</v>
      </c>
      <c r="C207" s="571">
        <v>13</v>
      </c>
      <c r="D207" s="571" t="s">
        <v>1481</v>
      </c>
      <c r="E207" s="561" t="s">
        <v>1777</v>
      </c>
      <c r="F207" s="572"/>
      <c r="G207" s="571"/>
      <c r="H207" s="571"/>
    </row>
    <row r="208" spans="1:8" x14ac:dyDescent="0.2">
      <c r="A208" s="560" t="s">
        <v>1778</v>
      </c>
      <c r="B208" s="571" t="s">
        <v>1443</v>
      </c>
      <c r="C208" s="571">
        <v>17</v>
      </c>
      <c r="D208" s="571" t="s">
        <v>1464</v>
      </c>
      <c r="E208" s="561" t="s">
        <v>1779</v>
      </c>
      <c r="F208" s="572"/>
      <c r="G208" s="571"/>
      <c r="H208" s="571"/>
    </row>
    <row r="209" spans="1:8" x14ac:dyDescent="0.2">
      <c r="A209" s="560" t="s">
        <v>1780</v>
      </c>
      <c r="B209" s="571" t="s">
        <v>1443</v>
      </c>
      <c r="C209" s="571">
        <v>0</v>
      </c>
      <c r="D209" s="571" t="s">
        <v>1464</v>
      </c>
      <c r="E209" s="561" t="s">
        <v>1781</v>
      </c>
      <c r="F209" s="572"/>
      <c r="G209" s="571"/>
      <c r="H209" s="571"/>
    </row>
    <row r="210" spans="1:8" x14ac:dyDescent="0.2">
      <c r="A210" s="560" t="s">
        <v>1782</v>
      </c>
      <c r="B210" s="571"/>
      <c r="C210" s="571">
        <v>0</v>
      </c>
      <c r="D210" s="571" t="s">
        <v>1464</v>
      </c>
      <c r="E210" s="561" t="s">
        <v>1783</v>
      </c>
      <c r="F210" s="572"/>
      <c r="G210" s="571"/>
      <c r="H210" s="571"/>
    </row>
    <row r="211" spans="1:8" x14ac:dyDescent="0.2">
      <c r="A211" s="560" t="s">
        <v>1784</v>
      </c>
      <c r="B211" s="571" t="s">
        <v>1443</v>
      </c>
      <c r="C211" s="571">
        <v>0</v>
      </c>
      <c r="D211" s="571" t="s">
        <v>1464</v>
      </c>
      <c r="E211" s="561" t="s">
        <v>1785</v>
      </c>
      <c r="F211" s="572"/>
      <c r="G211" s="571"/>
      <c r="H211" s="571">
        <v>1</v>
      </c>
    </row>
    <row r="212" spans="1:8" x14ac:dyDescent="0.2">
      <c r="A212" s="560" t="s">
        <v>1786</v>
      </c>
      <c r="B212" s="571" t="s">
        <v>1443</v>
      </c>
      <c r="C212" s="571">
        <v>0</v>
      </c>
      <c r="D212" s="571" t="s">
        <v>1449</v>
      </c>
      <c r="E212" s="561" t="s">
        <v>1787</v>
      </c>
      <c r="F212" s="572"/>
      <c r="G212" s="571"/>
      <c r="H212" s="571">
        <v>1</v>
      </c>
    </row>
    <row r="213" spans="1:8" x14ac:dyDescent="0.2">
      <c r="A213" s="560" t="s">
        <v>1788</v>
      </c>
      <c r="B213" s="571" t="s">
        <v>1443</v>
      </c>
      <c r="C213" s="571">
        <v>0</v>
      </c>
      <c r="D213" s="571" t="s">
        <v>1481</v>
      </c>
      <c r="E213" s="561" t="s">
        <v>1789</v>
      </c>
      <c r="F213" s="572"/>
      <c r="G213" s="571"/>
      <c r="H213" s="571">
        <v>1</v>
      </c>
    </row>
    <row r="214" spans="1:8" x14ac:dyDescent="0.2">
      <c r="A214" s="560" t="s">
        <v>1790</v>
      </c>
      <c r="B214" s="571"/>
      <c r="C214" s="571">
        <v>0</v>
      </c>
      <c r="D214" s="571" t="s">
        <v>1481</v>
      </c>
      <c r="E214" s="561" t="s">
        <v>1791</v>
      </c>
      <c r="F214" s="572"/>
      <c r="G214" s="571"/>
      <c r="H214" s="571"/>
    </row>
    <row r="215" spans="1:8" x14ac:dyDescent="0.2">
      <c r="A215" s="560" t="s">
        <v>1792</v>
      </c>
      <c r="B215" s="571" t="s">
        <v>1443</v>
      </c>
      <c r="C215" s="571">
        <v>0</v>
      </c>
      <c r="D215" s="571" t="s">
        <v>1481</v>
      </c>
      <c r="E215" s="561" t="s">
        <v>1793</v>
      </c>
      <c r="F215" s="572"/>
      <c r="G215" s="571"/>
      <c r="H215" s="571"/>
    </row>
    <row r="216" spans="1:8" x14ac:dyDescent="0.2">
      <c r="A216" s="560" t="s">
        <v>1794</v>
      </c>
      <c r="B216" s="571" t="s">
        <v>1443</v>
      </c>
      <c r="C216" s="571">
        <v>2</v>
      </c>
      <c r="D216" s="571" t="s">
        <v>1481</v>
      </c>
      <c r="E216" s="561" t="s">
        <v>1795</v>
      </c>
      <c r="F216" s="572"/>
      <c r="G216" s="571"/>
      <c r="H216" s="571"/>
    </row>
    <row r="217" spans="1:8" x14ac:dyDescent="0.2">
      <c r="A217" s="560" t="s">
        <v>1796</v>
      </c>
      <c r="B217" s="571" t="s">
        <v>1443</v>
      </c>
      <c r="C217" s="571">
        <v>0</v>
      </c>
      <c r="D217" s="571" t="s">
        <v>1464</v>
      </c>
      <c r="E217" s="561" t="s">
        <v>1797</v>
      </c>
      <c r="F217" s="572"/>
      <c r="G217" s="571"/>
      <c r="H217" s="571">
        <v>1</v>
      </c>
    </row>
    <row r="218" spans="1:8" x14ac:dyDescent="0.2">
      <c r="A218" s="560" t="s">
        <v>1798</v>
      </c>
      <c r="B218" s="571" t="s">
        <v>1443</v>
      </c>
      <c r="C218" s="571">
        <v>3</v>
      </c>
      <c r="D218" s="571" t="s">
        <v>1464</v>
      </c>
      <c r="E218" s="561" t="s">
        <v>1799</v>
      </c>
      <c r="F218" s="572"/>
      <c r="G218" s="571"/>
      <c r="H218" s="571"/>
    </row>
    <row r="219" spans="1:8" x14ac:dyDescent="0.2">
      <c r="A219" s="560" t="s">
        <v>1800</v>
      </c>
      <c r="B219" s="571" t="s">
        <v>1443</v>
      </c>
      <c r="C219" s="571">
        <v>0</v>
      </c>
      <c r="D219" s="571" t="s">
        <v>1449</v>
      </c>
      <c r="E219" s="561" t="s">
        <v>1801</v>
      </c>
      <c r="F219" s="572"/>
      <c r="G219" s="571"/>
      <c r="H219" s="571"/>
    </row>
    <row r="220" spans="1:8" x14ac:dyDescent="0.2">
      <c r="A220" s="560" t="s">
        <v>1802</v>
      </c>
      <c r="B220" s="571"/>
      <c r="C220" s="571">
        <v>0</v>
      </c>
      <c r="D220" s="571" t="s">
        <v>1481</v>
      </c>
      <c r="E220" s="561" t="s">
        <v>1803</v>
      </c>
      <c r="F220" s="572"/>
      <c r="G220" s="571"/>
      <c r="H220" s="571"/>
    </row>
    <row r="221" spans="1:8" x14ac:dyDescent="0.2">
      <c r="A221" s="560" t="s">
        <v>1804</v>
      </c>
      <c r="B221" s="571" t="s">
        <v>1443</v>
      </c>
      <c r="C221" s="571">
        <v>1</v>
      </c>
      <c r="D221" s="571" t="s">
        <v>1449</v>
      </c>
      <c r="E221" s="561" t="s">
        <v>1805</v>
      </c>
      <c r="F221" s="572"/>
      <c r="G221" s="571"/>
      <c r="H221" s="571">
        <v>2</v>
      </c>
    </row>
    <row r="222" spans="1:8" x14ac:dyDescent="0.2">
      <c r="A222" s="560" t="s">
        <v>1806</v>
      </c>
      <c r="B222" s="571" t="s">
        <v>1443</v>
      </c>
      <c r="C222" s="571">
        <v>2</v>
      </c>
      <c r="D222" s="571" t="s">
        <v>1481</v>
      </c>
      <c r="E222" s="561" t="s">
        <v>1807</v>
      </c>
      <c r="F222" s="572"/>
      <c r="G222" s="571"/>
      <c r="H222" s="571"/>
    </row>
    <row r="223" spans="1:8" x14ac:dyDescent="0.2">
      <c r="A223" s="560" t="s">
        <v>1808</v>
      </c>
      <c r="B223" s="571" t="s">
        <v>1443</v>
      </c>
      <c r="C223" s="571">
        <v>13</v>
      </c>
      <c r="D223" s="571" t="s">
        <v>1481</v>
      </c>
      <c r="E223" s="561" t="s">
        <v>1809</v>
      </c>
      <c r="F223" s="572"/>
      <c r="G223" s="571"/>
      <c r="H223" s="571"/>
    </row>
    <row r="224" spans="1:8" x14ac:dyDescent="0.2">
      <c r="A224" s="560" t="s">
        <v>1810</v>
      </c>
      <c r="B224" s="571" t="s">
        <v>1443</v>
      </c>
      <c r="C224" s="571">
        <v>2</v>
      </c>
      <c r="D224" s="571" t="s">
        <v>1481</v>
      </c>
      <c r="E224" s="561" t="s">
        <v>1811</v>
      </c>
      <c r="F224" s="572"/>
      <c r="G224" s="571"/>
      <c r="H224" s="571"/>
    </row>
    <row r="225" spans="1:8" x14ac:dyDescent="0.2">
      <c r="A225" s="560" t="s">
        <v>1812</v>
      </c>
      <c r="B225" s="571" t="s">
        <v>1443</v>
      </c>
      <c r="C225" s="571">
        <v>0</v>
      </c>
      <c r="D225" s="571" t="s">
        <v>1449</v>
      </c>
      <c r="E225" s="561" t="s">
        <v>1813</v>
      </c>
      <c r="F225" s="572"/>
      <c r="G225" s="571"/>
      <c r="H225" s="571"/>
    </row>
    <row r="226" spans="1:8" x14ac:dyDescent="0.2">
      <c r="A226" s="560" t="s">
        <v>1814</v>
      </c>
      <c r="B226" s="571" t="s">
        <v>1443</v>
      </c>
      <c r="C226" s="571">
        <v>0</v>
      </c>
      <c r="D226" s="571" t="s">
        <v>1464</v>
      </c>
      <c r="E226" s="561" t="s">
        <v>1815</v>
      </c>
      <c r="F226" s="572"/>
      <c r="G226" s="571"/>
      <c r="H226" s="571"/>
    </row>
    <row r="227" spans="1:8" x14ac:dyDescent="0.2">
      <c r="A227" s="560" t="s">
        <v>1816</v>
      </c>
      <c r="B227" s="571" t="s">
        <v>1443</v>
      </c>
      <c r="C227" s="571">
        <v>6</v>
      </c>
      <c r="D227" s="571" t="s">
        <v>1444</v>
      </c>
      <c r="E227" s="561" t="s">
        <v>1817</v>
      </c>
      <c r="F227" s="572"/>
      <c r="G227" s="571"/>
      <c r="H227" s="571"/>
    </row>
    <row r="228" spans="1:8" x14ac:dyDescent="0.2">
      <c r="A228" s="560" t="s">
        <v>1818</v>
      </c>
      <c r="B228" s="571" t="s">
        <v>1443</v>
      </c>
      <c r="C228" s="571">
        <v>0</v>
      </c>
      <c r="D228" s="571" t="s">
        <v>1449</v>
      </c>
      <c r="E228" s="561" t="s">
        <v>1819</v>
      </c>
      <c r="F228" s="572"/>
      <c r="G228" s="571"/>
      <c r="H228" s="571"/>
    </row>
    <row r="229" spans="1:8" x14ac:dyDescent="0.2">
      <c r="A229" s="560" t="s">
        <v>1820</v>
      </c>
      <c r="B229" s="571" t="s">
        <v>1443</v>
      </c>
      <c r="C229" s="571">
        <v>0</v>
      </c>
      <c r="D229" s="571" t="s">
        <v>1449</v>
      </c>
      <c r="E229" s="561" t="s">
        <v>1821</v>
      </c>
      <c r="F229" s="572"/>
      <c r="G229" s="571"/>
      <c r="H229" s="571">
        <v>1</v>
      </c>
    </row>
    <row r="230" spans="1:8" x14ac:dyDescent="0.2">
      <c r="A230" s="560" t="s">
        <v>1822</v>
      </c>
      <c r="B230" s="571"/>
      <c r="C230" s="571">
        <v>0</v>
      </c>
      <c r="D230" s="571" t="s">
        <v>1452</v>
      </c>
      <c r="E230" s="561" t="s">
        <v>1823</v>
      </c>
      <c r="F230" s="572"/>
      <c r="G230" s="571"/>
      <c r="H230" s="571">
        <v>1</v>
      </c>
    </row>
    <row r="231" spans="1:8" x14ac:dyDescent="0.2">
      <c r="A231" s="560" t="s">
        <v>1824</v>
      </c>
      <c r="B231" s="571" t="s">
        <v>1443</v>
      </c>
      <c r="C231" s="571">
        <v>1</v>
      </c>
      <c r="D231" s="571" t="s">
        <v>1464</v>
      </c>
      <c r="E231" s="561" t="s">
        <v>1825</v>
      </c>
      <c r="F231" s="572"/>
      <c r="G231" s="571"/>
      <c r="H231" s="571"/>
    </row>
    <row r="232" spans="1:8" x14ac:dyDescent="0.2">
      <c r="A232" s="560" t="s">
        <v>1826</v>
      </c>
      <c r="B232" s="571" t="s">
        <v>1443</v>
      </c>
      <c r="C232" s="571">
        <v>2</v>
      </c>
      <c r="D232" s="571" t="s">
        <v>1481</v>
      </c>
      <c r="E232" s="561" t="s">
        <v>1827</v>
      </c>
      <c r="F232" s="572"/>
      <c r="G232" s="571"/>
      <c r="H232" s="571"/>
    </row>
    <row r="233" spans="1:8" x14ac:dyDescent="0.2">
      <c r="A233" s="560" t="s">
        <v>1828</v>
      </c>
      <c r="B233" s="571"/>
      <c r="C233" s="571">
        <v>0</v>
      </c>
      <c r="D233" s="571" t="s">
        <v>1444</v>
      </c>
      <c r="E233" s="561" t="s">
        <v>1829</v>
      </c>
      <c r="F233" s="572"/>
      <c r="G233" s="571"/>
      <c r="H233" s="571"/>
    </row>
    <row r="234" spans="1:8" x14ac:dyDescent="0.2">
      <c r="A234" s="560" t="s">
        <v>1830</v>
      </c>
      <c r="B234" s="571"/>
      <c r="C234" s="571">
        <v>0</v>
      </c>
      <c r="D234" s="571" t="s">
        <v>1452</v>
      </c>
      <c r="E234" s="561" t="s">
        <v>1831</v>
      </c>
      <c r="F234" s="572"/>
      <c r="G234" s="571"/>
      <c r="H234" s="571">
        <v>1</v>
      </c>
    </row>
    <row r="235" spans="1:8" x14ac:dyDescent="0.2">
      <c r="A235" s="560" t="s">
        <v>1832</v>
      </c>
      <c r="B235" s="571" t="s">
        <v>1443</v>
      </c>
      <c r="C235" s="571">
        <v>2</v>
      </c>
      <c r="D235" s="571" t="s">
        <v>1464</v>
      </c>
      <c r="E235" s="561" t="s">
        <v>1833</v>
      </c>
      <c r="F235" s="572"/>
      <c r="G235" s="571"/>
      <c r="H235" s="571">
        <v>2</v>
      </c>
    </row>
    <row r="236" spans="1:8" x14ac:dyDescent="0.2">
      <c r="A236" s="560" t="s">
        <v>1834</v>
      </c>
      <c r="B236" s="571"/>
      <c r="C236" s="571">
        <v>0</v>
      </c>
      <c r="D236" s="571" t="s">
        <v>1481</v>
      </c>
      <c r="E236" s="561" t="s">
        <v>1835</v>
      </c>
      <c r="F236" s="572"/>
      <c r="G236" s="571"/>
      <c r="H236" s="571"/>
    </row>
    <row r="237" spans="1:8" x14ac:dyDescent="0.2">
      <c r="A237" s="560" t="s">
        <v>1836</v>
      </c>
      <c r="B237" s="571"/>
      <c r="C237" s="571">
        <v>0</v>
      </c>
      <c r="D237" s="571" t="s">
        <v>1464</v>
      </c>
      <c r="E237" s="561" t="s">
        <v>1837</v>
      </c>
      <c r="F237" s="572"/>
      <c r="G237" s="571"/>
      <c r="H237" s="571"/>
    </row>
    <row r="238" spans="1:8" x14ac:dyDescent="0.2">
      <c r="A238" s="560" t="s">
        <v>1838</v>
      </c>
      <c r="B238" s="571" t="s">
        <v>1443</v>
      </c>
      <c r="C238" s="571">
        <v>6</v>
      </c>
      <c r="D238" s="571" t="s">
        <v>1464</v>
      </c>
      <c r="E238" s="561" t="s">
        <v>1839</v>
      </c>
      <c r="F238" s="572"/>
      <c r="G238" s="571"/>
      <c r="H238" s="571"/>
    </row>
    <row r="239" spans="1:8" x14ac:dyDescent="0.2">
      <c r="A239" s="560" t="s">
        <v>1840</v>
      </c>
      <c r="B239" s="571" t="s">
        <v>1443</v>
      </c>
      <c r="C239" s="571">
        <v>0</v>
      </c>
      <c r="D239" s="571" t="s">
        <v>1452</v>
      </c>
      <c r="E239" s="561" t="s">
        <v>1841</v>
      </c>
      <c r="F239" s="572"/>
      <c r="G239" s="571"/>
      <c r="H239" s="571"/>
    </row>
    <row r="240" spans="1:8" x14ac:dyDescent="0.2">
      <c r="A240" s="560" t="s">
        <v>1842</v>
      </c>
      <c r="B240" s="571" t="s">
        <v>1443</v>
      </c>
      <c r="C240" s="571">
        <v>0</v>
      </c>
      <c r="D240" s="571" t="s">
        <v>1449</v>
      </c>
      <c r="E240" s="561" t="s">
        <v>1843</v>
      </c>
      <c r="F240" s="572"/>
      <c r="G240" s="571"/>
      <c r="H240" s="571"/>
    </row>
    <row r="241" spans="1:8" x14ac:dyDescent="0.2">
      <c r="A241" s="560" t="s">
        <v>1844</v>
      </c>
      <c r="B241" s="571" t="s">
        <v>1443</v>
      </c>
      <c r="C241" s="571">
        <v>1</v>
      </c>
      <c r="D241" s="571" t="s">
        <v>1481</v>
      </c>
      <c r="E241" s="561" t="s">
        <v>1845</v>
      </c>
      <c r="F241" s="572"/>
      <c r="G241" s="571"/>
      <c r="H241" s="571"/>
    </row>
    <row r="242" spans="1:8" x14ac:dyDescent="0.2">
      <c r="A242" s="560" t="s">
        <v>1846</v>
      </c>
      <c r="B242" s="571" t="s">
        <v>1443</v>
      </c>
      <c r="C242" s="571">
        <v>2</v>
      </c>
      <c r="D242" s="571" t="s">
        <v>1464</v>
      </c>
      <c r="E242" s="561" t="s">
        <v>1847</v>
      </c>
      <c r="F242" s="572"/>
      <c r="G242" s="571"/>
      <c r="H242" s="571">
        <v>2</v>
      </c>
    </row>
    <row r="243" spans="1:8" x14ac:dyDescent="0.2">
      <c r="A243" s="560" t="s">
        <v>1848</v>
      </c>
      <c r="B243" s="571" t="s">
        <v>1443</v>
      </c>
      <c r="C243" s="571">
        <v>12</v>
      </c>
      <c r="D243" s="571" t="s">
        <v>1449</v>
      </c>
      <c r="E243" s="561" t="s">
        <v>1849</v>
      </c>
      <c r="F243" s="572"/>
      <c r="G243" s="571"/>
      <c r="H243" s="571"/>
    </row>
    <row r="244" spans="1:8" x14ac:dyDescent="0.2">
      <c r="A244" s="560" t="s">
        <v>1850</v>
      </c>
      <c r="B244" s="571" t="s">
        <v>1443</v>
      </c>
      <c r="C244" s="571">
        <v>0</v>
      </c>
      <c r="D244" s="571" t="s">
        <v>1464</v>
      </c>
      <c r="E244" s="561" t="s">
        <v>1851</v>
      </c>
      <c r="F244" s="572"/>
      <c r="G244" s="571"/>
      <c r="H244" s="571"/>
    </row>
    <row r="245" spans="1:8" x14ac:dyDescent="0.2">
      <c r="A245" s="560" t="s">
        <v>1852</v>
      </c>
      <c r="B245" s="571"/>
      <c r="C245" s="571">
        <v>0</v>
      </c>
      <c r="D245" s="571" t="s">
        <v>1464</v>
      </c>
      <c r="E245" s="561" t="s">
        <v>1853</v>
      </c>
      <c r="F245" s="572"/>
      <c r="G245" s="571"/>
      <c r="H245" s="571">
        <v>1</v>
      </c>
    </row>
    <row r="246" spans="1:8" x14ac:dyDescent="0.2">
      <c r="A246" s="560" t="s">
        <v>1854</v>
      </c>
      <c r="B246" s="571"/>
      <c r="C246" s="571">
        <v>0</v>
      </c>
      <c r="D246" s="571" t="s">
        <v>1464</v>
      </c>
      <c r="E246" s="561" t="s">
        <v>1855</v>
      </c>
      <c r="F246" s="572"/>
      <c r="G246" s="571"/>
      <c r="H246" s="571">
        <v>1</v>
      </c>
    </row>
    <row r="247" spans="1:8" x14ac:dyDescent="0.2">
      <c r="A247" s="560" t="s">
        <v>1856</v>
      </c>
      <c r="B247" s="571" t="s">
        <v>1443</v>
      </c>
      <c r="C247" s="571">
        <v>0</v>
      </c>
      <c r="D247" s="571" t="s">
        <v>1452</v>
      </c>
      <c r="E247" s="561" t="s">
        <v>1857</v>
      </c>
      <c r="F247" s="572"/>
      <c r="G247" s="571"/>
      <c r="H247" s="571">
        <v>1</v>
      </c>
    </row>
    <row r="248" spans="1:8" x14ac:dyDescent="0.2">
      <c r="A248" s="560" t="s">
        <v>1858</v>
      </c>
      <c r="B248" s="571"/>
      <c r="C248" s="571">
        <v>0</v>
      </c>
      <c r="D248" s="571" t="s">
        <v>1449</v>
      </c>
      <c r="E248" s="561" t="s">
        <v>1859</v>
      </c>
      <c r="F248" s="572"/>
      <c r="G248" s="571"/>
      <c r="H248" s="571"/>
    </row>
    <row r="249" spans="1:8" x14ac:dyDescent="0.2">
      <c r="A249" s="560" t="s">
        <v>1860</v>
      </c>
      <c r="B249" s="571" t="s">
        <v>1443</v>
      </c>
      <c r="C249" s="571">
        <v>1</v>
      </c>
      <c r="D249" s="571" t="s">
        <v>1464</v>
      </c>
      <c r="E249" s="561" t="s">
        <v>1861</v>
      </c>
      <c r="F249" s="572"/>
      <c r="G249" s="571"/>
      <c r="H249" s="571">
        <v>1</v>
      </c>
    </row>
    <row r="250" spans="1:8" x14ac:dyDescent="0.2">
      <c r="A250" s="560" t="s">
        <v>1862</v>
      </c>
      <c r="B250" s="571" t="s">
        <v>1443</v>
      </c>
      <c r="C250" s="571">
        <v>4</v>
      </c>
      <c r="D250" s="571" t="s">
        <v>1464</v>
      </c>
      <c r="E250" s="561" t="s">
        <v>1863</v>
      </c>
      <c r="F250" s="572"/>
      <c r="G250" s="571"/>
      <c r="H250" s="571"/>
    </row>
    <row r="251" spans="1:8" x14ac:dyDescent="0.2">
      <c r="A251" s="560" t="s">
        <v>1864</v>
      </c>
      <c r="B251" s="571" t="s">
        <v>1443</v>
      </c>
      <c r="C251" s="571">
        <v>12</v>
      </c>
      <c r="D251" s="571" t="s">
        <v>1481</v>
      </c>
      <c r="E251" s="561" t="s">
        <v>1865</v>
      </c>
      <c r="F251" s="572"/>
      <c r="G251" s="571"/>
      <c r="H251" s="571"/>
    </row>
    <row r="252" spans="1:8" x14ac:dyDescent="0.2">
      <c r="A252" s="560" t="s">
        <v>1866</v>
      </c>
      <c r="B252" s="571"/>
      <c r="C252" s="571">
        <v>0</v>
      </c>
      <c r="D252" s="571" t="s">
        <v>1464</v>
      </c>
      <c r="E252" s="561" t="s">
        <v>1867</v>
      </c>
      <c r="F252" s="572"/>
      <c r="G252" s="571"/>
      <c r="H252" s="571">
        <v>1</v>
      </c>
    </row>
    <row r="253" spans="1:8" x14ac:dyDescent="0.2">
      <c r="A253" s="560" t="s">
        <v>1868</v>
      </c>
      <c r="B253" s="571" t="s">
        <v>1443</v>
      </c>
      <c r="C253" s="571">
        <v>0</v>
      </c>
      <c r="D253" s="571" t="s">
        <v>1464</v>
      </c>
      <c r="E253" s="561" t="s">
        <v>1869</v>
      </c>
      <c r="F253" s="572"/>
      <c r="G253" s="571"/>
      <c r="H253" s="571"/>
    </row>
    <row r="254" spans="1:8" x14ac:dyDescent="0.2">
      <c r="A254" s="560" t="s">
        <v>1870</v>
      </c>
      <c r="B254" s="571"/>
      <c r="C254" s="571">
        <v>0</v>
      </c>
      <c r="D254" s="571" t="s">
        <v>1464</v>
      </c>
      <c r="E254" s="561" t="s">
        <v>1871</v>
      </c>
      <c r="F254" s="572"/>
      <c r="G254" s="571"/>
      <c r="H254" s="571">
        <v>1</v>
      </c>
    </row>
    <row r="255" spans="1:8" x14ac:dyDescent="0.2">
      <c r="A255" s="560" t="s">
        <v>1872</v>
      </c>
      <c r="B255" s="571" t="s">
        <v>1443</v>
      </c>
      <c r="C255" s="571">
        <v>13</v>
      </c>
      <c r="D255" s="571" t="s">
        <v>1464</v>
      </c>
      <c r="E255" s="561" t="s">
        <v>1873</v>
      </c>
      <c r="F255" s="572"/>
      <c r="G255" s="571"/>
      <c r="H255" s="571"/>
    </row>
    <row r="256" spans="1:8" x14ac:dyDescent="0.2">
      <c r="A256" s="560" t="s">
        <v>1874</v>
      </c>
      <c r="B256" s="571" t="s">
        <v>1443</v>
      </c>
      <c r="C256" s="571">
        <v>3</v>
      </c>
      <c r="D256" s="571" t="s">
        <v>1464</v>
      </c>
      <c r="E256" s="561" t="s">
        <v>1875</v>
      </c>
      <c r="F256" s="572"/>
      <c r="G256" s="571"/>
      <c r="H256" s="571">
        <v>2</v>
      </c>
    </row>
    <row r="257" spans="1:8" x14ac:dyDescent="0.2">
      <c r="A257" s="560" t="s">
        <v>1876</v>
      </c>
      <c r="B257" s="571" t="s">
        <v>1443</v>
      </c>
      <c r="C257" s="571">
        <v>5</v>
      </c>
      <c r="D257" s="571" t="s">
        <v>1464</v>
      </c>
      <c r="E257" s="561" t="s">
        <v>1877</v>
      </c>
      <c r="F257" s="572"/>
      <c r="G257" s="571"/>
      <c r="H257" s="571"/>
    </row>
    <row r="258" spans="1:8" x14ac:dyDescent="0.2">
      <c r="A258" s="560" t="s">
        <v>1878</v>
      </c>
      <c r="B258" s="571" t="s">
        <v>1443</v>
      </c>
      <c r="C258" s="571">
        <v>10</v>
      </c>
      <c r="D258" s="571" t="s">
        <v>1464</v>
      </c>
      <c r="E258" s="561" t="s">
        <v>1879</v>
      </c>
      <c r="F258" s="572"/>
      <c r="G258" s="571"/>
      <c r="H258" s="571"/>
    </row>
    <row r="259" spans="1:8" x14ac:dyDescent="0.2">
      <c r="A259" s="560" t="s">
        <v>1880</v>
      </c>
      <c r="B259" s="571" t="s">
        <v>1443</v>
      </c>
      <c r="C259" s="571">
        <v>0</v>
      </c>
      <c r="D259" s="571" t="s">
        <v>1464</v>
      </c>
      <c r="E259" s="561" t="s">
        <v>1881</v>
      </c>
      <c r="F259" s="572"/>
      <c r="G259" s="571"/>
      <c r="H259" s="571"/>
    </row>
    <row r="260" spans="1:8" x14ac:dyDescent="0.2">
      <c r="A260" s="560" t="s">
        <v>1882</v>
      </c>
      <c r="B260" s="571" t="s">
        <v>1443</v>
      </c>
      <c r="C260" s="571">
        <v>33</v>
      </c>
      <c r="D260" s="571" t="s">
        <v>1464</v>
      </c>
      <c r="E260" s="561" t="s">
        <v>1883</v>
      </c>
      <c r="F260" s="572"/>
      <c r="G260" s="571"/>
      <c r="H260" s="571"/>
    </row>
    <row r="261" spans="1:8" x14ac:dyDescent="0.2">
      <c r="A261" s="560" t="s">
        <v>1884</v>
      </c>
      <c r="B261" s="571" t="s">
        <v>1443</v>
      </c>
      <c r="C261" s="571">
        <v>0</v>
      </c>
      <c r="D261" s="571" t="s">
        <v>1464</v>
      </c>
      <c r="E261" s="561" t="s">
        <v>1885</v>
      </c>
      <c r="F261" s="572"/>
      <c r="G261" s="571"/>
      <c r="H261" s="571"/>
    </row>
    <row r="262" spans="1:8" x14ac:dyDescent="0.2">
      <c r="A262" s="560" t="s">
        <v>1886</v>
      </c>
      <c r="B262" s="571" t="s">
        <v>1443</v>
      </c>
      <c r="C262" s="571">
        <v>1</v>
      </c>
      <c r="D262" s="571" t="s">
        <v>1449</v>
      </c>
      <c r="E262" s="561" t="s">
        <v>1887</v>
      </c>
      <c r="F262" s="572"/>
      <c r="G262" s="571"/>
      <c r="H262" s="571"/>
    </row>
    <row r="263" spans="1:8" x14ac:dyDescent="0.2">
      <c r="A263" s="560" t="s">
        <v>1888</v>
      </c>
      <c r="B263" s="571" t="s">
        <v>1443</v>
      </c>
      <c r="C263" s="571">
        <v>3</v>
      </c>
      <c r="D263" s="571" t="s">
        <v>1449</v>
      </c>
      <c r="E263" s="561" t="s">
        <v>1889</v>
      </c>
      <c r="F263" s="572"/>
      <c r="G263" s="571"/>
      <c r="H263" s="571"/>
    </row>
    <row r="264" spans="1:8" x14ac:dyDescent="0.2">
      <c r="A264" s="560" t="s">
        <v>1890</v>
      </c>
      <c r="B264" s="571" t="s">
        <v>1443</v>
      </c>
      <c r="C264" s="571">
        <v>36</v>
      </c>
      <c r="D264" s="571" t="s">
        <v>1481</v>
      </c>
      <c r="E264" s="561" t="s">
        <v>1891</v>
      </c>
      <c r="F264" s="572"/>
      <c r="G264" s="571"/>
      <c r="H264" s="571"/>
    </row>
    <row r="265" spans="1:8" x14ac:dyDescent="0.2">
      <c r="A265" s="560" t="s">
        <v>1892</v>
      </c>
      <c r="B265" s="571" t="s">
        <v>1443</v>
      </c>
      <c r="C265" s="571">
        <v>1</v>
      </c>
      <c r="D265" s="571" t="s">
        <v>1464</v>
      </c>
      <c r="E265" s="561" t="s">
        <v>1893</v>
      </c>
      <c r="F265" s="572"/>
      <c r="G265" s="571"/>
      <c r="H265" s="571"/>
    </row>
    <row r="266" spans="1:8" x14ac:dyDescent="0.2">
      <c r="A266" s="560" t="s">
        <v>1894</v>
      </c>
      <c r="B266" s="571"/>
      <c r="C266" s="571">
        <v>0</v>
      </c>
      <c r="D266" s="571" t="s">
        <v>1464</v>
      </c>
      <c r="E266" s="561" t="s">
        <v>1895</v>
      </c>
      <c r="F266" s="572"/>
      <c r="G266" s="571"/>
      <c r="H266" s="571"/>
    </row>
    <row r="267" spans="1:8" x14ac:dyDescent="0.2">
      <c r="A267" s="560" t="s">
        <v>1896</v>
      </c>
      <c r="B267" s="571" t="s">
        <v>1443</v>
      </c>
      <c r="C267" s="571">
        <v>4</v>
      </c>
      <c r="D267" s="571" t="s">
        <v>1449</v>
      </c>
      <c r="E267" s="561" t="s">
        <v>1897</v>
      </c>
      <c r="F267" s="572"/>
      <c r="G267" s="571"/>
      <c r="H267" s="571"/>
    </row>
    <row r="268" spans="1:8" x14ac:dyDescent="0.2">
      <c r="A268" s="560" t="s">
        <v>1898</v>
      </c>
      <c r="B268" s="571" t="s">
        <v>1443</v>
      </c>
      <c r="C268" s="571">
        <v>0</v>
      </c>
      <c r="D268" s="571" t="s">
        <v>1481</v>
      </c>
      <c r="E268" s="561" t="s">
        <v>1899</v>
      </c>
      <c r="F268" s="572"/>
      <c r="G268" s="571"/>
      <c r="H268" s="571"/>
    </row>
    <row r="269" spans="1:8" x14ac:dyDescent="0.2">
      <c r="A269" s="560" t="s">
        <v>1900</v>
      </c>
      <c r="B269" s="571" t="s">
        <v>1443</v>
      </c>
      <c r="C269" s="571">
        <v>0</v>
      </c>
      <c r="D269" s="571" t="s">
        <v>1481</v>
      </c>
      <c r="E269" s="561" t="s">
        <v>1901</v>
      </c>
      <c r="F269" s="572"/>
      <c r="G269" s="571"/>
      <c r="H269" s="571"/>
    </row>
    <row r="270" spans="1:8" x14ac:dyDescent="0.2">
      <c r="A270" s="560" t="s">
        <v>1902</v>
      </c>
      <c r="B270" s="571" t="s">
        <v>1443</v>
      </c>
      <c r="C270" s="571">
        <v>12</v>
      </c>
      <c r="D270" s="571" t="s">
        <v>1481</v>
      </c>
      <c r="E270" s="561" t="s">
        <v>1903</v>
      </c>
      <c r="F270" s="572"/>
      <c r="G270" s="571"/>
      <c r="H270" s="571"/>
    </row>
    <row r="271" spans="1:8" x14ac:dyDescent="0.2">
      <c r="A271" s="560" t="s">
        <v>1904</v>
      </c>
      <c r="B271" s="571" t="s">
        <v>1443</v>
      </c>
      <c r="C271" s="571">
        <v>0</v>
      </c>
      <c r="D271" s="571"/>
      <c r="E271" s="561" t="s">
        <v>1905</v>
      </c>
      <c r="F271" s="572"/>
      <c r="G271" s="571"/>
      <c r="H271" s="571"/>
    </row>
    <row r="272" spans="1:8" x14ac:dyDescent="0.2">
      <c r="A272" s="560" t="s">
        <v>1906</v>
      </c>
      <c r="B272" s="571" t="s">
        <v>1443</v>
      </c>
      <c r="C272" s="571">
        <v>1</v>
      </c>
      <c r="D272" s="571" t="s">
        <v>1464</v>
      </c>
      <c r="E272" s="561" t="s">
        <v>1907</v>
      </c>
      <c r="F272" s="572"/>
      <c r="G272" s="571"/>
      <c r="H272" s="571"/>
    </row>
    <row r="273" spans="1:8" x14ac:dyDescent="0.2">
      <c r="A273" s="560" t="s">
        <v>1908</v>
      </c>
      <c r="B273" s="571" t="s">
        <v>1443</v>
      </c>
      <c r="C273" s="571">
        <v>13</v>
      </c>
      <c r="D273" s="571" t="s">
        <v>1481</v>
      </c>
      <c r="E273" s="561" t="s">
        <v>1909</v>
      </c>
      <c r="F273" s="572"/>
      <c r="G273" s="571"/>
      <c r="H273" s="571"/>
    </row>
    <row r="274" spans="1:8" x14ac:dyDescent="0.2">
      <c r="A274" s="560" t="s">
        <v>1910</v>
      </c>
      <c r="B274" s="571"/>
      <c r="C274" s="571">
        <v>0</v>
      </c>
      <c r="D274" s="571" t="s">
        <v>1449</v>
      </c>
      <c r="E274" s="561" t="s">
        <v>1911</v>
      </c>
      <c r="F274" s="572"/>
      <c r="G274" s="571"/>
      <c r="H274" s="571"/>
    </row>
    <row r="275" spans="1:8" x14ac:dyDescent="0.2">
      <c r="A275" s="560" t="s">
        <v>1912</v>
      </c>
      <c r="B275" s="571" t="s">
        <v>1443</v>
      </c>
      <c r="C275" s="571">
        <v>0</v>
      </c>
      <c r="D275" s="571" t="s">
        <v>1452</v>
      </c>
      <c r="E275" s="561" t="s">
        <v>1913</v>
      </c>
      <c r="F275" s="572"/>
      <c r="G275" s="571"/>
      <c r="H275" s="571"/>
    </row>
    <row r="276" spans="1:8" x14ac:dyDescent="0.2">
      <c r="A276" s="560" t="s">
        <v>1914</v>
      </c>
      <c r="B276" s="571" t="s">
        <v>1443</v>
      </c>
      <c r="C276" s="571">
        <v>8</v>
      </c>
      <c r="D276" s="571" t="s">
        <v>1481</v>
      </c>
      <c r="E276" s="561" t="s">
        <v>1915</v>
      </c>
      <c r="F276" s="572"/>
      <c r="G276" s="571"/>
      <c r="H276" s="571"/>
    </row>
    <row r="277" spans="1:8" x14ac:dyDescent="0.2">
      <c r="A277" s="560" t="s">
        <v>1916</v>
      </c>
      <c r="B277" s="571" t="s">
        <v>1443</v>
      </c>
      <c r="C277" s="571">
        <v>0</v>
      </c>
      <c r="D277" s="571"/>
      <c r="E277" s="561" t="s">
        <v>1917</v>
      </c>
      <c r="F277" s="572"/>
      <c r="G277" s="571"/>
      <c r="H277" s="571"/>
    </row>
    <row r="278" spans="1:8" x14ac:dyDescent="0.2">
      <c r="A278" s="560" t="s">
        <v>1918</v>
      </c>
      <c r="B278" s="571" t="s">
        <v>1443</v>
      </c>
      <c r="C278" s="571">
        <v>15</v>
      </c>
      <c r="D278" s="571" t="s">
        <v>1449</v>
      </c>
      <c r="E278" s="561" t="s">
        <v>1919</v>
      </c>
      <c r="F278" s="572"/>
      <c r="G278" s="571"/>
      <c r="H278" s="571"/>
    </row>
    <row r="279" spans="1:8" x14ac:dyDescent="0.2">
      <c r="A279" s="560" t="s">
        <v>1920</v>
      </c>
      <c r="B279" s="571"/>
      <c r="C279" s="571">
        <v>0</v>
      </c>
      <c r="D279" s="571" t="s">
        <v>1481</v>
      </c>
      <c r="E279" s="561" t="s">
        <v>1921</v>
      </c>
      <c r="F279" s="572"/>
      <c r="G279" s="571"/>
      <c r="H279" s="571">
        <v>1</v>
      </c>
    </row>
    <row r="280" spans="1:8" x14ac:dyDescent="0.2">
      <c r="A280" s="560" t="s">
        <v>1922</v>
      </c>
      <c r="B280" s="571" t="s">
        <v>1443</v>
      </c>
      <c r="C280" s="571">
        <v>5</v>
      </c>
      <c r="D280" s="571" t="s">
        <v>1464</v>
      </c>
      <c r="E280" s="561" t="s">
        <v>1923</v>
      </c>
      <c r="F280" s="572"/>
      <c r="G280" s="571"/>
      <c r="H280" s="571"/>
    </row>
    <row r="281" spans="1:8" x14ac:dyDescent="0.2">
      <c r="A281" s="560" t="s">
        <v>1924</v>
      </c>
      <c r="B281" s="571"/>
      <c r="C281" s="571">
        <v>0</v>
      </c>
      <c r="D281" s="571" t="s">
        <v>1452</v>
      </c>
      <c r="E281" s="561" t="s">
        <v>1925</v>
      </c>
      <c r="F281" s="572"/>
      <c r="G281" s="571"/>
      <c r="H281" s="571"/>
    </row>
    <row r="282" spans="1:8" x14ac:dyDescent="0.2">
      <c r="A282" s="560" t="s">
        <v>1926</v>
      </c>
      <c r="B282" s="571" t="s">
        <v>1443</v>
      </c>
      <c r="C282" s="571">
        <v>0</v>
      </c>
      <c r="D282" s="571" t="s">
        <v>1444</v>
      </c>
      <c r="E282" s="561" t="s">
        <v>1927</v>
      </c>
      <c r="F282" s="572"/>
      <c r="G282" s="571"/>
      <c r="H282" s="571"/>
    </row>
    <row r="283" spans="1:8" x14ac:dyDescent="0.2">
      <c r="A283" s="560" t="s">
        <v>1928</v>
      </c>
      <c r="B283" s="571" t="s">
        <v>1443</v>
      </c>
      <c r="C283" s="571">
        <v>1</v>
      </c>
      <c r="D283" s="571" t="s">
        <v>1449</v>
      </c>
      <c r="E283" s="561" t="s">
        <v>1929</v>
      </c>
      <c r="F283" s="572"/>
      <c r="G283" s="571"/>
      <c r="H283" s="571">
        <v>1</v>
      </c>
    </row>
    <row r="284" spans="1:8" x14ac:dyDescent="0.2">
      <c r="A284" s="560" t="s">
        <v>1930</v>
      </c>
      <c r="B284" s="571" t="s">
        <v>1443</v>
      </c>
      <c r="C284" s="571">
        <v>11</v>
      </c>
      <c r="D284" s="571" t="s">
        <v>1464</v>
      </c>
      <c r="E284" s="561" t="s">
        <v>1931</v>
      </c>
      <c r="F284" s="572"/>
      <c r="G284" s="571"/>
      <c r="H284" s="571"/>
    </row>
    <row r="285" spans="1:8" x14ac:dyDescent="0.2">
      <c r="A285" s="560" t="s">
        <v>1932</v>
      </c>
      <c r="B285" s="571"/>
      <c r="C285" s="571">
        <v>0</v>
      </c>
      <c r="D285" s="571" t="s">
        <v>1481</v>
      </c>
      <c r="E285" s="561" t="s">
        <v>1933</v>
      </c>
      <c r="F285" s="572"/>
      <c r="G285" s="571"/>
      <c r="H285" s="571">
        <v>1</v>
      </c>
    </row>
    <row r="286" spans="1:8" x14ac:dyDescent="0.2">
      <c r="A286" s="560" t="s">
        <v>1934</v>
      </c>
      <c r="B286" s="571" t="s">
        <v>1443</v>
      </c>
      <c r="C286" s="571">
        <v>1</v>
      </c>
      <c r="D286" s="571" t="s">
        <v>1449</v>
      </c>
      <c r="E286" s="561" t="s">
        <v>1935</v>
      </c>
      <c r="F286" s="572"/>
      <c r="G286" s="571"/>
      <c r="H286" s="571"/>
    </row>
    <row r="287" spans="1:8" x14ac:dyDescent="0.2">
      <c r="A287" s="560" t="s">
        <v>1936</v>
      </c>
      <c r="B287" s="571" t="s">
        <v>1443</v>
      </c>
      <c r="C287" s="571">
        <v>0</v>
      </c>
      <c r="D287" s="571" t="s">
        <v>1452</v>
      </c>
      <c r="E287" s="561" t="s">
        <v>1937</v>
      </c>
      <c r="F287" s="572"/>
      <c r="G287" s="571"/>
      <c r="H287" s="571">
        <v>1</v>
      </c>
    </row>
    <row r="288" spans="1:8" x14ac:dyDescent="0.2">
      <c r="A288" s="560" t="s">
        <v>1938</v>
      </c>
      <c r="B288" s="571" t="s">
        <v>1443</v>
      </c>
      <c r="C288" s="571">
        <v>1</v>
      </c>
      <c r="D288" s="571" t="s">
        <v>1481</v>
      </c>
      <c r="E288" s="561"/>
      <c r="F288" s="572"/>
      <c r="G288" s="571"/>
      <c r="H288" s="571"/>
    </row>
    <row r="289" spans="1:8" x14ac:dyDescent="0.2">
      <c r="A289" s="560" t="s">
        <v>1939</v>
      </c>
      <c r="B289" s="571"/>
      <c r="C289" s="571">
        <v>0</v>
      </c>
      <c r="D289" s="571" t="s">
        <v>1464</v>
      </c>
      <c r="E289" s="561" t="s">
        <v>1940</v>
      </c>
      <c r="F289" s="572"/>
      <c r="G289" s="571"/>
      <c r="H289" s="571"/>
    </row>
    <row r="290" spans="1:8" x14ac:dyDescent="0.2">
      <c r="A290" s="560" t="s">
        <v>1941</v>
      </c>
      <c r="B290" s="571"/>
      <c r="C290" s="571">
        <v>0</v>
      </c>
      <c r="D290" s="571" t="s">
        <v>1464</v>
      </c>
      <c r="E290" s="561" t="s">
        <v>1942</v>
      </c>
      <c r="F290" s="572"/>
      <c r="G290" s="571"/>
      <c r="H290" s="571"/>
    </row>
    <row r="291" spans="1:8" x14ac:dyDescent="0.2">
      <c r="A291" s="560" t="s">
        <v>1943</v>
      </c>
      <c r="B291" s="571" t="s">
        <v>1443</v>
      </c>
      <c r="C291" s="571">
        <v>3</v>
      </c>
      <c r="D291" s="571" t="s">
        <v>1464</v>
      </c>
      <c r="E291" s="561" t="s">
        <v>1944</v>
      </c>
      <c r="F291" s="572"/>
      <c r="G291" s="571"/>
      <c r="H291" s="571"/>
    </row>
    <row r="292" spans="1:8" x14ac:dyDescent="0.2">
      <c r="A292" s="560" t="s">
        <v>1945</v>
      </c>
      <c r="B292" s="571"/>
      <c r="C292" s="571">
        <v>0</v>
      </c>
      <c r="D292" s="571" t="s">
        <v>1464</v>
      </c>
      <c r="E292" s="561" t="s">
        <v>1946</v>
      </c>
      <c r="F292" s="572"/>
      <c r="G292" s="571"/>
      <c r="H292" s="571"/>
    </row>
    <row r="293" spans="1:8" x14ac:dyDescent="0.2">
      <c r="A293" s="560" t="s">
        <v>1947</v>
      </c>
      <c r="B293" s="571" t="s">
        <v>1443</v>
      </c>
      <c r="C293" s="571">
        <v>0</v>
      </c>
      <c r="D293" s="571" t="s">
        <v>1452</v>
      </c>
      <c r="E293" s="561" t="s">
        <v>1948</v>
      </c>
      <c r="F293" s="572"/>
      <c r="G293" s="571"/>
      <c r="H293" s="571"/>
    </row>
    <row r="294" spans="1:8" x14ac:dyDescent="0.2">
      <c r="A294" s="560" t="s">
        <v>1949</v>
      </c>
      <c r="B294" s="571"/>
      <c r="C294" s="571">
        <v>0</v>
      </c>
      <c r="D294" s="571" t="s">
        <v>1464</v>
      </c>
      <c r="E294" s="561" t="s">
        <v>1950</v>
      </c>
      <c r="F294" s="572"/>
      <c r="G294" s="571"/>
      <c r="H294" s="571">
        <v>1</v>
      </c>
    </row>
    <row r="295" spans="1:8" x14ac:dyDescent="0.2">
      <c r="A295" s="560" t="s">
        <v>1951</v>
      </c>
      <c r="B295" s="571" t="s">
        <v>1443</v>
      </c>
      <c r="C295" s="571">
        <v>9</v>
      </c>
      <c r="D295" s="571" t="s">
        <v>1481</v>
      </c>
      <c r="E295" s="561" t="s">
        <v>1952</v>
      </c>
      <c r="F295" s="572"/>
      <c r="G295" s="571"/>
      <c r="H295" s="571"/>
    </row>
    <row r="296" spans="1:8" x14ac:dyDescent="0.2">
      <c r="A296" s="560" t="s">
        <v>1953</v>
      </c>
      <c r="B296" s="571" t="s">
        <v>1443</v>
      </c>
      <c r="C296" s="571">
        <v>10</v>
      </c>
      <c r="D296" s="571" t="s">
        <v>1452</v>
      </c>
      <c r="E296" s="561" t="s">
        <v>1954</v>
      </c>
      <c r="F296" s="572"/>
      <c r="G296" s="571"/>
      <c r="H296" s="571"/>
    </row>
    <row r="297" spans="1:8" x14ac:dyDescent="0.2">
      <c r="A297" s="560" t="s">
        <v>1955</v>
      </c>
      <c r="B297" s="571"/>
      <c r="C297" s="571">
        <v>0</v>
      </c>
      <c r="D297" s="571" t="s">
        <v>1452</v>
      </c>
      <c r="E297" s="561" t="s">
        <v>1956</v>
      </c>
      <c r="F297" s="572"/>
      <c r="G297" s="571"/>
      <c r="H297" s="571"/>
    </row>
    <row r="298" spans="1:8" x14ac:dyDescent="0.2">
      <c r="A298" s="560" t="s">
        <v>1957</v>
      </c>
      <c r="B298" s="571" t="s">
        <v>1443</v>
      </c>
      <c r="C298" s="571">
        <v>0</v>
      </c>
      <c r="D298" s="571" t="s">
        <v>1481</v>
      </c>
      <c r="E298" s="561" t="s">
        <v>1958</v>
      </c>
      <c r="F298" s="572"/>
      <c r="G298" s="571"/>
      <c r="H298" s="571"/>
    </row>
    <row r="299" spans="1:8" x14ac:dyDescent="0.2">
      <c r="A299" s="560" t="s">
        <v>1959</v>
      </c>
      <c r="B299" s="571"/>
      <c r="C299" s="571">
        <v>0</v>
      </c>
      <c r="D299" s="571" t="s">
        <v>1449</v>
      </c>
      <c r="E299" s="561" t="s">
        <v>1960</v>
      </c>
      <c r="F299" s="572"/>
      <c r="G299" s="571"/>
      <c r="H299" s="571">
        <v>1</v>
      </c>
    </row>
    <row r="300" spans="1:8" x14ac:dyDescent="0.2">
      <c r="A300" s="560" t="s">
        <v>1961</v>
      </c>
      <c r="B300" s="571" t="s">
        <v>1443</v>
      </c>
      <c r="C300" s="571">
        <v>4</v>
      </c>
      <c r="D300" s="571" t="s">
        <v>1464</v>
      </c>
      <c r="E300" s="561" t="s">
        <v>1962</v>
      </c>
      <c r="F300" s="572"/>
      <c r="G300" s="571"/>
      <c r="H300" s="571">
        <v>1</v>
      </c>
    </row>
    <row r="301" spans="1:8" x14ac:dyDescent="0.2">
      <c r="A301" s="560" t="s">
        <v>1963</v>
      </c>
      <c r="B301" s="571" t="s">
        <v>1443</v>
      </c>
      <c r="C301" s="571">
        <v>8</v>
      </c>
      <c r="D301" s="571" t="s">
        <v>1481</v>
      </c>
      <c r="E301" s="561" t="s">
        <v>1964</v>
      </c>
      <c r="F301" s="572"/>
      <c r="G301" s="571"/>
      <c r="H301" s="571"/>
    </row>
    <row r="302" spans="1:8" x14ac:dyDescent="0.2">
      <c r="A302" s="560" t="s">
        <v>1965</v>
      </c>
      <c r="B302" s="571"/>
      <c r="C302" s="571">
        <v>0</v>
      </c>
      <c r="D302" s="571" t="s">
        <v>1464</v>
      </c>
      <c r="E302" s="561" t="s">
        <v>1966</v>
      </c>
      <c r="F302" s="572"/>
      <c r="G302" s="571"/>
      <c r="H302" s="571"/>
    </row>
    <row r="303" spans="1:8" x14ac:dyDescent="0.2">
      <c r="A303" s="560" t="s">
        <v>1967</v>
      </c>
      <c r="B303" s="571"/>
      <c r="C303" s="571">
        <v>0</v>
      </c>
      <c r="D303" s="571" t="s">
        <v>1481</v>
      </c>
      <c r="E303" s="561" t="s">
        <v>1968</v>
      </c>
      <c r="F303" s="572"/>
      <c r="G303" s="571"/>
      <c r="H303" s="571">
        <v>1</v>
      </c>
    </row>
    <row r="304" spans="1:8" x14ac:dyDescent="0.2">
      <c r="A304" s="560" t="s">
        <v>1969</v>
      </c>
      <c r="B304" s="571" t="s">
        <v>1443</v>
      </c>
      <c r="C304" s="571">
        <v>0</v>
      </c>
      <c r="D304" s="571" t="s">
        <v>1464</v>
      </c>
      <c r="E304" s="561" t="s">
        <v>1970</v>
      </c>
      <c r="F304" s="572"/>
      <c r="G304" s="571"/>
      <c r="H304" s="571"/>
    </row>
    <row r="305" spans="1:8" x14ac:dyDescent="0.2">
      <c r="A305" s="560" t="s">
        <v>1971</v>
      </c>
      <c r="B305" s="571"/>
      <c r="C305" s="571">
        <v>0</v>
      </c>
      <c r="D305" s="571" t="s">
        <v>1481</v>
      </c>
      <c r="E305" s="561" t="s">
        <v>1972</v>
      </c>
      <c r="F305" s="572"/>
      <c r="G305" s="571"/>
      <c r="H305" s="571"/>
    </row>
    <row r="306" spans="1:8" x14ac:dyDescent="0.2">
      <c r="A306" s="560" t="s">
        <v>1973</v>
      </c>
      <c r="B306" s="571" t="s">
        <v>1443</v>
      </c>
      <c r="C306" s="571">
        <v>9</v>
      </c>
      <c r="D306" s="571" t="s">
        <v>1464</v>
      </c>
      <c r="E306" s="561" t="s">
        <v>1974</v>
      </c>
      <c r="F306" s="572"/>
      <c r="G306" s="571"/>
      <c r="H306" s="571"/>
    </row>
    <row r="307" spans="1:8" x14ac:dyDescent="0.2">
      <c r="A307" s="560" t="s">
        <v>1975</v>
      </c>
      <c r="B307" s="571" t="s">
        <v>1443</v>
      </c>
      <c r="C307" s="571">
        <v>0</v>
      </c>
      <c r="D307" s="571" t="s">
        <v>1464</v>
      </c>
      <c r="E307" s="561" t="s">
        <v>1976</v>
      </c>
      <c r="F307" s="572"/>
      <c r="G307" s="571"/>
      <c r="H307" s="571"/>
    </row>
    <row r="308" spans="1:8" x14ac:dyDescent="0.2">
      <c r="A308" s="560" t="s">
        <v>1977</v>
      </c>
      <c r="B308" s="571" t="s">
        <v>1443</v>
      </c>
      <c r="C308" s="571">
        <v>3</v>
      </c>
      <c r="D308" s="571" t="s">
        <v>1464</v>
      </c>
      <c r="E308" s="561" t="s">
        <v>1978</v>
      </c>
      <c r="F308" s="572"/>
      <c r="G308" s="571"/>
      <c r="H308" s="571"/>
    </row>
    <row r="309" spans="1:8" x14ac:dyDescent="0.2">
      <c r="A309" s="560" t="s">
        <v>1979</v>
      </c>
      <c r="B309" s="571"/>
      <c r="C309" s="571">
        <v>0</v>
      </c>
      <c r="D309" s="571" t="s">
        <v>1449</v>
      </c>
      <c r="E309" s="561" t="s">
        <v>1980</v>
      </c>
      <c r="F309" s="572"/>
      <c r="G309" s="571"/>
      <c r="H309" s="571"/>
    </row>
    <row r="310" spans="1:8" x14ac:dyDescent="0.2">
      <c r="A310" s="560" t="s">
        <v>1981</v>
      </c>
      <c r="B310" s="571"/>
      <c r="C310" s="571">
        <v>0</v>
      </c>
      <c r="D310" s="571" t="s">
        <v>1464</v>
      </c>
      <c r="E310" s="561"/>
      <c r="F310" s="572"/>
      <c r="G310" s="571"/>
      <c r="H310" s="571"/>
    </row>
    <row r="311" spans="1:8" x14ac:dyDescent="0.2">
      <c r="A311" s="560" t="s">
        <v>1982</v>
      </c>
      <c r="B311" s="571" t="s">
        <v>1443</v>
      </c>
      <c r="C311" s="571">
        <v>18</v>
      </c>
      <c r="D311" s="571" t="s">
        <v>1444</v>
      </c>
      <c r="E311" s="561" t="s">
        <v>1983</v>
      </c>
      <c r="F311" s="572"/>
      <c r="G311" s="571"/>
      <c r="H311" s="571"/>
    </row>
    <row r="312" spans="1:8" x14ac:dyDescent="0.2">
      <c r="A312" s="560" t="s">
        <v>1984</v>
      </c>
      <c r="B312" s="571" t="s">
        <v>1443</v>
      </c>
      <c r="C312" s="571">
        <v>3</v>
      </c>
      <c r="D312" s="571" t="s">
        <v>1452</v>
      </c>
      <c r="E312" s="561" t="s">
        <v>1985</v>
      </c>
      <c r="F312" s="572"/>
      <c r="G312" s="571"/>
      <c r="H312" s="571"/>
    </row>
    <row r="313" spans="1:8" x14ac:dyDescent="0.2">
      <c r="A313" s="560" t="s">
        <v>1986</v>
      </c>
      <c r="B313" s="571"/>
      <c r="C313" s="571">
        <v>0</v>
      </c>
      <c r="D313" s="571" t="s">
        <v>1449</v>
      </c>
      <c r="E313" s="561" t="s">
        <v>1987</v>
      </c>
      <c r="F313" s="572"/>
      <c r="G313" s="571"/>
      <c r="H313" s="571"/>
    </row>
    <row r="314" spans="1:8" x14ac:dyDescent="0.2">
      <c r="A314" s="560" t="s">
        <v>1988</v>
      </c>
      <c r="B314" s="571" t="s">
        <v>1443</v>
      </c>
      <c r="C314" s="571">
        <v>26</v>
      </c>
      <c r="D314" s="571" t="s">
        <v>1449</v>
      </c>
      <c r="E314" s="561" t="s">
        <v>1989</v>
      </c>
      <c r="F314" s="572"/>
      <c r="G314" s="571"/>
      <c r="H314" s="571"/>
    </row>
    <row r="315" spans="1:8" x14ac:dyDescent="0.2">
      <c r="A315" s="560" t="s">
        <v>1990</v>
      </c>
      <c r="B315" s="571"/>
      <c r="C315" s="571">
        <v>0</v>
      </c>
      <c r="D315" s="571" t="s">
        <v>1464</v>
      </c>
      <c r="E315" s="561" t="s">
        <v>1991</v>
      </c>
      <c r="F315" s="572"/>
      <c r="G315" s="571"/>
      <c r="H315" s="571">
        <v>1</v>
      </c>
    </row>
    <row r="316" spans="1:8" x14ac:dyDescent="0.2">
      <c r="A316" s="560" t="s">
        <v>1992</v>
      </c>
      <c r="B316" s="571" t="s">
        <v>1443</v>
      </c>
      <c r="C316" s="571">
        <v>24</v>
      </c>
      <c r="D316" s="571" t="s">
        <v>1452</v>
      </c>
      <c r="E316" s="561" t="s">
        <v>1993</v>
      </c>
      <c r="F316" s="572"/>
      <c r="G316" s="571"/>
      <c r="H316" s="571"/>
    </row>
    <row r="317" spans="1:8" x14ac:dyDescent="0.2">
      <c r="A317" s="560" t="s">
        <v>1994</v>
      </c>
      <c r="B317" s="571" t="s">
        <v>1443</v>
      </c>
      <c r="C317" s="571">
        <v>14</v>
      </c>
      <c r="D317" s="571" t="s">
        <v>1481</v>
      </c>
      <c r="E317" s="561" t="s">
        <v>1995</v>
      </c>
      <c r="F317" s="572"/>
      <c r="G317" s="571"/>
      <c r="H317" s="571">
        <v>1</v>
      </c>
    </row>
    <row r="318" spans="1:8" x14ac:dyDescent="0.2">
      <c r="A318" s="560" t="s">
        <v>1996</v>
      </c>
      <c r="B318" s="571" t="s">
        <v>1443</v>
      </c>
      <c r="C318" s="571">
        <v>0</v>
      </c>
      <c r="D318" s="571" t="s">
        <v>1449</v>
      </c>
      <c r="E318" s="561" t="s">
        <v>1997</v>
      </c>
      <c r="F318" s="572"/>
      <c r="G318" s="571"/>
      <c r="H318" s="571"/>
    </row>
    <row r="319" spans="1:8" x14ac:dyDescent="0.2">
      <c r="A319" s="560" t="s">
        <v>1998</v>
      </c>
      <c r="B319" s="571" t="s">
        <v>1443</v>
      </c>
      <c r="C319" s="571">
        <v>0</v>
      </c>
      <c r="D319" s="571" t="s">
        <v>1449</v>
      </c>
      <c r="E319" s="561" t="s">
        <v>1999</v>
      </c>
      <c r="F319" s="572"/>
      <c r="G319" s="571"/>
      <c r="H319" s="571"/>
    </row>
    <row r="320" spans="1:8" x14ac:dyDescent="0.2">
      <c r="A320" s="560" t="s">
        <v>2000</v>
      </c>
      <c r="B320" s="571" t="s">
        <v>1443</v>
      </c>
      <c r="C320" s="571">
        <v>33</v>
      </c>
      <c r="D320" s="571" t="s">
        <v>1449</v>
      </c>
      <c r="E320" s="561" t="s">
        <v>2001</v>
      </c>
      <c r="F320" s="572"/>
      <c r="G320" s="571"/>
      <c r="H320" s="571"/>
    </row>
    <row r="321" spans="1:8" x14ac:dyDescent="0.2">
      <c r="A321" s="560" t="s">
        <v>2002</v>
      </c>
      <c r="B321" s="571"/>
      <c r="C321" s="571">
        <v>0</v>
      </c>
      <c r="D321" s="571" t="s">
        <v>1464</v>
      </c>
      <c r="E321" s="561" t="s">
        <v>2003</v>
      </c>
      <c r="F321" s="572"/>
      <c r="G321" s="571"/>
      <c r="H321" s="571">
        <v>1</v>
      </c>
    </row>
    <row r="322" spans="1:8" x14ac:dyDescent="0.2">
      <c r="A322" s="560" t="s">
        <v>2004</v>
      </c>
      <c r="B322" s="571" t="s">
        <v>1443</v>
      </c>
      <c r="C322" s="571">
        <v>5</v>
      </c>
      <c r="D322" s="571" t="s">
        <v>1449</v>
      </c>
      <c r="E322" s="561" t="s">
        <v>2005</v>
      </c>
      <c r="F322" s="572"/>
      <c r="G322" s="571"/>
      <c r="H322" s="571"/>
    </row>
    <row r="323" spans="1:8" x14ac:dyDescent="0.2">
      <c r="A323" s="560" t="s">
        <v>2006</v>
      </c>
      <c r="B323" s="571" t="s">
        <v>1443</v>
      </c>
      <c r="C323" s="571">
        <v>9</v>
      </c>
      <c r="D323" s="571" t="s">
        <v>1449</v>
      </c>
      <c r="E323" s="561" t="s">
        <v>2007</v>
      </c>
      <c r="F323" s="572"/>
      <c r="G323" s="571"/>
      <c r="H323" s="571"/>
    </row>
    <row r="324" spans="1:8" x14ac:dyDescent="0.2">
      <c r="A324" s="560" t="s">
        <v>2008</v>
      </c>
      <c r="B324" s="571" t="s">
        <v>1443</v>
      </c>
      <c r="C324" s="571">
        <v>1</v>
      </c>
      <c r="D324" s="571" t="s">
        <v>1481</v>
      </c>
      <c r="E324" s="561" t="s">
        <v>2009</v>
      </c>
      <c r="F324" s="572"/>
      <c r="G324" s="571"/>
      <c r="H324" s="571"/>
    </row>
    <row r="325" spans="1:8" x14ac:dyDescent="0.2">
      <c r="A325" s="560" t="s">
        <v>1184</v>
      </c>
      <c r="B325" s="571" t="s">
        <v>1443</v>
      </c>
      <c r="C325" s="571">
        <v>7</v>
      </c>
      <c r="D325" s="571" t="s">
        <v>1452</v>
      </c>
      <c r="E325" s="561" t="s">
        <v>1185</v>
      </c>
      <c r="F325" s="572" t="s">
        <v>1456</v>
      </c>
      <c r="G325" s="571" t="s">
        <v>1456</v>
      </c>
      <c r="H325" s="571"/>
    </row>
    <row r="326" spans="1:8" x14ac:dyDescent="0.2">
      <c r="A326" s="560" t="s">
        <v>1186</v>
      </c>
      <c r="B326" s="571" t="s">
        <v>1443</v>
      </c>
      <c r="C326" s="571">
        <v>1</v>
      </c>
      <c r="D326" s="571" t="s">
        <v>1444</v>
      </c>
      <c r="E326" s="561" t="s">
        <v>1187</v>
      </c>
      <c r="F326" s="572" t="s">
        <v>1456</v>
      </c>
      <c r="G326" s="571"/>
      <c r="H326" s="571"/>
    </row>
    <row r="327" spans="1:8" x14ac:dyDescent="0.2">
      <c r="A327" s="560" t="s">
        <v>2010</v>
      </c>
      <c r="B327" s="571"/>
      <c r="C327" s="571">
        <v>0</v>
      </c>
      <c r="D327" s="571" t="s">
        <v>1481</v>
      </c>
      <c r="E327" s="561" t="s">
        <v>2011</v>
      </c>
      <c r="F327" s="572"/>
      <c r="G327" s="571"/>
      <c r="H327" s="571"/>
    </row>
    <row r="328" spans="1:8" x14ac:dyDescent="0.2">
      <c r="A328" s="560" t="s">
        <v>2012</v>
      </c>
      <c r="B328" s="571"/>
      <c r="C328" s="571">
        <v>0</v>
      </c>
      <c r="D328" s="571" t="s">
        <v>1464</v>
      </c>
      <c r="E328" s="561" t="s">
        <v>2013</v>
      </c>
      <c r="F328" s="572"/>
      <c r="G328" s="571"/>
      <c r="H328" s="571"/>
    </row>
    <row r="329" spans="1:8" x14ac:dyDescent="0.2">
      <c r="A329" s="560" t="s">
        <v>2014</v>
      </c>
      <c r="B329" s="571" t="s">
        <v>1443</v>
      </c>
      <c r="C329" s="571">
        <v>8</v>
      </c>
      <c r="D329" s="571"/>
      <c r="E329" s="561" t="s">
        <v>2015</v>
      </c>
      <c r="F329" s="572"/>
      <c r="G329" s="571"/>
      <c r="H329" s="571"/>
    </row>
    <row r="330" spans="1:8" x14ac:dyDescent="0.2">
      <c r="A330" s="560" t="s">
        <v>2016</v>
      </c>
      <c r="B330" s="571"/>
      <c r="C330" s="571">
        <v>0</v>
      </c>
      <c r="D330" s="571" t="s">
        <v>1481</v>
      </c>
      <c r="E330" s="561" t="s">
        <v>2017</v>
      </c>
      <c r="F330" s="572"/>
      <c r="G330" s="571"/>
      <c r="H330" s="571"/>
    </row>
    <row r="331" spans="1:8" x14ac:dyDescent="0.2">
      <c r="A331" s="560" t="s">
        <v>2018</v>
      </c>
      <c r="B331" s="571" t="s">
        <v>1443</v>
      </c>
      <c r="C331" s="571">
        <v>0</v>
      </c>
      <c r="D331" s="571" t="s">
        <v>1452</v>
      </c>
      <c r="E331" s="561" t="s">
        <v>2019</v>
      </c>
      <c r="F331" s="572"/>
      <c r="G331" s="571"/>
      <c r="H331" s="571"/>
    </row>
    <row r="332" spans="1:8" x14ac:dyDescent="0.2">
      <c r="A332" s="560" t="s">
        <v>2020</v>
      </c>
      <c r="B332" s="571" t="s">
        <v>1443</v>
      </c>
      <c r="C332" s="571">
        <v>6</v>
      </c>
      <c r="D332" s="571" t="s">
        <v>1449</v>
      </c>
      <c r="E332" s="561" t="s">
        <v>2021</v>
      </c>
      <c r="F332" s="572"/>
      <c r="G332" s="571"/>
      <c r="H332" s="571"/>
    </row>
    <row r="333" spans="1:8" x14ac:dyDescent="0.2">
      <c r="A333" s="560" t="s">
        <v>1188</v>
      </c>
      <c r="B333" s="571" t="s">
        <v>1443</v>
      </c>
      <c r="C333" s="571">
        <v>1</v>
      </c>
      <c r="D333" s="571" t="s">
        <v>1452</v>
      </c>
      <c r="E333" s="561" t="s">
        <v>1189</v>
      </c>
      <c r="F333" s="572" t="s">
        <v>1456</v>
      </c>
      <c r="G333" s="571"/>
      <c r="H333" s="571"/>
    </row>
    <row r="334" spans="1:8" x14ac:dyDescent="0.2">
      <c r="A334" s="560" t="s">
        <v>1190</v>
      </c>
      <c r="B334" s="571"/>
      <c r="C334" s="571">
        <v>0</v>
      </c>
      <c r="D334" s="571" t="s">
        <v>1449</v>
      </c>
      <c r="E334" s="561" t="s">
        <v>1191</v>
      </c>
      <c r="F334" s="572" t="s">
        <v>1456</v>
      </c>
      <c r="G334" s="571"/>
      <c r="H334" s="571"/>
    </row>
    <row r="335" spans="1:8" x14ac:dyDescent="0.2">
      <c r="A335" s="560" t="s">
        <v>1192</v>
      </c>
      <c r="B335" s="571" t="s">
        <v>1443</v>
      </c>
      <c r="C335" s="571">
        <v>0</v>
      </c>
      <c r="D335" s="571" t="s">
        <v>1452</v>
      </c>
      <c r="E335" s="561" t="s">
        <v>1193</v>
      </c>
      <c r="F335" s="572" t="s">
        <v>1456</v>
      </c>
      <c r="G335" s="571"/>
      <c r="H335" s="571"/>
    </row>
    <row r="336" spans="1:8" x14ac:dyDescent="0.2">
      <c r="A336" s="560" t="s">
        <v>1194</v>
      </c>
      <c r="B336" s="571"/>
      <c r="C336" s="571">
        <v>0</v>
      </c>
      <c r="D336" s="571" t="s">
        <v>1464</v>
      </c>
      <c r="E336" s="561" t="s">
        <v>1195</v>
      </c>
      <c r="F336" s="572" t="s">
        <v>1456</v>
      </c>
      <c r="G336" s="571"/>
      <c r="H336" s="571"/>
    </row>
    <row r="337" spans="1:8" x14ac:dyDescent="0.2">
      <c r="A337" s="560" t="s">
        <v>2022</v>
      </c>
      <c r="B337" s="571" t="s">
        <v>1443</v>
      </c>
      <c r="C337" s="571">
        <v>0</v>
      </c>
      <c r="D337" s="571" t="s">
        <v>1464</v>
      </c>
      <c r="E337" s="561" t="s">
        <v>2023</v>
      </c>
      <c r="F337" s="572"/>
      <c r="G337" s="571"/>
      <c r="H337" s="571"/>
    </row>
    <row r="338" spans="1:8" x14ac:dyDescent="0.2">
      <c r="A338" s="560" t="s">
        <v>2024</v>
      </c>
      <c r="B338" s="571"/>
      <c r="C338" s="571">
        <v>0</v>
      </c>
      <c r="D338" s="571" t="s">
        <v>1449</v>
      </c>
      <c r="E338" s="561" t="s">
        <v>2025</v>
      </c>
      <c r="F338" s="572"/>
      <c r="G338" s="571"/>
      <c r="H338" s="571"/>
    </row>
    <row r="339" spans="1:8" x14ac:dyDescent="0.2">
      <c r="A339" s="560" t="s">
        <v>2026</v>
      </c>
      <c r="B339" s="571"/>
      <c r="C339" s="571">
        <v>0</v>
      </c>
      <c r="D339" s="571" t="s">
        <v>1464</v>
      </c>
      <c r="E339" s="561" t="s">
        <v>2027</v>
      </c>
      <c r="F339" s="572"/>
      <c r="G339" s="571"/>
      <c r="H339" s="571">
        <v>1</v>
      </c>
    </row>
    <row r="340" spans="1:8" x14ac:dyDescent="0.2">
      <c r="A340" s="560" t="s">
        <v>2028</v>
      </c>
      <c r="B340" s="571" t="s">
        <v>1443</v>
      </c>
      <c r="C340" s="571">
        <v>6</v>
      </c>
      <c r="D340" s="571" t="s">
        <v>1464</v>
      </c>
      <c r="E340" s="561" t="s">
        <v>2029</v>
      </c>
      <c r="F340" s="572"/>
      <c r="G340" s="571"/>
      <c r="H340" s="571"/>
    </row>
    <row r="341" spans="1:8" x14ac:dyDescent="0.2">
      <c r="A341" s="560" t="s">
        <v>2030</v>
      </c>
      <c r="B341" s="571"/>
      <c r="C341" s="571">
        <v>0</v>
      </c>
      <c r="D341" s="571" t="s">
        <v>1464</v>
      </c>
      <c r="E341" s="561" t="s">
        <v>2031</v>
      </c>
      <c r="F341" s="572"/>
      <c r="G341" s="571"/>
      <c r="H341" s="571"/>
    </row>
    <row r="342" spans="1:8" x14ac:dyDescent="0.2">
      <c r="A342" s="560" t="s">
        <v>2032</v>
      </c>
      <c r="B342" s="571"/>
      <c r="C342" s="571">
        <v>0</v>
      </c>
      <c r="D342" s="571" t="s">
        <v>1464</v>
      </c>
      <c r="E342" s="561" t="s">
        <v>2033</v>
      </c>
      <c r="F342" s="572"/>
      <c r="G342" s="571"/>
      <c r="H342" s="571"/>
    </row>
    <row r="343" spans="1:8" x14ac:dyDescent="0.2">
      <c r="A343" s="560" t="s">
        <v>2034</v>
      </c>
      <c r="B343" s="571" t="s">
        <v>1443</v>
      </c>
      <c r="C343" s="571">
        <v>1</v>
      </c>
      <c r="D343" s="571" t="s">
        <v>1464</v>
      </c>
      <c r="E343" s="561" t="s">
        <v>2035</v>
      </c>
      <c r="F343" s="572"/>
      <c r="G343" s="571"/>
      <c r="H343" s="571"/>
    </row>
    <row r="344" spans="1:8" x14ac:dyDescent="0.2">
      <c r="A344" s="560" t="s">
        <v>2036</v>
      </c>
      <c r="B344" s="571" t="s">
        <v>1443</v>
      </c>
      <c r="C344" s="571">
        <v>7</v>
      </c>
      <c r="D344" s="571" t="s">
        <v>1481</v>
      </c>
      <c r="E344" s="561" t="s">
        <v>2037</v>
      </c>
      <c r="F344" s="572"/>
      <c r="G344" s="571"/>
      <c r="H344" s="571"/>
    </row>
    <row r="345" spans="1:8" x14ac:dyDescent="0.2">
      <c r="A345" s="560" t="s">
        <v>1196</v>
      </c>
      <c r="B345" s="571" t="s">
        <v>1443</v>
      </c>
      <c r="C345" s="571">
        <v>5</v>
      </c>
      <c r="D345" s="571" t="s">
        <v>1449</v>
      </c>
      <c r="E345" s="561" t="s">
        <v>1197</v>
      </c>
      <c r="F345" s="572" t="s">
        <v>1456</v>
      </c>
      <c r="G345" s="571" t="s">
        <v>1456</v>
      </c>
      <c r="H345" s="571"/>
    </row>
    <row r="346" spans="1:8" x14ac:dyDescent="0.2">
      <c r="A346" s="560" t="s">
        <v>2038</v>
      </c>
      <c r="B346" s="571" t="s">
        <v>1443</v>
      </c>
      <c r="C346" s="571">
        <v>0</v>
      </c>
      <c r="D346" s="571" t="s">
        <v>1449</v>
      </c>
      <c r="E346" s="561" t="s">
        <v>2039</v>
      </c>
      <c r="F346" s="572"/>
      <c r="G346" s="571"/>
      <c r="H346" s="571">
        <v>1</v>
      </c>
    </row>
    <row r="347" spans="1:8" x14ac:dyDescent="0.2">
      <c r="A347" s="560" t="s">
        <v>2040</v>
      </c>
      <c r="B347" s="571" t="s">
        <v>1443</v>
      </c>
      <c r="C347" s="571">
        <v>0</v>
      </c>
      <c r="D347" s="571" t="s">
        <v>1452</v>
      </c>
      <c r="E347" s="561" t="s">
        <v>2041</v>
      </c>
      <c r="F347" s="572"/>
      <c r="G347" s="571"/>
      <c r="H347" s="571">
        <v>1</v>
      </c>
    </row>
    <row r="348" spans="1:8" x14ac:dyDescent="0.2">
      <c r="A348" s="560" t="s">
        <v>1198</v>
      </c>
      <c r="B348" s="571" t="s">
        <v>1443</v>
      </c>
      <c r="C348" s="571">
        <v>2</v>
      </c>
      <c r="D348" s="571" t="s">
        <v>1444</v>
      </c>
      <c r="E348" s="561" t="s">
        <v>1199</v>
      </c>
      <c r="F348" s="572" t="s">
        <v>1456</v>
      </c>
      <c r="G348" s="571"/>
      <c r="H348" s="571"/>
    </row>
    <row r="349" spans="1:8" x14ac:dyDescent="0.2">
      <c r="A349" s="560" t="s">
        <v>2042</v>
      </c>
      <c r="B349" s="571"/>
      <c r="C349" s="571">
        <v>0</v>
      </c>
      <c r="D349" s="571" t="s">
        <v>1449</v>
      </c>
      <c r="E349" s="561" t="s">
        <v>2043</v>
      </c>
      <c r="F349" s="572"/>
      <c r="G349" s="571"/>
      <c r="H349" s="571">
        <v>1</v>
      </c>
    </row>
    <row r="350" spans="1:8" x14ac:dyDescent="0.2">
      <c r="A350" s="560" t="s">
        <v>2044</v>
      </c>
      <c r="B350" s="571"/>
      <c r="C350" s="571">
        <v>0</v>
      </c>
      <c r="D350" s="571" t="s">
        <v>1452</v>
      </c>
      <c r="E350" s="561" t="s">
        <v>2045</v>
      </c>
      <c r="F350" s="572"/>
      <c r="G350" s="571"/>
      <c r="H350" s="571"/>
    </row>
    <row r="351" spans="1:8" x14ac:dyDescent="0.2">
      <c r="A351" s="560" t="s">
        <v>2046</v>
      </c>
      <c r="B351" s="571"/>
      <c r="C351" s="571">
        <v>0</v>
      </c>
      <c r="D351" s="571" t="s">
        <v>1481</v>
      </c>
      <c r="E351" s="561" t="s">
        <v>2047</v>
      </c>
      <c r="F351" s="572"/>
      <c r="G351" s="571"/>
      <c r="H351" s="571"/>
    </row>
    <row r="352" spans="1:8" x14ac:dyDescent="0.2">
      <c r="A352" s="560" t="s">
        <v>2048</v>
      </c>
      <c r="B352" s="571" t="s">
        <v>1443</v>
      </c>
      <c r="C352" s="571">
        <v>0</v>
      </c>
      <c r="D352" s="571" t="s">
        <v>1449</v>
      </c>
      <c r="E352" s="561" t="s">
        <v>2049</v>
      </c>
      <c r="F352" s="572"/>
      <c r="G352" s="571"/>
      <c r="H352" s="571"/>
    </row>
    <row r="353" spans="1:8" x14ac:dyDescent="0.2">
      <c r="A353" s="560" t="s">
        <v>2050</v>
      </c>
      <c r="B353" s="571" t="s">
        <v>1443</v>
      </c>
      <c r="C353" s="571">
        <v>19</v>
      </c>
      <c r="D353" s="571" t="s">
        <v>1481</v>
      </c>
      <c r="E353" s="561" t="s">
        <v>2051</v>
      </c>
      <c r="F353" s="572"/>
      <c r="G353" s="571"/>
      <c r="H353" s="571"/>
    </row>
    <row r="354" spans="1:8" x14ac:dyDescent="0.2">
      <c r="A354" s="560" t="s">
        <v>2052</v>
      </c>
      <c r="B354" s="571" t="s">
        <v>1443</v>
      </c>
      <c r="C354" s="571">
        <v>0</v>
      </c>
      <c r="D354" s="571" t="s">
        <v>1481</v>
      </c>
      <c r="E354" s="561" t="s">
        <v>2053</v>
      </c>
      <c r="F354" s="572"/>
      <c r="G354" s="571"/>
      <c r="H354" s="571"/>
    </row>
    <row r="355" spans="1:8" x14ac:dyDescent="0.2">
      <c r="A355" s="560" t="s">
        <v>2054</v>
      </c>
      <c r="B355" s="571" t="s">
        <v>1443</v>
      </c>
      <c r="C355" s="571">
        <v>0</v>
      </c>
      <c r="D355" s="571" t="s">
        <v>1449</v>
      </c>
      <c r="E355" s="561" t="s">
        <v>2055</v>
      </c>
      <c r="F355" s="572"/>
      <c r="G355" s="571"/>
      <c r="H355" s="571"/>
    </row>
    <row r="356" spans="1:8" x14ac:dyDescent="0.2">
      <c r="A356" s="560" t="s">
        <v>2056</v>
      </c>
      <c r="B356" s="571" t="s">
        <v>1443</v>
      </c>
      <c r="C356" s="571">
        <v>0</v>
      </c>
      <c r="D356" s="571" t="s">
        <v>1481</v>
      </c>
      <c r="E356" s="561" t="s">
        <v>2057</v>
      </c>
      <c r="F356" s="572"/>
      <c r="G356" s="571"/>
      <c r="H356" s="571"/>
    </row>
    <row r="357" spans="1:8" x14ac:dyDescent="0.2">
      <c r="A357" s="560" t="s">
        <v>2058</v>
      </c>
      <c r="B357" s="571" t="s">
        <v>1443</v>
      </c>
      <c r="C357" s="571">
        <v>10</v>
      </c>
      <c r="D357" s="571" t="s">
        <v>1481</v>
      </c>
      <c r="E357" s="561"/>
      <c r="F357" s="572"/>
      <c r="G357" s="571"/>
      <c r="H357" s="571"/>
    </row>
    <row r="358" spans="1:8" x14ac:dyDescent="0.2">
      <c r="A358" s="560" t="s">
        <v>2059</v>
      </c>
      <c r="B358" s="571"/>
      <c r="C358" s="571">
        <v>0</v>
      </c>
      <c r="D358" s="571" t="s">
        <v>1481</v>
      </c>
      <c r="E358" s="561" t="s">
        <v>2060</v>
      </c>
      <c r="F358" s="572"/>
      <c r="G358" s="571"/>
      <c r="H358" s="571">
        <v>1</v>
      </c>
    </row>
    <row r="359" spans="1:8" x14ac:dyDescent="0.2">
      <c r="A359" s="560" t="s">
        <v>2061</v>
      </c>
      <c r="B359" s="571" t="s">
        <v>1443</v>
      </c>
      <c r="C359" s="571">
        <v>4</v>
      </c>
      <c r="D359" s="571" t="s">
        <v>1481</v>
      </c>
      <c r="E359" s="561" t="s">
        <v>2062</v>
      </c>
      <c r="F359" s="572"/>
      <c r="G359" s="571"/>
      <c r="H359" s="571"/>
    </row>
    <row r="360" spans="1:8" x14ac:dyDescent="0.2">
      <c r="A360" s="560" t="s">
        <v>1200</v>
      </c>
      <c r="B360" s="571" t="s">
        <v>1443</v>
      </c>
      <c r="C360" s="571">
        <v>0</v>
      </c>
      <c r="D360" s="571" t="s">
        <v>1452</v>
      </c>
      <c r="E360" s="561" t="s">
        <v>1201</v>
      </c>
      <c r="F360" s="572" t="s">
        <v>1456</v>
      </c>
      <c r="G360" s="571"/>
      <c r="H360" s="571"/>
    </row>
    <row r="361" spans="1:8" x14ac:dyDescent="0.2">
      <c r="A361" s="560" t="s">
        <v>2063</v>
      </c>
      <c r="B361" s="571"/>
      <c r="C361" s="571">
        <v>0</v>
      </c>
      <c r="D361" s="571" t="s">
        <v>1452</v>
      </c>
      <c r="E361" s="561" t="s">
        <v>2064</v>
      </c>
      <c r="F361" s="572"/>
      <c r="G361" s="571"/>
      <c r="H361" s="571"/>
    </row>
    <row r="362" spans="1:8" x14ac:dyDescent="0.2">
      <c r="A362" s="560" t="s">
        <v>2065</v>
      </c>
      <c r="B362" s="571" t="s">
        <v>1443</v>
      </c>
      <c r="C362" s="571">
        <v>3</v>
      </c>
      <c r="D362" s="571" t="s">
        <v>1464</v>
      </c>
      <c r="E362" s="561" t="s">
        <v>2066</v>
      </c>
      <c r="F362" s="572"/>
      <c r="G362" s="571"/>
      <c r="H362" s="571"/>
    </row>
    <row r="363" spans="1:8" x14ac:dyDescent="0.2">
      <c r="A363" s="560" t="s">
        <v>2067</v>
      </c>
      <c r="B363" s="571" t="s">
        <v>1443</v>
      </c>
      <c r="C363" s="571">
        <v>0</v>
      </c>
      <c r="D363" s="571" t="s">
        <v>1481</v>
      </c>
      <c r="E363" s="561" t="s">
        <v>2068</v>
      </c>
      <c r="F363" s="572"/>
      <c r="G363" s="571"/>
      <c r="H363" s="571"/>
    </row>
    <row r="364" spans="1:8" x14ac:dyDescent="0.2">
      <c r="A364" s="560" t="s">
        <v>2069</v>
      </c>
      <c r="B364" s="571" t="s">
        <v>1443</v>
      </c>
      <c r="C364" s="571">
        <v>12</v>
      </c>
      <c r="D364" s="571" t="s">
        <v>1481</v>
      </c>
      <c r="E364" s="561" t="s">
        <v>2068</v>
      </c>
      <c r="F364" s="572"/>
      <c r="G364" s="571"/>
      <c r="H364" s="571"/>
    </row>
    <row r="365" spans="1:8" x14ac:dyDescent="0.2">
      <c r="A365" s="560" t="s">
        <v>1202</v>
      </c>
      <c r="B365" s="571" t="s">
        <v>1443</v>
      </c>
      <c r="C365" s="571">
        <v>0</v>
      </c>
      <c r="D365" s="571" t="s">
        <v>1444</v>
      </c>
      <c r="E365" s="561" t="s">
        <v>1203</v>
      </c>
      <c r="F365" s="572" t="s">
        <v>1456</v>
      </c>
      <c r="G365" s="571"/>
      <c r="H365" s="571"/>
    </row>
    <row r="366" spans="1:8" x14ac:dyDescent="0.2">
      <c r="A366" s="560" t="s">
        <v>2070</v>
      </c>
      <c r="B366" s="571" t="s">
        <v>1443</v>
      </c>
      <c r="C366" s="571">
        <v>7</v>
      </c>
      <c r="D366" s="571" t="s">
        <v>1449</v>
      </c>
      <c r="E366" s="561" t="s">
        <v>2071</v>
      </c>
      <c r="F366" s="572"/>
      <c r="G366" s="571"/>
      <c r="H366" s="571"/>
    </row>
    <row r="367" spans="1:8" x14ac:dyDescent="0.2">
      <c r="A367" s="560" t="s">
        <v>2072</v>
      </c>
      <c r="B367" s="571" t="s">
        <v>1443</v>
      </c>
      <c r="C367" s="571">
        <v>11</v>
      </c>
      <c r="D367" s="571" t="s">
        <v>1449</v>
      </c>
      <c r="E367" s="561" t="s">
        <v>2073</v>
      </c>
      <c r="F367" s="572"/>
      <c r="G367" s="571"/>
      <c r="H367" s="571"/>
    </row>
    <row r="368" spans="1:8" x14ac:dyDescent="0.2">
      <c r="A368" s="560" t="s">
        <v>2074</v>
      </c>
      <c r="B368" s="571" t="s">
        <v>1443</v>
      </c>
      <c r="C368" s="571">
        <v>0</v>
      </c>
      <c r="D368" s="571" t="s">
        <v>1444</v>
      </c>
      <c r="E368" s="561" t="s">
        <v>2075</v>
      </c>
      <c r="F368" s="572"/>
      <c r="G368" s="571"/>
      <c r="H368" s="571"/>
    </row>
    <row r="369" spans="1:8" x14ac:dyDescent="0.2">
      <c r="A369" s="560" t="s">
        <v>2076</v>
      </c>
      <c r="B369" s="571" t="s">
        <v>1443</v>
      </c>
      <c r="C369" s="571">
        <v>1</v>
      </c>
      <c r="D369" s="571" t="s">
        <v>1481</v>
      </c>
      <c r="E369" s="561" t="s">
        <v>2077</v>
      </c>
      <c r="F369" s="572"/>
      <c r="G369" s="571"/>
      <c r="H369" s="571"/>
    </row>
    <row r="370" spans="1:8" x14ac:dyDescent="0.2">
      <c r="A370" s="560" t="s">
        <v>2078</v>
      </c>
      <c r="B370" s="571" t="s">
        <v>1443</v>
      </c>
      <c r="C370" s="571">
        <v>3</v>
      </c>
      <c r="D370" s="571" t="s">
        <v>1481</v>
      </c>
      <c r="E370" s="561"/>
      <c r="F370" s="572"/>
      <c r="G370" s="571"/>
      <c r="H370" s="571"/>
    </row>
    <row r="371" spans="1:8" x14ac:dyDescent="0.2">
      <c r="A371" s="560" t="s">
        <v>2079</v>
      </c>
      <c r="B371" s="571"/>
      <c r="C371" s="571">
        <v>0</v>
      </c>
      <c r="D371" s="571" t="s">
        <v>1452</v>
      </c>
      <c r="E371" s="561" t="s">
        <v>2080</v>
      </c>
      <c r="F371" s="572"/>
      <c r="G371" s="571"/>
      <c r="H371" s="571"/>
    </row>
    <row r="372" spans="1:8" x14ac:dyDescent="0.2">
      <c r="A372" s="560" t="s">
        <v>2081</v>
      </c>
      <c r="B372" s="571"/>
      <c r="C372" s="571">
        <v>0</v>
      </c>
      <c r="D372" s="571" t="s">
        <v>1449</v>
      </c>
      <c r="E372" s="561" t="s">
        <v>2082</v>
      </c>
      <c r="F372" s="572"/>
      <c r="G372" s="571"/>
      <c r="H372" s="571"/>
    </row>
    <row r="373" spans="1:8" x14ac:dyDescent="0.2">
      <c r="A373" s="560" t="s">
        <v>2083</v>
      </c>
      <c r="B373" s="571" t="s">
        <v>1443</v>
      </c>
      <c r="C373" s="571">
        <v>8</v>
      </c>
      <c r="D373" s="571" t="s">
        <v>1452</v>
      </c>
      <c r="E373" s="561" t="s">
        <v>2084</v>
      </c>
      <c r="F373" s="572"/>
      <c r="G373" s="571"/>
      <c r="H373" s="571"/>
    </row>
    <row r="374" spans="1:8" x14ac:dyDescent="0.2">
      <c r="A374" s="560" t="s">
        <v>2085</v>
      </c>
      <c r="B374" s="571" t="s">
        <v>1443</v>
      </c>
      <c r="C374" s="571">
        <v>0</v>
      </c>
      <c r="D374" s="571"/>
      <c r="E374" s="561" t="s">
        <v>2086</v>
      </c>
      <c r="F374" s="572"/>
      <c r="G374" s="571"/>
      <c r="H374" s="571"/>
    </row>
    <row r="375" spans="1:8" x14ac:dyDescent="0.2">
      <c r="A375" s="560" t="s">
        <v>2087</v>
      </c>
      <c r="B375" s="571" t="s">
        <v>1443</v>
      </c>
      <c r="C375" s="571">
        <v>8</v>
      </c>
      <c r="D375" s="571" t="s">
        <v>1449</v>
      </c>
      <c r="E375" s="561" t="s">
        <v>2088</v>
      </c>
      <c r="F375" s="572"/>
      <c r="G375" s="571"/>
      <c r="H375" s="571"/>
    </row>
    <row r="376" spans="1:8" x14ac:dyDescent="0.2">
      <c r="A376" s="562" t="s">
        <v>2089</v>
      </c>
      <c r="B376" s="571" t="s">
        <v>1443</v>
      </c>
      <c r="C376" s="571">
        <v>0</v>
      </c>
      <c r="D376" s="571"/>
      <c r="E376" s="561"/>
      <c r="F376" s="572"/>
      <c r="G376" s="571"/>
      <c r="H376" s="571"/>
    </row>
    <row r="377" spans="1:8" x14ac:dyDescent="0.2">
      <c r="A377" s="560" t="s">
        <v>2090</v>
      </c>
      <c r="B377" s="571"/>
      <c r="C377" s="571">
        <v>0</v>
      </c>
      <c r="D377" s="571" t="s">
        <v>1444</v>
      </c>
      <c r="E377" s="561"/>
      <c r="F377" s="572"/>
      <c r="G377" s="571"/>
      <c r="H377" s="571"/>
    </row>
    <row r="378" spans="1:8" x14ac:dyDescent="0.2">
      <c r="A378" s="560" t="s">
        <v>2091</v>
      </c>
      <c r="B378" s="571" t="s">
        <v>1443</v>
      </c>
      <c r="C378" s="571">
        <v>0</v>
      </c>
      <c r="D378" s="571" t="s">
        <v>1449</v>
      </c>
      <c r="E378" s="561" t="s">
        <v>2092</v>
      </c>
      <c r="F378" s="572"/>
      <c r="G378" s="571"/>
      <c r="H378" s="571"/>
    </row>
    <row r="379" spans="1:8" x14ac:dyDescent="0.2">
      <c r="A379" s="560" t="s">
        <v>1204</v>
      </c>
      <c r="B379" s="571" t="s">
        <v>1443</v>
      </c>
      <c r="C379" s="571">
        <v>0</v>
      </c>
      <c r="D379" s="571" t="s">
        <v>1464</v>
      </c>
      <c r="E379" s="561" t="s">
        <v>1205</v>
      </c>
      <c r="F379" s="572" t="s">
        <v>1456</v>
      </c>
      <c r="G379" s="571"/>
      <c r="H379" s="571"/>
    </row>
    <row r="380" spans="1:8" x14ac:dyDescent="0.2">
      <c r="A380" s="560" t="s">
        <v>2093</v>
      </c>
      <c r="B380" s="571" t="s">
        <v>1443</v>
      </c>
      <c r="C380" s="571">
        <v>0</v>
      </c>
      <c r="D380" s="571" t="s">
        <v>1464</v>
      </c>
      <c r="E380" s="561" t="s">
        <v>2094</v>
      </c>
      <c r="F380" s="572"/>
      <c r="G380" s="571"/>
      <c r="H380" s="571">
        <v>1</v>
      </c>
    </row>
    <row r="381" spans="1:8" x14ac:dyDescent="0.2">
      <c r="A381" s="560" t="s">
        <v>2095</v>
      </c>
      <c r="B381" s="571"/>
      <c r="C381" s="571">
        <v>0</v>
      </c>
      <c r="D381" s="571" t="s">
        <v>1464</v>
      </c>
      <c r="E381" s="561" t="s">
        <v>2096</v>
      </c>
      <c r="F381" s="572"/>
      <c r="G381" s="571"/>
      <c r="H381" s="571"/>
    </row>
    <row r="382" spans="1:8" x14ac:dyDescent="0.2">
      <c r="A382" s="560" t="s">
        <v>2097</v>
      </c>
      <c r="B382" s="571" t="s">
        <v>1443</v>
      </c>
      <c r="C382" s="571">
        <v>0</v>
      </c>
      <c r="D382" s="571" t="s">
        <v>1449</v>
      </c>
      <c r="E382" s="561" t="s">
        <v>2098</v>
      </c>
      <c r="F382" s="572"/>
      <c r="G382" s="571"/>
      <c r="H382" s="571">
        <v>1</v>
      </c>
    </row>
    <row r="383" spans="1:8" x14ac:dyDescent="0.2">
      <c r="A383" s="560" t="s">
        <v>2099</v>
      </c>
      <c r="B383" s="571"/>
      <c r="C383" s="571">
        <v>0</v>
      </c>
      <c r="D383" s="571" t="s">
        <v>1452</v>
      </c>
      <c r="E383" s="561" t="s">
        <v>2100</v>
      </c>
      <c r="F383" s="572"/>
      <c r="G383" s="571"/>
      <c r="H383" s="571"/>
    </row>
    <row r="384" spans="1:8" x14ac:dyDescent="0.2">
      <c r="A384" s="560" t="s">
        <v>2101</v>
      </c>
      <c r="B384" s="571"/>
      <c r="C384" s="571">
        <v>0</v>
      </c>
      <c r="D384" s="571" t="s">
        <v>1444</v>
      </c>
      <c r="E384" s="561" t="s">
        <v>2102</v>
      </c>
      <c r="F384" s="572"/>
      <c r="G384" s="571"/>
      <c r="H384" s="571"/>
    </row>
    <row r="385" spans="1:8" x14ac:dyDescent="0.2">
      <c r="A385" s="560" t="s">
        <v>1206</v>
      </c>
      <c r="B385" s="571" t="s">
        <v>1443</v>
      </c>
      <c r="C385" s="571">
        <v>1</v>
      </c>
      <c r="D385" s="571" t="s">
        <v>1444</v>
      </c>
      <c r="E385" s="561" t="s">
        <v>1207</v>
      </c>
      <c r="F385" s="572" t="s">
        <v>1456</v>
      </c>
      <c r="G385" s="571"/>
      <c r="H385" s="571"/>
    </row>
    <row r="386" spans="1:8" x14ac:dyDescent="0.2">
      <c r="A386" s="560" t="s">
        <v>2103</v>
      </c>
      <c r="B386" s="571" t="s">
        <v>1443</v>
      </c>
      <c r="C386" s="571">
        <v>0</v>
      </c>
      <c r="D386" s="571" t="s">
        <v>1449</v>
      </c>
      <c r="E386" s="561" t="s">
        <v>2104</v>
      </c>
      <c r="F386" s="572"/>
      <c r="G386" s="571"/>
      <c r="H386" s="571">
        <v>1</v>
      </c>
    </row>
    <row r="387" spans="1:8" x14ac:dyDescent="0.2">
      <c r="A387" s="560" t="s">
        <v>2105</v>
      </c>
      <c r="B387" s="571"/>
      <c r="C387" s="571">
        <v>0</v>
      </c>
      <c r="D387" s="571" t="s">
        <v>1481</v>
      </c>
      <c r="E387" s="561" t="s">
        <v>2106</v>
      </c>
      <c r="F387" s="572"/>
      <c r="G387" s="571"/>
      <c r="H387" s="571"/>
    </row>
    <row r="388" spans="1:8" x14ac:dyDescent="0.2">
      <c r="A388" s="560" t="s">
        <v>2107</v>
      </c>
      <c r="B388" s="573"/>
      <c r="C388" s="573"/>
      <c r="D388" s="573"/>
      <c r="E388" s="560"/>
      <c r="F388" s="573"/>
      <c r="G388" s="573"/>
      <c r="H388" s="573"/>
    </row>
    <row r="389" spans="1:8" x14ac:dyDescent="0.2">
      <c r="A389" s="560" t="s">
        <v>2108</v>
      </c>
      <c r="B389" s="571" t="s">
        <v>1443</v>
      </c>
      <c r="C389" s="571">
        <v>1</v>
      </c>
      <c r="D389" s="571" t="s">
        <v>1452</v>
      </c>
      <c r="E389" s="561"/>
      <c r="F389" s="572"/>
      <c r="G389" s="571"/>
      <c r="H389" s="571">
        <v>1</v>
      </c>
    </row>
    <row r="390" spans="1:8" x14ac:dyDescent="0.2">
      <c r="A390" s="560" t="s">
        <v>2109</v>
      </c>
      <c r="B390" s="571" t="s">
        <v>1443</v>
      </c>
      <c r="C390" s="571">
        <v>0</v>
      </c>
      <c r="D390" s="571" t="s">
        <v>1481</v>
      </c>
      <c r="E390" s="561" t="s">
        <v>2110</v>
      </c>
      <c r="F390" s="572"/>
      <c r="G390" s="571"/>
      <c r="H390" s="571">
        <v>1</v>
      </c>
    </row>
    <row r="391" spans="1:8" x14ac:dyDescent="0.2">
      <c r="A391" s="560" t="s">
        <v>2111</v>
      </c>
      <c r="B391" s="571" t="s">
        <v>1443</v>
      </c>
      <c r="C391" s="571">
        <v>2</v>
      </c>
      <c r="D391" s="571" t="s">
        <v>1449</v>
      </c>
      <c r="E391" s="561" t="s">
        <v>2112</v>
      </c>
      <c r="F391" s="572"/>
      <c r="G391" s="571"/>
      <c r="H391" s="571"/>
    </row>
    <row r="392" spans="1:8" x14ac:dyDescent="0.2">
      <c r="A392" s="560" t="s">
        <v>2113</v>
      </c>
      <c r="B392" s="571" t="s">
        <v>1443</v>
      </c>
      <c r="C392" s="571">
        <v>12</v>
      </c>
      <c r="D392" s="571" t="s">
        <v>1452</v>
      </c>
      <c r="E392" s="561" t="s">
        <v>2114</v>
      </c>
      <c r="F392" s="572"/>
      <c r="G392" s="571"/>
      <c r="H392" s="571"/>
    </row>
    <row r="393" spans="1:8" x14ac:dyDescent="0.2">
      <c r="A393" s="560" t="s">
        <v>2115</v>
      </c>
      <c r="B393" s="571" t="s">
        <v>1443</v>
      </c>
      <c r="C393" s="571">
        <v>4</v>
      </c>
      <c r="D393" s="571" t="s">
        <v>1449</v>
      </c>
      <c r="E393" s="561" t="s">
        <v>2116</v>
      </c>
      <c r="F393" s="572"/>
      <c r="G393" s="571"/>
      <c r="H393" s="571"/>
    </row>
    <row r="394" spans="1:8" x14ac:dyDescent="0.2">
      <c r="A394" s="560" t="s">
        <v>1208</v>
      </c>
      <c r="B394" s="571" t="s">
        <v>1443</v>
      </c>
      <c r="C394" s="571">
        <v>1</v>
      </c>
      <c r="D394" s="571" t="s">
        <v>1452</v>
      </c>
      <c r="E394" s="561" t="s">
        <v>1209</v>
      </c>
      <c r="F394" s="572" t="s">
        <v>1456</v>
      </c>
      <c r="G394" s="571"/>
      <c r="H394" s="571"/>
    </row>
    <row r="395" spans="1:8" x14ac:dyDescent="0.2">
      <c r="A395" s="560" t="s">
        <v>2117</v>
      </c>
      <c r="B395" s="571"/>
      <c r="C395" s="571">
        <v>0</v>
      </c>
      <c r="D395" s="571" t="s">
        <v>1449</v>
      </c>
      <c r="E395" s="561" t="s">
        <v>2118</v>
      </c>
      <c r="F395" s="572"/>
      <c r="G395" s="571"/>
      <c r="H395" s="571">
        <v>2</v>
      </c>
    </row>
    <row r="396" spans="1:8" x14ac:dyDescent="0.2">
      <c r="A396" s="560" t="s">
        <v>2119</v>
      </c>
      <c r="B396" s="571"/>
      <c r="C396" s="571">
        <v>0</v>
      </c>
      <c r="D396" s="571" t="s">
        <v>1444</v>
      </c>
      <c r="E396" s="561" t="s">
        <v>2120</v>
      </c>
      <c r="F396" s="572"/>
      <c r="G396" s="571"/>
      <c r="H396" s="571"/>
    </row>
    <row r="397" spans="1:8" x14ac:dyDescent="0.2">
      <c r="A397" s="560" t="s">
        <v>2121</v>
      </c>
      <c r="B397" s="571" t="s">
        <v>1443</v>
      </c>
      <c r="C397" s="571">
        <v>1</v>
      </c>
      <c r="D397" s="571" t="s">
        <v>1449</v>
      </c>
      <c r="E397" s="561" t="s">
        <v>2122</v>
      </c>
      <c r="F397" s="572"/>
      <c r="G397" s="571"/>
      <c r="H397" s="571"/>
    </row>
    <row r="398" spans="1:8" x14ac:dyDescent="0.2">
      <c r="A398" s="560" t="s">
        <v>2123</v>
      </c>
      <c r="B398" s="571" t="s">
        <v>1443</v>
      </c>
      <c r="C398" s="571">
        <v>0</v>
      </c>
      <c r="D398" s="571" t="s">
        <v>1449</v>
      </c>
      <c r="E398" s="561" t="s">
        <v>2124</v>
      </c>
      <c r="F398" s="572"/>
      <c r="G398" s="571"/>
      <c r="H398" s="571"/>
    </row>
    <row r="399" spans="1:8" x14ac:dyDescent="0.2">
      <c r="A399" s="560" t="s">
        <v>2125</v>
      </c>
      <c r="B399" s="571" t="s">
        <v>1443</v>
      </c>
      <c r="C399" s="571">
        <v>0</v>
      </c>
      <c r="D399" s="571" t="s">
        <v>1481</v>
      </c>
      <c r="E399" s="561" t="s">
        <v>2126</v>
      </c>
      <c r="F399" s="572"/>
      <c r="G399" s="571"/>
      <c r="H399" s="571"/>
    </row>
    <row r="400" spans="1:8" x14ac:dyDescent="0.2">
      <c r="A400" s="560" t="s">
        <v>2127</v>
      </c>
      <c r="B400" s="571"/>
      <c r="C400" s="571">
        <v>0</v>
      </c>
      <c r="D400" s="571" t="s">
        <v>1452</v>
      </c>
      <c r="E400" s="561" t="s">
        <v>2128</v>
      </c>
      <c r="F400" s="572"/>
      <c r="G400" s="571"/>
      <c r="H400" s="571"/>
    </row>
    <row r="401" spans="1:8" x14ac:dyDescent="0.2">
      <c r="A401" s="560" t="s">
        <v>2129</v>
      </c>
      <c r="B401" s="571"/>
      <c r="C401" s="571">
        <v>0</v>
      </c>
      <c r="D401" s="571" t="s">
        <v>1464</v>
      </c>
      <c r="E401" s="561" t="s">
        <v>2130</v>
      </c>
      <c r="F401" s="572"/>
      <c r="G401" s="571"/>
      <c r="H401" s="571"/>
    </row>
    <row r="402" spans="1:8" x14ac:dyDescent="0.2">
      <c r="A402" s="560" t="s">
        <v>2131</v>
      </c>
      <c r="B402" s="571" t="s">
        <v>1443</v>
      </c>
      <c r="C402" s="571">
        <v>11</v>
      </c>
      <c r="D402" s="571" t="s">
        <v>1449</v>
      </c>
      <c r="E402" s="561" t="s">
        <v>2132</v>
      </c>
      <c r="F402" s="572"/>
      <c r="G402" s="571"/>
      <c r="H402" s="571"/>
    </row>
    <row r="403" spans="1:8" x14ac:dyDescent="0.2">
      <c r="A403" s="560" t="s">
        <v>2133</v>
      </c>
      <c r="B403" s="571" t="s">
        <v>1443</v>
      </c>
      <c r="C403" s="571">
        <v>12</v>
      </c>
      <c r="D403" s="571" t="s">
        <v>1464</v>
      </c>
      <c r="E403" s="561" t="s">
        <v>2134</v>
      </c>
      <c r="F403" s="572"/>
      <c r="G403" s="571"/>
      <c r="H403" s="571"/>
    </row>
    <row r="404" spans="1:8" x14ac:dyDescent="0.2">
      <c r="A404" s="560" t="s">
        <v>1210</v>
      </c>
      <c r="B404" s="571" t="s">
        <v>1443</v>
      </c>
      <c r="C404" s="571">
        <v>0</v>
      </c>
      <c r="D404" s="571" t="s">
        <v>1449</v>
      </c>
      <c r="E404" s="561" t="s">
        <v>1211</v>
      </c>
      <c r="F404" s="572" t="s">
        <v>1456</v>
      </c>
      <c r="G404" s="571"/>
      <c r="H404" s="571"/>
    </row>
    <row r="405" spans="1:8" x14ac:dyDescent="0.2">
      <c r="A405" s="560" t="s">
        <v>1212</v>
      </c>
      <c r="B405" s="571" t="s">
        <v>1443</v>
      </c>
      <c r="C405" s="571">
        <v>1</v>
      </c>
      <c r="D405" s="571" t="s">
        <v>1449</v>
      </c>
      <c r="E405" s="561" t="s">
        <v>1213</v>
      </c>
      <c r="F405" s="572" t="s">
        <v>1456</v>
      </c>
      <c r="G405" s="571"/>
      <c r="H405" s="571"/>
    </row>
    <row r="406" spans="1:8" x14ac:dyDescent="0.2">
      <c r="A406" s="560" t="s">
        <v>2135</v>
      </c>
      <c r="B406" s="571" t="s">
        <v>1443</v>
      </c>
      <c r="C406" s="571">
        <v>0</v>
      </c>
      <c r="D406" s="571" t="s">
        <v>1444</v>
      </c>
      <c r="E406" s="561" t="s">
        <v>2136</v>
      </c>
      <c r="F406" s="572"/>
      <c r="G406" s="571"/>
      <c r="H406" s="571"/>
    </row>
    <row r="407" spans="1:8" x14ac:dyDescent="0.2">
      <c r="A407" s="560" t="s">
        <v>2137</v>
      </c>
      <c r="B407" s="571"/>
      <c r="C407" s="571">
        <v>0</v>
      </c>
      <c r="D407" s="571" t="s">
        <v>1444</v>
      </c>
      <c r="E407" s="561" t="s">
        <v>2138</v>
      </c>
      <c r="F407" s="572"/>
      <c r="G407" s="571"/>
      <c r="H407" s="571"/>
    </row>
    <row r="408" spans="1:8" x14ac:dyDescent="0.2">
      <c r="A408" s="562" t="s">
        <v>2139</v>
      </c>
      <c r="B408" s="571" t="s">
        <v>1443</v>
      </c>
      <c r="C408" s="571">
        <v>0</v>
      </c>
      <c r="D408" s="571"/>
      <c r="E408" s="561"/>
      <c r="F408" s="572"/>
      <c r="G408" s="571"/>
      <c r="H408" s="571"/>
    </row>
    <row r="409" spans="1:8" x14ac:dyDescent="0.2">
      <c r="A409" s="560" t="s">
        <v>1214</v>
      </c>
      <c r="B409" s="571" t="s">
        <v>1443</v>
      </c>
      <c r="C409" s="571">
        <v>1</v>
      </c>
      <c r="D409" s="571" t="s">
        <v>1452</v>
      </c>
      <c r="E409" s="561" t="s">
        <v>1215</v>
      </c>
      <c r="F409" s="572" t="s">
        <v>1456</v>
      </c>
      <c r="G409" s="571"/>
      <c r="H409" s="571"/>
    </row>
    <row r="410" spans="1:8" x14ac:dyDescent="0.2">
      <c r="A410" s="560" t="s">
        <v>2140</v>
      </c>
      <c r="B410" s="571" t="s">
        <v>1443</v>
      </c>
      <c r="C410" s="571">
        <v>5</v>
      </c>
      <c r="D410" s="571" t="s">
        <v>1452</v>
      </c>
      <c r="E410" s="561" t="s">
        <v>2141</v>
      </c>
      <c r="F410" s="572"/>
      <c r="G410" s="571"/>
      <c r="H410" s="571"/>
    </row>
    <row r="411" spans="1:8" x14ac:dyDescent="0.2">
      <c r="A411" s="560" t="s">
        <v>2142</v>
      </c>
      <c r="B411" s="571" t="s">
        <v>1443</v>
      </c>
      <c r="C411" s="571">
        <v>0</v>
      </c>
      <c r="D411" s="571" t="s">
        <v>1452</v>
      </c>
      <c r="E411" s="561" t="s">
        <v>2143</v>
      </c>
      <c r="F411" s="572"/>
      <c r="G411" s="571"/>
      <c r="H411" s="571"/>
    </row>
    <row r="412" spans="1:8" x14ac:dyDescent="0.2">
      <c r="A412" s="560" t="s">
        <v>2144</v>
      </c>
      <c r="B412" s="571" t="s">
        <v>1443</v>
      </c>
      <c r="C412" s="571">
        <v>2</v>
      </c>
      <c r="D412" s="571" t="s">
        <v>1481</v>
      </c>
      <c r="E412" s="561" t="s">
        <v>2145</v>
      </c>
      <c r="F412" s="572"/>
      <c r="G412" s="571"/>
      <c r="H412" s="571"/>
    </row>
    <row r="413" spans="1:8" x14ac:dyDescent="0.2">
      <c r="A413" s="560" t="s">
        <v>2146</v>
      </c>
      <c r="B413" s="571" t="s">
        <v>1443</v>
      </c>
      <c r="C413" s="571">
        <v>9</v>
      </c>
      <c r="D413" s="571" t="s">
        <v>1481</v>
      </c>
      <c r="E413" s="561" t="s">
        <v>2147</v>
      </c>
      <c r="F413" s="572"/>
      <c r="G413" s="571"/>
      <c r="H413" s="571"/>
    </row>
    <row r="414" spans="1:8" x14ac:dyDescent="0.2">
      <c r="A414" s="560" t="s">
        <v>2148</v>
      </c>
      <c r="B414" s="571" t="s">
        <v>1443</v>
      </c>
      <c r="C414" s="571">
        <v>15</v>
      </c>
      <c r="D414" s="571" t="s">
        <v>1481</v>
      </c>
      <c r="E414" s="561" t="s">
        <v>2149</v>
      </c>
      <c r="F414" s="572"/>
      <c r="G414" s="571"/>
      <c r="H414" s="571"/>
    </row>
    <row r="415" spans="1:8" x14ac:dyDescent="0.2">
      <c r="A415" s="560" t="s">
        <v>2150</v>
      </c>
      <c r="B415" s="571"/>
      <c r="C415" s="571">
        <v>0</v>
      </c>
      <c r="D415" s="571" t="s">
        <v>1449</v>
      </c>
      <c r="E415" s="561" t="s">
        <v>2151</v>
      </c>
      <c r="F415" s="572"/>
      <c r="G415" s="571"/>
      <c r="H415" s="571"/>
    </row>
    <row r="416" spans="1:8" x14ac:dyDescent="0.2">
      <c r="A416" s="560" t="s">
        <v>2152</v>
      </c>
      <c r="B416" s="571" t="s">
        <v>1443</v>
      </c>
      <c r="C416" s="571">
        <v>0</v>
      </c>
      <c r="D416" s="571" t="s">
        <v>1444</v>
      </c>
      <c r="E416" s="561" t="s">
        <v>2153</v>
      </c>
      <c r="F416" s="572"/>
      <c r="G416" s="571"/>
      <c r="H416" s="571"/>
    </row>
    <row r="417" spans="1:8" x14ac:dyDescent="0.2">
      <c r="A417" s="560" t="s">
        <v>2154</v>
      </c>
      <c r="B417" s="571" t="s">
        <v>1443</v>
      </c>
      <c r="C417" s="571">
        <v>0</v>
      </c>
      <c r="D417" s="571" t="s">
        <v>1444</v>
      </c>
      <c r="E417" s="561" t="s">
        <v>2155</v>
      </c>
      <c r="F417" s="572"/>
      <c r="G417" s="571"/>
      <c r="H417" s="571"/>
    </row>
    <row r="418" spans="1:8" x14ac:dyDescent="0.2">
      <c r="A418" s="560" t="s">
        <v>2156</v>
      </c>
      <c r="B418" s="571" t="s">
        <v>1443</v>
      </c>
      <c r="C418" s="571">
        <v>2</v>
      </c>
      <c r="D418" s="571" t="s">
        <v>1444</v>
      </c>
      <c r="E418" s="561" t="s">
        <v>2157</v>
      </c>
      <c r="F418" s="572"/>
      <c r="G418" s="571"/>
      <c r="H418" s="571"/>
    </row>
    <row r="419" spans="1:8" x14ac:dyDescent="0.2">
      <c r="A419" s="560" t="s">
        <v>2158</v>
      </c>
      <c r="B419" s="571" t="s">
        <v>1443</v>
      </c>
      <c r="C419" s="571">
        <v>2</v>
      </c>
      <c r="D419" s="571" t="s">
        <v>1444</v>
      </c>
      <c r="E419" s="561" t="s">
        <v>2159</v>
      </c>
      <c r="F419" s="572"/>
      <c r="G419" s="571"/>
      <c r="H419" s="571">
        <v>2</v>
      </c>
    </row>
    <row r="420" spans="1:8" x14ac:dyDescent="0.2">
      <c r="A420" s="560" t="s">
        <v>2160</v>
      </c>
      <c r="B420" s="571" t="s">
        <v>1443</v>
      </c>
      <c r="C420" s="571">
        <v>0</v>
      </c>
      <c r="D420" s="571" t="s">
        <v>1444</v>
      </c>
      <c r="E420" s="561" t="s">
        <v>2161</v>
      </c>
      <c r="F420" s="572"/>
      <c r="G420" s="571"/>
      <c r="H420" s="571"/>
    </row>
    <row r="421" spans="1:8" x14ac:dyDescent="0.2">
      <c r="A421" s="560" t="s">
        <v>2162</v>
      </c>
      <c r="B421" s="571" t="s">
        <v>1443</v>
      </c>
      <c r="C421" s="571">
        <v>0</v>
      </c>
      <c r="D421" s="571" t="s">
        <v>1444</v>
      </c>
      <c r="E421" s="561" t="s">
        <v>2163</v>
      </c>
      <c r="F421" s="572"/>
      <c r="G421" s="571"/>
      <c r="H421" s="571">
        <v>1</v>
      </c>
    </row>
    <row r="422" spans="1:8" x14ac:dyDescent="0.2">
      <c r="A422" s="560" t="s">
        <v>2164</v>
      </c>
      <c r="B422" s="571" t="s">
        <v>1443</v>
      </c>
      <c r="C422" s="571">
        <v>1</v>
      </c>
      <c r="D422" s="571" t="s">
        <v>1452</v>
      </c>
      <c r="E422" s="561" t="s">
        <v>2165</v>
      </c>
      <c r="F422" s="572"/>
      <c r="G422" s="571"/>
      <c r="H422" s="571"/>
    </row>
    <row r="423" spans="1:8" x14ac:dyDescent="0.2">
      <c r="A423" s="560" t="s">
        <v>2166</v>
      </c>
      <c r="B423" s="571" t="s">
        <v>1443</v>
      </c>
      <c r="C423" s="571">
        <v>1</v>
      </c>
      <c r="D423" s="571" t="s">
        <v>1452</v>
      </c>
      <c r="E423" s="561" t="s">
        <v>2167</v>
      </c>
      <c r="F423" s="572"/>
      <c r="G423" s="571"/>
      <c r="H423" s="571"/>
    </row>
    <row r="424" spans="1:8" x14ac:dyDescent="0.2">
      <c r="A424" s="560" t="s">
        <v>2168</v>
      </c>
      <c r="B424" s="571" t="s">
        <v>1443</v>
      </c>
      <c r="C424" s="571">
        <v>6</v>
      </c>
      <c r="D424" s="571" t="s">
        <v>1464</v>
      </c>
      <c r="E424" s="561" t="s">
        <v>2169</v>
      </c>
      <c r="F424" s="572"/>
      <c r="G424" s="571"/>
      <c r="H424" s="571"/>
    </row>
    <row r="425" spans="1:8" x14ac:dyDescent="0.2">
      <c r="A425" s="560" t="s">
        <v>2170</v>
      </c>
      <c r="B425" s="571" t="s">
        <v>1443</v>
      </c>
      <c r="C425" s="571">
        <v>9</v>
      </c>
      <c r="D425" s="571" t="s">
        <v>1464</v>
      </c>
      <c r="E425" s="561" t="s">
        <v>2171</v>
      </c>
      <c r="F425" s="572"/>
      <c r="G425" s="571"/>
      <c r="H425" s="571"/>
    </row>
    <row r="426" spans="1:8" x14ac:dyDescent="0.2">
      <c r="A426" s="560" t="s">
        <v>2172</v>
      </c>
      <c r="B426" s="571"/>
      <c r="C426" s="571">
        <v>0</v>
      </c>
      <c r="D426" s="571" t="s">
        <v>1464</v>
      </c>
      <c r="E426" s="561"/>
      <c r="F426" s="572"/>
      <c r="G426" s="571"/>
      <c r="H426" s="571"/>
    </row>
    <row r="427" spans="1:8" x14ac:dyDescent="0.2">
      <c r="A427" s="560" t="s">
        <v>2173</v>
      </c>
      <c r="B427" s="571" t="s">
        <v>1443</v>
      </c>
      <c r="C427" s="571">
        <v>4</v>
      </c>
      <c r="D427" s="571" t="s">
        <v>1452</v>
      </c>
      <c r="E427" s="561" t="s">
        <v>2174</v>
      </c>
      <c r="F427" s="572"/>
      <c r="G427" s="571"/>
      <c r="H427" s="571"/>
    </row>
    <row r="428" spans="1:8" x14ac:dyDescent="0.2">
      <c r="A428" s="560" t="s">
        <v>2175</v>
      </c>
      <c r="B428" s="571" t="s">
        <v>1443</v>
      </c>
      <c r="C428" s="571">
        <v>1</v>
      </c>
      <c r="D428" s="571" t="s">
        <v>1452</v>
      </c>
      <c r="E428" s="561" t="s">
        <v>2176</v>
      </c>
      <c r="F428" s="572"/>
      <c r="G428" s="571"/>
      <c r="H428" s="571"/>
    </row>
    <row r="429" spans="1:8" x14ac:dyDescent="0.2">
      <c r="A429" s="560" t="s">
        <v>2177</v>
      </c>
      <c r="B429" s="571" t="s">
        <v>1443</v>
      </c>
      <c r="C429" s="571">
        <v>2</v>
      </c>
      <c r="D429" s="571" t="s">
        <v>1444</v>
      </c>
      <c r="E429" s="561" t="s">
        <v>2178</v>
      </c>
      <c r="F429" s="572"/>
      <c r="G429" s="571"/>
      <c r="H429" s="571"/>
    </row>
    <row r="430" spans="1:8" x14ac:dyDescent="0.2">
      <c r="A430" s="560" t="s">
        <v>2179</v>
      </c>
      <c r="B430" s="571"/>
      <c r="C430" s="571">
        <v>0</v>
      </c>
      <c r="D430" s="571" t="s">
        <v>1452</v>
      </c>
      <c r="E430" s="561"/>
      <c r="F430" s="572"/>
      <c r="G430" s="571"/>
      <c r="H430" s="571"/>
    </row>
    <row r="431" spans="1:8" x14ac:dyDescent="0.2">
      <c r="A431" s="560" t="s">
        <v>2180</v>
      </c>
      <c r="B431" s="571" t="s">
        <v>1443</v>
      </c>
      <c r="C431" s="571">
        <v>15</v>
      </c>
      <c r="D431" s="571" t="s">
        <v>1452</v>
      </c>
      <c r="E431" s="561" t="s">
        <v>2181</v>
      </c>
      <c r="F431" s="572"/>
      <c r="G431" s="571"/>
      <c r="H431" s="571"/>
    </row>
    <row r="432" spans="1:8" x14ac:dyDescent="0.2">
      <c r="A432" s="560" t="s">
        <v>2182</v>
      </c>
      <c r="B432" s="571" t="s">
        <v>1443</v>
      </c>
      <c r="C432" s="571">
        <v>1</v>
      </c>
      <c r="D432" s="571" t="s">
        <v>1464</v>
      </c>
      <c r="E432" s="561" t="s">
        <v>2183</v>
      </c>
      <c r="F432" s="572"/>
      <c r="G432" s="571"/>
      <c r="H432" s="571">
        <v>1</v>
      </c>
    </row>
    <row r="433" spans="1:8" x14ac:dyDescent="0.2">
      <c r="A433" s="560" t="s">
        <v>2184</v>
      </c>
      <c r="B433" s="571"/>
      <c r="C433" s="571">
        <v>0</v>
      </c>
      <c r="D433" s="571" t="s">
        <v>1481</v>
      </c>
      <c r="E433" s="561" t="s">
        <v>2185</v>
      </c>
      <c r="F433" s="572"/>
      <c r="G433" s="571"/>
      <c r="H433" s="571"/>
    </row>
    <row r="434" spans="1:8" x14ac:dyDescent="0.2">
      <c r="A434" s="560" t="s">
        <v>2186</v>
      </c>
      <c r="B434" s="571"/>
      <c r="C434" s="571">
        <v>0</v>
      </c>
      <c r="D434" s="571" t="s">
        <v>1449</v>
      </c>
      <c r="E434" s="561" t="s">
        <v>2187</v>
      </c>
      <c r="F434" s="572"/>
      <c r="G434" s="571"/>
      <c r="H434" s="571"/>
    </row>
    <row r="435" spans="1:8" x14ac:dyDescent="0.2">
      <c r="A435" s="560" t="s">
        <v>2188</v>
      </c>
      <c r="B435" s="571" t="s">
        <v>1443</v>
      </c>
      <c r="C435" s="571">
        <v>0</v>
      </c>
      <c r="D435" s="571" t="s">
        <v>1464</v>
      </c>
      <c r="E435" s="561" t="s">
        <v>2189</v>
      </c>
      <c r="F435" s="572"/>
      <c r="G435" s="571"/>
      <c r="H435" s="571"/>
    </row>
    <row r="436" spans="1:8" x14ac:dyDescent="0.2">
      <c r="A436" s="560" t="s">
        <v>2190</v>
      </c>
      <c r="B436" s="571" t="s">
        <v>1443</v>
      </c>
      <c r="C436" s="571">
        <v>3</v>
      </c>
      <c r="D436" s="571" t="s">
        <v>1481</v>
      </c>
      <c r="E436" s="561" t="s">
        <v>2191</v>
      </c>
      <c r="F436" s="572"/>
      <c r="G436" s="571"/>
      <c r="H436" s="571">
        <v>1</v>
      </c>
    </row>
    <row r="437" spans="1:8" x14ac:dyDescent="0.2">
      <c r="A437" s="560" t="s">
        <v>2192</v>
      </c>
      <c r="B437" s="571" t="s">
        <v>1443</v>
      </c>
      <c r="C437" s="571">
        <v>1</v>
      </c>
      <c r="D437" s="571"/>
      <c r="E437" s="561" t="s">
        <v>2193</v>
      </c>
      <c r="F437" s="572"/>
      <c r="G437" s="571"/>
      <c r="H437" s="571"/>
    </row>
    <row r="438" spans="1:8" x14ac:dyDescent="0.2">
      <c r="A438" s="560" t="s">
        <v>2194</v>
      </c>
      <c r="B438" s="571" t="s">
        <v>1443</v>
      </c>
      <c r="C438" s="571">
        <v>1</v>
      </c>
      <c r="D438" s="571" t="s">
        <v>1464</v>
      </c>
      <c r="E438" s="561" t="s">
        <v>2195</v>
      </c>
      <c r="F438" s="572"/>
      <c r="G438" s="571"/>
      <c r="H438" s="571"/>
    </row>
    <row r="439" spans="1:8" x14ac:dyDescent="0.2">
      <c r="A439" s="560" t="s">
        <v>2196</v>
      </c>
      <c r="B439" s="571"/>
      <c r="C439" s="571">
        <v>0</v>
      </c>
      <c r="D439" s="571" t="s">
        <v>1464</v>
      </c>
      <c r="E439" s="561" t="s">
        <v>2197</v>
      </c>
      <c r="F439" s="572"/>
      <c r="G439" s="571"/>
      <c r="H439" s="571">
        <v>1</v>
      </c>
    </row>
    <row r="440" spans="1:8" x14ac:dyDescent="0.2">
      <c r="A440" s="560" t="s">
        <v>2198</v>
      </c>
      <c r="B440" s="571" t="s">
        <v>1443</v>
      </c>
      <c r="C440" s="571">
        <v>4</v>
      </c>
      <c r="D440" s="571" t="s">
        <v>1464</v>
      </c>
      <c r="E440" s="561" t="s">
        <v>2199</v>
      </c>
      <c r="F440" s="572"/>
      <c r="G440" s="571"/>
      <c r="H440" s="571"/>
    </row>
    <row r="441" spans="1:8" x14ac:dyDescent="0.2">
      <c r="A441" s="560" t="s">
        <v>2200</v>
      </c>
      <c r="B441" s="571" t="s">
        <v>1443</v>
      </c>
      <c r="C441" s="571">
        <v>1</v>
      </c>
      <c r="D441" s="571" t="s">
        <v>1464</v>
      </c>
      <c r="E441" s="561" t="s">
        <v>2201</v>
      </c>
      <c r="F441" s="572"/>
      <c r="G441" s="571"/>
      <c r="H441" s="571">
        <v>1</v>
      </c>
    </row>
    <row r="442" spans="1:8" x14ac:dyDescent="0.2">
      <c r="A442" s="560" t="s">
        <v>2202</v>
      </c>
      <c r="B442" s="571" t="s">
        <v>1443</v>
      </c>
      <c r="C442" s="571">
        <v>1</v>
      </c>
      <c r="D442" s="571" t="s">
        <v>1464</v>
      </c>
      <c r="E442" s="561" t="s">
        <v>2203</v>
      </c>
      <c r="F442" s="572"/>
      <c r="G442" s="571"/>
      <c r="H442" s="571"/>
    </row>
    <row r="443" spans="1:8" x14ac:dyDescent="0.2">
      <c r="A443" s="560" t="s">
        <v>2204</v>
      </c>
      <c r="B443" s="571" t="s">
        <v>1443</v>
      </c>
      <c r="C443" s="571">
        <v>8</v>
      </c>
      <c r="D443" s="571" t="s">
        <v>1449</v>
      </c>
      <c r="E443" s="561" t="s">
        <v>2205</v>
      </c>
      <c r="F443" s="572"/>
      <c r="G443" s="571"/>
      <c r="H443" s="571"/>
    </row>
    <row r="444" spans="1:8" x14ac:dyDescent="0.2">
      <c r="A444" s="560" t="s">
        <v>2206</v>
      </c>
      <c r="B444" s="571"/>
      <c r="C444" s="571">
        <v>0</v>
      </c>
      <c r="D444" s="571"/>
      <c r="E444" s="561"/>
      <c r="F444" s="572"/>
      <c r="G444" s="571"/>
      <c r="H444" s="571"/>
    </row>
    <row r="445" spans="1:8" x14ac:dyDescent="0.2">
      <c r="A445" s="560" t="s">
        <v>1216</v>
      </c>
      <c r="B445" s="571"/>
      <c r="C445" s="571">
        <v>0</v>
      </c>
      <c r="D445" s="571" t="s">
        <v>1464</v>
      </c>
      <c r="E445" s="561" t="s">
        <v>1217</v>
      </c>
      <c r="F445" s="572" t="s">
        <v>1456</v>
      </c>
      <c r="G445" s="571" t="s">
        <v>1456</v>
      </c>
      <c r="H445" s="571"/>
    </row>
    <row r="446" spans="1:8" x14ac:dyDescent="0.2">
      <c r="A446" s="560" t="s">
        <v>2207</v>
      </c>
      <c r="B446" s="571" t="s">
        <v>1443</v>
      </c>
      <c r="C446" s="571">
        <v>2</v>
      </c>
      <c r="D446" s="571" t="s">
        <v>1449</v>
      </c>
      <c r="E446" s="561" t="s">
        <v>2208</v>
      </c>
      <c r="F446" s="572"/>
      <c r="G446" s="571"/>
      <c r="H446" s="571"/>
    </row>
    <row r="447" spans="1:8" x14ac:dyDescent="0.2">
      <c r="A447" s="560" t="s">
        <v>2209</v>
      </c>
      <c r="B447" s="571" t="s">
        <v>1443</v>
      </c>
      <c r="C447" s="571">
        <v>8</v>
      </c>
      <c r="D447" s="571" t="s">
        <v>1452</v>
      </c>
      <c r="E447" s="561" t="s">
        <v>2210</v>
      </c>
      <c r="F447" s="572"/>
      <c r="G447" s="571"/>
      <c r="H447" s="571"/>
    </row>
    <row r="448" spans="1:8" x14ac:dyDescent="0.2">
      <c r="A448" s="562" t="s">
        <v>2211</v>
      </c>
      <c r="B448" s="571" t="s">
        <v>1443</v>
      </c>
      <c r="C448" s="571">
        <v>0</v>
      </c>
      <c r="D448" s="571"/>
      <c r="E448" s="561"/>
      <c r="F448" s="572"/>
      <c r="G448" s="571"/>
      <c r="H448" s="571"/>
    </row>
    <row r="449" spans="1:8" x14ac:dyDescent="0.2">
      <c r="A449" s="560" t="s">
        <v>2212</v>
      </c>
      <c r="B449" s="571"/>
      <c r="C449" s="571">
        <v>0</v>
      </c>
      <c r="D449" s="571" t="s">
        <v>1444</v>
      </c>
      <c r="E449" s="561" t="s">
        <v>2213</v>
      </c>
      <c r="F449" s="572"/>
      <c r="G449" s="571"/>
      <c r="H449" s="571"/>
    </row>
    <row r="450" spans="1:8" x14ac:dyDescent="0.2">
      <c r="A450" s="560" t="s">
        <v>2214</v>
      </c>
      <c r="B450" s="571"/>
      <c r="C450" s="571">
        <v>0</v>
      </c>
      <c r="D450" s="571" t="s">
        <v>1449</v>
      </c>
      <c r="E450" s="561" t="s">
        <v>2215</v>
      </c>
      <c r="F450" s="572"/>
      <c r="G450" s="571"/>
      <c r="H450" s="571"/>
    </row>
    <row r="451" spans="1:8" x14ac:dyDescent="0.2">
      <c r="A451" s="560" t="s">
        <v>1218</v>
      </c>
      <c r="B451" s="571" t="s">
        <v>1443</v>
      </c>
      <c r="C451" s="571">
        <v>1</v>
      </c>
      <c r="D451" s="571" t="s">
        <v>1452</v>
      </c>
      <c r="E451" s="561" t="s">
        <v>1219</v>
      </c>
      <c r="F451" s="572" t="s">
        <v>1456</v>
      </c>
      <c r="G451" s="571" t="s">
        <v>1456</v>
      </c>
      <c r="H451" s="571"/>
    </row>
    <row r="452" spans="1:8" x14ac:dyDescent="0.2">
      <c r="A452" s="560" t="s">
        <v>1220</v>
      </c>
      <c r="B452" s="571"/>
      <c r="C452" s="571">
        <v>0</v>
      </c>
      <c r="D452" s="571" t="s">
        <v>1449</v>
      </c>
      <c r="E452" s="561" t="s">
        <v>1221</v>
      </c>
      <c r="F452" s="572" t="s">
        <v>1456</v>
      </c>
      <c r="G452" s="571"/>
      <c r="H452" s="571"/>
    </row>
    <row r="453" spans="1:8" x14ac:dyDescent="0.2">
      <c r="A453" s="560" t="s">
        <v>2216</v>
      </c>
      <c r="B453" s="571" t="s">
        <v>1443</v>
      </c>
      <c r="C453" s="571">
        <v>2</v>
      </c>
      <c r="D453" s="571" t="s">
        <v>1452</v>
      </c>
      <c r="E453" s="561" t="s">
        <v>2217</v>
      </c>
      <c r="F453" s="572"/>
      <c r="G453" s="571"/>
      <c r="H453" s="571"/>
    </row>
    <row r="454" spans="1:8" x14ac:dyDescent="0.2">
      <c r="A454" s="560" t="s">
        <v>2218</v>
      </c>
      <c r="B454" s="571"/>
      <c r="C454" s="571">
        <v>0</v>
      </c>
      <c r="D454" s="571" t="s">
        <v>1444</v>
      </c>
      <c r="E454" s="561" t="s">
        <v>2219</v>
      </c>
      <c r="F454" s="572"/>
      <c r="G454" s="571"/>
      <c r="H454" s="571"/>
    </row>
    <row r="455" spans="1:8" x14ac:dyDescent="0.2">
      <c r="A455" s="560" t="s">
        <v>2220</v>
      </c>
      <c r="B455" s="571"/>
      <c r="C455" s="571">
        <v>0</v>
      </c>
      <c r="D455" s="571" t="s">
        <v>1449</v>
      </c>
      <c r="E455" s="561" t="s">
        <v>2221</v>
      </c>
      <c r="F455" s="572"/>
      <c r="G455" s="571"/>
      <c r="H455" s="571"/>
    </row>
    <row r="456" spans="1:8" x14ac:dyDescent="0.2">
      <c r="A456" s="560" t="s">
        <v>2222</v>
      </c>
      <c r="B456" s="571" t="s">
        <v>1443</v>
      </c>
      <c r="C456" s="571">
        <v>18</v>
      </c>
      <c r="D456" s="571" t="s">
        <v>1449</v>
      </c>
      <c r="E456" s="561" t="s">
        <v>2223</v>
      </c>
      <c r="F456" s="572"/>
      <c r="G456" s="571"/>
      <c r="H456" s="571"/>
    </row>
    <row r="457" spans="1:8" x14ac:dyDescent="0.2">
      <c r="A457" s="560" t="s">
        <v>2224</v>
      </c>
      <c r="B457" s="571" t="s">
        <v>1443</v>
      </c>
      <c r="C457" s="571">
        <v>8</v>
      </c>
      <c r="D457" s="571" t="s">
        <v>1449</v>
      </c>
      <c r="E457" s="561" t="s">
        <v>2225</v>
      </c>
      <c r="F457" s="572"/>
      <c r="G457" s="571"/>
      <c r="H457" s="571"/>
    </row>
    <row r="458" spans="1:8" x14ac:dyDescent="0.2">
      <c r="A458" s="560" t="s">
        <v>2226</v>
      </c>
      <c r="B458" s="571"/>
      <c r="C458" s="571">
        <v>0</v>
      </c>
      <c r="D458" s="571" t="s">
        <v>1481</v>
      </c>
      <c r="E458" s="561" t="s">
        <v>2227</v>
      </c>
      <c r="F458" s="572"/>
      <c r="G458" s="571"/>
      <c r="H458" s="571"/>
    </row>
    <row r="459" spans="1:8" x14ac:dyDescent="0.2">
      <c r="A459" s="560" t="s">
        <v>2228</v>
      </c>
      <c r="B459" s="571" t="s">
        <v>1443</v>
      </c>
      <c r="C459" s="571">
        <v>13</v>
      </c>
      <c r="D459" s="571" t="s">
        <v>1449</v>
      </c>
      <c r="E459" s="561" t="s">
        <v>2229</v>
      </c>
      <c r="F459" s="572"/>
      <c r="G459" s="571"/>
      <c r="H459" s="571"/>
    </row>
    <row r="460" spans="1:8" x14ac:dyDescent="0.2">
      <c r="A460" s="560" t="s">
        <v>2230</v>
      </c>
      <c r="B460" s="571"/>
      <c r="C460" s="571">
        <v>0</v>
      </c>
      <c r="D460" s="571" t="s">
        <v>1449</v>
      </c>
      <c r="E460" s="561" t="s">
        <v>2231</v>
      </c>
      <c r="F460" s="572"/>
      <c r="G460" s="571"/>
      <c r="H460" s="571"/>
    </row>
    <row r="461" spans="1:8" x14ac:dyDescent="0.2">
      <c r="A461" s="560" t="s">
        <v>2232</v>
      </c>
      <c r="B461" s="571" t="s">
        <v>1443</v>
      </c>
      <c r="C461" s="571">
        <v>0</v>
      </c>
      <c r="D461" s="571" t="s">
        <v>1481</v>
      </c>
      <c r="E461" s="561" t="s">
        <v>2233</v>
      </c>
      <c r="F461" s="572"/>
      <c r="G461" s="571"/>
      <c r="H461" s="571"/>
    </row>
    <row r="462" spans="1:8" x14ac:dyDescent="0.2">
      <c r="A462" s="560" t="s">
        <v>2234</v>
      </c>
      <c r="B462" s="571" t="s">
        <v>1443</v>
      </c>
      <c r="C462" s="571">
        <v>10</v>
      </c>
      <c r="D462" s="571" t="s">
        <v>1481</v>
      </c>
      <c r="E462" s="561" t="s">
        <v>2235</v>
      </c>
      <c r="F462" s="572"/>
      <c r="G462" s="571"/>
      <c r="H462" s="571"/>
    </row>
    <row r="463" spans="1:8" x14ac:dyDescent="0.2">
      <c r="A463" s="560" t="s">
        <v>2236</v>
      </c>
      <c r="B463" s="571" t="s">
        <v>1443</v>
      </c>
      <c r="C463" s="571">
        <v>0</v>
      </c>
      <c r="D463" s="571" t="s">
        <v>1481</v>
      </c>
      <c r="E463" s="561" t="s">
        <v>2237</v>
      </c>
      <c r="F463" s="572"/>
      <c r="G463" s="571"/>
      <c r="H463" s="571"/>
    </row>
    <row r="464" spans="1:8" x14ac:dyDescent="0.2">
      <c r="A464" s="560" t="s">
        <v>2238</v>
      </c>
      <c r="B464" s="571" t="s">
        <v>1443</v>
      </c>
      <c r="C464" s="571">
        <v>10</v>
      </c>
      <c r="D464" s="571"/>
      <c r="E464" s="561"/>
      <c r="F464" s="572"/>
      <c r="G464" s="571"/>
      <c r="H464" s="571"/>
    </row>
    <row r="465" spans="1:8" x14ac:dyDescent="0.2">
      <c r="A465" s="560" t="s">
        <v>2239</v>
      </c>
      <c r="B465" s="571" t="s">
        <v>1443</v>
      </c>
      <c r="C465" s="571">
        <v>3</v>
      </c>
      <c r="D465" s="571" t="s">
        <v>1481</v>
      </c>
      <c r="E465" s="561" t="s">
        <v>2240</v>
      </c>
      <c r="F465" s="572"/>
      <c r="G465" s="571"/>
      <c r="H465" s="571"/>
    </row>
    <row r="466" spans="1:8" x14ac:dyDescent="0.2">
      <c r="A466" s="560" t="s">
        <v>2241</v>
      </c>
      <c r="B466" s="571"/>
      <c r="C466" s="571">
        <v>0</v>
      </c>
      <c r="D466" s="571" t="s">
        <v>1481</v>
      </c>
      <c r="E466" s="561" t="s">
        <v>2242</v>
      </c>
      <c r="F466" s="572"/>
      <c r="G466" s="571"/>
      <c r="H466" s="571">
        <v>1</v>
      </c>
    </row>
    <row r="467" spans="1:8" x14ac:dyDescent="0.2">
      <c r="A467" s="560" t="s">
        <v>2243</v>
      </c>
      <c r="B467" s="571" t="s">
        <v>1443</v>
      </c>
      <c r="C467" s="571">
        <v>7</v>
      </c>
      <c r="D467" s="571" t="s">
        <v>1481</v>
      </c>
      <c r="E467" s="561" t="s">
        <v>2244</v>
      </c>
      <c r="F467" s="572"/>
      <c r="G467" s="571"/>
      <c r="H467" s="571"/>
    </row>
    <row r="468" spans="1:8" x14ac:dyDescent="0.2">
      <c r="A468" s="560" t="s">
        <v>2245</v>
      </c>
      <c r="B468" s="571" t="s">
        <v>1443</v>
      </c>
      <c r="C468" s="571">
        <v>1</v>
      </c>
      <c r="D468" s="571" t="s">
        <v>1464</v>
      </c>
      <c r="E468" s="561" t="s">
        <v>2246</v>
      </c>
      <c r="F468" s="572"/>
      <c r="G468" s="571"/>
      <c r="H468" s="571"/>
    </row>
    <row r="469" spans="1:8" x14ac:dyDescent="0.2">
      <c r="A469" s="560" t="s">
        <v>2247</v>
      </c>
      <c r="B469" s="571"/>
      <c r="C469" s="571">
        <v>0</v>
      </c>
      <c r="D469" s="571" t="s">
        <v>1464</v>
      </c>
      <c r="E469" s="561"/>
      <c r="F469" s="572"/>
      <c r="G469" s="571"/>
      <c r="H469" s="571"/>
    </row>
    <row r="470" spans="1:8" x14ac:dyDescent="0.2">
      <c r="A470" s="560" t="s">
        <v>2248</v>
      </c>
      <c r="B470" s="571" t="s">
        <v>1443</v>
      </c>
      <c r="C470" s="571">
        <v>12</v>
      </c>
      <c r="D470" s="571" t="s">
        <v>1449</v>
      </c>
      <c r="E470" s="561" t="s">
        <v>2249</v>
      </c>
      <c r="F470" s="572"/>
      <c r="G470" s="571"/>
      <c r="H470" s="571"/>
    </row>
    <row r="471" spans="1:8" x14ac:dyDescent="0.2">
      <c r="A471" s="560" t="s">
        <v>2250</v>
      </c>
      <c r="B471" s="571" t="s">
        <v>1443</v>
      </c>
      <c r="C471" s="571">
        <v>5</v>
      </c>
      <c r="D471" s="571" t="s">
        <v>1464</v>
      </c>
      <c r="E471" s="561" t="s">
        <v>2251</v>
      </c>
      <c r="F471" s="572"/>
      <c r="G471" s="571"/>
      <c r="H471" s="571"/>
    </row>
    <row r="472" spans="1:8" x14ac:dyDescent="0.2">
      <c r="A472" s="560" t="s">
        <v>2252</v>
      </c>
      <c r="B472" s="571" t="s">
        <v>1443</v>
      </c>
      <c r="C472" s="571">
        <v>3</v>
      </c>
      <c r="D472" s="571" t="s">
        <v>1481</v>
      </c>
      <c r="E472" s="561" t="s">
        <v>2253</v>
      </c>
      <c r="F472" s="572"/>
      <c r="G472" s="571"/>
      <c r="H472" s="571"/>
    </row>
    <row r="473" spans="1:8" x14ac:dyDescent="0.2">
      <c r="A473" s="560" t="s">
        <v>2254</v>
      </c>
      <c r="B473" s="571" t="s">
        <v>1443</v>
      </c>
      <c r="C473" s="571">
        <v>0</v>
      </c>
      <c r="D473" s="571" t="s">
        <v>1481</v>
      </c>
      <c r="E473" s="561" t="s">
        <v>2255</v>
      </c>
      <c r="F473" s="572"/>
      <c r="G473" s="571"/>
      <c r="H473" s="571"/>
    </row>
    <row r="474" spans="1:8" x14ac:dyDescent="0.2">
      <c r="A474" s="560" t="s">
        <v>2256</v>
      </c>
      <c r="B474" s="571" t="s">
        <v>1443</v>
      </c>
      <c r="C474" s="571">
        <v>0</v>
      </c>
      <c r="D474" s="571" t="s">
        <v>1481</v>
      </c>
      <c r="E474" s="561" t="s">
        <v>2257</v>
      </c>
      <c r="F474" s="572"/>
      <c r="G474" s="571"/>
      <c r="H474" s="571"/>
    </row>
    <row r="475" spans="1:8" x14ac:dyDescent="0.2">
      <c r="A475" s="560" t="s">
        <v>2258</v>
      </c>
      <c r="B475" s="571" t="s">
        <v>1443</v>
      </c>
      <c r="C475" s="571">
        <v>0</v>
      </c>
      <c r="D475" s="571"/>
      <c r="E475" s="561" t="s">
        <v>2259</v>
      </c>
      <c r="F475" s="572"/>
      <c r="G475" s="571"/>
      <c r="H475" s="571"/>
    </row>
    <row r="476" spans="1:8" x14ac:dyDescent="0.2">
      <c r="A476" s="560" t="s">
        <v>2260</v>
      </c>
      <c r="B476" s="571" t="s">
        <v>1443</v>
      </c>
      <c r="C476" s="571">
        <v>1</v>
      </c>
      <c r="D476" s="571" t="s">
        <v>1449</v>
      </c>
      <c r="E476" s="561" t="s">
        <v>2261</v>
      </c>
      <c r="F476" s="572"/>
      <c r="G476" s="571"/>
      <c r="H476" s="571"/>
    </row>
    <row r="477" spans="1:8" x14ac:dyDescent="0.2">
      <c r="A477" s="560" t="s">
        <v>2262</v>
      </c>
      <c r="B477" s="571" t="s">
        <v>1443</v>
      </c>
      <c r="C477" s="571">
        <v>0</v>
      </c>
      <c r="D477" s="571"/>
      <c r="E477" s="561" t="s">
        <v>2263</v>
      </c>
      <c r="F477" s="572"/>
      <c r="G477" s="571"/>
      <c r="H477" s="571"/>
    </row>
    <row r="478" spans="1:8" x14ac:dyDescent="0.2">
      <c r="A478" s="560" t="s">
        <v>2264</v>
      </c>
      <c r="B478" s="571" t="s">
        <v>1443</v>
      </c>
      <c r="C478" s="571">
        <v>14</v>
      </c>
      <c r="D478" s="571" t="s">
        <v>1481</v>
      </c>
      <c r="E478" s="561" t="s">
        <v>2265</v>
      </c>
      <c r="F478" s="572"/>
      <c r="G478" s="571"/>
      <c r="H478" s="571"/>
    </row>
    <row r="479" spans="1:8" x14ac:dyDescent="0.2">
      <c r="A479" s="560" t="s">
        <v>2266</v>
      </c>
      <c r="B479" s="571"/>
      <c r="C479" s="571">
        <v>0</v>
      </c>
      <c r="D479" s="571" t="s">
        <v>1464</v>
      </c>
      <c r="E479" s="561"/>
      <c r="F479" s="572"/>
      <c r="G479" s="571"/>
      <c r="H479" s="571"/>
    </row>
    <row r="480" spans="1:8" x14ac:dyDescent="0.2">
      <c r="A480" s="560" t="s">
        <v>2267</v>
      </c>
      <c r="B480" s="571"/>
      <c r="C480" s="571">
        <v>0</v>
      </c>
      <c r="D480" s="571" t="s">
        <v>1481</v>
      </c>
      <c r="E480" s="561"/>
      <c r="F480" s="572"/>
      <c r="G480" s="571"/>
      <c r="H480" s="571"/>
    </row>
    <row r="481" spans="1:8" x14ac:dyDescent="0.2">
      <c r="A481" s="560" t="s">
        <v>2268</v>
      </c>
      <c r="B481" s="571"/>
      <c r="C481" s="571">
        <v>0</v>
      </c>
      <c r="D481" s="571" t="s">
        <v>1444</v>
      </c>
      <c r="E481" s="561" t="s">
        <v>2269</v>
      </c>
      <c r="F481" s="572"/>
      <c r="G481" s="571"/>
      <c r="H481" s="571"/>
    </row>
    <row r="482" spans="1:8" x14ac:dyDescent="0.2">
      <c r="A482" s="560" t="s">
        <v>2270</v>
      </c>
      <c r="B482" s="571" t="s">
        <v>1443</v>
      </c>
      <c r="C482" s="571">
        <v>1</v>
      </c>
      <c r="D482" s="571" t="s">
        <v>1449</v>
      </c>
      <c r="E482" s="561" t="s">
        <v>2271</v>
      </c>
      <c r="F482" s="572"/>
      <c r="G482" s="571"/>
      <c r="H482" s="571">
        <v>2</v>
      </c>
    </row>
    <row r="483" spans="1:8" x14ac:dyDescent="0.2">
      <c r="A483" s="560" t="s">
        <v>2272</v>
      </c>
      <c r="B483" s="571"/>
      <c r="C483" s="571">
        <v>0</v>
      </c>
      <c r="D483" s="571" t="s">
        <v>1444</v>
      </c>
      <c r="E483" s="561" t="s">
        <v>2273</v>
      </c>
      <c r="F483" s="572"/>
      <c r="G483" s="571"/>
      <c r="H483" s="571"/>
    </row>
    <row r="484" spans="1:8" x14ac:dyDescent="0.2">
      <c r="A484" s="560" t="s">
        <v>2274</v>
      </c>
      <c r="B484" s="571" t="s">
        <v>1443</v>
      </c>
      <c r="C484" s="571">
        <v>0</v>
      </c>
      <c r="D484" s="571" t="s">
        <v>1481</v>
      </c>
      <c r="E484" s="561" t="s">
        <v>2275</v>
      </c>
      <c r="F484" s="572"/>
      <c r="G484" s="571"/>
      <c r="H484" s="571">
        <v>1</v>
      </c>
    </row>
    <row r="485" spans="1:8" x14ac:dyDescent="0.2">
      <c r="A485" s="560" t="s">
        <v>2276</v>
      </c>
      <c r="B485" s="571" t="s">
        <v>1443</v>
      </c>
      <c r="C485" s="571">
        <v>16</v>
      </c>
      <c r="D485" s="571" t="s">
        <v>1481</v>
      </c>
      <c r="E485" s="561" t="s">
        <v>2277</v>
      </c>
      <c r="F485" s="572"/>
      <c r="G485" s="571"/>
      <c r="H485" s="571"/>
    </row>
    <row r="486" spans="1:8" x14ac:dyDescent="0.2">
      <c r="A486" s="560" t="s">
        <v>2278</v>
      </c>
      <c r="B486" s="571" t="s">
        <v>1443</v>
      </c>
      <c r="C486" s="571">
        <v>0</v>
      </c>
      <c r="D486" s="571" t="s">
        <v>1481</v>
      </c>
      <c r="E486" s="561" t="s">
        <v>2279</v>
      </c>
      <c r="F486" s="572"/>
      <c r="G486" s="571"/>
      <c r="H486" s="571"/>
    </row>
    <row r="487" spans="1:8" x14ac:dyDescent="0.2">
      <c r="A487" s="560" t="s">
        <v>2280</v>
      </c>
      <c r="B487" s="571"/>
      <c r="C487" s="571">
        <v>0</v>
      </c>
      <c r="D487" s="571" t="s">
        <v>1452</v>
      </c>
      <c r="E487" s="561" t="s">
        <v>2281</v>
      </c>
      <c r="F487" s="572"/>
      <c r="G487" s="571"/>
      <c r="H487" s="571"/>
    </row>
    <row r="488" spans="1:8" x14ac:dyDescent="0.2">
      <c r="A488" s="560" t="s">
        <v>2282</v>
      </c>
      <c r="B488" s="571" t="s">
        <v>1443</v>
      </c>
      <c r="C488" s="571">
        <v>18</v>
      </c>
      <c r="D488" s="571" t="s">
        <v>1481</v>
      </c>
      <c r="E488" s="561" t="s">
        <v>2283</v>
      </c>
      <c r="F488" s="572"/>
      <c r="G488" s="571"/>
      <c r="H488" s="571"/>
    </row>
    <row r="489" spans="1:8" x14ac:dyDescent="0.2">
      <c r="A489" s="560" t="s">
        <v>2284</v>
      </c>
      <c r="B489" s="571" t="s">
        <v>1443</v>
      </c>
      <c r="C489" s="571">
        <v>8</v>
      </c>
      <c r="D489" s="571" t="s">
        <v>1464</v>
      </c>
      <c r="E489" s="561" t="s">
        <v>2285</v>
      </c>
      <c r="F489" s="572"/>
      <c r="G489" s="571"/>
      <c r="H489" s="571"/>
    </row>
    <row r="490" spans="1:8" x14ac:dyDescent="0.2">
      <c r="A490" s="560" t="s">
        <v>2286</v>
      </c>
      <c r="B490" s="571" t="s">
        <v>1443</v>
      </c>
      <c r="C490" s="571">
        <v>0</v>
      </c>
      <c r="D490" s="571" t="s">
        <v>1464</v>
      </c>
      <c r="E490" s="561" t="s">
        <v>2287</v>
      </c>
      <c r="F490" s="572"/>
      <c r="G490" s="571"/>
      <c r="H490" s="571"/>
    </row>
    <row r="491" spans="1:8" x14ac:dyDescent="0.2">
      <c r="A491" s="560" t="s">
        <v>2288</v>
      </c>
      <c r="B491" s="571" t="s">
        <v>1443</v>
      </c>
      <c r="C491" s="571">
        <v>0</v>
      </c>
      <c r="D491" s="571" t="s">
        <v>1481</v>
      </c>
      <c r="E491" s="561" t="s">
        <v>2289</v>
      </c>
      <c r="F491" s="572"/>
      <c r="G491" s="571"/>
      <c r="H491" s="571"/>
    </row>
    <row r="492" spans="1:8" x14ac:dyDescent="0.2">
      <c r="A492" s="560" t="s">
        <v>2290</v>
      </c>
      <c r="B492" s="571" t="s">
        <v>1443</v>
      </c>
      <c r="C492" s="571">
        <v>9</v>
      </c>
      <c r="D492" s="571" t="s">
        <v>1464</v>
      </c>
      <c r="E492" s="561" t="s">
        <v>2291</v>
      </c>
      <c r="F492" s="572"/>
      <c r="G492" s="571"/>
      <c r="H492" s="571"/>
    </row>
    <row r="493" spans="1:8" x14ac:dyDescent="0.2">
      <c r="A493" s="560" t="s">
        <v>2292</v>
      </c>
      <c r="B493" s="571" t="s">
        <v>1443</v>
      </c>
      <c r="C493" s="571">
        <v>0</v>
      </c>
      <c r="D493" s="571" t="s">
        <v>1464</v>
      </c>
      <c r="E493" s="561" t="s">
        <v>2293</v>
      </c>
      <c r="F493" s="572"/>
      <c r="G493" s="571"/>
      <c r="H493" s="571"/>
    </row>
    <row r="494" spans="1:8" x14ac:dyDescent="0.2">
      <c r="A494" s="560" t="s">
        <v>2294</v>
      </c>
      <c r="B494" s="571" t="s">
        <v>1443</v>
      </c>
      <c r="C494" s="571">
        <v>1</v>
      </c>
      <c r="D494" s="571" t="s">
        <v>1481</v>
      </c>
      <c r="E494" s="561" t="s">
        <v>2295</v>
      </c>
      <c r="F494" s="572"/>
      <c r="G494" s="571"/>
      <c r="H494" s="571"/>
    </row>
    <row r="495" spans="1:8" x14ac:dyDescent="0.2">
      <c r="A495" s="560" t="s">
        <v>2296</v>
      </c>
      <c r="B495" s="571" t="s">
        <v>1443</v>
      </c>
      <c r="C495" s="571">
        <v>5</v>
      </c>
      <c r="D495" s="571" t="s">
        <v>1464</v>
      </c>
      <c r="E495" s="561" t="s">
        <v>2297</v>
      </c>
      <c r="F495" s="572"/>
      <c r="G495" s="571"/>
      <c r="H495" s="571"/>
    </row>
    <row r="496" spans="1:8" x14ac:dyDescent="0.2">
      <c r="A496" s="560" t="s">
        <v>2298</v>
      </c>
      <c r="B496" s="571"/>
      <c r="C496" s="571">
        <v>0</v>
      </c>
      <c r="D496" s="571" t="s">
        <v>1481</v>
      </c>
      <c r="E496" s="561" t="s">
        <v>2299</v>
      </c>
      <c r="F496" s="572"/>
      <c r="G496" s="571"/>
      <c r="H496" s="571"/>
    </row>
    <row r="497" spans="1:8" x14ac:dyDescent="0.2">
      <c r="A497" s="560" t="s">
        <v>2300</v>
      </c>
      <c r="B497" s="571" t="s">
        <v>1443</v>
      </c>
      <c r="C497" s="571">
        <v>0</v>
      </c>
      <c r="D497" s="571" t="s">
        <v>1464</v>
      </c>
      <c r="E497" s="561" t="s">
        <v>2301</v>
      </c>
      <c r="F497" s="572"/>
      <c r="G497" s="571"/>
      <c r="H497" s="571">
        <v>1</v>
      </c>
    </row>
    <row r="498" spans="1:8" x14ac:dyDescent="0.2">
      <c r="A498" s="560" t="s">
        <v>2302</v>
      </c>
      <c r="B498" s="571" t="s">
        <v>1443</v>
      </c>
      <c r="C498" s="571">
        <v>3</v>
      </c>
      <c r="D498" s="571" t="s">
        <v>1444</v>
      </c>
      <c r="E498" s="561" t="s">
        <v>2303</v>
      </c>
      <c r="F498" s="572"/>
      <c r="G498" s="571"/>
      <c r="H498" s="571"/>
    </row>
    <row r="499" spans="1:8" x14ac:dyDescent="0.2">
      <c r="A499" s="562" t="s">
        <v>2304</v>
      </c>
      <c r="B499" s="571" t="s">
        <v>1443</v>
      </c>
      <c r="C499" s="571">
        <v>0</v>
      </c>
      <c r="D499" s="571"/>
      <c r="E499" s="561"/>
      <c r="F499" s="572"/>
      <c r="G499" s="571"/>
      <c r="H499" s="571"/>
    </row>
    <row r="500" spans="1:8" x14ac:dyDescent="0.2">
      <c r="A500" s="560" t="s">
        <v>2305</v>
      </c>
      <c r="B500" s="571"/>
      <c r="C500" s="571">
        <v>0</v>
      </c>
      <c r="D500" s="571" t="s">
        <v>1452</v>
      </c>
      <c r="E500" s="561" t="s">
        <v>2306</v>
      </c>
      <c r="F500" s="572"/>
      <c r="G500" s="571"/>
      <c r="H500" s="571"/>
    </row>
    <row r="501" spans="1:8" x14ac:dyDescent="0.2">
      <c r="A501" s="560" t="s">
        <v>2307</v>
      </c>
      <c r="B501" s="571" t="s">
        <v>1443</v>
      </c>
      <c r="C501" s="571">
        <v>0</v>
      </c>
      <c r="D501" s="571" t="s">
        <v>1449</v>
      </c>
      <c r="E501" s="561" t="s">
        <v>2308</v>
      </c>
      <c r="F501" s="572"/>
      <c r="G501" s="571"/>
      <c r="H501" s="571"/>
    </row>
    <row r="502" spans="1:8" x14ac:dyDescent="0.2">
      <c r="A502" s="560" t="s">
        <v>2309</v>
      </c>
      <c r="B502" s="571"/>
      <c r="C502" s="571">
        <v>0</v>
      </c>
      <c r="D502" s="571" t="s">
        <v>1449</v>
      </c>
      <c r="E502" s="561" t="s">
        <v>2310</v>
      </c>
      <c r="F502" s="572"/>
      <c r="G502" s="571"/>
      <c r="H502" s="571"/>
    </row>
    <row r="503" spans="1:8" x14ac:dyDescent="0.2">
      <c r="A503" s="560" t="s">
        <v>1222</v>
      </c>
      <c r="B503" s="571" t="s">
        <v>1443</v>
      </c>
      <c r="C503" s="571">
        <v>0</v>
      </c>
      <c r="D503" s="571" t="s">
        <v>1452</v>
      </c>
      <c r="E503" s="561" t="s">
        <v>1223</v>
      </c>
      <c r="F503" s="572" t="s">
        <v>1456</v>
      </c>
      <c r="G503" s="571"/>
      <c r="H503" s="571"/>
    </row>
    <row r="504" spans="1:8" x14ac:dyDescent="0.2">
      <c r="A504" s="560" t="s">
        <v>1224</v>
      </c>
      <c r="B504" s="571" t="s">
        <v>1443</v>
      </c>
      <c r="C504" s="571">
        <v>0</v>
      </c>
      <c r="D504" s="571" t="s">
        <v>1444</v>
      </c>
      <c r="E504" s="561" t="s">
        <v>1225</v>
      </c>
      <c r="F504" s="572" t="s">
        <v>1456</v>
      </c>
      <c r="G504" s="571" t="s">
        <v>1456</v>
      </c>
      <c r="H504" s="571"/>
    </row>
    <row r="505" spans="1:8" x14ac:dyDescent="0.2">
      <c r="A505" s="560" t="s">
        <v>1226</v>
      </c>
      <c r="B505" s="571" t="s">
        <v>1443</v>
      </c>
      <c r="C505" s="571">
        <v>1</v>
      </c>
      <c r="D505" s="571" t="s">
        <v>1444</v>
      </c>
      <c r="E505" s="561" t="s">
        <v>1227</v>
      </c>
      <c r="F505" s="572" t="s">
        <v>1456</v>
      </c>
      <c r="G505" s="571"/>
      <c r="H505" s="571"/>
    </row>
    <row r="506" spans="1:8" x14ac:dyDescent="0.2">
      <c r="A506" s="560" t="s">
        <v>2311</v>
      </c>
      <c r="B506" s="571" t="s">
        <v>1443</v>
      </c>
      <c r="C506" s="571">
        <v>1</v>
      </c>
      <c r="D506" s="571" t="s">
        <v>1481</v>
      </c>
      <c r="E506" s="561"/>
      <c r="F506" s="572"/>
      <c r="G506" s="571"/>
      <c r="H506" s="571"/>
    </row>
    <row r="507" spans="1:8" x14ac:dyDescent="0.2">
      <c r="A507" s="560" t="s">
        <v>2312</v>
      </c>
      <c r="B507" s="571" t="s">
        <v>1443</v>
      </c>
      <c r="C507" s="571">
        <v>1</v>
      </c>
      <c r="D507" s="571" t="s">
        <v>1449</v>
      </c>
      <c r="E507" s="561" t="s">
        <v>2313</v>
      </c>
      <c r="F507" s="572"/>
      <c r="G507" s="571"/>
      <c r="H507" s="571"/>
    </row>
    <row r="508" spans="1:8" x14ac:dyDescent="0.2">
      <c r="A508" s="560" t="s">
        <v>1228</v>
      </c>
      <c r="B508" s="571"/>
      <c r="C508" s="571">
        <v>0</v>
      </c>
      <c r="D508" s="571" t="s">
        <v>1444</v>
      </c>
      <c r="E508" s="561"/>
      <c r="F508" s="572" t="s">
        <v>1456</v>
      </c>
      <c r="G508" s="571"/>
      <c r="H508" s="571"/>
    </row>
    <row r="509" spans="1:8" x14ac:dyDescent="0.2">
      <c r="A509" s="560" t="s">
        <v>2314</v>
      </c>
      <c r="B509" s="571"/>
      <c r="C509" s="571">
        <v>0</v>
      </c>
      <c r="D509" s="571" t="s">
        <v>1444</v>
      </c>
      <c r="E509" s="561" t="s">
        <v>2315</v>
      </c>
      <c r="F509" s="572"/>
      <c r="G509" s="571"/>
      <c r="H509" s="571">
        <v>1</v>
      </c>
    </row>
    <row r="510" spans="1:8" x14ac:dyDescent="0.2">
      <c r="A510" s="560" t="s">
        <v>2316</v>
      </c>
      <c r="B510" s="571"/>
      <c r="C510" s="571">
        <v>0</v>
      </c>
      <c r="D510" s="571" t="s">
        <v>1452</v>
      </c>
      <c r="E510" s="561" t="s">
        <v>2317</v>
      </c>
      <c r="F510" s="572"/>
      <c r="G510" s="571"/>
      <c r="H510" s="571"/>
    </row>
    <row r="511" spans="1:8" x14ac:dyDescent="0.2">
      <c r="A511" s="560" t="s">
        <v>2318</v>
      </c>
      <c r="B511" s="571" t="s">
        <v>1443</v>
      </c>
      <c r="C511" s="571">
        <v>24</v>
      </c>
      <c r="D511" s="571" t="s">
        <v>1449</v>
      </c>
      <c r="E511" s="561" t="s">
        <v>2319</v>
      </c>
      <c r="F511" s="572"/>
      <c r="G511" s="571"/>
      <c r="H511" s="571"/>
    </row>
    <row r="512" spans="1:8" x14ac:dyDescent="0.2">
      <c r="A512" s="560" t="s">
        <v>2320</v>
      </c>
      <c r="B512" s="571" t="s">
        <v>1443</v>
      </c>
      <c r="C512" s="571">
        <v>2</v>
      </c>
      <c r="D512" s="571" t="s">
        <v>1452</v>
      </c>
      <c r="E512" s="561" t="s">
        <v>2321</v>
      </c>
      <c r="F512" s="572"/>
      <c r="G512" s="571"/>
      <c r="H512" s="571"/>
    </row>
    <row r="513" spans="1:8" x14ac:dyDescent="0.2">
      <c r="A513" s="562" t="s">
        <v>2322</v>
      </c>
      <c r="B513" s="571" t="s">
        <v>1443</v>
      </c>
      <c r="C513" s="571">
        <v>0</v>
      </c>
      <c r="D513" s="571"/>
      <c r="E513" s="561"/>
      <c r="F513" s="572"/>
      <c r="G513" s="571"/>
      <c r="H513" s="571"/>
    </row>
    <row r="514" spans="1:8" x14ac:dyDescent="0.2">
      <c r="A514" s="560" t="s">
        <v>2323</v>
      </c>
      <c r="B514" s="571" t="s">
        <v>1443</v>
      </c>
      <c r="C514" s="571">
        <v>0</v>
      </c>
      <c r="D514" s="571" t="s">
        <v>1444</v>
      </c>
      <c r="E514" s="561" t="s">
        <v>2324</v>
      </c>
      <c r="F514" s="572"/>
      <c r="G514" s="571"/>
      <c r="H514" s="571"/>
    </row>
    <row r="515" spans="1:8" x14ac:dyDescent="0.2">
      <c r="A515" s="560" t="s">
        <v>2325</v>
      </c>
      <c r="B515" s="571" t="s">
        <v>1443</v>
      </c>
      <c r="C515" s="571">
        <v>15</v>
      </c>
      <c r="D515" s="571" t="s">
        <v>1449</v>
      </c>
      <c r="E515" s="561" t="s">
        <v>2326</v>
      </c>
      <c r="F515" s="572"/>
      <c r="G515" s="571"/>
      <c r="H515" s="571"/>
    </row>
    <row r="516" spans="1:8" x14ac:dyDescent="0.2">
      <c r="A516" s="560" t="s">
        <v>1229</v>
      </c>
      <c r="B516" s="571"/>
      <c r="C516" s="571">
        <v>0</v>
      </c>
      <c r="D516" s="571" t="s">
        <v>1444</v>
      </c>
      <c r="E516" s="561" t="s">
        <v>1230</v>
      </c>
      <c r="F516" s="572" t="s">
        <v>1456</v>
      </c>
      <c r="G516" s="571"/>
      <c r="H516" s="571"/>
    </row>
    <row r="517" spans="1:8" x14ac:dyDescent="0.2">
      <c r="A517" s="560" t="s">
        <v>2327</v>
      </c>
      <c r="B517" s="571" t="s">
        <v>1443</v>
      </c>
      <c r="C517" s="571">
        <v>4</v>
      </c>
      <c r="D517" s="571" t="s">
        <v>1452</v>
      </c>
      <c r="E517" s="561" t="s">
        <v>2328</v>
      </c>
      <c r="F517" s="572"/>
      <c r="G517" s="571"/>
      <c r="H517" s="571"/>
    </row>
    <row r="518" spans="1:8" x14ac:dyDescent="0.2">
      <c r="A518" s="560" t="s">
        <v>2329</v>
      </c>
      <c r="B518" s="571" t="s">
        <v>1443</v>
      </c>
      <c r="C518" s="571">
        <v>0</v>
      </c>
      <c r="D518" s="571" t="s">
        <v>1452</v>
      </c>
      <c r="E518" s="561" t="s">
        <v>2330</v>
      </c>
      <c r="F518" s="572"/>
      <c r="G518" s="571"/>
      <c r="H518" s="571"/>
    </row>
    <row r="519" spans="1:8" x14ac:dyDescent="0.2">
      <c r="A519" s="560" t="s">
        <v>2331</v>
      </c>
      <c r="B519" s="571" t="s">
        <v>1443</v>
      </c>
      <c r="C519" s="571">
        <v>12</v>
      </c>
      <c r="D519" s="571" t="s">
        <v>1481</v>
      </c>
      <c r="E519" s="561" t="s">
        <v>2332</v>
      </c>
      <c r="F519" s="572"/>
      <c r="G519" s="571"/>
      <c r="H519" s="571"/>
    </row>
    <row r="520" spans="1:8" x14ac:dyDescent="0.2">
      <c r="A520" s="560" t="s">
        <v>2333</v>
      </c>
      <c r="B520" s="571" t="s">
        <v>1443</v>
      </c>
      <c r="C520" s="571">
        <v>6</v>
      </c>
      <c r="D520" s="571" t="s">
        <v>1449</v>
      </c>
      <c r="E520" s="561" t="s">
        <v>2334</v>
      </c>
      <c r="F520" s="572"/>
      <c r="G520" s="571"/>
      <c r="H520" s="571"/>
    </row>
    <row r="521" spans="1:8" x14ac:dyDescent="0.2">
      <c r="A521" s="560" t="s">
        <v>2335</v>
      </c>
      <c r="B521" s="571" t="s">
        <v>1443</v>
      </c>
      <c r="C521" s="571">
        <v>12</v>
      </c>
      <c r="D521" s="571" t="s">
        <v>1449</v>
      </c>
      <c r="E521" s="561" t="s">
        <v>2336</v>
      </c>
      <c r="F521" s="572"/>
      <c r="G521" s="571"/>
      <c r="H521" s="571"/>
    </row>
    <row r="522" spans="1:8" x14ac:dyDescent="0.2">
      <c r="A522" s="560" t="s">
        <v>2337</v>
      </c>
      <c r="B522" s="571"/>
      <c r="C522" s="571">
        <v>0</v>
      </c>
      <c r="D522" s="571" t="s">
        <v>1449</v>
      </c>
      <c r="E522" s="561" t="s">
        <v>2338</v>
      </c>
      <c r="F522" s="572"/>
      <c r="G522" s="571"/>
      <c r="H522" s="571"/>
    </row>
    <row r="523" spans="1:8" x14ac:dyDescent="0.2">
      <c r="A523" s="560" t="s">
        <v>2339</v>
      </c>
      <c r="B523" s="571" t="s">
        <v>1443</v>
      </c>
      <c r="C523" s="571">
        <v>26</v>
      </c>
      <c r="D523" s="571" t="s">
        <v>1481</v>
      </c>
      <c r="E523" s="561" t="s">
        <v>2340</v>
      </c>
      <c r="F523" s="572"/>
      <c r="G523" s="571"/>
      <c r="H523" s="571"/>
    </row>
    <row r="524" spans="1:8" x14ac:dyDescent="0.2">
      <c r="A524" s="560" t="s">
        <v>2341</v>
      </c>
      <c r="B524" s="571" t="s">
        <v>1443</v>
      </c>
      <c r="C524" s="571">
        <v>6</v>
      </c>
      <c r="D524" s="571" t="s">
        <v>1449</v>
      </c>
      <c r="E524" s="561" t="s">
        <v>2342</v>
      </c>
      <c r="F524" s="572"/>
      <c r="G524" s="571"/>
      <c r="H524" s="571"/>
    </row>
    <row r="525" spans="1:8" x14ac:dyDescent="0.2">
      <c r="A525" s="562" t="s">
        <v>2343</v>
      </c>
      <c r="B525" s="571" t="s">
        <v>1443</v>
      </c>
      <c r="C525" s="571">
        <v>0</v>
      </c>
      <c r="D525" s="571"/>
      <c r="E525" s="561"/>
      <c r="F525" s="572"/>
      <c r="G525" s="571"/>
      <c r="H525" s="571"/>
    </row>
    <row r="526" spans="1:8" x14ac:dyDescent="0.2">
      <c r="A526" s="560" t="s">
        <v>2344</v>
      </c>
      <c r="B526" s="571" t="s">
        <v>1443</v>
      </c>
      <c r="C526" s="571">
        <v>1</v>
      </c>
      <c r="D526" s="571" t="s">
        <v>1481</v>
      </c>
      <c r="E526" s="561" t="s">
        <v>2345</v>
      </c>
      <c r="F526" s="572"/>
      <c r="G526" s="571"/>
      <c r="H526" s="571"/>
    </row>
    <row r="527" spans="1:8" x14ac:dyDescent="0.2">
      <c r="A527" s="560" t="s">
        <v>2346</v>
      </c>
      <c r="B527" s="571" t="s">
        <v>1443</v>
      </c>
      <c r="C527" s="571">
        <v>7</v>
      </c>
      <c r="D527" s="571" t="s">
        <v>1481</v>
      </c>
      <c r="E527" s="561" t="s">
        <v>2347</v>
      </c>
      <c r="F527" s="572"/>
      <c r="G527" s="571"/>
      <c r="H527" s="571"/>
    </row>
    <row r="528" spans="1:8" x14ac:dyDescent="0.2">
      <c r="A528" s="560" t="s">
        <v>2348</v>
      </c>
      <c r="B528" s="571" t="s">
        <v>1443</v>
      </c>
      <c r="C528" s="571">
        <v>2</v>
      </c>
      <c r="D528" s="571" t="s">
        <v>1452</v>
      </c>
      <c r="E528" s="561" t="s">
        <v>2349</v>
      </c>
      <c r="F528" s="572"/>
      <c r="G528" s="571"/>
      <c r="H528" s="571">
        <v>2</v>
      </c>
    </row>
    <row r="529" spans="1:8" x14ac:dyDescent="0.2">
      <c r="A529" s="560" t="s">
        <v>2350</v>
      </c>
      <c r="B529" s="571" t="s">
        <v>1443</v>
      </c>
      <c r="C529" s="571">
        <v>0</v>
      </c>
      <c r="D529" s="571" t="s">
        <v>1481</v>
      </c>
      <c r="E529" s="561" t="s">
        <v>2351</v>
      </c>
      <c r="F529" s="572"/>
      <c r="G529" s="571"/>
      <c r="H529" s="571"/>
    </row>
    <row r="530" spans="1:8" x14ac:dyDescent="0.2">
      <c r="A530" s="560" t="s">
        <v>2352</v>
      </c>
      <c r="B530" s="571"/>
      <c r="C530" s="571">
        <v>0</v>
      </c>
      <c r="D530" s="571" t="s">
        <v>1481</v>
      </c>
      <c r="E530" s="561" t="s">
        <v>2353</v>
      </c>
      <c r="F530" s="572"/>
      <c r="G530" s="571"/>
      <c r="H530" s="571">
        <v>2</v>
      </c>
    </row>
    <row r="531" spans="1:8" x14ac:dyDescent="0.2">
      <c r="A531" s="560" t="s">
        <v>2354</v>
      </c>
      <c r="B531" s="571" t="s">
        <v>1443</v>
      </c>
      <c r="C531" s="571">
        <v>2</v>
      </c>
      <c r="D531" s="571" t="s">
        <v>1452</v>
      </c>
      <c r="E531" s="561" t="s">
        <v>2355</v>
      </c>
      <c r="F531" s="572"/>
      <c r="G531" s="571"/>
      <c r="H531" s="571"/>
    </row>
    <row r="532" spans="1:8" x14ac:dyDescent="0.2">
      <c r="A532" s="560" t="s">
        <v>2356</v>
      </c>
      <c r="B532" s="571" t="s">
        <v>1443</v>
      </c>
      <c r="C532" s="571">
        <v>8</v>
      </c>
      <c r="D532" s="571"/>
      <c r="E532" s="561" t="s">
        <v>2357</v>
      </c>
      <c r="F532" s="572"/>
      <c r="G532" s="571"/>
      <c r="H532" s="571"/>
    </row>
    <row r="533" spans="1:8" x14ac:dyDescent="0.2">
      <c r="A533" s="560" t="s">
        <v>1231</v>
      </c>
      <c r="B533" s="571" t="s">
        <v>1443</v>
      </c>
      <c r="C533" s="571">
        <v>0</v>
      </c>
      <c r="D533" s="571"/>
      <c r="E533" s="561" t="s">
        <v>1232</v>
      </c>
      <c r="F533" s="572" t="s">
        <v>1456</v>
      </c>
      <c r="G533" s="571"/>
      <c r="H533" s="571"/>
    </row>
    <row r="534" spans="1:8" x14ac:dyDescent="0.2">
      <c r="A534" s="560" t="s">
        <v>2358</v>
      </c>
      <c r="B534" s="571"/>
      <c r="C534" s="571">
        <v>0</v>
      </c>
      <c r="D534" s="571" t="s">
        <v>1452</v>
      </c>
      <c r="E534" s="561" t="s">
        <v>2359</v>
      </c>
      <c r="F534" s="572"/>
      <c r="G534" s="571"/>
      <c r="H534" s="571">
        <v>2</v>
      </c>
    </row>
    <row r="535" spans="1:8" x14ac:dyDescent="0.2">
      <c r="A535" s="560" t="s">
        <v>2360</v>
      </c>
      <c r="B535" s="571" t="s">
        <v>1443</v>
      </c>
      <c r="C535" s="571">
        <v>17</v>
      </c>
      <c r="D535" s="571" t="s">
        <v>1481</v>
      </c>
      <c r="E535" s="561" t="s">
        <v>2361</v>
      </c>
      <c r="F535" s="572"/>
      <c r="G535" s="571"/>
      <c r="H535" s="571"/>
    </row>
    <row r="536" spans="1:8" x14ac:dyDescent="0.2">
      <c r="A536" s="560" t="s">
        <v>2362</v>
      </c>
      <c r="B536" s="571" t="s">
        <v>1443</v>
      </c>
      <c r="C536" s="571">
        <v>15</v>
      </c>
      <c r="D536" s="571" t="s">
        <v>1449</v>
      </c>
      <c r="E536" s="561" t="s">
        <v>2363</v>
      </c>
      <c r="F536" s="572"/>
      <c r="G536" s="571"/>
      <c r="H536" s="571"/>
    </row>
    <row r="537" spans="1:8" x14ac:dyDescent="0.2">
      <c r="A537" s="560" t="s">
        <v>2364</v>
      </c>
      <c r="B537" s="571"/>
      <c r="C537" s="571">
        <v>0</v>
      </c>
      <c r="D537" s="571" t="s">
        <v>1481</v>
      </c>
      <c r="E537" s="561" t="s">
        <v>2365</v>
      </c>
      <c r="F537" s="572"/>
      <c r="G537" s="571"/>
      <c r="H537" s="571">
        <v>1</v>
      </c>
    </row>
    <row r="538" spans="1:8" x14ac:dyDescent="0.2">
      <c r="A538" s="560" t="s">
        <v>2366</v>
      </c>
      <c r="B538" s="571" t="s">
        <v>1443</v>
      </c>
      <c r="C538" s="571">
        <v>0</v>
      </c>
      <c r="D538" s="571" t="s">
        <v>1452</v>
      </c>
      <c r="E538" s="561" t="s">
        <v>2367</v>
      </c>
      <c r="F538" s="572"/>
      <c r="G538" s="571"/>
      <c r="H538" s="571"/>
    </row>
    <row r="539" spans="1:8" x14ac:dyDescent="0.2">
      <c r="A539" s="560" t="s">
        <v>2368</v>
      </c>
      <c r="B539" s="571" t="s">
        <v>1443</v>
      </c>
      <c r="C539" s="571">
        <v>11</v>
      </c>
      <c r="D539" s="571" t="s">
        <v>1464</v>
      </c>
      <c r="E539" s="561" t="s">
        <v>2369</v>
      </c>
      <c r="F539" s="572"/>
      <c r="G539" s="571"/>
      <c r="H539" s="571"/>
    </row>
    <row r="540" spans="1:8" x14ac:dyDescent="0.2">
      <c r="A540" s="560" t="s">
        <v>1233</v>
      </c>
      <c r="B540" s="571" t="s">
        <v>1443</v>
      </c>
      <c r="C540" s="571">
        <v>0</v>
      </c>
      <c r="D540" s="571" t="s">
        <v>1444</v>
      </c>
      <c r="E540" s="561" t="s">
        <v>1234</v>
      </c>
      <c r="F540" s="572" t="s">
        <v>1456</v>
      </c>
      <c r="G540" s="571"/>
      <c r="H540" s="571"/>
    </row>
    <row r="541" spans="1:8" x14ac:dyDescent="0.2">
      <c r="A541" s="560" t="s">
        <v>2370</v>
      </c>
      <c r="B541" s="571" t="s">
        <v>1443</v>
      </c>
      <c r="C541" s="571">
        <v>4</v>
      </c>
      <c r="D541" s="571" t="s">
        <v>1444</v>
      </c>
      <c r="E541" s="561" t="s">
        <v>2371</v>
      </c>
      <c r="F541" s="572"/>
      <c r="G541" s="571"/>
      <c r="H541" s="571">
        <v>2</v>
      </c>
    </row>
    <row r="542" spans="1:8" x14ac:dyDescent="0.2">
      <c r="A542" s="560" t="s">
        <v>2372</v>
      </c>
      <c r="B542" s="571" t="s">
        <v>1443</v>
      </c>
      <c r="C542" s="571">
        <v>2</v>
      </c>
      <c r="D542" s="571" t="s">
        <v>1464</v>
      </c>
      <c r="E542" s="561" t="s">
        <v>2373</v>
      </c>
      <c r="F542" s="572"/>
      <c r="G542" s="571"/>
      <c r="H542" s="571"/>
    </row>
    <row r="543" spans="1:8" x14ac:dyDescent="0.2">
      <c r="A543" s="560" t="s">
        <v>2374</v>
      </c>
      <c r="B543" s="571" t="s">
        <v>1443</v>
      </c>
      <c r="C543" s="571">
        <v>0</v>
      </c>
      <c r="D543" s="571" t="s">
        <v>1464</v>
      </c>
      <c r="E543" s="561" t="s">
        <v>2375</v>
      </c>
      <c r="F543" s="572"/>
      <c r="G543" s="571"/>
      <c r="H543" s="571"/>
    </row>
    <row r="544" spans="1:8" x14ac:dyDescent="0.2">
      <c r="A544" s="560" t="s">
        <v>2376</v>
      </c>
      <c r="B544" s="571" t="s">
        <v>1443</v>
      </c>
      <c r="C544" s="571">
        <v>3</v>
      </c>
      <c r="D544" s="571" t="s">
        <v>1464</v>
      </c>
      <c r="E544" s="561" t="s">
        <v>2377</v>
      </c>
      <c r="F544" s="572"/>
      <c r="G544" s="571"/>
      <c r="H544" s="571">
        <v>1</v>
      </c>
    </row>
    <row r="545" spans="1:8" x14ac:dyDescent="0.2">
      <c r="A545" s="560" t="s">
        <v>2378</v>
      </c>
      <c r="B545" s="571"/>
      <c r="C545" s="571">
        <v>0</v>
      </c>
      <c r="D545" s="571" t="s">
        <v>1464</v>
      </c>
      <c r="E545" s="561" t="s">
        <v>2379</v>
      </c>
      <c r="F545" s="572"/>
      <c r="G545" s="571"/>
      <c r="H545" s="571">
        <v>1</v>
      </c>
    </row>
    <row r="546" spans="1:8" x14ac:dyDescent="0.2">
      <c r="A546" s="560" t="s">
        <v>2380</v>
      </c>
      <c r="B546" s="571" t="s">
        <v>1443</v>
      </c>
      <c r="C546" s="571">
        <v>0</v>
      </c>
      <c r="D546" s="571" t="s">
        <v>1464</v>
      </c>
      <c r="E546" s="561" t="s">
        <v>2381</v>
      </c>
      <c r="F546" s="572"/>
      <c r="G546" s="571"/>
      <c r="H546" s="571"/>
    </row>
    <row r="547" spans="1:8" x14ac:dyDescent="0.2">
      <c r="A547" s="560" t="s">
        <v>1235</v>
      </c>
      <c r="B547" s="571" t="s">
        <v>1443</v>
      </c>
      <c r="C547" s="571">
        <v>0</v>
      </c>
      <c r="D547" s="571" t="s">
        <v>1444</v>
      </c>
      <c r="E547" s="561" t="s">
        <v>1236</v>
      </c>
      <c r="F547" s="572" t="s">
        <v>1456</v>
      </c>
      <c r="G547" s="571"/>
      <c r="H547" s="571"/>
    </row>
    <row r="548" spans="1:8" x14ac:dyDescent="0.2">
      <c r="A548" s="560" t="s">
        <v>2382</v>
      </c>
      <c r="B548" s="571" t="s">
        <v>1443</v>
      </c>
      <c r="C548" s="571">
        <v>3</v>
      </c>
      <c r="D548" s="571" t="s">
        <v>1444</v>
      </c>
      <c r="E548" s="561" t="s">
        <v>2383</v>
      </c>
      <c r="F548" s="572"/>
      <c r="G548" s="571"/>
      <c r="H548" s="571"/>
    </row>
    <row r="549" spans="1:8" x14ac:dyDescent="0.2">
      <c r="A549" s="560" t="s">
        <v>2384</v>
      </c>
      <c r="B549" s="571"/>
      <c r="C549" s="571">
        <v>0</v>
      </c>
      <c r="D549" s="571" t="s">
        <v>1449</v>
      </c>
      <c r="E549" s="561" t="s">
        <v>2385</v>
      </c>
      <c r="F549" s="572"/>
      <c r="G549" s="571"/>
      <c r="H549" s="571"/>
    </row>
    <row r="550" spans="1:8" x14ac:dyDescent="0.2">
      <c r="A550" s="560" t="s">
        <v>2386</v>
      </c>
      <c r="B550" s="571"/>
      <c r="C550" s="571">
        <v>0</v>
      </c>
      <c r="D550" s="571" t="s">
        <v>1452</v>
      </c>
      <c r="E550" s="561" t="s">
        <v>2387</v>
      </c>
      <c r="F550" s="572"/>
      <c r="G550" s="571"/>
      <c r="H550" s="571"/>
    </row>
    <row r="551" spans="1:8" x14ac:dyDescent="0.2">
      <c r="A551" s="560" t="s">
        <v>2388</v>
      </c>
      <c r="B551" s="571"/>
      <c r="C551" s="571">
        <v>0</v>
      </c>
      <c r="D551" s="571" t="s">
        <v>1481</v>
      </c>
      <c r="E551" s="561" t="s">
        <v>2389</v>
      </c>
      <c r="F551" s="572"/>
      <c r="G551" s="571"/>
      <c r="H551" s="571"/>
    </row>
    <row r="552" spans="1:8" x14ac:dyDescent="0.2">
      <c r="A552" s="560" t="s">
        <v>2390</v>
      </c>
      <c r="B552" s="571" t="s">
        <v>1443</v>
      </c>
      <c r="C552" s="571">
        <v>8</v>
      </c>
      <c r="D552" s="571" t="s">
        <v>1452</v>
      </c>
      <c r="E552" s="561" t="s">
        <v>2391</v>
      </c>
      <c r="F552" s="572"/>
      <c r="G552" s="571"/>
      <c r="H552" s="571"/>
    </row>
    <row r="553" spans="1:8" x14ac:dyDescent="0.2">
      <c r="A553" s="560" t="s">
        <v>1237</v>
      </c>
      <c r="B553" s="571"/>
      <c r="C553" s="571">
        <v>0</v>
      </c>
      <c r="D553" s="571" t="s">
        <v>1452</v>
      </c>
      <c r="E553" s="561" t="s">
        <v>1238</v>
      </c>
      <c r="F553" s="572" t="s">
        <v>1456</v>
      </c>
      <c r="G553" s="571"/>
      <c r="H553" s="571"/>
    </row>
    <row r="554" spans="1:8" x14ac:dyDescent="0.2">
      <c r="A554" s="560" t="s">
        <v>2392</v>
      </c>
      <c r="B554" s="571" t="s">
        <v>1443</v>
      </c>
      <c r="C554" s="571">
        <v>16</v>
      </c>
      <c r="D554" s="571" t="s">
        <v>1481</v>
      </c>
      <c r="E554" s="561" t="s">
        <v>2393</v>
      </c>
      <c r="F554" s="572"/>
      <c r="G554" s="571"/>
      <c r="H554" s="571"/>
    </row>
    <row r="555" spans="1:8" x14ac:dyDescent="0.2">
      <c r="A555" s="560" t="s">
        <v>2394</v>
      </c>
      <c r="B555" s="571" t="s">
        <v>1443</v>
      </c>
      <c r="C555" s="571">
        <v>4</v>
      </c>
      <c r="D555" s="571" t="s">
        <v>1452</v>
      </c>
      <c r="E555" s="561" t="s">
        <v>2395</v>
      </c>
      <c r="F555" s="572"/>
      <c r="G555" s="571"/>
      <c r="H555" s="571"/>
    </row>
    <row r="556" spans="1:8" x14ac:dyDescent="0.2">
      <c r="A556" s="560" t="s">
        <v>1239</v>
      </c>
      <c r="B556" s="571"/>
      <c r="C556" s="571">
        <v>0</v>
      </c>
      <c r="D556" s="571" t="s">
        <v>1449</v>
      </c>
      <c r="E556" s="561" t="s">
        <v>1240</v>
      </c>
      <c r="F556" s="572" t="s">
        <v>1456</v>
      </c>
      <c r="G556" s="571"/>
      <c r="H556" s="571"/>
    </row>
    <row r="557" spans="1:8" x14ac:dyDescent="0.2">
      <c r="A557" s="560" t="s">
        <v>2396</v>
      </c>
      <c r="B557" s="571" t="s">
        <v>1443</v>
      </c>
      <c r="C557" s="571">
        <v>0</v>
      </c>
      <c r="D557" s="571" t="s">
        <v>1452</v>
      </c>
      <c r="E557" s="561" t="s">
        <v>2397</v>
      </c>
      <c r="F557" s="572"/>
      <c r="G557" s="571"/>
      <c r="H557" s="571"/>
    </row>
    <row r="558" spans="1:8" x14ac:dyDescent="0.2">
      <c r="A558" s="560" t="s">
        <v>1241</v>
      </c>
      <c r="B558" s="571" t="s">
        <v>1443</v>
      </c>
      <c r="C558" s="571">
        <v>1</v>
      </c>
      <c r="D558" s="571" t="s">
        <v>1444</v>
      </c>
      <c r="E558" s="561" t="s">
        <v>1242</v>
      </c>
      <c r="F558" s="572" t="s">
        <v>1456</v>
      </c>
      <c r="G558" s="571"/>
      <c r="H558" s="571"/>
    </row>
    <row r="559" spans="1:8" x14ac:dyDescent="0.2">
      <c r="A559" s="562" t="s">
        <v>2398</v>
      </c>
      <c r="B559" s="571" t="s">
        <v>1443</v>
      </c>
      <c r="C559" s="571">
        <v>0</v>
      </c>
      <c r="D559" s="571"/>
      <c r="E559" s="561"/>
      <c r="F559" s="572"/>
      <c r="G559" s="571"/>
      <c r="H559" s="571"/>
    </row>
    <row r="560" spans="1:8" x14ac:dyDescent="0.2">
      <c r="A560" s="560" t="s">
        <v>2399</v>
      </c>
      <c r="B560" s="571" t="s">
        <v>1443</v>
      </c>
      <c r="C560" s="571">
        <v>4</v>
      </c>
      <c r="D560" s="571"/>
      <c r="E560" s="561" t="s">
        <v>2400</v>
      </c>
      <c r="F560" s="572"/>
      <c r="G560" s="571"/>
      <c r="H560" s="571"/>
    </row>
    <row r="561" spans="1:8" x14ac:dyDescent="0.2">
      <c r="A561" s="560" t="s">
        <v>2401</v>
      </c>
      <c r="B561" s="571" t="s">
        <v>1443</v>
      </c>
      <c r="C561" s="571">
        <v>8</v>
      </c>
      <c r="D561" s="571" t="s">
        <v>1444</v>
      </c>
      <c r="E561" s="561" t="s">
        <v>2402</v>
      </c>
      <c r="F561" s="572"/>
      <c r="G561" s="571"/>
      <c r="H561" s="571"/>
    </row>
    <row r="562" spans="1:8" x14ac:dyDescent="0.2">
      <c r="A562" s="560" t="s">
        <v>2403</v>
      </c>
      <c r="B562" s="571" t="s">
        <v>1443</v>
      </c>
      <c r="C562" s="571">
        <v>4</v>
      </c>
      <c r="D562" s="571"/>
      <c r="E562" s="561"/>
      <c r="F562" s="572"/>
      <c r="G562" s="571"/>
      <c r="H562" s="571"/>
    </row>
    <row r="563" spans="1:8" x14ac:dyDescent="0.2">
      <c r="A563" s="560" t="s">
        <v>2404</v>
      </c>
      <c r="B563" s="571" t="s">
        <v>1443</v>
      </c>
      <c r="C563" s="571">
        <v>6</v>
      </c>
      <c r="D563" s="571" t="s">
        <v>1464</v>
      </c>
      <c r="E563" s="561" t="s">
        <v>2405</v>
      </c>
      <c r="F563" s="572"/>
      <c r="G563" s="571"/>
      <c r="H563" s="571"/>
    </row>
    <row r="564" spans="1:8" x14ac:dyDescent="0.2">
      <c r="A564" s="560" t="s">
        <v>2406</v>
      </c>
      <c r="B564" s="571" t="s">
        <v>1443</v>
      </c>
      <c r="C564" s="571">
        <v>1</v>
      </c>
      <c r="D564" s="571" t="s">
        <v>1464</v>
      </c>
      <c r="E564" s="561" t="s">
        <v>2407</v>
      </c>
      <c r="F564" s="572"/>
      <c r="G564" s="571"/>
      <c r="H564" s="571"/>
    </row>
    <row r="565" spans="1:8" x14ac:dyDescent="0.2">
      <c r="A565" s="560" t="s">
        <v>2408</v>
      </c>
      <c r="B565" s="571" t="s">
        <v>1443</v>
      </c>
      <c r="C565" s="571">
        <v>7</v>
      </c>
      <c r="D565" s="571" t="s">
        <v>1464</v>
      </c>
      <c r="E565" s="561" t="s">
        <v>2409</v>
      </c>
      <c r="F565" s="572"/>
      <c r="G565" s="571"/>
      <c r="H565" s="571"/>
    </row>
    <row r="566" spans="1:8" x14ac:dyDescent="0.2">
      <c r="A566" s="560" t="s">
        <v>1243</v>
      </c>
      <c r="B566" s="571" t="s">
        <v>1443</v>
      </c>
      <c r="C566" s="571">
        <v>2</v>
      </c>
      <c r="D566" s="571" t="s">
        <v>1449</v>
      </c>
      <c r="E566" s="561" t="s">
        <v>1244</v>
      </c>
      <c r="F566" s="572" t="s">
        <v>1456</v>
      </c>
      <c r="G566" s="571"/>
      <c r="H566" s="571"/>
    </row>
    <row r="567" spans="1:8" x14ac:dyDescent="0.2">
      <c r="A567" s="560" t="s">
        <v>2410</v>
      </c>
      <c r="B567" s="571" t="s">
        <v>1443</v>
      </c>
      <c r="C567" s="571">
        <v>16</v>
      </c>
      <c r="D567" s="571" t="s">
        <v>1464</v>
      </c>
      <c r="E567" s="561" t="s">
        <v>2411</v>
      </c>
      <c r="F567" s="572"/>
      <c r="G567" s="571"/>
      <c r="H567" s="571"/>
    </row>
    <row r="568" spans="1:8" x14ac:dyDescent="0.2">
      <c r="A568" s="560" t="s">
        <v>2412</v>
      </c>
      <c r="B568" s="571" t="s">
        <v>1443</v>
      </c>
      <c r="C568" s="571">
        <v>8</v>
      </c>
      <c r="D568" s="571" t="s">
        <v>1481</v>
      </c>
      <c r="E568" s="561" t="s">
        <v>2413</v>
      </c>
      <c r="F568" s="572"/>
      <c r="G568" s="571"/>
      <c r="H568" s="571"/>
    </row>
    <row r="569" spans="1:8" x14ac:dyDescent="0.2">
      <c r="A569" s="560" t="s">
        <v>1245</v>
      </c>
      <c r="B569" s="571" t="s">
        <v>1443</v>
      </c>
      <c r="C569" s="571">
        <v>3</v>
      </c>
      <c r="D569" s="571" t="s">
        <v>1452</v>
      </c>
      <c r="E569" s="561" t="s">
        <v>1246</v>
      </c>
      <c r="F569" s="572" t="s">
        <v>1456</v>
      </c>
      <c r="G569" s="571"/>
      <c r="H569" s="571"/>
    </row>
    <row r="570" spans="1:8" x14ac:dyDescent="0.2">
      <c r="A570" s="562" t="s">
        <v>2414</v>
      </c>
      <c r="B570" s="571" t="s">
        <v>1443</v>
      </c>
      <c r="C570" s="571">
        <v>0</v>
      </c>
      <c r="D570" s="571"/>
      <c r="E570" s="561"/>
      <c r="F570" s="572"/>
      <c r="G570" s="571"/>
      <c r="H570" s="571"/>
    </row>
    <row r="571" spans="1:8" x14ac:dyDescent="0.2">
      <c r="A571" s="560" t="s">
        <v>2415</v>
      </c>
      <c r="B571" s="571" t="s">
        <v>1443</v>
      </c>
      <c r="C571" s="571">
        <v>1</v>
      </c>
      <c r="D571" s="571" t="s">
        <v>1452</v>
      </c>
      <c r="E571" s="561" t="s">
        <v>2416</v>
      </c>
      <c r="F571" s="572"/>
      <c r="G571" s="571"/>
      <c r="H571" s="571"/>
    </row>
    <row r="572" spans="1:8" x14ac:dyDescent="0.2">
      <c r="A572" s="560" t="s">
        <v>2417</v>
      </c>
      <c r="B572" s="571" t="s">
        <v>1443</v>
      </c>
      <c r="C572" s="571">
        <v>1</v>
      </c>
      <c r="D572" s="571" t="s">
        <v>1449</v>
      </c>
      <c r="E572" s="561" t="s">
        <v>2418</v>
      </c>
      <c r="F572" s="572"/>
      <c r="G572" s="571"/>
      <c r="H572" s="571">
        <v>1</v>
      </c>
    </row>
    <row r="573" spans="1:8" x14ac:dyDescent="0.2">
      <c r="A573" s="560" t="s">
        <v>1247</v>
      </c>
      <c r="B573" s="571" t="s">
        <v>1443</v>
      </c>
      <c r="C573" s="571">
        <v>0</v>
      </c>
      <c r="D573" s="571" t="s">
        <v>1452</v>
      </c>
      <c r="E573" s="561" t="s">
        <v>1248</v>
      </c>
      <c r="F573" s="572" t="s">
        <v>1456</v>
      </c>
      <c r="G573" s="571"/>
      <c r="H573" s="571"/>
    </row>
    <row r="574" spans="1:8" x14ac:dyDescent="0.2">
      <c r="A574" s="560" t="s">
        <v>1249</v>
      </c>
      <c r="B574" s="571" t="s">
        <v>1443</v>
      </c>
      <c r="C574" s="571">
        <v>0</v>
      </c>
      <c r="D574" s="571" t="s">
        <v>1444</v>
      </c>
      <c r="E574" s="561" t="s">
        <v>1250</v>
      </c>
      <c r="F574" s="572" t="s">
        <v>1456</v>
      </c>
      <c r="G574" s="571"/>
      <c r="H574" s="571"/>
    </row>
    <row r="575" spans="1:8" x14ac:dyDescent="0.2">
      <c r="A575" s="560" t="s">
        <v>1251</v>
      </c>
      <c r="B575" s="571" t="s">
        <v>1443</v>
      </c>
      <c r="C575" s="571">
        <v>0</v>
      </c>
      <c r="D575" s="571"/>
      <c r="E575" s="561" t="s">
        <v>1252</v>
      </c>
      <c r="F575" s="572" t="s">
        <v>1456</v>
      </c>
      <c r="G575" s="571"/>
      <c r="H575" s="571"/>
    </row>
    <row r="576" spans="1:8" x14ac:dyDescent="0.2">
      <c r="A576" s="560" t="s">
        <v>2419</v>
      </c>
      <c r="B576" s="571" t="s">
        <v>1443</v>
      </c>
      <c r="C576" s="571">
        <v>9</v>
      </c>
      <c r="D576" s="571" t="s">
        <v>1481</v>
      </c>
      <c r="E576" s="561" t="s">
        <v>2420</v>
      </c>
      <c r="F576" s="572"/>
      <c r="G576" s="571"/>
      <c r="H576" s="571"/>
    </row>
    <row r="577" spans="1:8" x14ac:dyDescent="0.2">
      <c r="A577" s="560" t="s">
        <v>2421</v>
      </c>
      <c r="B577" s="571" t="s">
        <v>1443</v>
      </c>
      <c r="C577" s="571">
        <v>6</v>
      </c>
      <c r="D577" s="571" t="s">
        <v>1449</v>
      </c>
      <c r="E577" s="561" t="s">
        <v>2422</v>
      </c>
      <c r="F577" s="572"/>
      <c r="G577" s="571"/>
      <c r="H577" s="571"/>
    </row>
    <row r="578" spans="1:8" x14ac:dyDescent="0.2">
      <c r="A578" s="560" t="s">
        <v>2423</v>
      </c>
      <c r="B578" s="571" t="s">
        <v>1443</v>
      </c>
      <c r="C578" s="571">
        <v>2</v>
      </c>
      <c r="D578" s="571" t="s">
        <v>1464</v>
      </c>
      <c r="E578" s="561" t="s">
        <v>2424</v>
      </c>
      <c r="F578" s="572"/>
      <c r="G578" s="571"/>
      <c r="H578" s="571"/>
    </row>
    <row r="579" spans="1:8" x14ac:dyDescent="0.2">
      <c r="A579" s="560" t="s">
        <v>2425</v>
      </c>
      <c r="B579" s="571" t="s">
        <v>1443</v>
      </c>
      <c r="C579" s="571">
        <v>1</v>
      </c>
      <c r="D579" s="571" t="s">
        <v>1464</v>
      </c>
      <c r="E579" s="561" t="s">
        <v>2426</v>
      </c>
      <c r="F579" s="572"/>
      <c r="G579" s="571"/>
      <c r="H579" s="571"/>
    </row>
    <row r="580" spans="1:8" x14ac:dyDescent="0.2">
      <c r="A580" s="560" t="s">
        <v>2427</v>
      </c>
      <c r="B580" s="571" t="s">
        <v>1443</v>
      </c>
      <c r="C580" s="571">
        <v>1</v>
      </c>
      <c r="D580" s="571" t="s">
        <v>1464</v>
      </c>
      <c r="E580" s="561" t="s">
        <v>2428</v>
      </c>
      <c r="F580" s="572"/>
      <c r="G580" s="571"/>
      <c r="H580" s="571"/>
    </row>
    <row r="581" spans="1:8" x14ac:dyDescent="0.2">
      <c r="A581" s="560" t="s">
        <v>2429</v>
      </c>
      <c r="B581" s="571" t="s">
        <v>1443</v>
      </c>
      <c r="C581" s="571">
        <v>3</v>
      </c>
      <c r="D581" s="571" t="s">
        <v>1464</v>
      </c>
      <c r="E581" s="561" t="s">
        <v>2430</v>
      </c>
      <c r="F581" s="572"/>
      <c r="G581" s="571"/>
      <c r="H581" s="571">
        <v>1</v>
      </c>
    </row>
    <row r="582" spans="1:8" x14ac:dyDescent="0.2">
      <c r="A582" s="560" t="s">
        <v>2431</v>
      </c>
      <c r="B582" s="571"/>
      <c r="C582" s="571">
        <v>0</v>
      </c>
      <c r="D582" s="571" t="s">
        <v>1464</v>
      </c>
      <c r="E582" s="561" t="s">
        <v>2432</v>
      </c>
      <c r="F582" s="572"/>
      <c r="G582" s="571"/>
      <c r="H582" s="571"/>
    </row>
    <row r="583" spans="1:8" x14ac:dyDescent="0.2">
      <c r="A583" s="560" t="s">
        <v>2433</v>
      </c>
      <c r="B583" s="571"/>
      <c r="C583" s="571">
        <v>0</v>
      </c>
      <c r="D583" s="571" t="s">
        <v>1464</v>
      </c>
      <c r="E583" s="561"/>
      <c r="F583" s="572"/>
      <c r="G583" s="571"/>
      <c r="H583" s="571"/>
    </row>
    <row r="584" spans="1:8" x14ac:dyDescent="0.2">
      <c r="A584" s="560" t="s">
        <v>2434</v>
      </c>
      <c r="B584" s="571"/>
      <c r="C584" s="571">
        <v>0</v>
      </c>
      <c r="D584" s="571" t="s">
        <v>1464</v>
      </c>
      <c r="E584" s="561"/>
      <c r="F584" s="572"/>
      <c r="G584" s="571"/>
      <c r="H584" s="571"/>
    </row>
    <row r="585" spans="1:8" x14ac:dyDescent="0.2">
      <c r="A585" s="560" t="s">
        <v>2435</v>
      </c>
      <c r="B585" s="571"/>
      <c r="C585" s="571">
        <v>0</v>
      </c>
      <c r="D585" s="571" t="s">
        <v>1464</v>
      </c>
      <c r="E585" s="561" t="s">
        <v>2436</v>
      </c>
      <c r="F585" s="572"/>
      <c r="G585" s="571"/>
      <c r="H585" s="571">
        <v>1</v>
      </c>
    </row>
    <row r="586" spans="1:8" x14ac:dyDescent="0.2">
      <c r="A586" s="560" t="s">
        <v>2437</v>
      </c>
      <c r="B586" s="571"/>
      <c r="C586" s="571">
        <v>0</v>
      </c>
      <c r="D586" s="571" t="s">
        <v>1481</v>
      </c>
      <c r="E586" s="561" t="s">
        <v>2438</v>
      </c>
      <c r="F586" s="572"/>
      <c r="G586" s="571"/>
      <c r="H586" s="571"/>
    </row>
    <row r="587" spans="1:8" x14ac:dyDescent="0.2">
      <c r="A587" s="560" t="s">
        <v>2439</v>
      </c>
      <c r="B587" s="571" t="s">
        <v>1443</v>
      </c>
      <c r="C587" s="571">
        <v>1</v>
      </c>
      <c r="D587" s="571" t="s">
        <v>1464</v>
      </c>
      <c r="E587" s="561" t="s">
        <v>2440</v>
      </c>
      <c r="F587" s="572"/>
      <c r="G587" s="571"/>
      <c r="H587" s="571"/>
    </row>
    <row r="588" spans="1:8" x14ac:dyDescent="0.2">
      <c r="A588" s="560" t="s">
        <v>2441</v>
      </c>
      <c r="B588" s="571" t="s">
        <v>1443</v>
      </c>
      <c r="C588" s="571">
        <v>8</v>
      </c>
      <c r="D588" s="571" t="s">
        <v>1464</v>
      </c>
      <c r="E588" s="561" t="s">
        <v>2442</v>
      </c>
      <c r="F588" s="572"/>
      <c r="G588" s="571"/>
      <c r="H588" s="571"/>
    </row>
    <row r="589" spans="1:8" x14ac:dyDescent="0.2">
      <c r="A589" s="560" t="s">
        <v>2443</v>
      </c>
      <c r="B589" s="571" t="s">
        <v>1443</v>
      </c>
      <c r="C589" s="571">
        <v>1</v>
      </c>
      <c r="D589" s="571" t="s">
        <v>1464</v>
      </c>
      <c r="E589" s="561" t="s">
        <v>2444</v>
      </c>
      <c r="F589" s="572"/>
      <c r="G589" s="571"/>
      <c r="H589" s="571">
        <v>1</v>
      </c>
    </row>
    <row r="590" spans="1:8" x14ac:dyDescent="0.2">
      <c r="A590" s="560" t="s">
        <v>2445</v>
      </c>
      <c r="B590" s="571"/>
      <c r="C590" s="571">
        <v>0</v>
      </c>
      <c r="D590" s="571" t="s">
        <v>1464</v>
      </c>
      <c r="E590" s="561"/>
      <c r="F590" s="572"/>
      <c r="G590" s="571"/>
      <c r="H590" s="571"/>
    </row>
    <row r="591" spans="1:8" x14ac:dyDescent="0.2">
      <c r="A591" s="560" t="s">
        <v>2446</v>
      </c>
      <c r="B591" s="571" t="s">
        <v>1443</v>
      </c>
      <c r="C591" s="571">
        <v>1</v>
      </c>
      <c r="D591" s="571" t="s">
        <v>1464</v>
      </c>
      <c r="E591" s="561" t="s">
        <v>2447</v>
      </c>
      <c r="F591" s="572"/>
      <c r="G591" s="571"/>
      <c r="H591" s="571"/>
    </row>
    <row r="592" spans="1:8" x14ac:dyDescent="0.2">
      <c r="A592" s="560" t="s">
        <v>2448</v>
      </c>
      <c r="B592" s="571" t="s">
        <v>1443</v>
      </c>
      <c r="C592" s="571">
        <v>3</v>
      </c>
      <c r="D592" s="571" t="s">
        <v>1464</v>
      </c>
      <c r="E592" s="561" t="s">
        <v>2449</v>
      </c>
      <c r="F592" s="572"/>
      <c r="G592" s="571"/>
      <c r="H592" s="571"/>
    </row>
    <row r="593" spans="1:8" x14ac:dyDescent="0.2">
      <c r="A593" s="560" t="s">
        <v>2450</v>
      </c>
      <c r="B593" s="571" t="s">
        <v>1443</v>
      </c>
      <c r="C593" s="571">
        <v>4</v>
      </c>
      <c r="D593" s="571" t="s">
        <v>1481</v>
      </c>
      <c r="E593" s="561" t="s">
        <v>2451</v>
      </c>
      <c r="F593" s="572"/>
      <c r="G593" s="571"/>
      <c r="H593" s="571"/>
    </row>
    <row r="594" spans="1:8" x14ac:dyDescent="0.2">
      <c r="A594" s="560" t="s">
        <v>2452</v>
      </c>
      <c r="B594" s="571" t="s">
        <v>1443</v>
      </c>
      <c r="C594" s="571">
        <v>5</v>
      </c>
      <c r="D594" s="571" t="s">
        <v>1481</v>
      </c>
      <c r="E594" s="561" t="s">
        <v>2453</v>
      </c>
      <c r="F594" s="572"/>
      <c r="G594" s="571"/>
      <c r="H594" s="571"/>
    </row>
    <row r="595" spans="1:8" x14ac:dyDescent="0.2">
      <c r="A595" s="560" t="s">
        <v>2454</v>
      </c>
      <c r="B595" s="571" t="s">
        <v>1443</v>
      </c>
      <c r="C595" s="571">
        <v>8</v>
      </c>
      <c r="D595" s="571" t="s">
        <v>1464</v>
      </c>
      <c r="E595" s="561" t="s">
        <v>2455</v>
      </c>
      <c r="F595" s="572"/>
      <c r="G595" s="571"/>
      <c r="H595" s="571"/>
    </row>
    <row r="596" spans="1:8" x14ac:dyDescent="0.2">
      <c r="A596" s="560" t="s">
        <v>2456</v>
      </c>
      <c r="B596" s="571" t="s">
        <v>1443</v>
      </c>
      <c r="C596" s="571">
        <v>6</v>
      </c>
      <c r="D596" s="571" t="s">
        <v>1481</v>
      </c>
      <c r="E596" s="561" t="s">
        <v>2457</v>
      </c>
      <c r="F596" s="572"/>
      <c r="G596" s="571"/>
      <c r="H596" s="571"/>
    </row>
    <row r="597" spans="1:8" x14ac:dyDescent="0.2">
      <c r="A597" s="560" t="s">
        <v>2458</v>
      </c>
      <c r="B597" s="571" t="s">
        <v>1443</v>
      </c>
      <c r="C597" s="571">
        <v>5</v>
      </c>
      <c r="D597" s="571" t="s">
        <v>1481</v>
      </c>
      <c r="E597" s="561" t="s">
        <v>2459</v>
      </c>
      <c r="F597" s="572"/>
      <c r="G597" s="571"/>
      <c r="H597" s="571"/>
    </row>
    <row r="598" spans="1:8" x14ac:dyDescent="0.2">
      <c r="A598" s="560" t="s">
        <v>2460</v>
      </c>
      <c r="B598" s="571" t="s">
        <v>1443</v>
      </c>
      <c r="C598" s="571">
        <v>2</v>
      </c>
      <c r="D598" s="571" t="s">
        <v>1481</v>
      </c>
      <c r="E598" s="561" t="s">
        <v>2461</v>
      </c>
      <c r="F598" s="572"/>
      <c r="G598" s="571"/>
      <c r="H598" s="571"/>
    </row>
    <row r="599" spans="1:8" x14ac:dyDescent="0.2">
      <c r="A599" s="562" t="s">
        <v>2462</v>
      </c>
      <c r="B599" s="571" t="s">
        <v>1443</v>
      </c>
      <c r="C599" s="571">
        <v>0</v>
      </c>
      <c r="D599" s="571"/>
      <c r="E599" s="561"/>
      <c r="F599" s="572"/>
      <c r="G599" s="571"/>
      <c r="H599" s="571"/>
    </row>
    <row r="600" spans="1:8" x14ac:dyDescent="0.2">
      <c r="A600" s="560" t="s">
        <v>2463</v>
      </c>
      <c r="B600" s="571" t="s">
        <v>1443</v>
      </c>
      <c r="C600" s="571">
        <v>13</v>
      </c>
      <c r="D600" s="571" t="s">
        <v>1464</v>
      </c>
      <c r="E600" s="561" t="s">
        <v>2464</v>
      </c>
      <c r="F600" s="572"/>
      <c r="G600" s="571"/>
      <c r="H600" s="571"/>
    </row>
    <row r="601" spans="1:8" x14ac:dyDescent="0.2">
      <c r="A601" s="560" t="s">
        <v>2465</v>
      </c>
      <c r="B601" s="571" t="s">
        <v>1443</v>
      </c>
      <c r="C601" s="571">
        <v>0</v>
      </c>
      <c r="D601" s="571" t="s">
        <v>1464</v>
      </c>
      <c r="E601" s="561" t="s">
        <v>2466</v>
      </c>
      <c r="F601" s="572"/>
      <c r="G601" s="571"/>
      <c r="H601" s="571">
        <v>1</v>
      </c>
    </row>
    <row r="602" spans="1:8" x14ac:dyDescent="0.2">
      <c r="A602" s="560" t="s">
        <v>2467</v>
      </c>
      <c r="B602" s="571" t="s">
        <v>1443</v>
      </c>
      <c r="C602" s="571">
        <v>1</v>
      </c>
      <c r="D602" s="571" t="s">
        <v>1464</v>
      </c>
      <c r="E602" s="561" t="s">
        <v>2468</v>
      </c>
      <c r="F602" s="572"/>
      <c r="G602" s="571"/>
      <c r="H602" s="571"/>
    </row>
    <row r="603" spans="1:8" x14ac:dyDescent="0.2">
      <c r="A603" s="560" t="s">
        <v>2469</v>
      </c>
      <c r="B603" s="571" t="s">
        <v>1443</v>
      </c>
      <c r="C603" s="571">
        <v>3</v>
      </c>
      <c r="D603" s="571" t="s">
        <v>1464</v>
      </c>
      <c r="E603" s="561" t="s">
        <v>2470</v>
      </c>
      <c r="F603" s="572"/>
      <c r="G603" s="571"/>
      <c r="H603" s="571"/>
    </row>
    <row r="604" spans="1:8" x14ac:dyDescent="0.2">
      <c r="A604" s="560" t="s">
        <v>2471</v>
      </c>
      <c r="B604" s="571" t="s">
        <v>1443</v>
      </c>
      <c r="C604" s="571">
        <v>1</v>
      </c>
      <c r="D604" s="571" t="s">
        <v>1481</v>
      </c>
      <c r="E604" s="561" t="s">
        <v>2472</v>
      </c>
      <c r="F604" s="572"/>
      <c r="G604" s="571"/>
      <c r="H604" s="571">
        <v>1</v>
      </c>
    </row>
    <row r="605" spans="1:8" x14ac:dyDescent="0.2">
      <c r="A605" s="560" t="s">
        <v>2473</v>
      </c>
      <c r="B605" s="571" t="s">
        <v>1443</v>
      </c>
      <c r="C605" s="571">
        <v>2</v>
      </c>
      <c r="D605" s="571" t="s">
        <v>1481</v>
      </c>
      <c r="E605" s="561" t="s">
        <v>2474</v>
      </c>
      <c r="F605" s="572"/>
      <c r="G605" s="571"/>
      <c r="H605" s="571"/>
    </row>
    <row r="606" spans="1:8" x14ac:dyDescent="0.2">
      <c r="A606" s="560" t="s">
        <v>2475</v>
      </c>
      <c r="B606" s="571" t="s">
        <v>1443</v>
      </c>
      <c r="C606" s="571">
        <v>11</v>
      </c>
      <c r="D606" s="571" t="s">
        <v>1444</v>
      </c>
      <c r="E606" s="561" t="s">
        <v>2476</v>
      </c>
      <c r="F606" s="572"/>
      <c r="G606" s="571"/>
      <c r="H606" s="571"/>
    </row>
    <row r="607" spans="1:8" x14ac:dyDescent="0.2">
      <c r="A607" s="560" t="s">
        <v>2477</v>
      </c>
      <c r="B607" s="571"/>
      <c r="C607" s="571">
        <v>0</v>
      </c>
      <c r="D607" s="571" t="s">
        <v>1444</v>
      </c>
      <c r="E607" s="561" t="s">
        <v>2478</v>
      </c>
      <c r="F607" s="572"/>
      <c r="G607" s="571"/>
      <c r="H607" s="571">
        <v>1</v>
      </c>
    </row>
    <row r="608" spans="1:8" x14ac:dyDescent="0.2">
      <c r="A608" s="560" t="s">
        <v>2479</v>
      </c>
      <c r="B608" s="571" t="s">
        <v>1443</v>
      </c>
      <c r="C608" s="571">
        <v>0</v>
      </c>
      <c r="D608" s="571" t="s">
        <v>1464</v>
      </c>
      <c r="E608" s="561" t="s">
        <v>2480</v>
      </c>
      <c r="F608" s="572"/>
      <c r="G608" s="571"/>
      <c r="H608" s="571"/>
    </row>
    <row r="609" spans="1:8" x14ac:dyDescent="0.2">
      <c r="A609" s="560" t="s">
        <v>2481</v>
      </c>
      <c r="B609" s="571" t="s">
        <v>1443</v>
      </c>
      <c r="C609" s="571">
        <v>13</v>
      </c>
      <c r="D609" s="571" t="s">
        <v>1481</v>
      </c>
      <c r="E609" s="561"/>
      <c r="F609" s="572"/>
      <c r="G609" s="571"/>
      <c r="H609" s="571"/>
    </row>
    <row r="610" spans="1:8" x14ac:dyDescent="0.2">
      <c r="A610" s="562" t="s">
        <v>2482</v>
      </c>
      <c r="B610" s="571" t="s">
        <v>1443</v>
      </c>
      <c r="C610" s="571">
        <v>0</v>
      </c>
      <c r="D610" s="571"/>
      <c r="E610" s="561"/>
      <c r="F610" s="572"/>
      <c r="G610" s="571"/>
      <c r="H610" s="571"/>
    </row>
    <row r="611" spans="1:8" x14ac:dyDescent="0.2">
      <c r="A611" s="560" t="s">
        <v>2483</v>
      </c>
      <c r="B611" s="571" t="s">
        <v>1443</v>
      </c>
      <c r="C611" s="571">
        <v>0</v>
      </c>
      <c r="D611" s="571" t="s">
        <v>1452</v>
      </c>
      <c r="E611" s="561" t="s">
        <v>2484</v>
      </c>
      <c r="F611" s="572"/>
      <c r="G611" s="571"/>
      <c r="H611" s="571"/>
    </row>
    <row r="612" spans="1:8" x14ac:dyDescent="0.2">
      <c r="A612" s="560" t="s">
        <v>2485</v>
      </c>
      <c r="B612" s="571"/>
      <c r="C612" s="571">
        <v>0</v>
      </c>
      <c r="D612" s="571" t="s">
        <v>1481</v>
      </c>
      <c r="E612" s="561" t="s">
        <v>2486</v>
      </c>
      <c r="F612" s="572"/>
      <c r="G612" s="571"/>
      <c r="H612" s="571"/>
    </row>
    <row r="613" spans="1:8" x14ac:dyDescent="0.2">
      <c r="A613" s="560" t="s">
        <v>2487</v>
      </c>
      <c r="B613" s="571" t="s">
        <v>1443</v>
      </c>
      <c r="C613" s="571">
        <v>0</v>
      </c>
      <c r="D613" s="571" t="s">
        <v>1481</v>
      </c>
      <c r="E613" s="561" t="s">
        <v>2488</v>
      </c>
      <c r="F613" s="572"/>
      <c r="G613" s="571"/>
      <c r="H613" s="571"/>
    </row>
    <row r="614" spans="1:8" x14ac:dyDescent="0.2">
      <c r="A614" s="560" t="s">
        <v>2489</v>
      </c>
      <c r="B614" s="571" t="s">
        <v>1443</v>
      </c>
      <c r="C614" s="571">
        <v>0</v>
      </c>
      <c r="D614" s="571" t="s">
        <v>1464</v>
      </c>
      <c r="E614" s="561" t="s">
        <v>2490</v>
      </c>
      <c r="F614" s="572"/>
      <c r="G614" s="571"/>
      <c r="H614" s="571"/>
    </row>
    <row r="615" spans="1:8" x14ac:dyDescent="0.2">
      <c r="A615" s="560" t="s">
        <v>2491</v>
      </c>
      <c r="B615" s="571"/>
      <c r="C615" s="571">
        <v>0</v>
      </c>
      <c r="D615" s="571" t="s">
        <v>1449</v>
      </c>
      <c r="E615" s="561" t="s">
        <v>2492</v>
      </c>
      <c r="F615" s="572"/>
      <c r="G615" s="571"/>
      <c r="H615" s="571"/>
    </row>
    <row r="616" spans="1:8" x14ac:dyDescent="0.2">
      <c r="A616" s="560" t="s">
        <v>2493</v>
      </c>
      <c r="B616" s="571" t="s">
        <v>1443</v>
      </c>
      <c r="C616" s="571">
        <v>1</v>
      </c>
      <c r="D616" s="571" t="s">
        <v>1452</v>
      </c>
      <c r="E616" s="561" t="s">
        <v>2494</v>
      </c>
      <c r="F616" s="572"/>
      <c r="G616" s="571"/>
      <c r="H616" s="571">
        <v>1</v>
      </c>
    </row>
    <row r="617" spans="1:8" x14ac:dyDescent="0.2">
      <c r="A617" s="560" t="s">
        <v>1253</v>
      </c>
      <c r="B617" s="571"/>
      <c r="C617" s="571">
        <v>0</v>
      </c>
      <c r="D617" s="571" t="s">
        <v>1449</v>
      </c>
      <c r="E617" s="561" t="s">
        <v>1254</v>
      </c>
      <c r="F617" s="572" t="s">
        <v>1456</v>
      </c>
      <c r="G617" s="571" t="s">
        <v>1456</v>
      </c>
      <c r="H617" s="571"/>
    </row>
    <row r="618" spans="1:8" x14ac:dyDescent="0.2">
      <c r="A618" s="560" t="s">
        <v>1255</v>
      </c>
      <c r="B618" s="571" t="s">
        <v>1443</v>
      </c>
      <c r="C618" s="571">
        <v>3</v>
      </c>
      <c r="D618" s="571" t="s">
        <v>1444</v>
      </c>
      <c r="E618" s="561" t="s">
        <v>1256</v>
      </c>
      <c r="F618" s="572" t="s">
        <v>1456</v>
      </c>
      <c r="G618" s="571"/>
      <c r="H618" s="571"/>
    </row>
    <row r="619" spans="1:8" x14ac:dyDescent="0.2">
      <c r="A619" s="560" t="s">
        <v>2495</v>
      </c>
      <c r="B619" s="571"/>
      <c r="C619" s="571">
        <v>0</v>
      </c>
      <c r="D619" s="571" t="s">
        <v>1481</v>
      </c>
      <c r="E619" s="561" t="s">
        <v>2496</v>
      </c>
      <c r="F619" s="572"/>
      <c r="G619" s="571"/>
      <c r="H619" s="571"/>
    </row>
    <row r="620" spans="1:8" x14ac:dyDescent="0.2">
      <c r="A620" s="560" t="s">
        <v>2497</v>
      </c>
      <c r="B620" s="571" t="s">
        <v>1443</v>
      </c>
      <c r="C620" s="571">
        <v>3</v>
      </c>
      <c r="D620" s="571" t="s">
        <v>1449</v>
      </c>
      <c r="E620" s="561" t="s">
        <v>2498</v>
      </c>
      <c r="F620" s="572"/>
      <c r="G620" s="571"/>
      <c r="H620" s="571"/>
    </row>
    <row r="621" spans="1:8" x14ac:dyDescent="0.2">
      <c r="A621" s="560" t="s">
        <v>2499</v>
      </c>
      <c r="B621" s="571" t="s">
        <v>1443</v>
      </c>
      <c r="C621" s="571">
        <v>1</v>
      </c>
      <c r="D621" s="571" t="s">
        <v>1464</v>
      </c>
      <c r="E621" s="561" t="s">
        <v>2500</v>
      </c>
      <c r="F621" s="572"/>
      <c r="G621" s="571"/>
      <c r="H621" s="571"/>
    </row>
    <row r="622" spans="1:8" x14ac:dyDescent="0.2">
      <c r="A622" s="560" t="s">
        <v>1257</v>
      </c>
      <c r="B622" s="571"/>
      <c r="C622" s="571">
        <v>0</v>
      </c>
      <c r="D622" s="571" t="s">
        <v>1444</v>
      </c>
      <c r="E622" s="561" t="s">
        <v>1258</v>
      </c>
      <c r="F622" s="572" t="s">
        <v>1456</v>
      </c>
      <c r="G622" s="571"/>
      <c r="H622" s="571"/>
    </row>
    <row r="623" spans="1:8" x14ac:dyDescent="0.2">
      <c r="A623" s="560" t="s">
        <v>2501</v>
      </c>
      <c r="B623" s="571"/>
      <c r="C623" s="571">
        <v>0</v>
      </c>
      <c r="D623" s="571" t="s">
        <v>1452</v>
      </c>
      <c r="E623" s="561" t="s">
        <v>2502</v>
      </c>
      <c r="F623" s="572"/>
      <c r="G623" s="571"/>
      <c r="H623" s="571">
        <v>2</v>
      </c>
    </row>
    <row r="624" spans="1:8" x14ac:dyDescent="0.2">
      <c r="A624" s="560" t="s">
        <v>2503</v>
      </c>
      <c r="B624" s="571"/>
      <c r="C624" s="571">
        <v>0</v>
      </c>
      <c r="D624" s="571" t="s">
        <v>1481</v>
      </c>
      <c r="E624" s="561" t="s">
        <v>2504</v>
      </c>
      <c r="F624" s="572"/>
      <c r="G624" s="571"/>
      <c r="H624" s="571"/>
    </row>
    <row r="625" spans="1:8" x14ac:dyDescent="0.2">
      <c r="A625" s="560" t="s">
        <v>2505</v>
      </c>
      <c r="B625" s="571" t="s">
        <v>1443</v>
      </c>
      <c r="C625" s="571">
        <v>8</v>
      </c>
      <c r="D625" s="571" t="s">
        <v>1449</v>
      </c>
      <c r="E625" s="561" t="s">
        <v>2506</v>
      </c>
      <c r="F625" s="572"/>
      <c r="G625" s="571"/>
      <c r="H625" s="571"/>
    </row>
    <row r="626" spans="1:8" x14ac:dyDescent="0.2">
      <c r="A626" s="560" t="s">
        <v>2507</v>
      </c>
      <c r="B626" s="571"/>
      <c r="C626" s="571">
        <v>0</v>
      </c>
      <c r="D626" s="571" t="s">
        <v>1481</v>
      </c>
      <c r="E626" s="561"/>
      <c r="F626" s="572"/>
      <c r="G626" s="571"/>
      <c r="H626" s="571"/>
    </row>
    <row r="627" spans="1:8" x14ac:dyDescent="0.2">
      <c r="A627" s="560" t="s">
        <v>2508</v>
      </c>
      <c r="B627" s="571"/>
      <c r="C627" s="571">
        <v>0</v>
      </c>
      <c r="D627" s="571" t="s">
        <v>1464</v>
      </c>
      <c r="E627" s="561" t="s">
        <v>2509</v>
      </c>
      <c r="F627" s="572"/>
      <c r="G627" s="571"/>
      <c r="H627" s="571"/>
    </row>
    <row r="628" spans="1:8" x14ac:dyDescent="0.2">
      <c r="A628" s="560" t="s">
        <v>2510</v>
      </c>
      <c r="B628" s="571"/>
      <c r="C628" s="571">
        <v>0</v>
      </c>
      <c r="D628" s="571" t="s">
        <v>1464</v>
      </c>
      <c r="E628" s="561" t="s">
        <v>2511</v>
      </c>
      <c r="F628" s="572"/>
      <c r="G628" s="571"/>
      <c r="H628" s="571"/>
    </row>
    <row r="629" spans="1:8" x14ac:dyDescent="0.2">
      <c r="A629" s="560" t="s">
        <v>2512</v>
      </c>
      <c r="B629" s="571"/>
      <c r="C629" s="571">
        <v>0</v>
      </c>
      <c r="D629" s="571" t="s">
        <v>1464</v>
      </c>
      <c r="E629" s="561" t="s">
        <v>2513</v>
      </c>
      <c r="F629" s="572"/>
      <c r="G629" s="571"/>
      <c r="H629" s="571"/>
    </row>
    <row r="630" spans="1:8" x14ac:dyDescent="0.2">
      <c r="A630" s="560" t="s">
        <v>1259</v>
      </c>
      <c r="B630" s="571"/>
      <c r="C630" s="571">
        <v>0</v>
      </c>
      <c r="D630" s="571" t="s">
        <v>1444</v>
      </c>
      <c r="E630" s="561" t="s">
        <v>1260</v>
      </c>
      <c r="F630" s="572" t="s">
        <v>1456</v>
      </c>
      <c r="G630" s="571"/>
      <c r="H630" s="571"/>
    </row>
    <row r="631" spans="1:8" x14ac:dyDescent="0.2">
      <c r="A631" s="560" t="s">
        <v>1261</v>
      </c>
      <c r="B631" s="571" t="s">
        <v>1443</v>
      </c>
      <c r="C631" s="571">
        <v>0</v>
      </c>
      <c r="D631" s="571" t="s">
        <v>1449</v>
      </c>
      <c r="E631" s="561" t="s">
        <v>1262</v>
      </c>
      <c r="F631" s="572" t="s">
        <v>1456</v>
      </c>
      <c r="G631" s="571"/>
      <c r="H631" s="571"/>
    </row>
    <row r="632" spans="1:8" x14ac:dyDescent="0.2">
      <c r="A632" s="560" t="s">
        <v>2514</v>
      </c>
      <c r="B632" s="571"/>
      <c r="C632" s="571">
        <v>0</v>
      </c>
      <c r="D632" s="571" t="s">
        <v>1444</v>
      </c>
      <c r="E632" s="561" t="s">
        <v>2515</v>
      </c>
      <c r="F632" s="572"/>
      <c r="G632" s="571"/>
      <c r="H632" s="571"/>
    </row>
    <row r="633" spans="1:8" x14ac:dyDescent="0.2">
      <c r="A633" s="560" t="s">
        <v>1263</v>
      </c>
      <c r="B633" s="571" t="s">
        <v>1443</v>
      </c>
      <c r="C633" s="571">
        <v>0</v>
      </c>
      <c r="D633" s="571" t="s">
        <v>1444</v>
      </c>
      <c r="E633" s="561" t="s">
        <v>1264</v>
      </c>
      <c r="F633" s="572" t="s">
        <v>1456</v>
      </c>
      <c r="G633" s="571"/>
      <c r="H633" s="571"/>
    </row>
    <row r="634" spans="1:8" x14ac:dyDescent="0.2">
      <c r="A634" s="560" t="s">
        <v>2516</v>
      </c>
      <c r="B634" s="571" t="s">
        <v>1443</v>
      </c>
      <c r="C634" s="571">
        <v>7</v>
      </c>
      <c r="D634" s="571" t="s">
        <v>1481</v>
      </c>
      <c r="E634" s="561" t="s">
        <v>2517</v>
      </c>
      <c r="F634" s="572"/>
      <c r="G634" s="571"/>
      <c r="H634" s="571"/>
    </row>
    <row r="635" spans="1:8" x14ac:dyDescent="0.2">
      <c r="A635" s="560" t="s">
        <v>1265</v>
      </c>
      <c r="B635" s="571" t="s">
        <v>1443</v>
      </c>
      <c r="C635" s="571">
        <v>1</v>
      </c>
      <c r="D635" s="571" t="s">
        <v>1444</v>
      </c>
      <c r="E635" s="561" t="s">
        <v>1266</v>
      </c>
      <c r="F635" s="572" t="s">
        <v>1456</v>
      </c>
      <c r="G635" s="571" t="s">
        <v>1456</v>
      </c>
      <c r="H635" s="571"/>
    </row>
    <row r="636" spans="1:8" x14ac:dyDescent="0.2">
      <c r="A636" s="560" t="s">
        <v>2518</v>
      </c>
      <c r="B636" s="571"/>
      <c r="C636" s="571">
        <v>0</v>
      </c>
      <c r="D636" s="571" t="s">
        <v>1444</v>
      </c>
      <c r="E636" s="561" t="s">
        <v>2519</v>
      </c>
      <c r="F636" s="572"/>
      <c r="G636" s="571"/>
      <c r="H636" s="571"/>
    </row>
    <row r="637" spans="1:8" x14ac:dyDescent="0.2">
      <c r="A637" s="560" t="s">
        <v>2520</v>
      </c>
      <c r="B637" s="571" t="s">
        <v>1443</v>
      </c>
      <c r="C637" s="571">
        <v>7</v>
      </c>
      <c r="D637" s="571" t="s">
        <v>1449</v>
      </c>
      <c r="E637" s="561" t="s">
        <v>2521</v>
      </c>
      <c r="F637" s="572"/>
      <c r="G637" s="571"/>
      <c r="H637" s="571"/>
    </row>
    <row r="638" spans="1:8" x14ac:dyDescent="0.2">
      <c r="A638" s="562" t="s">
        <v>2522</v>
      </c>
      <c r="B638" s="571" t="s">
        <v>1443</v>
      </c>
      <c r="C638" s="571">
        <v>0</v>
      </c>
      <c r="D638" s="571"/>
      <c r="E638" s="561"/>
      <c r="F638" s="572"/>
      <c r="G638" s="571"/>
      <c r="H638" s="571">
        <v>1</v>
      </c>
    </row>
    <row r="639" spans="1:8" x14ac:dyDescent="0.2">
      <c r="A639" s="560" t="s">
        <v>2523</v>
      </c>
      <c r="B639" s="571" t="s">
        <v>1443</v>
      </c>
      <c r="C639" s="571">
        <v>16</v>
      </c>
      <c r="D639" s="571" t="s">
        <v>1449</v>
      </c>
      <c r="E639" s="561" t="s">
        <v>2524</v>
      </c>
      <c r="F639" s="572"/>
      <c r="G639" s="571"/>
      <c r="H639" s="571"/>
    </row>
    <row r="640" spans="1:8" x14ac:dyDescent="0.2">
      <c r="A640" s="560" t="s">
        <v>2525</v>
      </c>
      <c r="B640" s="571"/>
      <c r="C640" s="571">
        <v>0</v>
      </c>
      <c r="D640" s="571" t="s">
        <v>1464</v>
      </c>
      <c r="E640" s="561" t="s">
        <v>2526</v>
      </c>
      <c r="F640" s="572"/>
      <c r="G640" s="571"/>
      <c r="H640" s="571"/>
    </row>
    <row r="641" spans="1:8" x14ac:dyDescent="0.2">
      <c r="A641" s="560" t="s">
        <v>2527</v>
      </c>
      <c r="B641" s="571"/>
      <c r="C641" s="571">
        <v>0</v>
      </c>
      <c r="D641" s="571" t="s">
        <v>1464</v>
      </c>
      <c r="E641" s="561" t="s">
        <v>2528</v>
      </c>
      <c r="F641" s="572"/>
      <c r="G641" s="571"/>
      <c r="H641" s="571">
        <v>1</v>
      </c>
    </row>
    <row r="642" spans="1:8" x14ac:dyDescent="0.2">
      <c r="A642" s="562" t="s">
        <v>2529</v>
      </c>
      <c r="B642" s="571" t="s">
        <v>1443</v>
      </c>
      <c r="C642" s="571">
        <v>0</v>
      </c>
      <c r="D642" s="571"/>
      <c r="E642" s="561"/>
      <c r="F642" s="572"/>
      <c r="G642" s="571"/>
      <c r="H642" s="571"/>
    </row>
    <row r="643" spans="1:8" x14ac:dyDescent="0.2">
      <c r="A643" s="560" t="s">
        <v>2530</v>
      </c>
      <c r="B643" s="571" t="s">
        <v>1443</v>
      </c>
      <c r="C643" s="571">
        <v>10</v>
      </c>
      <c r="D643" s="571" t="s">
        <v>1452</v>
      </c>
      <c r="E643" s="561" t="s">
        <v>2531</v>
      </c>
      <c r="F643" s="572"/>
      <c r="G643" s="571"/>
      <c r="H643" s="571"/>
    </row>
    <row r="644" spans="1:8" x14ac:dyDescent="0.2">
      <c r="A644" s="560" t="s">
        <v>2532</v>
      </c>
      <c r="B644" s="571"/>
      <c r="C644" s="571">
        <v>0</v>
      </c>
      <c r="D644" s="571" t="s">
        <v>1452</v>
      </c>
      <c r="E644" s="561" t="s">
        <v>2533</v>
      </c>
      <c r="F644" s="572"/>
      <c r="G644" s="571"/>
      <c r="H644" s="571"/>
    </row>
    <row r="645" spans="1:8" x14ac:dyDescent="0.2">
      <c r="A645" s="560" t="s">
        <v>2534</v>
      </c>
      <c r="B645" s="571" t="s">
        <v>1443</v>
      </c>
      <c r="C645" s="571">
        <v>0</v>
      </c>
      <c r="D645" s="571" t="s">
        <v>1452</v>
      </c>
      <c r="E645" s="561" t="s">
        <v>2535</v>
      </c>
      <c r="F645" s="572"/>
      <c r="G645" s="571"/>
      <c r="H645" s="571"/>
    </row>
    <row r="646" spans="1:8" x14ac:dyDescent="0.2">
      <c r="A646" s="560" t="s">
        <v>2536</v>
      </c>
      <c r="B646" s="571" t="s">
        <v>1443</v>
      </c>
      <c r="C646" s="571">
        <v>7</v>
      </c>
      <c r="D646" s="571"/>
      <c r="E646" s="561" t="s">
        <v>2533</v>
      </c>
      <c r="F646" s="572"/>
      <c r="G646" s="571"/>
      <c r="H646" s="571"/>
    </row>
    <row r="647" spans="1:8" x14ac:dyDescent="0.2">
      <c r="A647" s="560" t="s">
        <v>2537</v>
      </c>
      <c r="B647" s="571"/>
      <c r="C647" s="571">
        <v>0</v>
      </c>
      <c r="D647" s="571" t="s">
        <v>1452</v>
      </c>
      <c r="E647" s="561" t="s">
        <v>2538</v>
      </c>
      <c r="F647" s="572"/>
      <c r="G647" s="571"/>
      <c r="H647" s="571">
        <v>1</v>
      </c>
    </row>
    <row r="648" spans="1:8" x14ac:dyDescent="0.2">
      <c r="A648" s="560" t="s">
        <v>2539</v>
      </c>
      <c r="B648" s="571" t="s">
        <v>1443</v>
      </c>
      <c r="C648" s="571">
        <v>8</v>
      </c>
      <c r="D648" s="571" t="s">
        <v>1452</v>
      </c>
      <c r="E648" s="561" t="s">
        <v>2540</v>
      </c>
      <c r="F648" s="572"/>
      <c r="G648" s="571"/>
      <c r="H648" s="571"/>
    </row>
    <row r="649" spans="1:8" x14ac:dyDescent="0.2">
      <c r="A649" s="560" t="s">
        <v>2541</v>
      </c>
      <c r="B649" s="571" t="s">
        <v>1443</v>
      </c>
      <c r="C649" s="571">
        <v>4</v>
      </c>
      <c r="D649" s="571" t="s">
        <v>1452</v>
      </c>
      <c r="E649" s="561" t="s">
        <v>2542</v>
      </c>
      <c r="F649" s="572"/>
      <c r="G649" s="571"/>
      <c r="H649" s="571"/>
    </row>
    <row r="650" spans="1:8" x14ac:dyDescent="0.2">
      <c r="A650" s="560" t="s">
        <v>2543</v>
      </c>
      <c r="B650" s="573"/>
      <c r="C650" s="573"/>
      <c r="D650" s="573"/>
      <c r="E650" s="560"/>
      <c r="F650" s="573"/>
      <c r="G650" s="573"/>
      <c r="H650" s="573"/>
    </row>
    <row r="651" spans="1:8" x14ac:dyDescent="0.2">
      <c r="A651" s="560" t="s">
        <v>2544</v>
      </c>
      <c r="B651" s="571" t="s">
        <v>1443</v>
      </c>
      <c r="C651" s="571">
        <v>0</v>
      </c>
      <c r="D651" s="571" t="s">
        <v>1464</v>
      </c>
      <c r="E651" s="561" t="s">
        <v>2545</v>
      </c>
      <c r="F651" s="572"/>
      <c r="G651" s="571"/>
      <c r="H651" s="571">
        <v>1</v>
      </c>
    </row>
    <row r="652" spans="1:8" x14ac:dyDescent="0.2">
      <c r="A652" s="560" t="s">
        <v>2546</v>
      </c>
      <c r="B652" s="571" t="s">
        <v>1443</v>
      </c>
      <c r="C652" s="571">
        <v>11</v>
      </c>
      <c r="D652" s="571" t="s">
        <v>1452</v>
      </c>
      <c r="E652" s="561" t="s">
        <v>2547</v>
      </c>
      <c r="F652" s="572"/>
      <c r="G652" s="571"/>
      <c r="H652" s="571"/>
    </row>
    <row r="653" spans="1:8" x14ac:dyDescent="0.2">
      <c r="A653" s="560" t="s">
        <v>1267</v>
      </c>
      <c r="B653" s="571" t="s">
        <v>1443</v>
      </c>
      <c r="C653" s="571">
        <v>0</v>
      </c>
      <c r="D653" s="571" t="s">
        <v>1452</v>
      </c>
      <c r="E653" s="561" t="s">
        <v>1268</v>
      </c>
      <c r="F653" s="572" t="s">
        <v>1456</v>
      </c>
      <c r="G653" s="571"/>
      <c r="H653" s="571"/>
    </row>
    <row r="654" spans="1:8" x14ac:dyDescent="0.2">
      <c r="A654" s="560" t="s">
        <v>2548</v>
      </c>
      <c r="B654" s="571"/>
      <c r="C654" s="571">
        <v>0</v>
      </c>
      <c r="D654" s="571" t="s">
        <v>1444</v>
      </c>
      <c r="E654" s="561" t="s">
        <v>2549</v>
      </c>
      <c r="F654" s="572"/>
      <c r="G654" s="571"/>
      <c r="H654" s="571"/>
    </row>
    <row r="655" spans="1:8" x14ac:dyDescent="0.2">
      <c r="A655" s="560" t="s">
        <v>2550</v>
      </c>
      <c r="B655" s="571" t="s">
        <v>1443</v>
      </c>
      <c r="C655" s="571">
        <v>3</v>
      </c>
      <c r="D655" s="571" t="s">
        <v>1464</v>
      </c>
      <c r="E655" s="561" t="s">
        <v>2551</v>
      </c>
      <c r="F655" s="572"/>
      <c r="G655" s="571"/>
      <c r="H655" s="571"/>
    </row>
    <row r="656" spans="1:8" x14ac:dyDescent="0.2">
      <c r="A656" s="560" t="s">
        <v>2552</v>
      </c>
      <c r="B656" s="571" t="s">
        <v>1443</v>
      </c>
      <c r="C656" s="571">
        <v>3</v>
      </c>
      <c r="D656" s="571" t="s">
        <v>1452</v>
      </c>
      <c r="E656" s="561" t="s">
        <v>2553</v>
      </c>
      <c r="F656" s="572"/>
      <c r="G656" s="571"/>
      <c r="H656" s="571">
        <v>1</v>
      </c>
    </row>
    <row r="657" spans="1:8" x14ac:dyDescent="0.2">
      <c r="A657" s="560" t="s">
        <v>1269</v>
      </c>
      <c r="B657" s="571"/>
      <c r="C657" s="571">
        <v>0</v>
      </c>
      <c r="D657" s="571" t="s">
        <v>1444</v>
      </c>
      <c r="E657" s="561" t="s">
        <v>1270</v>
      </c>
      <c r="F657" s="572" t="s">
        <v>1456</v>
      </c>
      <c r="G657" s="571"/>
      <c r="H657" s="571"/>
    </row>
    <row r="658" spans="1:8" x14ac:dyDescent="0.2">
      <c r="A658" s="560" t="s">
        <v>1271</v>
      </c>
      <c r="B658" s="571" t="s">
        <v>1443</v>
      </c>
      <c r="C658" s="571">
        <v>1</v>
      </c>
      <c r="D658" s="571"/>
      <c r="E658" s="561" t="s">
        <v>1272</v>
      </c>
      <c r="F658" s="572" t="s">
        <v>1456</v>
      </c>
      <c r="G658" s="571"/>
      <c r="H658" s="571"/>
    </row>
    <row r="659" spans="1:8" x14ac:dyDescent="0.2">
      <c r="A659" s="560" t="s">
        <v>2554</v>
      </c>
      <c r="B659" s="571" t="s">
        <v>1443</v>
      </c>
      <c r="C659" s="571">
        <v>16</v>
      </c>
      <c r="D659" s="571" t="s">
        <v>1444</v>
      </c>
      <c r="E659" s="561" t="s">
        <v>2555</v>
      </c>
      <c r="F659" s="572"/>
      <c r="G659" s="571"/>
      <c r="H659" s="571"/>
    </row>
    <row r="660" spans="1:8" x14ac:dyDescent="0.2">
      <c r="A660" s="560" t="s">
        <v>2556</v>
      </c>
      <c r="B660" s="571" t="s">
        <v>1443</v>
      </c>
      <c r="C660" s="571">
        <v>0</v>
      </c>
      <c r="D660" s="571" t="s">
        <v>1452</v>
      </c>
      <c r="E660" s="561" t="s">
        <v>2557</v>
      </c>
      <c r="F660" s="572"/>
      <c r="G660" s="571"/>
      <c r="H660" s="571"/>
    </row>
    <row r="661" spans="1:8" x14ac:dyDescent="0.2">
      <c r="A661" s="560" t="s">
        <v>2558</v>
      </c>
      <c r="B661" s="571" t="s">
        <v>1443</v>
      </c>
      <c r="C661" s="571">
        <v>11</v>
      </c>
      <c r="D661" s="571" t="s">
        <v>1452</v>
      </c>
      <c r="E661" s="561" t="s">
        <v>2559</v>
      </c>
      <c r="F661" s="572"/>
      <c r="G661" s="571"/>
      <c r="H661" s="571"/>
    </row>
    <row r="662" spans="1:8" x14ac:dyDescent="0.2">
      <c r="A662" s="560" t="s">
        <v>1273</v>
      </c>
      <c r="B662" s="571" t="s">
        <v>1443</v>
      </c>
      <c r="C662" s="571">
        <v>1</v>
      </c>
      <c r="D662" s="571" t="s">
        <v>1449</v>
      </c>
      <c r="E662" s="561" t="s">
        <v>1274</v>
      </c>
      <c r="F662" s="572" t="s">
        <v>1456</v>
      </c>
      <c r="G662" s="571"/>
      <c r="H662" s="571"/>
    </row>
    <row r="663" spans="1:8" x14ac:dyDescent="0.2">
      <c r="A663" s="560" t="s">
        <v>2560</v>
      </c>
      <c r="B663" s="571" t="s">
        <v>1443</v>
      </c>
      <c r="C663" s="571">
        <v>0</v>
      </c>
      <c r="D663" s="571"/>
      <c r="E663" s="561" t="s">
        <v>2561</v>
      </c>
      <c r="F663" s="572"/>
      <c r="G663" s="571"/>
      <c r="H663" s="571"/>
    </row>
    <row r="664" spans="1:8" x14ac:dyDescent="0.2">
      <c r="A664" s="560" t="s">
        <v>2562</v>
      </c>
      <c r="B664" s="571" t="s">
        <v>1443</v>
      </c>
      <c r="C664" s="571">
        <v>8</v>
      </c>
      <c r="D664" s="571" t="s">
        <v>1452</v>
      </c>
      <c r="E664" s="561" t="s">
        <v>2563</v>
      </c>
      <c r="F664" s="572"/>
      <c r="G664" s="571"/>
      <c r="H664" s="571"/>
    </row>
    <row r="665" spans="1:8" x14ac:dyDescent="0.2">
      <c r="A665" s="560" t="s">
        <v>2564</v>
      </c>
      <c r="B665" s="571" t="s">
        <v>1443</v>
      </c>
      <c r="C665" s="571">
        <v>2</v>
      </c>
      <c r="D665" s="571" t="s">
        <v>1449</v>
      </c>
      <c r="E665" s="561" t="s">
        <v>2565</v>
      </c>
      <c r="F665" s="572"/>
      <c r="G665" s="571"/>
      <c r="H665" s="571">
        <v>1</v>
      </c>
    </row>
    <row r="666" spans="1:8" x14ac:dyDescent="0.2">
      <c r="A666" s="560" t="s">
        <v>2566</v>
      </c>
      <c r="B666" s="571" t="s">
        <v>1443</v>
      </c>
      <c r="C666" s="571">
        <v>0</v>
      </c>
      <c r="D666" s="571" t="s">
        <v>1449</v>
      </c>
      <c r="E666" s="561" t="s">
        <v>2567</v>
      </c>
      <c r="F666" s="572"/>
      <c r="G666" s="571"/>
      <c r="H666" s="571"/>
    </row>
    <row r="667" spans="1:8" x14ac:dyDescent="0.2">
      <c r="A667" s="560" t="s">
        <v>2568</v>
      </c>
      <c r="B667" s="571"/>
      <c r="C667" s="571">
        <v>0</v>
      </c>
      <c r="D667" s="571" t="s">
        <v>1481</v>
      </c>
      <c r="E667" s="561" t="s">
        <v>2569</v>
      </c>
      <c r="F667" s="572"/>
      <c r="G667" s="571"/>
      <c r="H667" s="571"/>
    </row>
    <row r="668" spans="1:8" x14ac:dyDescent="0.2">
      <c r="A668" s="560" t="s">
        <v>2570</v>
      </c>
      <c r="B668" s="571"/>
      <c r="C668" s="571">
        <v>0</v>
      </c>
      <c r="D668" s="571" t="s">
        <v>1444</v>
      </c>
      <c r="E668" s="561" t="s">
        <v>2571</v>
      </c>
      <c r="F668" s="572"/>
      <c r="G668" s="571"/>
      <c r="H668" s="571"/>
    </row>
    <row r="669" spans="1:8" x14ac:dyDescent="0.2">
      <c r="A669" s="560" t="s">
        <v>2572</v>
      </c>
      <c r="B669" s="571" t="s">
        <v>1443</v>
      </c>
      <c r="C669" s="571">
        <v>12</v>
      </c>
      <c r="D669" s="571" t="s">
        <v>1452</v>
      </c>
      <c r="E669" s="561" t="s">
        <v>2573</v>
      </c>
      <c r="F669" s="572"/>
      <c r="G669" s="571"/>
      <c r="H669" s="571"/>
    </row>
    <row r="670" spans="1:8" x14ac:dyDescent="0.2">
      <c r="A670" s="560" t="s">
        <v>2574</v>
      </c>
      <c r="B670" s="571" t="s">
        <v>1443</v>
      </c>
      <c r="C670" s="571">
        <v>22</v>
      </c>
      <c r="D670" s="571" t="s">
        <v>1449</v>
      </c>
      <c r="E670" s="561" t="s">
        <v>2575</v>
      </c>
      <c r="F670" s="572"/>
      <c r="G670" s="571"/>
      <c r="H670" s="571"/>
    </row>
    <row r="671" spans="1:8" x14ac:dyDescent="0.2">
      <c r="A671" s="560" t="s">
        <v>2576</v>
      </c>
      <c r="B671" s="571" t="s">
        <v>1443</v>
      </c>
      <c r="C671" s="571">
        <v>2</v>
      </c>
      <c r="D671" s="571" t="s">
        <v>1481</v>
      </c>
      <c r="E671" s="561" t="s">
        <v>2577</v>
      </c>
      <c r="F671" s="572"/>
      <c r="G671" s="571"/>
      <c r="H671" s="571"/>
    </row>
    <row r="672" spans="1:8" x14ac:dyDescent="0.2">
      <c r="A672" s="560" t="s">
        <v>2578</v>
      </c>
      <c r="B672" s="571" t="s">
        <v>1443</v>
      </c>
      <c r="C672" s="571">
        <v>4</v>
      </c>
      <c r="D672" s="571" t="s">
        <v>1452</v>
      </c>
      <c r="E672" s="561" t="s">
        <v>2579</v>
      </c>
      <c r="F672" s="572"/>
      <c r="G672" s="571"/>
      <c r="H672" s="571"/>
    </row>
    <row r="673" spans="1:8" x14ac:dyDescent="0.2">
      <c r="A673" s="560" t="s">
        <v>2580</v>
      </c>
      <c r="B673" s="571" t="s">
        <v>1443</v>
      </c>
      <c r="C673" s="571">
        <v>3</v>
      </c>
      <c r="D673" s="571" t="s">
        <v>1464</v>
      </c>
      <c r="E673" s="561" t="s">
        <v>2581</v>
      </c>
      <c r="F673" s="572"/>
      <c r="G673" s="571"/>
      <c r="H673" s="571"/>
    </row>
    <row r="674" spans="1:8" x14ac:dyDescent="0.2">
      <c r="A674" s="560" t="s">
        <v>2582</v>
      </c>
      <c r="B674" s="571" t="s">
        <v>1443</v>
      </c>
      <c r="C674" s="571">
        <v>0</v>
      </c>
      <c r="D674" s="571" t="s">
        <v>1464</v>
      </c>
      <c r="E674" s="561" t="s">
        <v>2583</v>
      </c>
      <c r="F674" s="572"/>
      <c r="G674" s="571"/>
      <c r="H674" s="571"/>
    </row>
    <row r="675" spans="1:8" x14ac:dyDescent="0.2">
      <c r="A675" s="560" t="s">
        <v>2584</v>
      </c>
      <c r="B675" s="571" t="s">
        <v>1443</v>
      </c>
      <c r="C675" s="571">
        <v>13</v>
      </c>
      <c r="D675" s="571"/>
      <c r="E675" s="561"/>
      <c r="F675" s="572"/>
      <c r="G675" s="571"/>
      <c r="H675" s="571"/>
    </row>
    <row r="676" spans="1:8" x14ac:dyDescent="0.2">
      <c r="A676" s="560" t="s">
        <v>2585</v>
      </c>
      <c r="B676" s="571" t="s">
        <v>1443</v>
      </c>
      <c r="C676" s="571">
        <v>24</v>
      </c>
      <c r="D676" s="571"/>
      <c r="E676" s="561" t="s">
        <v>2586</v>
      </c>
      <c r="F676" s="572"/>
      <c r="G676" s="571"/>
      <c r="H676" s="571"/>
    </row>
    <row r="677" spans="1:8" x14ac:dyDescent="0.2">
      <c r="A677" s="560" t="s">
        <v>2587</v>
      </c>
      <c r="B677" s="571" t="s">
        <v>1443</v>
      </c>
      <c r="C677" s="571">
        <v>14</v>
      </c>
      <c r="D677" s="571" t="s">
        <v>1452</v>
      </c>
      <c r="E677" s="561" t="s">
        <v>2588</v>
      </c>
      <c r="F677" s="572"/>
      <c r="G677" s="571"/>
      <c r="H677" s="571"/>
    </row>
    <row r="678" spans="1:8" x14ac:dyDescent="0.2">
      <c r="A678" s="560" t="s">
        <v>2589</v>
      </c>
      <c r="B678" s="571" t="s">
        <v>1443</v>
      </c>
      <c r="C678" s="571">
        <v>1</v>
      </c>
      <c r="D678" s="571"/>
      <c r="E678" s="561"/>
      <c r="F678" s="572"/>
      <c r="G678" s="571"/>
      <c r="H678" s="571"/>
    </row>
    <row r="679" spans="1:8" x14ac:dyDescent="0.2">
      <c r="A679" s="560" t="s">
        <v>2590</v>
      </c>
      <c r="B679" s="571" t="s">
        <v>1443</v>
      </c>
      <c r="C679" s="571">
        <v>7</v>
      </c>
      <c r="D679" s="571"/>
      <c r="E679" s="561" t="s">
        <v>2591</v>
      </c>
      <c r="F679" s="572"/>
      <c r="G679" s="571"/>
      <c r="H679" s="571"/>
    </row>
    <row r="680" spans="1:8" x14ac:dyDescent="0.2">
      <c r="A680" s="560" t="s">
        <v>2592</v>
      </c>
      <c r="B680" s="571" t="s">
        <v>1443</v>
      </c>
      <c r="C680" s="571">
        <v>0</v>
      </c>
      <c r="D680" s="571" t="s">
        <v>1452</v>
      </c>
      <c r="E680" s="561" t="s">
        <v>2593</v>
      </c>
      <c r="F680" s="572"/>
      <c r="G680" s="571"/>
      <c r="H680" s="571"/>
    </row>
    <row r="681" spans="1:8" x14ac:dyDescent="0.2">
      <c r="A681" s="560" t="s">
        <v>1275</v>
      </c>
      <c r="B681" s="571"/>
      <c r="C681" s="571">
        <v>0</v>
      </c>
      <c r="D681" s="571" t="s">
        <v>1464</v>
      </c>
      <c r="E681" s="561" t="s">
        <v>1276</v>
      </c>
      <c r="F681" s="572" t="s">
        <v>1456</v>
      </c>
      <c r="G681" s="571"/>
      <c r="H681" s="571"/>
    </row>
    <row r="682" spans="1:8" x14ac:dyDescent="0.2">
      <c r="A682" s="560" t="s">
        <v>2594</v>
      </c>
      <c r="B682" s="571" t="s">
        <v>1443</v>
      </c>
      <c r="C682" s="571">
        <v>4</v>
      </c>
      <c r="D682" s="571" t="s">
        <v>1464</v>
      </c>
      <c r="E682" s="561" t="s">
        <v>2595</v>
      </c>
      <c r="F682" s="572"/>
      <c r="G682" s="571"/>
      <c r="H682" s="571">
        <v>1</v>
      </c>
    </row>
    <row r="683" spans="1:8" x14ac:dyDescent="0.2">
      <c r="A683" s="560" t="s">
        <v>2596</v>
      </c>
      <c r="B683" s="571" t="s">
        <v>1443</v>
      </c>
      <c r="C683" s="571">
        <v>8</v>
      </c>
      <c r="D683" s="571" t="s">
        <v>1464</v>
      </c>
      <c r="E683" s="561" t="s">
        <v>2597</v>
      </c>
      <c r="F683" s="572"/>
      <c r="G683" s="571"/>
      <c r="H683" s="571"/>
    </row>
    <row r="684" spans="1:8" x14ac:dyDescent="0.2">
      <c r="A684" s="560" t="s">
        <v>2598</v>
      </c>
      <c r="B684" s="571"/>
      <c r="C684" s="571">
        <v>0</v>
      </c>
      <c r="D684" s="571" t="s">
        <v>1481</v>
      </c>
      <c r="E684" s="561" t="s">
        <v>2599</v>
      </c>
      <c r="F684" s="572"/>
      <c r="G684" s="571"/>
      <c r="H684" s="571"/>
    </row>
    <row r="685" spans="1:8" x14ac:dyDescent="0.2">
      <c r="A685" s="560" t="s">
        <v>2600</v>
      </c>
      <c r="B685" s="571"/>
      <c r="C685" s="571">
        <v>0</v>
      </c>
      <c r="D685" s="571" t="s">
        <v>1464</v>
      </c>
      <c r="E685" s="561" t="s">
        <v>2601</v>
      </c>
      <c r="F685" s="572"/>
      <c r="G685" s="571"/>
      <c r="H685" s="571"/>
    </row>
    <row r="686" spans="1:8" x14ac:dyDescent="0.2">
      <c r="A686" s="560" t="s">
        <v>2602</v>
      </c>
      <c r="B686" s="571" t="s">
        <v>1443</v>
      </c>
      <c r="C686" s="571">
        <v>4</v>
      </c>
      <c r="D686" s="571" t="s">
        <v>1464</v>
      </c>
      <c r="E686" s="561" t="s">
        <v>2603</v>
      </c>
      <c r="F686" s="572"/>
      <c r="G686" s="571"/>
      <c r="H686" s="571"/>
    </row>
    <row r="687" spans="1:8" x14ac:dyDescent="0.2">
      <c r="A687" s="560" t="s">
        <v>1277</v>
      </c>
      <c r="B687" s="571" t="s">
        <v>1443</v>
      </c>
      <c r="C687" s="571">
        <v>2</v>
      </c>
      <c r="D687" s="571" t="s">
        <v>1444</v>
      </c>
      <c r="E687" s="561" t="s">
        <v>1278</v>
      </c>
      <c r="F687" s="572" t="s">
        <v>1456</v>
      </c>
      <c r="G687" s="571"/>
      <c r="H687" s="571"/>
    </row>
    <row r="688" spans="1:8" x14ac:dyDescent="0.2">
      <c r="A688" s="560" t="s">
        <v>2604</v>
      </c>
      <c r="B688" s="571" t="s">
        <v>1443</v>
      </c>
      <c r="C688" s="571">
        <v>17</v>
      </c>
      <c r="D688" s="571" t="s">
        <v>1449</v>
      </c>
      <c r="E688" s="561" t="s">
        <v>2605</v>
      </c>
      <c r="F688" s="572"/>
      <c r="G688" s="571"/>
      <c r="H688" s="571"/>
    </row>
    <row r="689" spans="1:8" x14ac:dyDescent="0.2">
      <c r="A689" s="560" t="s">
        <v>2606</v>
      </c>
      <c r="B689" s="571" t="s">
        <v>1443</v>
      </c>
      <c r="C689" s="571">
        <v>0</v>
      </c>
      <c r="D689" s="571" t="s">
        <v>1449</v>
      </c>
      <c r="E689" s="561" t="s">
        <v>2607</v>
      </c>
      <c r="F689" s="572"/>
      <c r="G689" s="571"/>
      <c r="H689" s="571">
        <v>1</v>
      </c>
    </row>
    <row r="690" spans="1:8" x14ac:dyDescent="0.2">
      <c r="A690" s="560" t="s">
        <v>2608</v>
      </c>
      <c r="B690" s="571" t="s">
        <v>1443</v>
      </c>
      <c r="C690" s="571">
        <v>2</v>
      </c>
      <c r="D690" s="571" t="s">
        <v>1449</v>
      </c>
      <c r="E690" s="561" t="s">
        <v>2609</v>
      </c>
      <c r="F690" s="572"/>
      <c r="G690" s="571"/>
      <c r="H690" s="571">
        <v>1</v>
      </c>
    </row>
    <row r="691" spans="1:8" x14ac:dyDescent="0.2">
      <c r="A691" s="560" t="s">
        <v>2610</v>
      </c>
      <c r="B691" s="571" t="s">
        <v>1443</v>
      </c>
      <c r="C691" s="571">
        <v>8</v>
      </c>
      <c r="D691" s="571" t="s">
        <v>1481</v>
      </c>
      <c r="E691" s="561" t="s">
        <v>2611</v>
      </c>
      <c r="F691" s="572"/>
      <c r="G691" s="571"/>
      <c r="H691" s="571"/>
    </row>
    <row r="692" spans="1:8" x14ac:dyDescent="0.2">
      <c r="A692" s="560" t="s">
        <v>2612</v>
      </c>
      <c r="B692" s="571" t="s">
        <v>1443</v>
      </c>
      <c r="C692" s="571">
        <v>3</v>
      </c>
      <c r="D692" s="571" t="s">
        <v>1464</v>
      </c>
      <c r="E692" s="561" t="s">
        <v>2613</v>
      </c>
      <c r="F692" s="572"/>
      <c r="G692" s="571"/>
      <c r="H692" s="571">
        <v>1</v>
      </c>
    </row>
    <row r="693" spans="1:8" x14ac:dyDescent="0.2">
      <c r="A693" s="560" t="s">
        <v>2614</v>
      </c>
      <c r="B693" s="571" t="s">
        <v>1443</v>
      </c>
      <c r="C693" s="571">
        <v>18</v>
      </c>
      <c r="D693" s="571" t="s">
        <v>1481</v>
      </c>
      <c r="E693" s="561" t="s">
        <v>2615</v>
      </c>
      <c r="F693" s="572"/>
      <c r="G693" s="571"/>
      <c r="H693" s="571"/>
    </row>
    <row r="694" spans="1:8" x14ac:dyDescent="0.2">
      <c r="A694" s="560" t="s">
        <v>1279</v>
      </c>
      <c r="B694" s="571" t="s">
        <v>1443</v>
      </c>
      <c r="C694" s="571">
        <v>0</v>
      </c>
      <c r="D694" s="571" t="s">
        <v>1449</v>
      </c>
      <c r="E694" s="561" t="s">
        <v>1280</v>
      </c>
      <c r="F694" s="572" t="s">
        <v>1456</v>
      </c>
      <c r="G694" s="571"/>
      <c r="H694" s="571"/>
    </row>
    <row r="695" spans="1:8" x14ac:dyDescent="0.2">
      <c r="A695" s="560" t="s">
        <v>1281</v>
      </c>
      <c r="B695" s="571" t="s">
        <v>1443</v>
      </c>
      <c r="C695" s="571">
        <v>0</v>
      </c>
      <c r="D695" s="571" t="s">
        <v>1452</v>
      </c>
      <c r="E695" s="561" t="s">
        <v>1282</v>
      </c>
      <c r="F695" s="572" t="s">
        <v>1456</v>
      </c>
      <c r="G695" s="571" t="s">
        <v>1456</v>
      </c>
      <c r="H695" s="571"/>
    </row>
    <row r="696" spans="1:8" x14ac:dyDescent="0.2">
      <c r="A696" s="560" t="s">
        <v>2616</v>
      </c>
      <c r="B696" s="571"/>
      <c r="C696" s="571">
        <v>0</v>
      </c>
      <c r="D696" s="571" t="s">
        <v>1481</v>
      </c>
      <c r="E696" s="561" t="s">
        <v>2617</v>
      </c>
      <c r="F696" s="572"/>
      <c r="G696" s="571"/>
      <c r="H696" s="571"/>
    </row>
    <row r="697" spans="1:8" x14ac:dyDescent="0.2">
      <c r="A697" s="560" t="s">
        <v>1283</v>
      </c>
      <c r="B697" s="571" t="s">
        <v>1443</v>
      </c>
      <c r="C697" s="571">
        <v>1</v>
      </c>
      <c r="D697" s="571" t="s">
        <v>1449</v>
      </c>
      <c r="E697" s="561" t="s">
        <v>1284</v>
      </c>
      <c r="F697" s="572" t="s">
        <v>1456</v>
      </c>
      <c r="G697" s="571"/>
      <c r="H697" s="571"/>
    </row>
    <row r="698" spans="1:8" x14ac:dyDescent="0.2">
      <c r="A698" s="560" t="s">
        <v>1285</v>
      </c>
      <c r="B698" s="571" t="s">
        <v>1443</v>
      </c>
      <c r="C698" s="571">
        <v>0</v>
      </c>
      <c r="D698" s="571" t="s">
        <v>1452</v>
      </c>
      <c r="E698" s="561" t="s">
        <v>1286</v>
      </c>
      <c r="F698" s="572" t="s">
        <v>1456</v>
      </c>
      <c r="G698" s="571"/>
      <c r="H698" s="571"/>
    </row>
    <row r="699" spans="1:8" x14ac:dyDescent="0.2">
      <c r="A699" s="560" t="s">
        <v>1287</v>
      </c>
      <c r="B699" s="571" t="s">
        <v>1443</v>
      </c>
      <c r="C699" s="571">
        <v>0</v>
      </c>
      <c r="D699" s="571" t="s">
        <v>1444</v>
      </c>
      <c r="E699" s="561" t="s">
        <v>1288</v>
      </c>
      <c r="F699" s="572" t="s">
        <v>1456</v>
      </c>
      <c r="G699" s="571"/>
      <c r="H699" s="571"/>
    </row>
    <row r="700" spans="1:8" x14ac:dyDescent="0.2">
      <c r="A700" s="560" t="s">
        <v>1289</v>
      </c>
      <c r="B700" s="571" t="s">
        <v>1443</v>
      </c>
      <c r="C700" s="571">
        <v>0</v>
      </c>
      <c r="D700" s="571" t="s">
        <v>1452</v>
      </c>
      <c r="E700" s="561" t="s">
        <v>1290</v>
      </c>
      <c r="F700" s="572" t="s">
        <v>1456</v>
      </c>
      <c r="G700" s="571"/>
      <c r="H700" s="571"/>
    </row>
    <row r="701" spans="1:8" x14ac:dyDescent="0.2">
      <c r="A701" s="560" t="s">
        <v>2618</v>
      </c>
      <c r="B701" s="571" t="s">
        <v>1443</v>
      </c>
      <c r="C701" s="571">
        <v>4</v>
      </c>
      <c r="D701" s="571" t="s">
        <v>1481</v>
      </c>
      <c r="E701" s="561" t="s">
        <v>2619</v>
      </c>
      <c r="F701" s="572"/>
      <c r="G701" s="571"/>
      <c r="H701" s="571"/>
    </row>
    <row r="702" spans="1:8" x14ac:dyDescent="0.2">
      <c r="A702" s="560" t="s">
        <v>1291</v>
      </c>
      <c r="B702" s="571" t="s">
        <v>1443</v>
      </c>
      <c r="C702" s="571">
        <v>2</v>
      </c>
      <c r="D702" s="571" t="s">
        <v>1481</v>
      </c>
      <c r="E702" s="561" t="s">
        <v>1292</v>
      </c>
      <c r="F702" s="572" t="s">
        <v>1456</v>
      </c>
      <c r="G702" s="571"/>
      <c r="H702" s="571"/>
    </row>
    <row r="703" spans="1:8" x14ac:dyDescent="0.2">
      <c r="A703" s="560" t="s">
        <v>1293</v>
      </c>
      <c r="B703" s="571"/>
      <c r="C703" s="571">
        <v>0</v>
      </c>
      <c r="D703" s="571" t="s">
        <v>1481</v>
      </c>
      <c r="E703" s="561"/>
      <c r="F703" s="572" t="s">
        <v>1456</v>
      </c>
      <c r="G703" s="571"/>
      <c r="H703" s="571"/>
    </row>
    <row r="704" spans="1:8" x14ac:dyDescent="0.2">
      <c r="A704" s="560" t="s">
        <v>2620</v>
      </c>
      <c r="B704" s="571" t="s">
        <v>1443</v>
      </c>
      <c r="C704" s="571">
        <v>10</v>
      </c>
      <c r="D704" s="571" t="s">
        <v>1464</v>
      </c>
      <c r="E704" s="561" t="s">
        <v>2621</v>
      </c>
      <c r="F704" s="572"/>
      <c r="G704" s="571"/>
      <c r="H704" s="571"/>
    </row>
    <row r="705" spans="1:8" x14ac:dyDescent="0.2">
      <c r="A705" s="560" t="s">
        <v>2622</v>
      </c>
      <c r="B705" s="571" t="s">
        <v>1443</v>
      </c>
      <c r="C705" s="571">
        <v>26</v>
      </c>
      <c r="D705" s="571" t="s">
        <v>1452</v>
      </c>
      <c r="E705" s="561" t="s">
        <v>2623</v>
      </c>
      <c r="F705" s="572"/>
      <c r="G705" s="571"/>
      <c r="H705" s="571"/>
    </row>
    <row r="706" spans="1:8" x14ac:dyDescent="0.2">
      <c r="A706" s="560" t="s">
        <v>2624</v>
      </c>
      <c r="B706" s="571" t="s">
        <v>1443</v>
      </c>
      <c r="C706" s="571">
        <v>9</v>
      </c>
      <c r="D706" s="571" t="s">
        <v>1449</v>
      </c>
      <c r="E706" s="561" t="s">
        <v>2625</v>
      </c>
      <c r="F706" s="572"/>
      <c r="G706" s="571"/>
      <c r="H706" s="571"/>
    </row>
    <row r="707" spans="1:8" x14ac:dyDescent="0.2">
      <c r="A707" s="560" t="s">
        <v>2626</v>
      </c>
      <c r="B707" s="571" t="s">
        <v>1443</v>
      </c>
      <c r="C707" s="571">
        <v>0</v>
      </c>
      <c r="D707" s="571" t="s">
        <v>1452</v>
      </c>
      <c r="E707" s="561" t="s">
        <v>2627</v>
      </c>
      <c r="F707" s="572"/>
      <c r="G707" s="571"/>
      <c r="H707" s="571">
        <v>2</v>
      </c>
    </row>
    <row r="708" spans="1:8" x14ac:dyDescent="0.2">
      <c r="A708" s="562" t="s">
        <v>2628</v>
      </c>
      <c r="B708" s="571" t="s">
        <v>1443</v>
      </c>
      <c r="C708" s="571">
        <v>0</v>
      </c>
      <c r="D708" s="571"/>
      <c r="E708" s="561"/>
      <c r="F708" s="572"/>
      <c r="G708" s="571"/>
      <c r="H708" s="571"/>
    </row>
    <row r="709" spans="1:8" x14ac:dyDescent="0.2">
      <c r="A709" s="562" t="s">
        <v>2629</v>
      </c>
      <c r="B709" s="571" t="s">
        <v>1443</v>
      </c>
      <c r="C709" s="571">
        <v>0</v>
      </c>
      <c r="D709" s="571"/>
      <c r="E709" s="561"/>
      <c r="F709" s="572"/>
      <c r="G709" s="571"/>
      <c r="H709" s="571"/>
    </row>
    <row r="710" spans="1:8" x14ac:dyDescent="0.2">
      <c r="A710" s="560" t="s">
        <v>2630</v>
      </c>
      <c r="B710" s="571" t="s">
        <v>1443</v>
      </c>
      <c r="C710" s="571">
        <v>6</v>
      </c>
      <c r="D710" s="571" t="s">
        <v>1464</v>
      </c>
      <c r="E710" s="561" t="s">
        <v>2631</v>
      </c>
      <c r="F710" s="572"/>
      <c r="G710" s="571"/>
      <c r="H710" s="571"/>
    </row>
    <row r="711" spans="1:8" x14ac:dyDescent="0.2">
      <c r="A711" s="560" t="s">
        <v>1294</v>
      </c>
      <c r="B711" s="571" t="s">
        <v>1443</v>
      </c>
      <c r="C711" s="571">
        <v>0</v>
      </c>
      <c r="D711" s="571" t="s">
        <v>1444</v>
      </c>
      <c r="E711" s="561" t="s">
        <v>1295</v>
      </c>
      <c r="F711" s="572" t="s">
        <v>1456</v>
      </c>
      <c r="G711" s="571"/>
      <c r="H711" s="571"/>
    </row>
    <row r="712" spans="1:8" x14ac:dyDescent="0.2">
      <c r="A712" s="560" t="s">
        <v>2632</v>
      </c>
      <c r="B712" s="571" t="s">
        <v>1443</v>
      </c>
      <c r="C712" s="571">
        <v>13</v>
      </c>
      <c r="D712" s="571" t="s">
        <v>1464</v>
      </c>
      <c r="E712" s="561" t="s">
        <v>2633</v>
      </c>
      <c r="F712" s="572"/>
      <c r="G712" s="571"/>
      <c r="H712" s="571"/>
    </row>
    <row r="713" spans="1:8" x14ac:dyDescent="0.2">
      <c r="A713" s="560" t="s">
        <v>2634</v>
      </c>
      <c r="B713" s="571" t="s">
        <v>1443</v>
      </c>
      <c r="C713" s="571">
        <v>1</v>
      </c>
      <c r="D713" s="571" t="s">
        <v>1481</v>
      </c>
      <c r="E713" s="561" t="s">
        <v>2635</v>
      </c>
      <c r="F713" s="572"/>
      <c r="G713" s="571"/>
      <c r="H713" s="571">
        <v>1</v>
      </c>
    </row>
    <row r="714" spans="1:8" x14ac:dyDescent="0.2">
      <c r="A714" s="560" t="s">
        <v>2636</v>
      </c>
      <c r="B714" s="571"/>
      <c r="C714" s="571">
        <v>0</v>
      </c>
      <c r="D714" s="571" t="s">
        <v>1464</v>
      </c>
      <c r="E714" s="561" t="s">
        <v>2637</v>
      </c>
      <c r="F714" s="572"/>
      <c r="G714" s="571"/>
      <c r="H714" s="571">
        <v>1</v>
      </c>
    </row>
    <row r="715" spans="1:8" x14ac:dyDescent="0.2">
      <c r="A715" s="560" t="s">
        <v>2638</v>
      </c>
      <c r="B715" s="571"/>
      <c r="C715" s="571">
        <v>0</v>
      </c>
      <c r="D715" s="571" t="s">
        <v>1444</v>
      </c>
      <c r="E715" s="561" t="s">
        <v>2639</v>
      </c>
      <c r="F715" s="572"/>
      <c r="G715" s="571"/>
      <c r="H715" s="571"/>
    </row>
    <row r="716" spans="1:8" x14ac:dyDescent="0.2">
      <c r="A716" s="560" t="s">
        <v>2640</v>
      </c>
      <c r="B716" s="571" t="s">
        <v>1443</v>
      </c>
      <c r="C716" s="571">
        <v>0</v>
      </c>
      <c r="D716" s="571" t="s">
        <v>1452</v>
      </c>
      <c r="E716" s="561" t="s">
        <v>2641</v>
      </c>
      <c r="F716" s="572"/>
      <c r="G716" s="571"/>
      <c r="H716" s="571"/>
    </row>
    <row r="717" spans="1:8" x14ac:dyDescent="0.2">
      <c r="A717" s="560" t="s">
        <v>2642</v>
      </c>
      <c r="B717" s="571" t="s">
        <v>1443</v>
      </c>
      <c r="C717" s="571">
        <v>1</v>
      </c>
      <c r="D717" s="571" t="s">
        <v>1449</v>
      </c>
      <c r="E717" s="561" t="s">
        <v>2643</v>
      </c>
      <c r="F717" s="572"/>
      <c r="G717" s="571"/>
      <c r="H717" s="571"/>
    </row>
    <row r="718" spans="1:8" x14ac:dyDescent="0.2">
      <c r="A718" s="560" t="s">
        <v>2644</v>
      </c>
      <c r="B718" s="571"/>
      <c r="C718" s="571">
        <v>0</v>
      </c>
      <c r="D718" s="571" t="s">
        <v>1449</v>
      </c>
      <c r="E718" s="561" t="s">
        <v>2645</v>
      </c>
      <c r="F718" s="572"/>
      <c r="G718" s="571"/>
      <c r="H718" s="571"/>
    </row>
    <row r="719" spans="1:8" x14ac:dyDescent="0.2">
      <c r="A719" s="560" t="s">
        <v>2646</v>
      </c>
      <c r="B719" s="571" t="s">
        <v>1443</v>
      </c>
      <c r="C719" s="571">
        <v>0</v>
      </c>
      <c r="D719" s="571" t="s">
        <v>1449</v>
      </c>
      <c r="E719" s="561" t="s">
        <v>2647</v>
      </c>
      <c r="F719" s="572"/>
      <c r="G719" s="571"/>
      <c r="H719" s="571">
        <v>1</v>
      </c>
    </row>
    <row r="720" spans="1:8" x14ac:dyDescent="0.2">
      <c r="A720" s="560" t="s">
        <v>2648</v>
      </c>
      <c r="B720" s="571" t="s">
        <v>1443</v>
      </c>
      <c r="C720" s="571">
        <v>10</v>
      </c>
      <c r="D720" s="571" t="s">
        <v>1481</v>
      </c>
      <c r="E720" s="561" t="s">
        <v>2649</v>
      </c>
      <c r="F720" s="572"/>
      <c r="G720" s="571"/>
      <c r="H720" s="571"/>
    </row>
    <row r="721" spans="1:8" x14ac:dyDescent="0.2">
      <c r="A721" s="560" t="s">
        <v>2650</v>
      </c>
      <c r="B721" s="571" t="s">
        <v>1443</v>
      </c>
      <c r="C721" s="571">
        <v>1</v>
      </c>
      <c r="D721" s="571" t="s">
        <v>1449</v>
      </c>
      <c r="E721" s="561" t="s">
        <v>2651</v>
      </c>
      <c r="F721" s="572"/>
      <c r="G721" s="571"/>
      <c r="H721" s="571">
        <v>1</v>
      </c>
    </row>
    <row r="722" spans="1:8" x14ac:dyDescent="0.2">
      <c r="A722" s="560" t="s">
        <v>2652</v>
      </c>
      <c r="B722" s="571" t="s">
        <v>1443</v>
      </c>
      <c r="C722" s="571">
        <v>6</v>
      </c>
      <c r="D722" s="571" t="s">
        <v>1452</v>
      </c>
      <c r="E722" s="561" t="s">
        <v>2653</v>
      </c>
      <c r="F722" s="572"/>
      <c r="G722" s="571"/>
      <c r="H722" s="571"/>
    </row>
    <row r="723" spans="1:8" x14ac:dyDescent="0.2">
      <c r="A723" s="560" t="s">
        <v>2654</v>
      </c>
      <c r="B723" s="571" t="s">
        <v>1443</v>
      </c>
      <c r="C723" s="571">
        <v>14</v>
      </c>
      <c r="D723" s="571" t="s">
        <v>1452</v>
      </c>
      <c r="E723" s="561" t="s">
        <v>2655</v>
      </c>
      <c r="F723" s="572"/>
      <c r="G723" s="571"/>
      <c r="H723" s="571"/>
    </row>
    <row r="724" spans="1:8" x14ac:dyDescent="0.2">
      <c r="A724" s="560" t="s">
        <v>2656</v>
      </c>
      <c r="B724" s="571"/>
      <c r="C724" s="571">
        <v>0</v>
      </c>
      <c r="D724" s="571" t="s">
        <v>1449</v>
      </c>
      <c r="E724" s="561" t="s">
        <v>2657</v>
      </c>
      <c r="F724" s="572"/>
      <c r="G724" s="571"/>
      <c r="H724" s="571"/>
    </row>
    <row r="725" spans="1:8" x14ac:dyDescent="0.2">
      <c r="A725" s="560" t="s">
        <v>2658</v>
      </c>
      <c r="B725" s="571" t="s">
        <v>1443</v>
      </c>
      <c r="C725" s="571">
        <v>0</v>
      </c>
      <c r="D725" s="571" t="s">
        <v>1444</v>
      </c>
      <c r="E725" s="561" t="s">
        <v>2659</v>
      </c>
      <c r="F725" s="572"/>
      <c r="G725" s="571"/>
      <c r="H725" s="571">
        <v>1</v>
      </c>
    </row>
    <row r="726" spans="1:8" x14ac:dyDescent="0.2">
      <c r="A726" s="560" t="s">
        <v>2660</v>
      </c>
      <c r="B726" s="571" t="s">
        <v>1443</v>
      </c>
      <c r="C726" s="571">
        <v>0</v>
      </c>
      <c r="D726" s="571" t="s">
        <v>1481</v>
      </c>
      <c r="E726" s="561" t="s">
        <v>2661</v>
      </c>
      <c r="F726" s="572"/>
      <c r="G726" s="571"/>
      <c r="H726" s="571">
        <v>1</v>
      </c>
    </row>
    <row r="727" spans="1:8" x14ac:dyDescent="0.2">
      <c r="A727" s="560" t="s">
        <v>2662</v>
      </c>
      <c r="B727" s="571" t="s">
        <v>1443</v>
      </c>
      <c r="C727" s="571">
        <v>0</v>
      </c>
      <c r="D727" s="571" t="s">
        <v>1464</v>
      </c>
      <c r="E727" s="561" t="s">
        <v>2663</v>
      </c>
      <c r="F727" s="572"/>
      <c r="G727" s="571"/>
      <c r="H727" s="571"/>
    </row>
    <row r="728" spans="1:8" x14ac:dyDescent="0.2">
      <c r="A728" s="560" t="s">
        <v>2664</v>
      </c>
      <c r="B728" s="571" t="s">
        <v>1443</v>
      </c>
      <c r="C728" s="571">
        <v>1</v>
      </c>
      <c r="D728" s="571" t="s">
        <v>1464</v>
      </c>
      <c r="E728" s="561" t="s">
        <v>2665</v>
      </c>
      <c r="F728" s="572"/>
      <c r="G728" s="571"/>
      <c r="H728" s="571"/>
    </row>
    <row r="729" spans="1:8" x14ac:dyDescent="0.2">
      <c r="A729" s="560" t="s">
        <v>2666</v>
      </c>
      <c r="B729" s="571" t="s">
        <v>1443</v>
      </c>
      <c r="C729" s="571">
        <v>2</v>
      </c>
      <c r="D729" s="571" t="s">
        <v>1481</v>
      </c>
      <c r="E729" s="561" t="s">
        <v>2667</v>
      </c>
      <c r="F729" s="572"/>
      <c r="G729" s="571"/>
      <c r="H729" s="571"/>
    </row>
    <row r="730" spans="1:8" x14ac:dyDescent="0.2">
      <c r="A730" s="560" t="s">
        <v>1296</v>
      </c>
      <c r="B730" s="571" t="s">
        <v>1443</v>
      </c>
      <c r="C730" s="571">
        <v>1</v>
      </c>
      <c r="D730" s="571" t="s">
        <v>1449</v>
      </c>
      <c r="E730" s="561" t="s">
        <v>1297</v>
      </c>
      <c r="F730" s="572" t="s">
        <v>1456</v>
      </c>
      <c r="G730" s="571"/>
      <c r="H730" s="571"/>
    </row>
    <row r="731" spans="1:8" x14ac:dyDescent="0.2">
      <c r="A731" s="560" t="s">
        <v>2668</v>
      </c>
      <c r="B731" s="571" t="s">
        <v>1443</v>
      </c>
      <c r="C731" s="571">
        <v>0</v>
      </c>
      <c r="D731" s="571"/>
      <c r="E731" s="561" t="s">
        <v>2669</v>
      </c>
      <c r="F731" s="572"/>
      <c r="G731" s="571"/>
      <c r="H731" s="571"/>
    </row>
    <row r="732" spans="1:8" x14ac:dyDescent="0.2">
      <c r="A732" s="560" t="s">
        <v>1298</v>
      </c>
      <c r="B732" s="571" t="s">
        <v>1443</v>
      </c>
      <c r="C732" s="571">
        <v>3</v>
      </c>
      <c r="D732" s="571" t="s">
        <v>1449</v>
      </c>
      <c r="E732" s="561" t="s">
        <v>1299</v>
      </c>
      <c r="F732" s="572" t="s">
        <v>1456</v>
      </c>
      <c r="G732" s="571"/>
      <c r="H732" s="571"/>
    </row>
    <row r="733" spans="1:8" x14ac:dyDescent="0.2">
      <c r="A733" s="560" t="s">
        <v>1300</v>
      </c>
      <c r="B733" s="571" t="s">
        <v>1443</v>
      </c>
      <c r="C733" s="571">
        <v>0</v>
      </c>
      <c r="D733" s="571"/>
      <c r="E733" s="561" t="s">
        <v>1301</v>
      </c>
      <c r="F733" s="572" t="s">
        <v>1456</v>
      </c>
      <c r="G733" s="571"/>
      <c r="H733" s="571"/>
    </row>
    <row r="734" spans="1:8" x14ac:dyDescent="0.2">
      <c r="A734" s="560" t="s">
        <v>2670</v>
      </c>
      <c r="B734" s="571" t="s">
        <v>1443</v>
      </c>
      <c r="C734" s="571">
        <v>18</v>
      </c>
      <c r="D734" s="571" t="s">
        <v>1464</v>
      </c>
      <c r="E734" s="561" t="s">
        <v>2671</v>
      </c>
      <c r="F734" s="572"/>
      <c r="G734" s="571"/>
      <c r="H734" s="571"/>
    </row>
    <row r="735" spans="1:8" x14ac:dyDescent="0.2">
      <c r="A735" s="560" t="s">
        <v>2672</v>
      </c>
      <c r="B735" s="571"/>
      <c r="C735" s="571">
        <v>0</v>
      </c>
      <c r="D735" s="571" t="s">
        <v>1464</v>
      </c>
      <c r="E735" s="561" t="s">
        <v>2673</v>
      </c>
      <c r="F735" s="572"/>
      <c r="G735" s="571"/>
      <c r="H735" s="571">
        <v>1</v>
      </c>
    </row>
    <row r="736" spans="1:8" x14ac:dyDescent="0.2">
      <c r="A736" s="560" t="s">
        <v>2674</v>
      </c>
      <c r="B736" s="571" t="s">
        <v>1443</v>
      </c>
      <c r="C736" s="571">
        <v>2</v>
      </c>
      <c r="D736" s="571" t="s">
        <v>1464</v>
      </c>
      <c r="E736" s="561" t="s">
        <v>2675</v>
      </c>
      <c r="F736" s="572"/>
      <c r="G736" s="571"/>
      <c r="H736" s="571"/>
    </row>
    <row r="737" spans="1:8" x14ac:dyDescent="0.2">
      <c r="A737" s="560" t="s">
        <v>1302</v>
      </c>
      <c r="B737" s="571"/>
      <c r="C737" s="571">
        <v>0</v>
      </c>
      <c r="D737" s="571" t="s">
        <v>1464</v>
      </c>
      <c r="E737" s="561" t="s">
        <v>1303</v>
      </c>
      <c r="F737" s="572" t="s">
        <v>1456</v>
      </c>
      <c r="G737" s="571"/>
      <c r="H737" s="571"/>
    </row>
    <row r="738" spans="1:8" x14ac:dyDescent="0.2">
      <c r="A738" s="560" t="s">
        <v>2676</v>
      </c>
      <c r="B738" s="571" t="s">
        <v>1443</v>
      </c>
      <c r="C738" s="571">
        <v>0</v>
      </c>
      <c r="D738" s="571" t="s">
        <v>1464</v>
      </c>
      <c r="E738" s="561" t="s">
        <v>2677</v>
      </c>
      <c r="F738" s="572"/>
      <c r="G738" s="571"/>
      <c r="H738" s="571">
        <v>1</v>
      </c>
    </row>
    <row r="739" spans="1:8" x14ac:dyDescent="0.2">
      <c r="A739" s="560" t="s">
        <v>2678</v>
      </c>
      <c r="B739" s="571"/>
      <c r="C739" s="571">
        <v>0</v>
      </c>
      <c r="D739" s="571" t="s">
        <v>1464</v>
      </c>
      <c r="E739" s="561" t="s">
        <v>2679</v>
      </c>
      <c r="F739" s="572"/>
      <c r="G739" s="571"/>
      <c r="H739" s="571">
        <v>1</v>
      </c>
    </row>
    <row r="740" spans="1:8" x14ac:dyDescent="0.2">
      <c r="A740" s="560" t="s">
        <v>2680</v>
      </c>
      <c r="B740" s="571"/>
      <c r="C740" s="571">
        <v>0</v>
      </c>
      <c r="D740" s="571" t="s">
        <v>1464</v>
      </c>
      <c r="E740" s="561" t="s">
        <v>2681</v>
      </c>
      <c r="F740" s="572"/>
      <c r="G740" s="571"/>
      <c r="H740" s="571"/>
    </row>
    <row r="741" spans="1:8" x14ac:dyDescent="0.2">
      <c r="A741" s="560" t="s">
        <v>1304</v>
      </c>
      <c r="B741" s="571"/>
      <c r="C741" s="571">
        <v>0</v>
      </c>
      <c r="D741" s="571" t="s">
        <v>1464</v>
      </c>
      <c r="E741" s="561" t="s">
        <v>1305</v>
      </c>
      <c r="F741" s="572" t="s">
        <v>1456</v>
      </c>
      <c r="G741" s="571"/>
      <c r="H741" s="571"/>
    </row>
    <row r="742" spans="1:8" x14ac:dyDescent="0.2">
      <c r="A742" s="560" t="s">
        <v>2682</v>
      </c>
      <c r="B742" s="571"/>
      <c r="C742" s="571">
        <v>0</v>
      </c>
      <c r="D742" s="571" t="s">
        <v>1449</v>
      </c>
      <c r="E742" s="561" t="s">
        <v>2683</v>
      </c>
      <c r="F742" s="572"/>
      <c r="G742" s="571"/>
      <c r="H742" s="571"/>
    </row>
    <row r="743" spans="1:8" x14ac:dyDescent="0.2">
      <c r="A743" s="560" t="s">
        <v>1306</v>
      </c>
      <c r="B743" s="571" t="s">
        <v>1443</v>
      </c>
      <c r="C743" s="571">
        <v>0</v>
      </c>
      <c r="D743" s="571" t="s">
        <v>1449</v>
      </c>
      <c r="E743" s="561" t="s">
        <v>1307</v>
      </c>
      <c r="F743" s="572" t="s">
        <v>1456</v>
      </c>
      <c r="G743" s="571"/>
      <c r="H743" s="571"/>
    </row>
    <row r="744" spans="1:8" x14ac:dyDescent="0.2">
      <c r="A744" s="560" t="s">
        <v>2684</v>
      </c>
      <c r="B744" s="571" t="s">
        <v>1443</v>
      </c>
      <c r="C744" s="571">
        <v>8</v>
      </c>
      <c r="D744" s="571" t="s">
        <v>1464</v>
      </c>
      <c r="E744" s="561" t="s">
        <v>2685</v>
      </c>
      <c r="F744" s="572"/>
      <c r="G744" s="571"/>
      <c r="H744" s="571"/>
    </row>
    <row r="745" spans="1:8" x14ac:dyDescent="0.2">
      <c r="A745" s="560" t="s">
        <v>2686</v>
      </c>
      <c r="B745" s="571"/>
      <c r="C745" s="571">
        <v>0</v>
      </c>
      <c r="D745" s="571" t="s">
        <v>1464</v>
      </c>
      <c r="E745" s="561" t="s">
        <v>2687</v>
      </c>
      <c r="F745" s="572"/>
      <c r="G745" s="571"/>
      <c r="H745" s="571"/>
    </row>
    <row r="746" spans="1:8" x14ac:dyDescent="0.2">
      <c r="A746" s="560" t="s">
        <v>1308</v>
      </c>
      <c r="B746" s="571" t="s">
        <v>1443</v>
      </c>
      <c r="C746" s="571">
        <v>1</v>
      </c>
      <c r="D746" s="571" t="s">
        <v>1464</v>
      </c>
      <c r="E746" s="561" t="s">
        <v>1309</v>
      </c>
      <c r="F746" s="572" t="s">
        <v>1456</v>
      </c>
      <c r="G746" s="571"/>
      <c r="H746" s="571"/>
    </row>
    <row r="747" spans="1:8" x14ac:dyDescent="0.2">
      <c r="A747" s="560" t="s">
        <v>2688</v>
      </c>
      <c r="B747" s="571" t="s">
        <v>1443</v>
      </c>
      <c r="C747" s="571">
        <v>0</v>
      </c>
      <c r="D747" s="571" t="s">
        <v>1464</v>
      </c>
      <c r="E747" s="561" t="s">
        <v>2689</v>
      </c>
      <c r="F747" s="572"/>
      <c r="G747" s="571"/>
      <c r="H747" s="571"/>
    </row>
    <row r="748" spans="1:8" x14ac:dyDescent="0.2">
      <c r="A748" s="560" t="s">
        <v>2690</v>
      </c>
      <c r="B748" s="571" t="s">
        <v>1443</v>
      </c>
      <c r="C748" s="571">
        <v>6</v>
      </c>
      <c r="D748" s="571" t="s">
        <v>1464</v>
      </c>
      <c r="E748" s="561" t="s">
        <v>2691</v>
      </c>
      <c r="F748" s="572"/>
      <c r="G748" s="571"/>
      <c r="H748" s="571"/>
    </row>
    <row r="749" spans="1:8" x14ac:dyDescent="0.2">
      <c r="A749" s="560" t="s">
        <v>2692</v>
      </c>
      <c r="B749" s="571"/>
      <c r="C749" s="571">
        <v>0</v>
      </c>
      <c r="D749" s="571" t="s">
        <v>1481</v>
      </c>
      <c r="E749" s="561" t="s">
        <v>2693</v>
      </c>
      <c r="F749" s="572"/>
      <c r="G749" s="571"/>
      <c r="H749" s="571">
        <v>1</v>
      </c>
    </row>
    <row r="750" spans="1:8" x14ac:dyDescent="0.2">
      <c r="A750" s="560" t="s">
        <v>2694</v>
      </c>
      <c r="B750" s="571" t="s">
        <v>1443</v>
      </c>
      <c r="C750" s="571">
        <v>6</v>
      </c>
      <c r="D750" s="571" t="s">
        <v>1452</v>
      </c>
      <c r="E750" s="561" t="s">
        <v>2695</v>
      </c>
      <c r="F750" s="572"/>
      <c r="G750" s="571"/>
      <c r="H750" s="571"/>
    </row>
    <row r="751" spans="1:8" x14ac:dyDescent="0.2">
      <c r="A751" s="560" t="s">
        <v>2696</v>
      </c>
      <c r="B751" s="571"/>
      <c r="C751" s="571">
        <v>0</v>
      </c>
      <c r="D751" s="571" t="s">
        <v>1444</v>
      </c>
      <c r="E751" s="561" t="s">
        <v>2697</v>
      </c>
      <c r="F751" s="572"/>
      <c r="G751" s="571"/>
      <c r="H751" s="571">
        <v>1</v>
      </c>
    </row>
    <row r="752" spans="1:8" x14ac:dyDescent="0.2">
      <c r="A752" s="560" t="s">
        <v>2698</v>
      </c>
      <c r="B752" s="571" t="s">
        <v>1443</v>
      </c>
      <c r="C752" s="571">
        <v>8</v>
      </c>
      <c r="D752" s="571" t="s">
        <v>1452</v>
      </c>
      <c r="E752" s="561" t="s">
        <v>2699</v>
      </c>
      <c r="F752" s="572"/>
      <c r="G752" s="571"/>
      <c r="H752" s="571"/>
    </row>
    <row r="753" spans="1:8" x14ac:dyDescent="0.2">
      <c r="A753" s="560" t="s">
        <v>2700</v>
      </c>
      <c r="B753" s="571" t="s">
        <v>1443</v>
      </c>
      <c r="C753" s="571">
        <v>0</v>
      </c>
      <c r="D753" s="571" t="s">
        <v>1452</v>
      </c>
      <c r="E753" s="561" t="s">
        <v>2701</v>
      </c>
      <c r="F753" s="572"/>
      <c r="G753" s="571"/>
      <c r="H753" s="571"/>
    </row>
    <row r="754" spans="1:8" x14ac:dyDescent="0.2">
      <c r="A754" s="560" t="s">
        <v>2702</v>
      </c>
      <c r="B754" s="571" t="s">
        <v>1443</v>
      </c>
      <c r="C754" s="571">
        <v>6</v>
      </c>
      <c r="D754" s="571" t="s">
        <v>1452</v>
      </c>
      <c r="E754" s="561" t="s">
        <v>2703</v>
      </c>
      <c r="F754" s="572"/>
      <c r="G754" s="571"/>
      <c r="H754" s="571"/>
    </row>
    <row r="755" spans="1:8" x14ac:dyDescent="0.2">
      <c r="A755" s="560" t="s">
        <v>2704</v>
      </c>
      <c r="B755" s="571" t="s">
        <v>1443</v>
      </c>
      <c r="C755" s="571">
        <v>6</v>
      </c>
      <c r="D755" s="571" t="s">
        <v>1452</v>
      </c>
      <c r="E755" s="561" t="s">
        <v>2705</v>
      </c>
      <c r="F755" s="572"/>
      <c r="G755" s="571"/>
      <c r="H755" s="571"/>
    </row>
    <row r="756" spans="1:8" x14ac:dyDescent="0.2">
      <c r="A756" s="560" t="s">
        <v>2706</v>
      </c>
      <c r="B756" s="571" t="s">
        <v>1443</v>
      </c>
      <c r="C756" s="571">
        <v>0</v>
      </c>
      <c r="D756" s="571"/>
      <c r="E756" s="561"/>
      <c r="F756" s="572"/>
      <c r="G756" s="571"/>
      <c r="H756" s="571"/>
    </row>
    <row r="757" spans="1:8" x14ac:dyDescent="0.2">
      <c r="A757" s="560" t="s">
        <v>2707</v>
      </c>
      <c r="B757" s="571" t="s">
        <v>1443</v>
      </c>
      <c r="C757" s="571">
        <v>0</v>
      </c>
      <c r="D757" s="571" t="s">
        <v>1452</v>
      </c>
      <c r="E757" s="561" t="s">
        <v>2708</v>
      </c>
      <c r="F757" s="572"/>
      <c r="G757" s="571"/>
      <c r="H757" s="571"/>
    </row>
    <row r="758" spans="1:8" x14ac:dyDescent="0.2">
      <c r="A758" s="560" t="s">
        <v>2709</v>
      </c>
      <c r="B758" s="571" t="s">
        <v>1443</v>
      </c>
      <c r="C758" s="571">
        <v>0</v>
      </c>
      <c r="D758" s="571" t="s">
        <v>1444</v>
      </c>
      <c r="E758" s="561" t="s">
        <v>2710</v>
      </c>
      <c r="F758" s="572"/>
      <c r="G758" s="571"/>
      <c r="H758" s="571"/>
    </row>
    <row r="759" spans="1:8" x14ac:dyDescent="0.2">
      <c r="A759" s="560" t="s">
        <v>2711</v>
      </c>
      <c r="B759" s="571" t="s">
        <v>1443</v>
      </c>
      <c r="C759" s="571">
        <v>0</v>
      </c>
      <c r="D759" s="571" t="s">
        <v>1444</v>
      </c>
      <c r="E759" s="561" t="s">
        <v>2712</v>
      </c>
      <c r="F759" s="572"/>
      <c r="G759" s="571"/>
      <c r="H759" s="571"/>
    </row>
    <row r="760" spans="1:8" x14ac:dyDescent="0.2">
      <c r="A760" s="560" t="s">
        <v>2713</v>
      </c>
      <c r="B760" s="571" t="s">
        <v>1443</v>
      </c>
      <c r="C760" s="571">
        <v>1</v>
      </c>
      <c r="D760" s="571" t="s">
        <v>1444</v>
      </c>
      <c r="E760" s="561" t="s">
        <v>2714</v>
      </c>
      <c r="F760" s="572"/>
      <c r="G760" s="571"/>
      <c r="H760" s="571"/>
    </row>
    <row r="761" spans="1:8" x14ac:dyDescent="0.2">
      <c r="A761" s="560" t="s">
        <v>2715</v>
      </c>
      <c r="B761" s="571" t="s">
        <v>1443</v>
      </c>
      <c r="C761" s="571">
        <v>3</v>
      </c>
      <c r="D761" s="571" t="s">
        <v>1452</v>
      </c>
      <c r="E761" s="561" t="s">
        <v>2716</v>
      </c>
      <c r="F761" s="572"/>
      <c r="G761" s="571"/>
      <c r="H761" s="571"/>
    </row>
    <row r="762" spans="1:8" x14ac:dyDescent="0.2">
      <c r="A762" s="560" t="s">
        <v>2717</v>
      </c>
      <c r="B762" s="571" t="s">
        <v>1443</v>
      </c>
      <c r="C762" s="571">
        <v>1</v>
      </c>
      <c r="D762" s="571" t="s">
        <v>1449</v>
      </c>
      <c r="E762" s="561" t="s">
        <v>2718</v>
      </c>
      <c r="F762" s="572"/>
      <c r="G762" s="571"/>
      <c r="H762" s="571"/>
    </row>
    <row r="763" spans="1:8" x14ac:dyDescent="0.2">
      <c r="A763" s="560" t="s">
        <v>2719</v>
      </c>
      <c r="B763" s="571" t="s">
        <v>1443</v>
      </c>
      <c r="C763" s="571">
        <v>0</v>
      </c>
      <c r="D763" s="571" t="s">
        <v>1449</v>
      </c>
      <c r="E763" s="561" t="s">
        <v>2720</v>
      </c>
      <c r="F763" s="572"/>
      <c r="G763" s="571"/>
      <c r="H763" s="571"/>
    </row>
    <row r="764" spans="1:8" x14ac:dyDescent="0.2">
      <c r="A764" s="560" t="s">
        <v>2721</v>
      </c>
      <c r="B764" s="571" t="s">
        <v>1443</v>
      </c>
      <c r="C764" s="571">
        <v>0</v>
      </c>
      <c r="D764" s="571" t="s">
        <v>1444</v>
      </c>
      <c r="E764" s="561" t="s">
        <v>2722</v>
      </c>
      <c r="F764" s="572"/>
      <c r="G764" s="571"/>
      <c r="H764" s="571"/>
    </row>
    <row r="765" spans="1:8" x14ac:dyDescent="0.2">
      <c r="A765" s="560" t="s">
        <v>2723</v>
      </c>
      <c r="B765" s="571" t="s">
        <v>1443</v>
      </c>
      <c r="C765" s="571">
        <v>4</v>
      </c>
      <c r="D765" s="571" t="s">
        <v>1449</v>
      </c>
      <c r="E765" s="561" t="s">
        <v>2724</v>
      </c>
      <c r="F765" s="572"/>
      <c r="G765" s="571"/>
      <c r="H765" s="571"/>
    </row>
    <row r="766" spans="1:8" x14ac:dyDescent="0.2">
      <c r="A766" s="560" t="s">
        <v>2725</v>
      </c>
      <c r="B766" s="571" t="s">
        <v>1443</v>
      </c>
      <c r="C766" s="571">
        <v>0</v>
      </c>
      <c r="D766" s="571" t="s">
        <v>1444</v>
      </c>
      <c r="E766" s="561" t="s">
        <v>2726</v>
      </c>
      <c r="F766" s="572"/>
      <c r="G766" s="571"/>
      <c r="H766" s="571"/>
    </row>
    <row r="767" spans="1:8" x14ac:dyDescent="0.2">
      <c r="A767" s="560" t="s">
        <v>2727</v>
      </c>
      <c r="B767" s="571" t="s">
        <v>1443</v>
      </c>
      <c r="C767" s="571">
        <v>0</v>
      </c>
      <c r="D767" s="571" t="s">
        <v>1452</v>
      </c>
      <c r="E767" s="561" t="s">
        <v>2728</v>
      </c>
      <c r="F767" s="572"/>
      <c r="G767" s="571"/>
      <c r="H767" s="571"/>
    </row>
    <row r="768" spans="1:8" x14ac:dyDescent="0.2">
      <c r="A768" s="560" t="s">
        <v>2729</v>
      </c>
      <c r="B768" s="571"/>
      <c r="C768" s="571">
        <v>0</v>
      </c>
      <c r="D768" s="571" t="s">
        <v>1452</v>
      </c>
      <c r="E768" s="561" t="s">
        <v>2730</v>
      </c>
      <c r="F768" s="572"/>
      <c r="G768" s="571"/>
      <c r="H768" s="571">
        <v>1</v>
      </c>
    </row>
    <row r="769" spans="1:8" x14ac:dyDescent="0.2">
      <c r="A769" s="560" t="s">
        <v>2731</v>
      </c>
      <c r="B769" s="571" t="s">
        <v>1443</v>
      </c>
      <c r="C769" s="571">
        <v>9</v>
      </c>
      <c r="D769" s="571" t="s">
        <v>1481</v>
      </c>
      <c r="E769" s="561" t="s">
        <v>2732</v>
      </c>
      <c r="F769" s="572"/>
      <c r="G769" s="571"/>
      <c r="H769" s="571"/>
    </row>
    <row r="770" spans="1:8" x14ac:dyDescent="0.2">
      <c r="A770" s="560" t="s">
        <v>2733</v>
      </c>
      <c r="B770" s="571" t="s">
        <v>1443</v>
      </c>
      <c r="C770" s="571">
        <v>6</v>
      </c>
      <c r="D770" s="571" t="s">
        <v>1481</v>
      </c>
      <c r="E770" s="561" t="s">
        <v>2734</v>
      </c>
      <c r="F770" s="572"/>
      <c r="G770" s="571"/>
      <c r="H770" s="571"/>
    </row>
    <row r="771" spans="1:8" x14ac:dyDescent="0.2">
      <c r="A771" s="560" t="s">
        <v>2735</v>
      </c>
      <c r="B771" s="571" t="s">
        <v>1443</v>
      </c>
      <c r="C771" s="571">
        <v>8</v>
      </c>
      <c r="D771" s="571" t="s">
        <v>1481</v>
      </c>
      <c r="E771" s="561" t="s">
        <v>2736</v>
      </c>
      <c r="F771" s="572"/>
      <c r="G771" s="571"/>
      <c r="H771" s="571"/>
    </row>
    <row r="772" spans="1:8" x14ac:dyDescent="0.2">
      <c r="A772" s="560" t="s">
        <v>1310</v>
      </c>
      <c r="B772" s="571"/>
      <c r="C772" s="571">
        <v>0</v>
      </c>
      <c r="D772" s="571" t="s">
        <v>1444</v>
      </c>
      <c r="E772" s="561" t="s">
        <v>1311</v>
      </c>
      <c r="F772" s="572" t="s">
        <v>1456</v>
      </c>
      <c r="G772" s="571"/>
      <c r="H772" s="571"/>
    </row>
    <row r="773" spans="1:8" x14ac:dyDescent="0.2">
      <c r="A773" s="560" t="s">
        <v>2737</v>
      </c>
      <c r="B773" s="571" t="s">
        <v>1443</v>
      </c>
      <c r="C773" s="571">
        <v>1</v>
      </c>
      <c r="D773" s="571" t="s">
        <v>1452</v>
      </c>
      <c r="E773" s="561" t="s">
        <v>2738</v>
      </c>
      <c r="F773" s="572"/>
      <c r="G773" s="571"/>
      <c r="H773" s="571"/>
    </row>
    <row r="774" spans="1:8" x14ac:dyDescent="0.2">
      <c r="A774" s="560" t="s">
        <v>2739</v>
      </c>
      <c r="B774" s="571"/>
      <c r="C774" s="571">
        <v>0</v>
      </c>
      <c r="D774" s="571" t="s">
        <v>1464</v>
      </c>
      <c r="E774" s="561" t="s">
        <v>2740</v>
      </c>
      <c r="F774" s="572"/>
      <c r="G774" s="571"/>
      <c r="H774" s="571"/>
    </row>
    <row r="775" spans="1:8" x14ac:dyDescent="0.2">
      <c r="A775" s="560" t="s">
        <v>2741</v>
      </c>
      <c r="B775" s="571"/>
      <c r="C775" s="571">
        <v>0</v>
      </c>
      <c r="D775" s="571"/>
      <c r="E775" s="561" t="s">
        <v>2742</v>
      </c>
      <c r="F775" s="572"/>
      <c r="G775" s="571"/>
      <c r="H775" s="571">
        <v>1</v>
      </c>
    </row>
    <row r="776" spans="1:8" x14ac:dyDescent="0.2">
      <c r="A776" s="560" t="s">
        <v>2743</v>
      </c>
      <c r="B776" s="571" t="s">
        <v>1443</v>
      </c>
      <c r="C776" s="571">
        <v>0</v>
      </c>
      <c r="D776" s="571" t="s">
        <v>1481</v>
      </c>
      <c r="E776" s="561" t="s">
        <v>2744</v>
      </c>
      <c r="F776" s="572"/>
      <c r="G776" s="571"/>
      <c r="H776" s="571"/>
    </row>
    <row r="777" spans="1:8" x14ac:dyDescent="0.2">
      <c r="A777" s="560" t="s">
        <v>2745</v>
      </c>
      <c r="B777" s="571" t="s">
        <v>1443</v>
      </c>
      <c r="C777" s="571">
        <v>2</v>
      </c>
      <c r="D777" s="571" t="s">
        <v>1449</v>
      </c>
      <c r="E777" s="561" t="s">
        <v>2746</v>
      </c>
      <c r="F777" s="572"/>
      <c r="G777" s="571"/>
      <c r="H777" s="571"/>
    </row>
    <row r="778" spans="1:8" x14ac:dyDescent="0.2">
      <c r="A778" s="560" t="s">
        <v>2747</v>
      </c>
      <c r="B778" s="571" t="s">
        <v>1443</v>
      </c>
      <c r="C778" s="571">
        <v>0</v>
      </c>
      <c r="D778" s="571" t="s">
        <v>1481</v>
      </c>
      <c r="E778" s="561" t="s">
        <v>2748</v>
      </c>
      <c r="F778" s="572"/>
      <c r="G778" s="571"/>
      <c r="H778" s="571"/>
    </row>
    <row r="779" spans="1:8" x14ac:dyDescent="0.2">
      <c r="A779" s="560" t="s">
        <v>2749</v>
      </c>
      <c r="B779" s="571"/>
      <c r="C779" s="571">
        <v>0</v>
      </c>
      <c r="D779" s="571" t="s">
        <v>1449</v>
      </c>
      <c r="E779" s="561" t="s">
        <v>2750</v>
      </c>
      <c r="F779" s="572"/>
      <c r="G779" s="571"/>
      <c r="H779" s="571"/>
    </row>
    <row r="780" spans="1:8" x14ac:dyDescent="0.2">
      <c r="A780" s="560" t="s">
        <v>2751</v>
      </c>
      <c r="B780" s="571" t="s">
        <v>1443</v>
      </c>
      <c r="C780" s="571">
        <v>0</v>
      </c>
      <c r="D780" s="571"/>
      <c r="E780" s="561" t="s">
        <v>2752</v>
      </c>
      <c r="F780" s="572"/>
      <c r="G780" s="571"/>
      <c r="H780" s="571">
        <v>1</v>
      </c>
    </row>
    <row r="781" spans="1:8" x14ac:dyDescent="0.2">
      <c r="A781" s="562" t="s">
        <v>2753</v>
      </c>
      <c r="B781" s="571" t="s">
        <v>1443</v>
      </c>
      <c r="C781" s="571">
        <v>0</v>
      </c>
      <c r="D781" s="571"/>
      <c r="E781" s="561"/>
      <c r="F781" s="572"/>
      <c r="G781" s="571"/>
      <c r="H781" s="571"/>
    </row>
    <row r="782" spans="1:8" x14ac:dyDescent="0.2">
      <c r="A782" s="560" t="s">
        <v>2754</v>
      </c>
      <c r="B782" s="571" t="s">
        <v>1443</v>
      </c>
      <c r="C782" s="571">
        <v>9</v>
      </c>
      <c r="D782" s="571" t="s">
        <v>1481</v>
      </c>
      <c r="E782" s="561" t="s">
        <v>2755</v>
      </c>
      <c r="F782" s="572"/>
      <c r="G782" s="571"/>
      <c r="H782" s="571"/>
    </row>
    <row r="783" spans="1:8" x14ac:dyDescent="0.2">
      <c r="A783" s="560" t="s">
        <v>2756</v>
      </c>
      <c r="B783" s="571" t="s">
        <v>1443</v>
      </c>
      <c r="C783" s="571">
        <v>4</v>
      </c>
      <c r="D783" s="571" t="s">
        <v>1481</v>
      </c>
      <c r="E783" s="561" t="s">
        <v>2757</v>
      </c>
      <c r="F783" s="572"/>
      <c r="G783" s="571"/>
      <c r="H783" s="571"/>
    </row>
    <row r="784" spans="1:8" x14ac:dyDescent="0.2">
      <c r="A784" s="560" t="s">
        <v>2758</v>
      </c>
      <c r="B784" s="571" t="s">
        <v>1443</v>
      </c>
      <c r="C784" s="571">
        <v>7</v>
      </c>
      <c r="D784" s="571" t="s">
        <v>1449</v>
      </c>
      <c r="E784" s="561" t="s">
        <v>2759</v>
      </c>
      <c r="F784" s="572"/>
      <c r="G784" s="571"/>
      <c r="H784" s="571"/>
    </row>
    <row r="785" spans="1:8" x14ac:dyDescent="0.2">
      <c r="A785" s="560" t="s">
        <v>2760</v>
      </c>
      <c r="B785" s="571" t="s">
        <v>1443</v>
      </c>
      <c r="C785" s="571">
        <v>2</v>
      </c>
      <c r="D785" s="571" t="s">
        <v>1444</v>
      </c>
      <c r="E785" s="561" t="s">
        <v>2761</v>
      </c>
      <c r="F785" s="572"/>
      <c r="G785" s="571"/>
      <c r="H785" s="571"/>
    </row>
    <row r="786" spans="1:8" x14ac:dyDescent="0.2">
      <c r="A786" s="560" t="s">
        <v>2762</v>
      </c>
      <c r="B786" s="571" t="s">
        <v>1443</v>
      </c>
      <c r="C786" s="571">
        <v>0</v>
      </c>
      <c r="D786" s="571" t="s">
        <v>1481</v>
      </c>
      <c r="E786" s="561" t="s">
        <v>2763</v>
      </c>
      <c r="F786" s="572"/>
      <c r="G786" s="571"/>
      <c r="H786" s="571">
        <v>1</v>
      </c>
    </row>
    <row r="787" spans="1:8" x14ac:dyDescent="0.2">
      <c r="A787" s="560" t="s">
        <v>2764</v>
      </c>
      <c r="B787" s="571" t="s">
        <v>1443</v>
      </c>
      <c r="C787" s="571">
        <v>0</v>
      </c>
      <c r="D787" s="571" t="s">
        <v>1464</v>
      </c>
      <c r="E787" s="561" t="s">
        <v>2765</v>
      </c>
      <c r="F787" s="572"/>
      <c r="G787" s="571"/>
      <c r="H787" s="571"/>
    </row>
    <row r="788" spans="1:8" x14ac:dyDescent="0.2">
      <c r="A788" s="560" t="s">
        <v>2766</v>
      </c>
      <c r="B788" s="571" t="s">
        <v>1443</v>
      </c>
      <c r="C788" s="571">
        <v>0</v>
      </c>
      <c r="D788" s="571" t="s">
        <v>1481</v>
      </c>
      <c r="E788" s="561" t="s">
        <v>2767</v>
      </c>
      <c r="F788" s="572"/>
      <c r="G788" s="571"/>
      <c r="H788" s="571"/>
    </row>
    <row r="789" spans="1:8" x14ac:dyDescent="0.2">
      <c r="A789" s="560" t="s">
        <v>2768</v>
      </c>
      <c r="B789" s="571"/>
      <c r="C789" s="571">
        <v>0</v>
      </c>
      <c r="D789" s="571" t="s">
        <v>1464</v>
      </c>
      <c r="E789" s="561" t="s">
        <v>2769</v>
      </c>
      <c r="F789" s="572"/>
      <c r="G789" s="571"/>
      <c r="H789" s="571"/>
    </row>
    <row r="790" spans="1:8" x14ac:dyDescent="0.2">
      <c r="A790" s="560" t="s">
        <v>1312</v>
      </c>
      <c r="B790" s="571"/>
      <c r="C790" s="571">
        <v>0</v>
      </c>
      <c r="D790" s="571" t="s">
        <v>1449</v>
      </c>
      <c r="E790" s="561" t="s">
        <v>1313</v>
      </c>
      <c r="F790" s="572" t="s">
        <v>1456</v>
      </c>
      <c r="G790" s="571"/>
      <c r="H790" s="571"/>
    </row>
    <row r="791" spans="1:8" x14ac:dyDescent="0.2">
      <c r="A791" s="560" t="s">
        <v>1314</v>
      </c>
      <c r="B791" s="571" t="s">
        <v>1443</v>
      </c>
      <c r="C791" s="571">
        <v>0</v>
      </c>
      <c r="D791" s="571" t="s">
        <v>1449</v>
      </c>
      <c r="E791" s="561" t="s">
        <v>1315</v>
      </c>
      <c r="F791" s="572" t="s">
        <v>1456</v>
      </c>
      <c r="G791" s="571"/>
      <c r="H791" s="571"/>
    </row>
    <row r="792" spans="1:8" x14ac:dyDescent="0.2">
      <c r="A792" s="560" t="s">
        <v>2770</v>
      </c>
      <c r="B792" s="571"/>
      <c r="C792" s="571">
        <v>0</v>
      </c>
      <c r="D792" s="571" t="s">
        <v>1481</v>
      </c>
      <c r="E792" s="561" t="s">
        <v>2771</v>
      </c>
      <c r="F792" s="572"/>
      <c r="G792" s="571"/>
      <c r="H792" s="571"/>
    </row>
    <row r="793" spans="1:8" x14ac:dyDescent="0.2">
      <c r="A793" s="560" t="s">
        <v>2772</v>
      </c>
      <c r="B793" s="571" t="s">
        <v>1443</v>
      </c>
      <c r="C793" s="571">
        <v>7</v>
      </c>
      <c r="D793" s="571" t="s">
        <v>1481</v>
      </c>
      <c r="E793" s="561" t="s">
        <v>2773</v>
      </c>
      <c r="F793" s="572"/>
      <c r="G793" s="571"/>
      <c r="H793" s="571"/>
    </row>
    <row r="794" spans="1:8" x14ac:dyDescent="0.2">
      <c r="A794" s="560" t="s">
        <v>1316</v>
      </c>
      <c r="B794" s="571" t="s">
        <v>1443</v>
      </c>
      <c r="C794" s="571">
        <v>6</v>
      </c>
      <c r="D794" s="571" t="s">
        <v>1464</v>
      </c>
      <c r="E794" s="561" t="s">
        <v>1317</v>
      </c>
      <c r="F794" s="572" t="s">
        <v>1456</v>
      </c>
      <c r="G794" s="571" t="s">
        <v>1456</v>
      </c>
      <c r="H794" s="571"/>
    </row>
    <row r="795" spans="1:8" x14ac:dyDescent="0.2">
      <c r="A795" s="560" t="s">
        <v>1318</v>
      </c>
      <c r="B795" s="571" t="s">
        <v>1443</v>
      </c>
      <c r="C795" s="571">
        <v>1</v>
      </c>
      <c r="D795" s="571" t="s">
        <v>1444</v>
      </c>
      <c r="E795" s="561" t="s">
        <v>1319</v>
      </c>
      <c r="F795" s="572" t="s">
        <v>1456</v>
      </c>
      <c r="G795" s="571"/>
      <c r="H795" s="571"/>
    </row>
    <row r="796" spans="1:8" x14ac:dyDescent="0.2">
      <c r="A796" s="560" t="s">
        <v>2774</v>
      </c>
      <c r="B796" s="571" t="s">
        <v>1443</v>
      </c>
      <c r="C796" s="571">
        <v>9</v>
      </c>
      <c r="D796" s="571" t="s">
        <v>1452</v>
      </c>
      <c r="E796" s="561" t="s">
        <v>2775</v>
      </c>
      <c r="F796" s="572"/>
      <c r="G796" s="571"/>
      <c r="H796" s="571"/>
    </row>
    <row r="797" spans="1:8" x14ac:dyDescent="0.2">
      <c r="A797" s="560" t="s">
        <v>2776</v>
      </c>
      <c r="B797" s="571" t="s">
        <v>1443</v>
      </c>
      <c r="C797" s="571">
        <v>0</v>
      </c>
      <c r="D797" s="571" t="s">
        <v>1464</v>
      </c>
      <c r="E797" s="561" t="s">
        <v>2777</v>
      </c>
      <c r="F797" s="572"/>
      <c r="G797" s="571"/>
      <c r="H797" s="571"/>
    </row>
    <row r="798" spans="1:8" x14ac:dyDescent="0.2">
      <c r="A798" s="560" t="s">
        <v>2778</v>
      </c>
      <c r="B798" s="571" t="s">
        <v>1443</v>
      </c>
      <c r="C798" s="571">
        <v>4</v>
      </c>
      <c r="D798" s="571" t="s">
        <v>1452</v>
      </c>
      <c r="E798" s="561" t="s">
        <v>2779</v>
      </c>
      <c r="F798" s="572"/>
      <c r="G798" s="571"/>
      <c r="H798" s="571"/>
    </row>
    <row r="799" spans="1:8" x14ac:dyDescent="0.2">
      <c r="A799" s="560" t="s">
        <v>1320</v>
      </c>
      <c r="B799" s="571" t="s">
        <v>1443</v>
      </c>
      <c r="C799" s="571">
        <v>4</v>
      </c>
      <c r="D799" s="571" t="s">
        <v>1452</v>
      </c>
      <c r="E799" s="561" t="s">
        <v>1321</v>
      </c>
      <c r="F799" s="572" t="s">
        <v>1456</v>
      </c>
      <c r="G799" s="571" t="s">
        <v>1456</v>
      </c>
      <c r="H799" s="571"/>
    </row>
    <row r="800" spans="1:8" x14ac:dyDescent="0.2">
      <c r="A800" s="560" t="s">
        <v>2780</v>
      </c>
      <c r="B800" s="571" t="s">
        <v>1443</v>
      </c>
      <c r="C800" s="571">
        <v>11</v>
      </c>
      <c r="D800" s="571" t="s">
        <v>1452</v>
      </c>
      <c r="E800" s="561" t="s">
        <v>2781</v>
      </c>
      <c r="F800" s="572"/>
      <c r="G800" s="571"/>
      <c r="H800" s="571"/>
    </row>
    <row r="801" spans="1:8" x14ac:dyDescent="0.2">
      <c r="A801" s="560" t="s">
        <v>2782</v>
      </c>
      <c r="B801" s="571" t="s">
        <v>1443</v>
      </c>
      <c r="C801" s="571">
        <v>0</v>
      </c>
      <c r="D801" s="571" t="s">
        <v>1452</v>
      </c>
      <c r="E801" s="561" t="s">
        <v>2783</v>
      </c>
      <c r="F801" s="572"/>
      <c r="G801" s="571"/>
      <c r="H801" s="571">
        <v>1</v>
      </c>
    </row>
    <row r="802" spans="1:8" x14ac:dyDescent="0.2">
      <c r="A802" s="560" t="s">
        <v>2784</v>
      </c>
      <c r="B802" s="571" t="s">
        <v>1443</v>
      </c>
      <c r="C802" s="571">
        <v>4</v>
      </c>
      <c r="D802" s="571" t="s">
        <v>1444</v>
      </c>
      <c r="E802" s="561" t="s">
        <v>2785</v>
      </c>
      <c r="F802" s="572"/>
      <c r="G802" s="571"/>
      <c r="H802" s="571"/>
    </row>
    <row r="803" spans="1:8" x14ac:dyDescent="0.2">
      <c r="A803" s="560" t="s">
        <v>2786</v>
      </c>
      <c r="B803" s="571" t="s">
        <v>1443</v>
      </c>
      <c r="C803" s="571">
        <v>0</v>
      </c>
      <c r="D803" s="571" t="s">
        <v>1464</v>
      </c>
      <c r="E803" s="561" t="s">
        <v>2787</v>
      </c>
      <c r="F803" s="572"/>
      <c r="G803" s="571"/>
      <c r="H803" s="571"/>
    </row>
    <row r="804" spans="1:8" x14ac:dyDescent="0.2">
      <c r="A804" s="560" t="s">
        <v>2788</v>
      </c>
      <c r="B804" s="571" t="s">
        <v>1443</v>
      </c>
      <c r="C804" s="571">
        <v>2</v>
      </c>
      <c r="D804" s="571" t="s">
        <v>1449</v>
      </c>
      <c r="E804" s="561" t="s">
        <v>2789</v>
      </c>
      <c r="F804" s="572"/>
      <c r="G804" s="571"/>
      <c r="H804" s="571">
        <v>1</v>
      </c>
    </row>
    <row r="805" spans="1:8" x14ac:dyDescent="0.2">
      <c r="A805" s="560" t="s">
        <v>2790</v>
      </c>
      <c r="B805" s="571" t="s">
        <v>1443</v>
      </c>
      <c r="C805" s="571">
        <v>0</v>
      </c>
      <c r="D805" s="571" t="s">
        <v>1452</v>
      </c>
      <c r="E805" s="561" t="s">
        <v>2791</v>
      </c>
      <c r="F805" s="572"/>
      <c r="G805" s="571"/>
      <c r="H805" s="571"/>
    </row>
    <row r="806" spans="1:8" x14ac:dyDescent="0.2">
      <c r="A806" s="560" t="s">
        <v>2792</v>
      </c>
      <c r="B806" s="571"/>
      <c r="C806" s="571">
        <v>0</v>
      </c>
      <c r="D806" s="571" t="s">
        <v>1481</v>
      </c>
      <c r="E806" s="561" t="s">
        <v>2793</v>
      </c>
      <c r="F806" s="572"/>
      <c r="G806" s="571"/>
      <c r="H806" s="571"/>
    </row>
    <row r="807" spans="1:8" x14ac:dyDescent="0.2">
      <c r="A807" s="560" t="s">
        <v>2794</v>
      </c>
      <c r="B807" s="571" t="s">
        <v>1443</v>
      </c>
      <c r="C807" s="571">
        <v>16</v>
      </c>
      <c r="D807" s="571" t="s">
        <v>1452</v>
      </c>
      <c r="E807" s="561" t="s">
        <v>2795</v>
      </c>
      <c r="F807" s="572"/>
      <c r="G807" s="571"/>
      <c r="H807" s="571"/>
    </row>
    <row r="808" spans="1:8" x14ac:dyDescent="0.2">
      <c r="A808" s="560" t="s">
        <v>2796</v>
      </c>
      <c r="B808" s="571"/>
      <c r="C808" s="571">
        <v>0</v>
      </c>
      <c r="D808" s="571" t="s">
        <v>1452</v>
      </c>
      <c r="E808" s="561"/>
      <c r="F808" s="572"/>
      <c r="G808" s="571"/>
      <c r="H808" s="571"/>
    </row>
    <row r="809" spans="1:8" x14ac:dyDescent="0.2">
      <c r="A809" s="560" t="s">
        <v>2797</v>
      </c>
      <c r="B809" s="571"/>
      <c r="C809" s="571">
        <v>0</v>
      </c>
      <c r="D809" s="571" t="s">
        <v>1464</v>
      </c>
      <c r="E809" s="561" t="s">
        <v>2798</v>
      </c>
      <c r="F809" s="572"/>
      <c r="G809" s="571"/>
      <c r="H809" s="571"/>
    </row>
    <row r="810" spans="1:8" x14ac:dyDescent="0.2">
      <c r="A810" s="560" t="s">
        <v>2799</v>
      </c>
      <c r="B810" s="571" t="s">
        <v>1443</v>
      </c>
      <c r="C810" s="571">
        <v>1</v>
      </c>
      <c r="D810" s="571" t="s">
        <v>1464</v>
      </c>
      <c r="E810" s="561" t="s">
        <v>2800</v>
      </c>
      <c r="F810" s="572"/>
      <c r="G810" s="571"/>
      <c r="H810" s="571"/>
    </row>
    <row r="811" spans="1:8" x14ac:dyDescent="0.2">
      <c r="A811" s="560" t="s">
        <v>2801</v>
      </c>
      <c r="B811" s="571" t="s">
        <v>1443</v>
      </c>
      <c r="C811" s="571">
        <v>12</v>
      </c>
      <c r="D811" s="571" t="s">
        <v>1464</v>
      </c>
      <c r="E811" s="561" t="s">
        <v>2802</v>
      </c>
      <c r="F811" s="572"/>
      <c r="G811" s="571"/>
      <c r="H811" s="571"/>
    </row>
    <row r="812" spans="1:8" x14ac:dyDescent="0.2">
      <c r="A812" s="560" t="s">
        <v>2803</v>
      </c>
      <c r="B812" s="571" t="s">
        <v>1443</v>
      </c>
      <c r="C812" s="571">
        <v>19</v>
      </c>
      <c r="D812" s="571" t="s">
        <v>1449</v>
      </c>
      <c r="E812" s="561" t="s">
        <v>2804</v>
      </c>
      <c r="F812" s="572"/>
      <c r="G812" s="571"/>
      <c r="H812" s="571">
        <v>2</v>
      </c>
    </row>
    <row r="813" spans="1:8" x14ac:dyDescent="0.2">
      <c r="A813" s="560" t="s">
        <v>2805</v>
      </c>
      <c r="B813" s="571" t="s">
        <v>1443</v>
      </c>
      <c r="C813" s="571">
        <v>2</v>
      </c>
      <c r="D813" s="571" t="s">
        <v>1449</v>
      </c>
      <c r="E813" s="561" t="s">
        <v>2806</v>
      </c>
      <c r="F813" s="572"/>
      <c r="G813" s="571"/>
      <c r="H813" s="571">
        <v>1</v>
      </c>
    </row>
    <row r="814" spans="1:8" x14ac:dyDescent="0.2">
      <c r="A814" s="560" t="s">
        <v>1322</v>
      </c>
      <c r="B814" s="571" t="s">
        <v>1443</v>
      </c>
      <c r="C814" s="571">
        <v>0</v>
      </c>
      <c r="D814" s="571" t="s">
        <v>1481</v>
      </c>
      <c r="E814" s="561" t="s">
        <v>1323</v>
      </c>
      <c r="F814" s="572" t="s">
        <v>1456</v>
      </c>
      <c r="G814" s="571"/>
      <c r="H814" s="571"/>
    </row>
    <row r="815" spans="1:8" x14ac:dyDescent="0.2">
      <c r="A815" s="562" t="s">
        <v>2807</v>
      </c>
      <c r="B815" s="571" t="s">
        <v>1443</v>
      </c>
      <c r="C815" s="571">
        <v>0</v>
      </c>
      <c r="D815" s="571"/>
      <c r="E815" s="561"/>
      <c r="F815" s="572"/>
      <c r="G815" s="571"/>
      <c r="H815" s="571"/>
    </row>
    <row r="816" spans="1:8" x14ac:dyDescent="0.2">
      <c r="A816" s="560" t="s">
        <v>2808</v>
      </c>
      <c r="B816" s="571"/>
      <c r="C816" s="571">
        <v>0</v>
      </c>
      <c r="D816" s="571" t="s">
        <v>1481</v>
      </c>
      <c r="E816" s="561" t="s">
        <v>2809</v>
      </c>
      <c r="F816" s="572"/>
      <c r="G816" s="571"/>
      <c r="H816" s="571">
        <v>1</v>
      </c>
    </row>
    <row r="817" spans="1:8" x14ac:dyDescent="0.2">
      <c r="A817" s="560" t="s">
        <v>2810</v>
      </c>
      <c r="B817" s="571" t="s">
        <v>1443</v>
      </c>
      <c r="C817" s="571">
        <v>0</v>
      </c>
      <c r="D817" s="571" t="s">
        <v>1481</v>
      </c>
      <c r="E817" s="561" t="s">
        <v>2811</v>
      </c>
      <c r="F817" s="572"/>
      <c r="G817" s="571"/>
      <c r="H817" s="571"/>
    </row>
    <row r="818" spans="1:8" x14ac:dyDescent="0.2">
      <c r="A818" s="560" t="s">
        <v>2812</v>
      </c>
      <c r="B818" s="571" t="s">
        <v>1443</v>
      </c>
      <c r="C818" s="571">
        <v>0</v>
      </c>
      <c r="D818" s="571" t="s">
        <v>1452</v>
      </c>
      <c r="E818" s="561" t="s">
        <v>2813</v>
      </c>
      <c r="F818" s="572"/>
      <c r="G818" s="571"/>
      <c r="H818" s="571"/>
    </row>
    <row r="819" spans="1:8" x14ac:dyDescent="0.2">
      <c r="A819" s="560" t="s">
        <v>1324</v>
      </c>
      <c r="B819" s="571" t="s">
        <v>1443</v>
      </c>
      <c r="C819" s="571">
        <v>0</v>
      </c>
      <c r="D819" s="571" t="s">
        <v>1452</v>
      </c>
      <c r="E819" s="561" t="s">
        <v>1325</v>
      </c>
      <c r="F819" s="572" t="s">
        <v>1456</v>
      </c>
      <c r="G819" s="571"/>
      <c r="H819" s="571"/>
    </row>
    <row r="820" spans="1:8" x14ac:dyDescent="0.2">
      <c r="A820" s="560" t="s">
        <v>2814</v>
      </c>
      <c r="B820" s="571" t="s">
        <v>1443</v>
      </c>
      <c r="C820" s="571">
        <v>18</v>
      </c>
      <c r="D820" s="571" t="s">
        <v>1481</v>
      </c>
      <c r="E820" s="561" t="s">
        <v>2815</v>
      </c>
      <c r="F820" s="572"/>
      <c r="G820" s="571"/>
      <c r="H820" s="571"/>
    </row>
    <row r="821" spans="1:8" x14ac:dyDescent="0.2">
      <c r="A821" s="560" t="s">
        <v>1326</v>
      </c>
      <c r="B821" s="571" t="s">
        <v>1443</v>
      </c>
      <c r="C821" s="571">
        <v>5</v>
      </c>
      <c r="D821" s="571" t="s">
        <v>1449</v>
      </c>
      <c r="E821" s="561" t="s">
        <v>1327</v>
      </c>
      <c r="F821" s="572" t="s">
        <v>1456</v>
      </c>
      <c r="G821" s="571"/>
      <c r="H821" s="571">
        <v>2</v>
      </c>
    </row>
    <row r="822" spans="1:8" x14ac:dyDescent="0.2">
      <c r="A822" s="560" t="s">
        <v>2816</v>
      </c>
      <c r="B822" s="571" t="s">
        <v>1443</v>
      </c>
      <c r="C822" s="571">
        <v>17</v>
      </c>
      <c r="D822" s="571" t="s">
        <v>1481</v>
      </c>
      <c r="E822" s="561" t="s">
        <v>2817</v>
      </c>
      <c r="F822" s="572"/>
      <c r="G822" s="571"/>
      <c r="H822" s="571"/>
    </row>
    <row r="823" spans="1:8" x14ac:dyDescent="0.2">
      <c r="A823" s="560" t="s">
        <v>2818</v>
      </c>
      <c r="B823" s="571" t="s">
        <v>1443</v>
      </c>
      <c r="C823" s="571">
        <v>0</v>
      </c>
      <c r="D823" s="571" t="s">
        <v>1464</v>
      </c>
      <c r="E823" s="561" t="s">
        <v>2819</v>
      </c>
      <c r="F823" s="572"/>
      <c r="G823" s="571"/>
      <c r="H823" s="571">
        <v>1</v>
      </c>
    </row>
    <row r="824" spans="1:8" x14ac:dyDescent="0.2">
      <c r="A824" s="560" t="s">
        <v>2820</v>
      </c>
      <c r="B824" s="571"/>
      <c r="C824" s="571">
        <v>0</v>
      </c>
      <c r="D824" s="571" t="s">
        <v>1464</v>
      </c>
      <c r="E824" s="561"/>
      <c r="F824" s="572"/>
      <c r="G824" s="571"/>
      <c r="H824" s="571"/>
    </row>
    <row r="825" spans="1:8" x14ac:dyDescent="0.2">
      <c r="A825" s="560" t="s">
        <v>2821</v>
      </c>
      <c r="B825" s="571" t="s">
        <v>1443</v>
      </c>
      <c r="C825" s="571">
        <v>13</v>
      </c>
      <c r="D825" s="571" t="s">
        <v>1481</v>
      </c>
      <c r="E825" s="561" t="s">
        <v>2822</v>
      </c>
      <c r="F825" s="572"/>
      <c r="G825" s="571"/>
      <c r="H825" s="571"/>
    </row>
    <row r="826" spans="1:8" x14ac:dyDescent="0.2">
      <c r="A826" s="560" t="s">
        <v>2823</v>
      </c>
      <c r="B826" s="571" t="s">
        <v>1443</v>
      </c>
      <c r="C826" s="571">
        <v>1</v>
      </c>
      <c r="D826" s="571" t="s">
        <v>1464</v>
      </c>
      <c r="E826" s="561" t="s">
        <v>2824</v>
      </c>
      <c r="F826" s="572"/>
      <c r="G826" s="571"/>
      <c r="H826" s="571"/>
    </row>
    <row r="827" spans="1:8" x14ac:dyDescent="0.2">
      <c r="A827" s="560" t="s">
        <v>2825</v>
      </c>
      <c r="B827" s="571" t="s">
        <v>1443</v>
      </c>
      <c r="C827" s="571">
        <v>1</v>
      </c>
      <c r="D827" s="571" t="s">
        <v>1481</v>
      </c>
      <c r="E827" s="561"/>
      <c r="F827" s="572"/>
      <c r="G827" s="571"/>
      <c r="H827" s="571"/>
    </row>
    <row r="828" spans="1:8" x14ac:dyDescent="0.2">
      <c r="A828" s="560" t="s">
        <v>2826</v>
      </c>
      <c r="B828" s="571" t="s">
        <v>1443</v>
      </c>
      <c r="C828" s="571">
        <v>0</v>
      </c>
      <c r="D828" s="571" t="s">
        <v>1481</v>
      </c>
      <c r="E828" s="561" t="s">
        <v>2827</v>
      </c>
      <c r="F828" s="572"/>
      <c r="G828" s="571"/>
      <c r="H828" s="571"/>
    </row>
    <row r="829" spans="1:8" x14ac:dyDescent="0.2">
      <c r="A829" s="560" t="s">
        <v>2828</v>
      </c>
      <c r="B829" s="571" t="s">
        <v>1443</v>
      </c>
      <c r="C829" s="571">
        <v>2</v>
      </c>
      <c r="D829" s="571" t="s">
        <v>1449</v>
      </c>
      <c r="E829" s="561" t="s">
        <v>2829</v>
      </c>
      <c r="F829" s="572"/>
      <c r="G829" s="571"/>
      <c r="H829" s="571">
        <v>1</v>
      </c>
    </row>
    <row r="830" spans="1:8" x14ac:dyDescent="0.2">
      <c r="A830" s="560" t="s">
        <v>2830</v>
      </c>
      <c r="B830" s="571" t="s">
        <v>1443</v>
      </c>
      <c r="C830" s="571">
        <v>16</v>
      </c>
      <c r="D830" s="571" t="s">
        <v>1481</v>
      </c>
      <c r="E830" s="561" t="s">
        <v>2831</v>
      </c>
      <c r="F830" s="572"/>
      <c r="G830" s="571"/>
      <c r="H830" s="571"/>
    </row>
    <row r="831" spans="1:8" x14ac:dyDescent="0.2">
      <c r="A831" s="560" t="s">
        <v>2832</v>
      </c>
      <c r="B831" s="571"/>
      <c r="C831" s="571">
        <v>0</v>
      </c>
      <c r="D831" s="571" t="s">
        <v>1481</v>
      </c>
      <c r="E831" s="561" t="s">
        <v>2833</v>
      </c>
      <c r="F831" s="572"/>
      <c r="G831" s="571"/>
      <c r="H831" s="571">
        <v>2</v>
      </c>
    </row>
    <row r="832" spans="1:8" x14ac:dyDescent="0.2">
      <c r="A832" s="560" t="s">
        <v>2834</v>
      </c>
      <c r="B832" s="571"/>
      <c r="C832" s="571">
        <v>0</v>
      </c>
      <c r="D832" s="571" t="s">
        <v>1444</v>
      </c>
      <c r="E832" s="561" t="s">
        <v>2835</v>
      </c>
      <c r="F832" s="572"/>
      <c r="G832" s="571"/>
      <c r="H832" s="571">
        <v>1</v>
      </c>
    </row>
    <row r="833" spans="1:8" x14ac:dyDescent="0.2">
      <c r="A833" s="560" t="s">
        <v>2836</v>
      </c>
      <c r="B833" s="571"/>
      <c r="C833" s="571">
        <v>0</v>
      </c>
      <c r="D833" s="571" t="s">
        <v>1452</v>
      </c>
      <c r="E833" s="561" t="s">
        <v>2837</v>
      </c>
      <c r="F833" s="572"/>
      <c r="G833" s="571"/>
      <c r="H833" s="571"/>
    </row>
    <row r="834" spans="1:8" x14ac:dyDescent="0.2">
      <c r="A834" s="560" t="s">
        <v>2838</v>
      </c>
      <c r="B834" s="571" t="s">
        <v>1443</v>
      </c>
      <c r="C834" s="571">
        <v>14</v>
      </c>
      <c r="D834" s="571" t="s">
        <v>1452</v>
      </c>
      <c r="E834" s="561" t="s">
        <v>2839</v>
      </c>
      <c r="F834" s="572"/>
      <c r="G834" s="571"/>
      <c r="H834" s="571"/>
    </row>
    <row r="835" spans="1:8" x14ac:dyDescent="0.2">
      <c r="A835" s="560" t="s">
        <v>1328</v>
      </c>
      <c r="B835" s="571" t="s">
        <v>1443</v>
      </c>
      <c r="C835" s="571">
        <v>5</v>
      </c>
      <c r="D835" s="571" t="s">
        <v>1449</v>
      </c>
      <c r="E835" s="561" t="s">
        <v>1329</v>
      </c>
      <c r="F835" s="572" t="s">
        <v>1456</v>
      </c>
      <c r="G835" s="571" t="s">
        <v>1456</v>
      </c>
      <c r="H835" s="571"/>
    </row>
    <row r="836" spans="1:8" x14ac:dyDescent="0.2">
      <c r="A836" s="560" t="s">
        <v>2840</v>
      </c>
      <c r="B836" s="571" t="s">
        <v>1443</v>
      </c>
      <c r="C836" s="571">
        <v>3</v>
      </c>
      <c r="D836" s="571" t="s">
        <v>1449</v>
      </c>
      <c r="E836" s="561" t="s">
        <v>2841</v>
      </c>
      <c r="F836" s="572"/>
      <c r="G836" s="571"/>
      <c r="H836" s="571"/>
    </row>
    <row r="837" spans="1:8" x14ac:dyDescent="0.2">
      <c r="A837" s="560" t="s">
        <v>1330</v>
      </c>
      <c r="B837" s="571" t="s">
        <v>1443</v>
      </c>
      <c r="C837" s="571">
        <v>7</v>
      </c>
      <c r="D837" s="571" t="s">
        <v>1449</v>
      </c>
      <c r="E837" s="561" t="s">
        <v>1331</v>
      </c>
      <c r="F837" s="572" t="s">
        <v>1456</v>
      </c>
      <c r="G837" s="571"/>
      <c r="H837" s="571"/>
    </row>
    <row r="838" spans="1:8" x14ac:dyDescent="0.2">
      <c r="A838" s="560" t="s">
        <v>2842</v>
      </c>
      <c r="B838" s="571" t="s">
        <v>1443</v>
      </c>
      <c r="C838" s="571">
        <v>12</v>
      </c>
      <c r="D838" s="571" t="s">
        <v>1449</v>
      </c>
      <c r="E838" s="561" t="s">
        <v>2843</v>
      </c>
      <c r="F838" s="572"/>
      <c r="G838" s="571"/>
      <c r="H838" s="571"/>
    </row>
    <row r="839" spans="1:8" x14ac:dyDescent="0.2">
      <c r="A839" s="560" t="s">
        <v>2844</v>
      </c>
      <c r="B839" s="571"/>
      <c r="C839" s="571">
        <v>0</v>
      </c>
      <c r="D839" s="571" t="s">
        <v>1449</v>
      </c>
      <c r="E839" s="561"/>
      <c r="F839" s="572"/>
      <c r="G839" s="571"/>
      <c r="H839" s="571"/>
    </row>
    <row r="840" spans="1:8" x14ac:dyDescent="0.2">
      <c r="A840" s="560" t="s">
        <v>2845</v>
      </c>
      <c r="B840" s="571" t="s">
        <v>1443</v>
      </c>
      <c r="C840" s="571">
        <v>2</v>
      </c>
      <c r="D840" s="571" t="s">
        <v>1449</v>
      </c>
      <c r="E840" s="561" t="s">
        <v>2846</v>
      </c>
      <c r="F840" s="572"/>
      <c r="G840" s="571"/>
      <c r="H840" s="571">
        <v>1</v>
      </c>
    </row>
    <row r="841" spans="1:8" x14ac:dyDescent="0.2">
      <c r="A841" s="560" t="s">
        <v>2847</v>
      </c>
      <c r="B841" s="571" t="s">
        <v>1443</v>
      </c>
      <c r="C841" s="571">
        <v>1</v>
      </c>
      <c r="D841" s="571" t="s">
        <v>1444</v>
      </c>
      <c r="E841" s="561" t="s">
        <v>2848</v>
      </c>
      <c r="F841" s="572"/>
      <c r="G841" s="571"/>
      <c r="H841" s="571">
        <v>1</v>
      </c>
    </row>
    <row r="842" spans="1:8" x14ac:dyDescent="0.2">
      <c r="A842" s="560" t="s">
        <v>2849</v>
      </c>
      <c r="B842" s="571" t="s">
        <v>1443</v>
      </c>
      <c r="C842" s="571">
        <v>1</v>
      </c>
      <c r="D842" s="571" t="s">
        <v>1449</v>
      </c>
      <c r="E842" s="561" t="s">
        <v>2850</v>
      </c>
      <c r="F842" s="572"/>
      <c r="G842" s="571"/>
      <c r="H842" s="571"/>
    </row>
    <row r="843" spans="1:8" x14ac:dyDescent="0.2">
      <c r="A843" s="560" t="s">
        <v>2851</v>
      </c>
      <c r="B843" s="571" t="s">
        <v>1443</v>
      </c>
      <c r="C843" s="571">
        <v>1</v>
      </c>
      <c r="D843" s="571" t="s">
        <v>1449</v>
      </c>
      <c r="E843" s="561" t="s">
        <v>2852</v>
      </c>
      <c r="F843" s="572"/>
      <c r="G843" s="571"/>
      <c r="H843" s="571"/>
    </row>
    <row r="844" spans="1:8" x14ac:dyDescent="0.2">
      <c r="A844" s="560" t="s">
        <v>2853</v>
      </c>
      <c r="B844" s="571" t="s">
        <v>1443</v>
      </c>
      <c r="C844" s="571">
        <v>22</v>
      </c>
      <c r="D844" s="571" t="s">
        <v>1449</v>
      </c>
      <c r="E844" s="561" t="s">
        <v>2854</v>
      </c>
      <c r="F844" s="572"/>
      <c r="G844" s="571"/>
      <c r="H844" s="571"/>
    </row>
    <row r="845" spans="1:8" x14ac:dyDescent="0.2">
      <c r="A845" s="560" t="s">
        <v>2855</v>
      </c>
      <c r="B845" s="571" t="s">
        <v>1443</v>
      </c>
      <c r="C845" s="571">
        <v>4</v>
      </c>
      <c r="D845" s="571" t="s">
        <v>1444</v>
      </c>
      <c r="E845" s="561" t="s">
        <v>2856</v>
      </c>
      <c r="F845" s="572"/>
      <c r="G845" s="571"/>
      <c r="H845" s="571"/>
    </row>
    <row r="846" spans="1:8" x14ac:dyDescent="0.2">
      <c r="A846" s="560" t="s">
        <v>1332</v>
      </c>
      <c r="B846" s="571" t="s">
        <v>1443</v>
      </c>
      <c r="C846" s="571">
        <v>9</v>
      </c>
      <c r="D846" s="571" t="s">
        <v>1452</v>
      </c>
      <c r="E846" s="561" t="s">
        <v>1333</v>
      </c>
      <c r="F846" s="572" t="s">
        <v>1456</v>
      </c>
      <c r="G846" s="571"/>
      <c r="H846" s="571"/>
    </row>
    <row r="847" spans="1:8" x14ac:dyDescent="0.2">
      <c r="A847" s="560" t="s">
        <v>2857</v>
      </c>
      <c r="B847" s="571" t="s">
        <v>1443</v>
      </c>
      <c r="C847" s="571">
        <v>0</v>
      </c>
      <c r="D847" s="571" t="s">
        <v>1449</v>
      </c>
      <c r="E847" s="561" t="s">
        <v>2858</v>
      </c>
      <c r="F847" s="572"/>
      <c r="G847" s="571"/>
      <c r="H847" s="571"/>
    </row>
    <row r="848" spans="1:8" x14ac:dyDescent="0.2">
      <c r="A848" s="560" t="s">
        <v>2859</v>
      </c>
      <c r="B848" s="571" t="s">
        <v>1443</v>
      </c>
      <c r="C848" s="571">
        <v>0</v>
      </c>
      <c r="D848" s="571" t="s">
        <v>1452</v>
      </c>
      <c r="E848" s="561" t="s">
        <v>2860</v>
      </c>
      <c r="F848" s="572"/>
      <c r="G848" s="571"/>
      <c r="H848" s="571">
        <v>2</v>
      </c>
    </row>
    <row r="849" spans="1:8" x14ac:dyDescent="0.2">
      <c r="A849" s="560" t="s">
        <v>2861</v>
      </c>
      <c r="B849" s="571" t="s">
        <v>1443</v>
      </c>
      <c r="C849" s="571">
        <v>9</v>
      </c>
      <c r="D849" s="571" t="s">
        <v>1449</v>
      </c>
      <c r="E849" s="561" t="s">
        <v>2862</v>
      </c>
      <c r="F849" s="572"/>
      <c r="G849" s="571"/>
      <c r="H849" s="571"/>
    </row>
    <row r="850" spans="1:8" x14ac:dyDescent="0.2">
      <c r="A850" s="560" t="s">
        <v>1334</v>
      </c>
      <c r="B850" s="571" t="s">
        <v>1443</v>
      </c>
      <c r="C850" s="571">
        <v>2</v>
      </c>
      <c r="D850" s="571" t="s">
        <v>1449</v>
      </c>
      <c r="E850" s="561" t="s">
        <v>1335</v>
      </c>
      <c r="F850" s="572" t="s">
        <v>1456</v>
      </c>
      <c r="G850" s="571"/>
      <c r="H850" s="571"/>
    </row>
    <row r="851" spans="1:8" x14ac:dyDescent="0.2">
      <c r="A851" s="560" t="s">
        <v>2863</v>
      </c>
      <c r="B851" s="571" t="s">
        <v>1443</v>
      </c>
      <c r="C851" s="571">
        <v>4</v>
      </c>
      <c r="D851" s="571" t="s">
        <v>1464</v>
      </c>
      <c r="E851" s="561" t="s">
        <v>2864</v>
      </c>
      <c r="F851" s="572"/>
      <c r="G851" s="571"/>
      <c r="H851" s="571"/>
    </row>
    <row r="852" spans="1:8" x14ac:dyDescent="0.2">
      <c r="A852" s="560" t="s">
        <v>2865</v>
      </c>
      <c r="B852" s="571" t="s">
        <v>1443</v>
      </c>
      <c r="C852" s="571">
        <v>0</v>
      </c>
      <c r="D852" s="571" t="s">
        <v>1481</v>
      </c>
      <c r="E852" s="561" t="s">
        <v>2866</v>
      </c>
      <c r="F852" s="572"/>
      <c r="G852" s="571"/>
      <c r="H852" s="571"/>
    </row>
    <row r="853" spans="1:8" x14ac:dyDescent="0.2">
      <c r="A853" s="560" t="s">
        <v>2867</v>
      </c>
      <c r="B853" s="571" t="s">
        <v>1443</v>
      </c>
      <c r="C853" s="571">
        <v>4</v>
      </c>
      <c r="D853" s="571" t="s">
        <v>1449</v>
      </c>
      <c r="E853" s="561" t="s">
        <v>2868</v>
      </c>
      <c r="F853" s="572"/>
      <c r="G853" s="571"/>
      <c r="H853" s="571"/>
    </row>
    <row r="854" spans="1:8" x14ac:dyDescent="0.2">
      <c r="A854" s="560" t="s">
        <v>2869</v>
      </c>
      <c r="B854" s="571" t="s">
        <v>1443</v>
      </c>
      <c r="C854" s="571">
        <v>0</v>
      </c>
      <c r="D854" s="571" t="s">
        <v>1449</v>
      </c>
      <c r="E854" s="561" t="s">
        <v>2870</v>
      </c>
      <c r="F854" s="572"/>
      <c r="G854" s="571"/>
      <c r="H854" s="571"/>
    </row>
    <row r="855" spans="1:8" x14ac:dyDescent="0.2">
      <c r="A855" s="560" t="s">
        <v>2871</v>
      </c>
      <c r="B855" s="571" t="s">
        <v>1443</v>
      </c>
      <c r="C855" s="571">
        <v>2</v>
      </c>
      <c r="D855" s="571" t="s">
        <v>1464</v>
      </c>
      <c r="E855" s="561"/>
      <c r="F855" s="572"/>
      <c r="G855" s="571"/>
      <c r="H855" s="571"/>
    </row>
    <row r="856" spans="1:8" x14ac:dyDescent="0.2">
      <c r="A856" s="560" t="s">
        <v>2872</v>
      </c>
      <c r="B856" s="571" t="s">
        <v>1443</v>
      </c>
      <c r="C856" s="571">
        <v>0</v>
      </c>
      <c r="D856" s="571"/>
      <c r="E856" s="561" t="s">
        <v>2873</v>
      </c>
      <c r="F856" s="572"/>
      <c r="G856" s="571"/>
      <c r="H856" s="571"/>
    </row>
    <row r="857" spans="1:8" x14ac:dyDescent="0.2">
      <c r="A857" s="560" t="s">
        <v>1336</v>
      </c>
      <c r="B857" s="571" t="s">
        <v>1443</v>
      </c>
      <c r="C857" s="571">
        <v>2</v>
      </c>
      <c r="D857" s="571" t="s">
        <v>1449</v>
      </c>
      <c r="E857" s="561" t="s">
        <v>1337</v>
      </c>
      <c r="F857" s="572" t="s">
        <v>1456</v>
      </c>
      <c r="G857" s="571"/>
      <c r="H857" s="571"/>
    </row>
    <row r="858" spans="1:8" x14ac:dyDescent="0.2">
      <c r="A858" s="560" t="s">
        <v>2874</v>
      </c>
      <c r="B858" s="571" t="s">
        <v>1443</v>
      </c>
      <c r="C858" s="571">
        <v>3</v>
      </c>
      <c r="D858" s="571"/>
      <c r="E858" s="561"/>
      <c r="F858" s="572"/>
      <c r="G858" s="571"/>
      <c r="H858" s="571"/>
    </row>
    <row r="859" spans="1:8" x14ac:dyDescent="0.2">
      <c r="A859" s="560" t="s">
        <v>2875</v>
      </c>
      <c r="B859" s="571" t="s">
        <v>1443</v>
      </c>
      <c r="C859" s="571">
        <v>2</v>
      </c>
      <c r="D859" s="571" t="s">
        <v>1449</v>
      </c>
      <c r="E859" s="561" t="s">
        <v>2876</v>
      </c>
      <c r="F859" s="572"/>
      <c r="G859" s="571"/>
      <c r="H859" s="571"/>
    </row>
    <row r="860" spans="1:8" x14ac:dyDescent="0.2">
      <c r="A860" s="560" t="s">
        <v>2877</v>
      </c>
      <c r="B860" s="571" t="s">
        <v>1443</v>
      </c>
      <c r="C860" s="571">
        <v>1</v>
      </c>
      <c r="D860" s="571"/>
      <c r="E860" s="561" t="s">
        <v>2878</v>
      </c>
      <c r="F860" s="572"/>
      <c r="G860" s="571"/>
      <c r="H860" s="571"/>
    </row>
    <row r="861" spans="1:8" x14ac:dyDescent="0.2">
      <c r="A861" s="560" t="s">
        <v>2879</v>
      </c>
      <c r="B861" s="571" t="s">
        <v>1443</v>
      </c>
      <c r="C861" s="571">
        <v>0</v>
      </c>
      <c r="D861" s="571" t="s">
        <v>1452</v>
      </c>
      <c r="E861" s="561" t="s">
        <v>2880</v>
      </c>
      <c r="F861" s="572"/>
      <c r="G861" s="571"/>
      <c r="H861" s="571">
        <v>1</v>
      </c>
    </row>
    <row r="862" spans="1:8" x14ac:dyDescent="0.2">
      <c r="A862" s="560" t="s">
        <v>1338</v>
      </c>
      <c r="B862" s="571" t="s">
        <v>1443</v>
      </c>
      <c r="C862" s="571">
        <v>2</v>
      </c>
      <c r="D862" s="571"/>
      <c r="E862" s="561"/>
      <c r="F862" s="572" t="s">
        <v>1456</v>
      </c>
      <c r="G862" s="571"/>
      <c r="H862" s="571"/>
    </row>
    <row r="863" spans="1:8" x14ac:dyDescent="0.2">
      <c r="A863" s="560" t="s">
        <v>1339</v>
      </c>
      <c r="B863" s="571" t="s">
        <v>1443</v>
      </c>
      <c r="C863" s="571">
        <v>0</v>
      </c>
      <c r="D863" s="571" t="s">
        <v>1452</v>
      </c>
      <c r="E863" s="561" t="s">
        <v>1340</v>
      </c>
      <c r="F863" s="572" t="s">
        <v>1456</v>
      </c>
      <c r="G863" s="571"/>
      <c r="H863" s="571"/>
    </row>
    <row r="864" spans="1:8" x14ac:dyDescent="0.2">
      <c r="A864" s="560" t="s">
        <v>2881</v>
      </c>
      <c r="B864" s="571" t="s">
        <v>1443</v>
      </c>
      <c r="C864" s="571">
        <v>7</v>
      </c>
      <c r="D864" s="571"/>
      <c r="E864" s="561"/>
      <c r="F864" s="572"/>
      <c r="G864" s="571"/>
      <c r="H864" s="571"/>
    </row>
    <row r="865" spans="1:8" x14ac:dyDescent="0.2">
      <c r="A865" s="560" t="s">
        <v>1341</v>
      </c>
      <c r="B865" s="571" t="s">
        <v>1443</v>
      </c>
      <c r="C865" s="571">
        <v>1</v>
      </c>
      <c r="D865" s="571" t="s">
        <v>1481</v>
      </c>
      <c r="E865" s="561" t="s">
        <v>1342</v>
      </c>
      <c r="F865" s="572" t="s">
        <v>1456</v>
      </c>
      <c r="G865" s="571"/>
      <c r="H865" s="571"/>
    </row>
    <row r="866" spans="1:8" x14ac:dyDescent="0.2">
      <c r="A866" s="562" t="s">
        <v>2882</v>
      </c>
      <c r="B866" s="571" t="s">
        <v>1443</v>
      </c>
      <c r="C866" s="571">
        <v>0</v>
      </c>
      <c r="D866" s="571"/>
      <c r="E866" s="561"/>
      <c r="F866" s="572"/>
      <c r="G866" s="571"/>
      <c r="H866" s="571"/>
    </row>
    <row r="867" spans="1:8" x14ac:dyDescent="0.2">
      <c r="A867" s="562" t="s">
        <v>2883</v>
      </c>
      <c r="B867" s="571" t="s">
        <v>1443</v>
      </c>
      <c r="C867" s="571">
        <v>0</v>
      </c>
      <c r="D867" s="571"/>
      <c r="E867" s="561"/>
      <c r="F867" s="572"/>
      <c r="G867" s="571"/>
      <c r="H867" s="571">
        <v>1</v>
      </c>
    </row>
    <row r="868" spans="1:8" x14ac:dyDescent="0.2">
      <c r="A868" s="560" t="s">
        <v>2884</v>
      </c>
      <c r="B868" s="571" t="s">
        <v>1443</v>
      </c>
      <c r="C868" s="571">
        <v>10</v>
      </c>
      <c r="D868" s="571" t="s">
        <v>1444</v>
      </c>
      <c r="E868" s="561" t="s">
        <v>2885</v>
      </c>
      <c r="F868" s="572"/>
      <c r="G868" s="571"/>
      <c r="H868" s="571"/>
    </row>
    <row r="869" spans="1:8" x14ac:dyDescent="0.2">
      <c r="A869" s="560" t="s">
        <v>2886</v>
      </c>
      <c r="B869" s="571" t="s">
        <v>1443</v>
      </c>
      <c r="C869" s="571">
        <v>12</v>
      </c>
      <c r="D869" s="571" t="s">
        <v>1452</v>
      </c>
      <c r="E869" s="561" t="s">
        <v>2887</v>
      </c>
      <c r="F869" s="572"/>
      <c r="G869" s="571"/>
      <c r="H869" s="571"/>
    </row>
    <row r="870" spans="1:8" x14ac:dyDescent="0.2">
      <c r="A870" s="562" t="s">
        <v>2888</v>
      </c>
      <c r="B870" s="571" t="s">
        <v>1443</v>
      </c>
      <c r="C870" s="571">
        <v>0</v>
      </c>
      <c r="D870" s="571"/>
      <c r="E870" s="561"/>
      <c r="F870" s="572"/>
      <c r="G870" s="571"/>
      <c r="H870" s="571">
        <v>1</v>
      </c>
    </row>
    <row r="871" spans="1:8" x14ac:dyDescent="0.2">
      <c r="A871" s="560" t="s">
        <v>2889</v>
      </c>
      <c r="B871" s="571" t="s">
        <v>1443</v>
      </c>
      <c r="C871" s="571">
        <v>8</v>
      </c>
      <c r="D871" s="571" t="s">
        <v>1452</v>
      </c>
      <c r="E871" s="561" t="s">
        <v>2890</v>
      </c>
      <c r="F871" s="572"/>
      <c r="G871" s="571"/>
      <c r="H871" s="571"/>
    </row>
    <row r="872" spans="1:8" x14ac:dyDescent="0.2">
      <c r="A872" s="560" t="s">
        <v>2891</v>
      </c>
      <c r="B872" s="571" t="s">
        <v>1443</v>
      </c>
      <c r="C872" s="571">
        <v>2</v>
      </c>
      <c r="D872" s="571" t="s">
        <v>1452</v>
      </c>
      <c r="E872" s="561" t="s">
        <v>2892</v>
      </c>
      <c r="F872" s="572"/>
      <c r="G872" s="571"/>
      <c r="H872" s="571"/>
    </row>
    <row r="873" spans="1:8" x14ac:dyDescent="0.2">
      <c r="A873" s="560" t="s">
        <v>2893</v>
      </c>
      <c r="B873" s="571" t="s">
        <v>1443</v>
      </c>
      <c r="C873" s="571">
        <v>6</v>
      </c>
      <c r="D873" s="571" t="s">
        <v>1464</v>
      </c>
      <c r="E873" s="561" t="s">
        <v>2894</v>
      </c>
      <c r="F873" s="572"/>
      <c r="G873" s="571"/>
      <c r="H873" s="571"/>
    </row>
    <row r="874" spans="1:8" x14ac:dyDescent="0.2">
      <c r="A874" s="560" t="s">
        <v>2895</v>
      </c>
      <c r="B874" s="571" t="s">
        <v>1443</v>
      </c>
      <c r="C874" s="571">
        <v>0</v>
      </c>
      <c r="D874" s="571" t="s">
        <v>1464</v>
      </c>
      <c r="E874" s="561" t="s">
        <v>2896</v>
      </c>
      <c r="F874" s="572"/>
      <c r="G874" s="571"/>
      <c r="H874" s="571"/>
    </row>
    <row r="875" spans="1:8" x14ac:dyDescent="0.2">
      <c r="A875" s="560" t="s">
        <v>2897</v>
      </c>
      <c r="B875" s="571" t="s">
        <v>1443</v>
      </c>
      <c r="C875" s="571">
        <v>0</v>
      </c>
      <c r="D875" s="571" t="s">
        <v>1464</v>
      </c>
      <c r="E875" s="561" t="s">
        <v>2898</v>
      </c>
      <c r="F875" s="572"/>
      <c r="G875" s="571"/>
      <c r="H875" s="571"/>
    </row>
    <row r="876" spans="1:8" x14ac:dyDescent="0.2">
      <c r="A876" s="560" t="s">
        <v>2899</v>
      </c>
      <c r="B876" s="571" t="s">
        <v>1443</v>
      </c>
      <c r="C876" s="571">
        <v>0</v>
      </c>
      <c r="D876" s="571" t="s">
        <v>1464</v>
      </c>
      <c r="E876" s="561" t="s">
        <v>2900</v>
      </c>
      <c r="F876" s="572"/>
      <c r="G876" s="571"/>
      <c r="H876" s="571"/>
    </row>
    <row r="877" spans="1:8" x14ac:dyDescent="0.2">
      <c r="A877" s="560" t="s">
        <v>2901</v>
      </c>
      <c r="B877" s="571" t="s">
        <v>1443</v>
      </c>
      <c r="C877" s="571">
        <v>0</v>
      </c>
      <c r="D877" s="571" t="s">
        <v>1464</v>
      </c>
      <c r="E877" s="561" t="s">
        <v>2902</v>
      </c>
      <c r="F877" s="572"/>
      <c r="G877" s="571"/>
      <c r="H877" s="571"/>
    </row>
    <row r="878" spans="1:8" x14ac:dyDescent="0.2">
      <c r="A878" s="560" t="s">
        <v>2903</v>
      </c>
      <c r="B878" s="571" t="s">
        <v>1443</v>
      </c>
      <c r="C878" s="571">
        <v>1</v>
      </c>
      <c r="D878" s="571" t="s">
        <v>1464</v>
      </c>
      <c r="E878" s="561" t="s">
        <v>2904</v>
      </c>
      <c r="F878" s="572"/>
      <c r="G878" s="571"/>
      <c r="H878" s="571"/>
    </row>
    <row r="879" spans="1:8" x14ac:dyDescent="0.2">
      <c r="A879" s="560" t="s">
        <v>2905</v>
      </c>
      <c r="B879" s="571"/>
      <c r="C879" s="571">
        <v>0</v>
      </c>
      <c r="D879" s="571" t="s">
        <v>1464</v>
      </c>
      <c r="E879" s="561" t="s">
        <v>2906</v>
      </c>
      <c r="F879" s="572"/>
      <c r="G879" s="571"/>
      <c r="H879" s="571">
        <v>1</v>
      </c>
    </row>
    <row r="880" spans="1:8" x14ac:dyDescent="0.2">
      <c r="A880" s="560" t="s">
        <v>2907</v>
      </c>
      <c r="B880" s="571" t="s">
        <v>1443</v>
      </c>
      <c r="C880" s="571">
        <v>0</v>
      </c>
      <c r="D880" s="571"/>
      <c r="E880" s="561" t="s">
        <v>2908</v>
      </c>
      <c r="F880" s="572"/>
      <c r="G880" s="571"/>
      <c r="H880" s="571"/>
    </row>
    <row r="881" spans="1:8" x14ac:dyDescent="0.2">
      <c r="A881" s="560" t="s">
        <v>2909</v>
      </c>
      <c r="B881" s="571" t="s">
        <v>1443</v>
      </c>
      <c r="C881" s="571">
        <v>0</v>
      </c>
      <c r="D881" s="571" t="s">
        <v>1464</v>
      </c>
      <c r="E881" s="561" t="s">
        <v>2910</v>
      </c>
      <c r="F881" s="572"/>
      <c r="G881" s="571"/>
      <c r="H881" s="571"/>
    </row>
    <row r="882" spans="1:8" x14ac:dyDescent="0.2">
      <c r="A882" s="560" t="s">
        <v>2911</v>
      </c>
      <c r="B882" s="571" t="s">
        <v>1443</v>
      </c>
      <c r="C882" s="571">
        <v>0</v>
      </c>
      <c r="D882" s="571" t="s">
        <v>1464</v>
      </c>
      <c r="E882" s="561" t="s">
        <v>2912</v>
      </c>
      <c r="F882" s="572"/>
      <c r="G882" s="571"/>
      <c r="H882" s="571"/>
    </row>
    <row r="883" spans="1:8" x14ac:dyDescent="0.2">
      <c r="A883" s="560" t="s">
        <v>2913</v>
      </c>
      <c r="B883" s="571" t="s">
        <v>1443</v>
      </c>
      <c r="C883" s="571">
        <v>0</v>
      </c>
      <c r="D883" s="571" t="s">
        <v>1464</v>
      </c>
      <c r="E883" s="561" t="s">
        <v>2914</v>
      </c>
      <c r="F883" s="572"/>
      <c r="G883" s="571"/>
      <c r="H883" s="571"/>
    </row>
    <row r="884" spans="1:8" x14ac:dyDescent="0.2">
      <c r="A884" s="560" t="s">
        <v>2915</v>
      </c>
      <c r="B884" s="571"/>
      <c r="C884" s="571">
        <v>0</v>
      </c>
      <c r="D884" s="571" t="s">
        <v>1464</v>
      </c>
      <c r="E884" s="561" t="s">
        <v>2916</v>
      </c>
      <c r="F884" s="572"/>
      <c r="G884" s="571"/>
      <c r="H884" s="571">
        <v>1</v>
      </c>
    </row>
    <row r="885" spans="1:8" x14ac:dyDescent="0.2">
      <c r="A885" s="560" t="s">
        <v>2917</v>
      </c>
      <c r="B885" s="571"/>
      <c r="C885" s="571">
        <v>0</v>
      </c>
      <c r="D885" s="571" t="s">
        <v>1464</v>
      </c>
      <c r="E885" s="561" t="s">
        <v>2918</v>
      </c>
      <c r="F885" s="572"/>
      <c r="G885" s="571"/>
      <c r="H885" s="571">
        <v>1</v>
      </c>
    </row>
    <row r="886" spans="1:8" x14ac:dyDescent="0.2">
      <c r="A886" s="560" t="s">
        <v>2919</v>
      </c>
      <c r="B886" s="571" t="s">
        <v>1443</v>
      </c>
      <c r="C886" s="571">
        <v>0</v>
      </c>
      <c r="D886" s="571" t="s">
        <v>1464</v>
      </c>
      <c r="E886" s="561" t="s">
        <v>2920</v>
      </c>
      <c r="F886" s="572"/>
      <c r="G886" s="571"/>
      <c r="H886" s="571"/>
    </row>
    <row r="887" spans="1:8" x14ac:dyDescent="0.2">
      <c r="A887" s="560" t="s">
        <v>2921</v>
      </c>
      <c r="B887" s="571" t="s">
        <v>1443</v>
      </c>
      <c r="C887" s="571">
        <v>0</v>
      </c>
      <c r="D887" s="571"/>
      <c r="E887" s="561"/>
      <c r="F887" s="572"/>
      <c r="G887" s="571"/>
      <c r="H887" s="571"/>
    </row>
    <row r="888" spans="1:8" x14ac:dyDescent="0.2">
      <c r="A888" s="560" t="s">
        <v>2922</v>
      </c>
      <c r="B888" s="571" t="s">
        <v>1443</v>
      </c>
      <c r="C888" s="571">
        <v>2</v>
      </c>
      <c r="D888" s="571"/>
      <c r="E888" s="561" t="s">
        <v>2923</v>
      </c>
      <c r="F888" s="572"/>
      <c r="G888" s="571"/>
      <c r="H888" s="571"/>
    </row>
    <row r="889" spans="1:8" x14ac:dyDescent="0.2">
      <c r="A889" s="560" t="s">
        <v>2924</v>
      </c>
      <c r="B889" s="571" t="s">
        <v>1443</v>
      </c>
      <c r="C889" s="571">
        <v>1</v>
      </c>
      <c r="D889" s="571" t="s">
        <v>1481</v>
      </c>
      <c r="E889" s="561" t="s">
        <v>2925</v>
      </c>
      <c r="F889" s="572"/>
      <c r="G889" s="571"/>
      <c r="H889" s="571"/>
    </row>
    <row r="890" spans="1:8" x14ac:dyDescent="0.2">
      <c r="A890" s="560" t="s">
        <v>2926</v>
      </c>
      <c r="B890" s="571"/>
      <c r="C890" s="571">
        <v>0</v>
      </c>
      <c r="D890" s="571" t="s">
        <v>1444</v>
      </c>
      <c r="E890" s="561" t="s">
        <v>2927</v>
      </c>
      <c r="F890" s="572"/>
      <c r="G890" s="571"/>
      <c r="H890" s="571">
        <v>1</v>
      </c>
    </row>
    <row r="891" spans="1:8" x14ac:dyDescent="0.2">
      <c r="A891" s="560" t="s">
        <v>2928</v>
      </c>
      <c r="B891" s="571" t="s">
        <v>1443</v>
      </c>
      <c r="C891" s="571">
        <v>3</v>
      </c>
      <c r="D891" s="571" t="s">
        <v>1449</v>
      </c>
      <c r="E891" s="561" t="s">
        <v>2929</v>
      </c>
      <c r="F891" s="572"/>
      <c r="G891" s="571"/>
      <c r="H891" s="571"/>
    </row>
    <row r="892" spans="1:8" x14ac:dyDescent="0.2">
      <c r="A892" s="560" t="s">
        <v>2930</v>
      </c>
      <c r="B892" s="571" t="s">
        <v>1443</v>
      </c>
      <c r="C892" s="571">
        <v>0</v>
      </c>
      <c r="D892" s="571" t="s">
        <v>1449</v>
      </c>
      <c r="E892" s="561" t="s">
        <v>2931</v>
      </c>
      <c r="F892" s="572"/>
      <c r="G892" s="571"/>
      <c r="H892" s="571"/>
    </row>
    <row r="893" spans="1:8" x14ac:dyDescent="0.2">
      <c r="A893" s="560" t="s">
        <v>2932</v>
      </c>
      <c r="B893" s="571" t="s">
        <v>1443</v>
      </c>
      <c r="C893" s="571">
        <v>2</v>
      </c>
      <c r="D893" s="571" t="s">
        <v>1449</v>
      </c>
      <c r="E893" s="561" t="s">
        <v>2933</v>
      </c>
      <c r="F893" s="572"/>
      <c r="G893" s="571"/>
      <c r="H893" s="571"/>
    </row>
    <row r="894" spans="1:8" x14ac:dyDescent="0.2">
      <c r="A894" s="560" t="s">
        <v>2934</v>
      </c>
      <c r="B894" s="571" t="s">
        <v>1443</v>
      </c>
      <c r="C894" s="571">
        <v>1</v>
      </c>
      <c r="D894" s="571" t="s">
        <v>1452</v>
      </c>
      <c r="E894" s="561" t="s">
        <v>2935</v>
      </c>
      <c r="F894" s="572"/>
      <c r="G894" s="571"/>
      <c r="H894" s="571"/>
    </row>
    <row r="895" spans="1:8" x14ac:dyDescent="0.2">
      <c r="A895" s="560" t="s">
        <v>2936</v>
      </c>
      <c r="B895" s="571" t="s">
        <v>1443</v>
      </c>
      <c r="C895" s="571">
        <v>0</v>
      </c>
      <c r="D895" s="571" t="s">
        <v>1452</v>
      </c>
      <c r="E895" s="561" t="s">
        <v>2937</v>
      </c>
      <c r="F895" s="572"/>
      <c r="G895" s="571"/>
      <c r="H895" s="571">
        <v>1</v>
      </c>
    </row>
    <row r="896" spans="1:8" x14ac:dyDescent="0.2">
      <c r="A896" s="560" t="s">
        <v>2938</v>
      </c>
      <c r="B896" s="571" t="s">
        <v>1443</v>
      </c>
      <c r="C896" s="571">
        <v>6</v>
      </c>
      <c r="D896" s="571" t="s">
        <v>1464</v>
      </c>
      <c r="E896" s="561" t="s">
        <v>2939</v>
      </c>
      <c r="F896" s="572"/>
      <c r="G896" s="571"/>
      <c r="H896" s="571">
        <v>2</v>
      </c>
    </row>
    <row r="897" spans="1:8" x14ac:dyDescent="0.2">
      <c r="A897" s="560" t="s">
        <v>2940</v>
      </c>
      <c r="B897" s="571" t="s">
        <v>1443</v>
      </c>
      <c r="C897" s="571">
        <v>7</v>
      </c>
      <c r="D897" s="571" t="s">
        <v>1481</v>
      </c>
      <c r="E897" s="561" t="s">
        <v>2941</v>
      </c>
      <c r="F897" s="572"/>
      <c r="G897" s="571"/>
      <c r="H897" s="571"/>
    </row>
    <row r="898" spans="1:8" x14ac:dyDescent="0.2">
      <c r="A898" s="560" t="s">
        <v>2942</v>
      </c>
      <c r="B898" s="571" t="s">
        <v>1443</v>
      </c>
      <c r="C898" s="571">
        <v>0</v>
      </c>
      <c r="D898" s="571" t="s">
        <v>1481</v>
      </c>
      <c r="E898" s="561" t="s">
        <v>2943</v>
      </c>
      <c r="F898" s="572"/>
      <c r="G898" s="571"/>
      <c r="H898" s="571"/>
    </row>
    <row r="899" spans="1:8" x14ac:dyDescent="0.2">
      <c r="A899" s="560" t="s">
        <v>2944</v>
      </c>
      <c r="B899" s="571"/>
      <c r="C899" s="571">
        <v>0</v>
      </c>
      <c r="D899" s="571" t="s">
        <v>1481</v>
      </c>
      <c r="E899" s="561" t="s">
        <v>2945</v>
      </c>
      <c r="F899" s="572"/>
      <c r="G899" s="571"/>
      <c r="H899" s="571"/>
    </row>
    <row r="900" spans="1:8" x14ac:dyDescent="0.2">
      <c r="A900" s="560" t="s">
        <v>2946</v>
      </c>
      <c r="B900" s="571"/>
      <c r="C900" s="571">
        <v>0</v>
      </c>
      <c r="D900" s="571" t="s">
        <v>1481</v>
      </c>
      <c r="E900" s="561" t="s">
        <v>2947</v>
      </c>
      <c r="F900" s="572"/>
      <c r="G900" s="571"/>
      <c r="H900" s="571"/>
    </row>
    <row r="901" spans="1:8" x14ac:dyDescent="0.2">
      <c r="A901" s="560" t="s">
        <v>2948</v>
      </c>
      <c r="B901" s="571" t="s">
        <v>1443</v>
      </c>
      <c r="C901" s="571">
        <v>1</v>
      </c>
      <c r="D901" s="571" t="s">
        <v>1481</v>
      </c>
      <c r="E901" s="561" t="s">
        <v>2949</v>
      </c>
      <c r="F901" s="572"/>
      <c r="G901" s="571"/>
      <c r="H901" s="571">
        <v>1</v>
      </c>
    </row>
    <row r="902" spans="1:8" x14ac:dyDescent="0.2">
      <c r="A902" s="560" t="s">
        <v>2950</v>
      </c>
      <c r="B902" s="571" t="s">
        <v>1443</v>
      </c>
      <c r="C902" s="571">
        <v>6</v>
      </c>
      <c r="D902" s="571" t="s">
        <v>1449</v>
      </c>
      <c r="E902" s="561" t="s">
        <v>2951</v>
      </c>
      <c r="F902" s="572"/>
      <c r="G902" s="571"/>
      <c r="H902" s="571"/>
    </row>
    <row r="903" spans="1:8" x14ac:dyDescent="0.2">
      <c r="A903" s="560" t="s">
        <v>1343</v>
      </c>
      <c r="B903" s="571" t="s">
        <v>1443</v>
      </c>
      <c r="C903" s="571">
        <v>1</v>
      </c>
      <c r="D903" s="571" t="s">
        <v>1452</v>
      </c>
      <c r="E903" s="561" t="s">
        <v>1344</v>
      </c>
      <c r="F903" s="572" t="s">
        <v>1456</v>
      </c>
      <c r="G903" s="571"/>
      <c r="H903" s="571"/>
    </row>
    <row r="904" spans="1:8" x14ac:dyDescent="0.2">
      <c r="A904" s="560" t="s">
        <v>1345</v>
      </c>
      <c r="B904" s="571"/>
      <c r="C904" s="571">
        <v>0</v>
      </c>
      <c r="D904" s="571" t="s">
        <v>1449</v>
      </c>
      <c r="E904" s="561" t="s">
        <v>1346</v>
      </c>
      <c r="F904" s="572" t="s">
        <v>1456</v>
      </c>
      <c r="G904" s="571"/>
      <c r="H904" s="571"/>
    </row>
    <row r="905" spans="1:8" x14ac:dyDescent="0.2">
      <c r="A905" s="560" t="s">
        <v>1347</v>
      </c>
      <c r="B905" s="571"/>
      <c r="C905" s="571">
        <v>0</v>
      </c>
      <c r="D905" s="571" t="s">
        <v>1444</v>
      </c>
      <c r="E905" s="561" t="s">
        <v>1348</v>
      </c>
      <c r="F905" s="572" t="s">
        <v>1456</v>
      </c>
      <c r="G905" s="571"/>
      <c r="H905" s="571"/>
    </row>
    <row r="906" spans="1:8" x14ac:dyDescent="0.2">
      <c r="A906" s="560" t="s">
        <v>2952</v>
      </c>
      <c r="B906" s="571" t="s">
        <v>1443</v>
      </c>
      <c r="C906" s="571">
        <v>0</v>
      </c>
      <c r="D906" s="571" t="s">
        <v>1444</v>
      </c>
      <c r="E906" s="561" t="s">
        <v>2953</v>
      </c>
      <c r="F906" s="572"/>
      <c r="G906" s="571"/>
      <c r="H906" s="571"/>
    </row>
    <row r="907" spans="1:8" x14ac:dyDescent="0.2">
      <c r="A907" s="560" t="s">
        <v>2954</v>
      </c>
      <c r="B907" s="571" t="s">
        <v>1443</v>
      </c>
      <c r="C907" s="571">
        <v>1</v>
      </c>
      <c r="D907" s="571" t="s">
        <v>1452</v>
      </c>
      <c r="E907" s="561" t="s">
        <v>2955</v>
      </c>
      <c r="F907" s="572"/>
      <c r="G907" s="571"/>
      <c r="H907" s="571"/>
    </row>
    <row r="908" spans="1:8" x14ac:dyDescent="0.2">
      <c r="A908" s="560" t="s">
        <v>2956</v>
      </c>
      <c r="B908" s="571"/>
      <c r="C908" s="571">
        <v>0</v>
      </c>
      <c r="D908" s="571" t="s">
        <v>1464</v>
      </c>
      <c r="E908" s="561" t="s">
        <v>2957</v>
      </c>
      <c r="F908" s="572"/>
      <c r="G908" s="571"/>
      <c r="H908" s="571"/>
    </row>
    <row r="909" spans="1:8" x14ac:dyDescent="0.2">
      <c r="A909" s="560" t="s">
        <v>2958</v>
      </c>
      <c r="B909" s="571"/>
      <c r="C909" s="571">
        <v>0</v>
      </c>
      <c r="D909" s="571" t="s">
        <v>1481</v>
      </c>
      <c r="E909" s="561" t="s">
        <v>2959</v>
      </c>
      <c r="F909" s="572"/>
      <c r="G909" s="571"/>
      <c r="H909" s="571">
        <v>1</v>
      </c>
    </row>
    <row r="910" spans="1:8" x14ac:dyDescent="0.2">
      <c r="A910" s="560" t="s">
        <v>2960</v>
      </c>
      <c r="B910" s="571"/>
      <c r="C910" s="571">
        <v>0</v>
      </c>
      <c r="D910" s="571" t="s">
        <v>1449</v>
      </c>
      <c r="E910" s="561" t="s">
        <v>2961</v>
      </c>
      <c r="F910" s="572"/>
      <c r="G910" s="571"/>
      <c r="H910" s="571">
        <v>1</v>
      </c>
    </row>
    <row r="911" spans="1:8" x14ac:dyDescent="0.2">
      <c r="A911" s="560" t="s">
        <v>1349</v>
      </c>
      <c r="B911" s="571" t="s">
        <v>1443</v>
      </c>
      <c r="C911" s="571">
        <v>0</v>
      </c>
      <c r="D911" s="571" t="s">
        <v>1481</v>
      </c>
      <c r="E911" s="561" t="s">
        <v>1350</v>
      </c>
      <c r="F911" s="572" t="s">
        <v>1456</v>
      </c>
      <c r="G911" s="571"/>
      <c r="H911" s="571"/>
    </row>
    <row r="912" spans="1:8" x14ac:dyDescent="0.2">
      <c r="A912" s="560" t="s">
        <v>2962</v>
      </c>
      <c r="B912" s="571"/>
      <c r="C912" s="571">
        <v>0</v>
      </c>
      <c r="D912" s="571" t="s">
        <v>1464</v>
      </c>
      <c r="E912" s="561" t="s">
        <v>2963</v>
      </c>
      <c r="F912" s="572"/>
      <c r="G912" s="571"/>
      <c r="H912" s="571"/>
    </row>
    <row r="913" spans="1:8" x14ac:dyDescent="0.2">
      <c r="A913" s="560" t="s">
        <v>2964</v>
      </c>
      <c r="B913" s="571"/>
      <c r="C913" s="571">
        <v>0</v>
      </c>
      <c r="D913" s="571" t="s">
        <v>1464</v>
      </c>
      <c r="E913" s="561" t="s">
        <v>2965</v>
      </c>
      <c r="F913" s="572"/>
      <c r="G913" s="571"/>
      <c r="H913" s="571"/>
    </row>
    <row r="914" spans="1:8" x14ac:dyDescent="0.2">
      <c r="A914" s="560" t="s">
        <v>2966</v>
      </c>
      <c r="B914" s="571" t="s">
        <v>1443</v>
      </c>
      <c r="C914" s="571">
        <v>10</v>
      </c>
      <c r="D914" s="571" t="s">
        <v>1464</v>
      </c>
      <c r="E914" s="561" t="s">
        <v>2967</v>
      </c>
      <c r="F914" s="572"/>
      <c r="G914" s="571"/>
      <c r="H914" s="571"/>
    </row>
    <row r="915" spans="1:8" x14ac:dyDescent="0.2">
      <c r="A915" s="560" t="s">
        <v>2968</v>
      </c>
      <c r="B915" s="571" t="s">
        <v>1443</v>
      </c>
      <c r="C915" s="571">
        <v>0</v>
      </c>
      <c r="D915" s="571" t="s">
        <v>1481</v>
      </c>
      <c r="E915" s="561" t="s">
        <v>2969</v>
      </c>
      <c r="F915" s="572"/>
      <c r="G915" s="571"/>
      <c r="H915" s="571"/>
    </row>
    <row r="916" spans="1:8" x14ac:dyDescent="0.2">
      <c r="A916" s="560" t="s">
        <v>2970</v>
      </c>
      <c r="B916" s="571" t="s">
        <v>1443</v>
      </c>
      <c r="C916" s="571">
        <v>0</v>
      </c>
      <c r="D916" s="571" t="s">
        <v>1464</v>
      </c>
      <c r="E916" s="561" t="s">
        <v>2971</v>
      </c>
      <c r="F916" s="572"/>
      <c r="G916" s="571"/>
      <c r="H916" s="571"/>
    </row>
    <row r="917" spans="1:8" x14ac:dyDescent="0.2">
      <c r="A917" s="560" t="s">
        <v>2972</v>
      </c>
      <c r="B917" s="571" t="s">
        <v>1443</v>
      </c>
      <c r="C917" s="571">
        <v>0</v>
      </c>
      <c r="D917" s="571" t="s">
        <v>1481</v>
      </c>
      <c r="E917" s="561" t="s">
        <v>2973</v>
      </c>
      <c r="F917" s="572"/>
      <c r="G917" s="571"/>
      <c r="H917" s="571"/>
    </row>
    <row r="918" spans="1:8" x14ac:dyDescent="0.2">
      <c r="A918" s="560" t="s">
        <v>2974</v>
      </c>
      <c r="B918" s="571"/>
      <c r="C918" s="571">
        <v>0</v>
      </c>
      <c r="D918" s="571" t="s">
        <v>1464</v>
      </c>
      <c r="E918" s="561" t="s">
        <v>2975</v>
      </c>
      <c r="F918" s="572"/>
      <c r="G918" s="571"/>
      <c r="H918" s="571"/>
    </row>
    <row r="919" spans="1:8" x14ac:dyDescent="0.2">
      <c r="A919" s="560" t="s">
        <v>2976</v>
      </c>
      <c r="B919" s="571"/>
      <c r="C919" s="571">
        <v>0</v>
      </c>
      <c r="D919" s="571" t="s">
        <v>1481</v>
      </c>
      <c r="E919" s="561" t="s">
        <v>2977</v>
      </c>
      <c r="F919" s="572"/>
      <c r="G919" s="571"/>
      <c r="H919" s="571">
        <v>1</v>
      </c>
    </row>
    <row r="920" spans="1:8" x14ac:dyDescent="0.2">
      <c r="A920" s="560" t="s">
        <v>2978</v>
      </c>
      <c r="B920" s="571"/>
      <c r="C920" s="571">
        <v>0</v>
      </c>
      <c r="D920" s="571" t="s">
        <v>1464</v>
      </c>
      <c r="E920" s="561" t="s">
        <v>2979</v>
      </c>
      <c r="F920" s="572"/>
      <c r="G920" s="571"/>
      <c r="H920" s="571">
        <v>1</v>
      </c>
    </row>
    <row r="921" spans="1:8" x14ac:dyDescent="0.2">
      <c r="A921" s="560" t="s">
        <v>2980</v>
      </c>
      <c r="B921" s="571" t="s">
        <v>1443</v>
      </c>
      <c r="C921" s="571">
        <v>10</v>
      </c>
      <c r="D921" s="571" t="s">
        <v>1452</v>
      </c>
      <c r="E921" s="561" t="s">
        <v>2981</v>
      </c>
      <c r="F921" s="572"/>
      <c r="G921" s="571"/>
      <c r="H921" s="571"/>
    </row>
    <row r="922" spans="1:8" x14ac:dyDescent="0.2">
      <c r="A922" s="560" t="s">
        <v>2982</v>
      </c>
      <c r="B922" s="571" t="s">
        <v>1443</v>
      </c>
      <c r="C922" s="571">
        <v>1</v>
      </c>
      <c r="D922" s="571" t="s">
        <v>1452</v>
      </c>
      <c r="E922" s="561" t="s">
        <v>2983</v>
      </c>
      <c r="F922" s="572"/>
      <c r="G922" s="571"/>
      <c r="H922" s="571"/>
    </row>
    <row r="923" spans="1:8" x14ac:dyDescent="0.2">
      <c r="A923" s="560" t="s">
        <v>2984</v>
      </c>
      <c r="B923" s="571" t="s">
        <v>1443</v>
      </c>
      <c r="C923" s="571">
        <v>1</v>
      </c>
      <c r="D923" s="571" t="s">
        <v>1449</v>
      </c>
      <c r="E923" s="561" t="s">
        <v>2985</v>
      </c>
      <c r="F923" s="572"/>
      <c r="G923" s="571"/>
      <c r="H923" s="571"/>
    </row>
    <row r="924" spans="1:8" x14ac:dyDescent="0.2">
      <c r="A924" s="560" t="s">
        <v>2986</v>
      </c>
      <c r="B924" s="571" t="s">
        <v>1443</v>
      </c>
      <c r="C924" s="571">
        <v>7</v>
      </c>
      <c r="D924" s="571" t="s">
        <v>1449</v>
      </c>
      <c r="E924" s="561" t="s">
        <v>2987</v>
      </c>
      <c r="F924" s="572"/>
      <c r="G924" s="571"/>
      <c r="H924" s="571"/>
    </row>
    <row r="925" spans="1:8" x14ac:dyDescent="0.2">
      <c r="A925" s="560" t="s">
        <v>2988</v>
      </c>
      <c r="B925" s="571" t="s">
        <v>1443</v>
      </c>
      <c r="C925" s="571">
        <v>1</v>
      </c>
      <c r="D925" s="571" t="s">
        <v>1449</v>
      </c>
      <c r="E925" s="561" t="s">
        <v>2989</v>
      </c>
      <c r="F925" s="572"/>
      <c r="G925" s="571"/>
      <c r="H925" s="571"/>
    </row>
    <row r="926" spans="1:8" x14ac:dyDescent="0.2">
      <c r="A926" s="560" t="s">
        <v>1351</v>
      </c>
      <c r="B926" s="571" t="s">
        <v>1443</v>
      </c>
      <c r="C926" s="571">
        <v>1</v>
      </c>
      <c r="D926" s="571" t="s">
        <v>1481</v>
      </c>
      <c r="E926" s="561" t="s">
        <v>1352</v>
      </c>
      <c r="F926" s="572" t="s">
        <v>1456</v>
      </c>
      <c r="G926" s="571"/>
      <c r="H926" s="571"/>
    </row>
    <row r="927" spans="1:8" x14ac:dyDescent="0.2">
      <c r="A927" s="560" t="s">
        <v>2990</v>
      </c>
      <c r="B927" s="571" t="s">
        <v>1443</v>
      </c>
      <c r="C927" s="571">
        <v>1</v>
      </c>
      <c r="D927" s="571" t="s">
        <v>1464</v>
      </c>
      <c r="E927" s="561" t="s">
        <v>2991</v>
      </c>
      <c r="F927" s="572"/>
      <c r="G927" s="571"/>
      <c r="H927" s="571"/>
    </row>
    <row r="928" spans="1:8" x14ac:dyDescent="0.2">
      <c r="A928" s="560" t="s">
        <v>2992</v>
      </c>
      <c r="B928" s="571" t="s">
        <v>1443</v>
      </c>
      <c r="C928" s="571">
        <v>7</v>
      </c>
      <c r="D928" s="571" t="s">
        <v>1464</v>
      </c>
      <c r="E928" s="561" t="s">
        <v>2993</v>
      </c>
      <c r="F928" s="572"/>
      <c r="G928" s="571"/>
      <c r="H928" s="571"/>
    </row>
    <row r="929" spans="1:8" x14ac:dyDescent="0.2">
      <c r="A929" s="560" t="s">
        <v>2994</v>
      </c>
      <c r="B929" s="571" t="s">
        <v>1443</v>
      </c>
      <c r="C929" s="571">
        <v>5</v>
      </c>
      <c r="D929" s="571" t="s">
        <v>1481</v>
      </c>
      <c r="E929" s="561" t="s">
        <v>2995</v>
      </c>
      <c r="F929" s="572"/>
      <c r="G929" s="571"/>
      <c r="H929" s="571"/>
    </row>
    <row r="930" spans="1:8" x14ac:dyDescent="0.2">
      <c r="A930" s="560" t="s">
        <v>2996</v>
      </c>
      <c r="B930" s="571" t="s">
        <v>1443</v>
      </c>
      <c r="C930" s="571">
        <v>1</v>
      </c>
      <c r="D930" s="571" t="s">
        <v>1481</v>
      </c>
      <c r="E930" s="561" t="s">
        <v>2997</v>
      </c>
      <c r="F930" s="572"/>
      <c r="G930" s="571"/>
      <c r="H930" s="571"/>
    </row>
    <row r="931" spans="1:8" x14ac:dyDescent="0.2">
      <c r="A931" s="560" t="s">
        <v>2998</v>
      </c>
      <c r="B931" s="571" t="s">
        <v>1443</v>
      </c>
      <c r="C931" s="571">
        <v>0</v>
      </c>
      <c r="D931" s="571" t="s">
        <v>1481</v>
      </c>
      <c r="E931" s="561" t="s">
        <v>2999</v>
      </c>
      <c r="F931" s="572"/>
      <c r="G931" s="571"/>
      <c r="H931" s="571">
        <v>2</v>
      </c>
    </row>
    <row r="932" spans="1:8" x14ac:dyDescent="0.2">
      <c r="A932" s="560" t="s">
        <v>3000</v>
      </c>
      <c r="B932" s="571"/>
      <c r="C932" s="571">
        <v>0</v>
      </c>
      <c r="D932" s="571" t="s">
        <v>1481</v>
      </c>
      <c r="E932" s="561" t="s">
        <v>3001</v>
      </c>
      <c r="F932" s="572"/>
      <c r="G932" s="571"/>
      <c r="H932" s="571">
        <v>2</v>
      </c>
    </row>
    <row r="933" spans="1:8" x14ac:dyDescent="0.2">
      <c r="A933" s="560" t="s">
        <v>3002</v>
      </c>
      <c r="B933" s="571" t="s">
        <v>1443</v>
      </c>
      <c r="C933" s="571">
        <v>0</v>
      </c>
      <c r="D933" s="571" t="s">
        <v>1481</v>
      </c>
      <c r="E933" s="561" t="s">
        <v>3003</v>
      </c>
      <c r="F933" s="572"/>
      <c r="G933" s="571"/>
      <c r="H933" s="571"/>
    </row>
    <row r="934" spans="1:8" x14ac:dyDescent="0.2">
      <c r="A934" s="560" t="s">
        <v>3004</v>
      </c>
      <c r="B934" s="571" t="s">
        <v>1443</v>
      </c>
      <c r="C934" s="571">
        <v>0</v>
      </c>
      <c r="D934" s="571" t="s">
        <v>1464</v>
      </c>
      <c r="E934" s="561" t="s">
        <v>3005</v>
      </c>
      <c r="F934" s="572"/>
      <c r="G934" s="571"/>
      <c r="H934" s="571"/>
    </row>
    <row r="935" spans="1:8" x14ac:dyDescent="0.2">
      <c r="A935" s="560" t="s">
        <v>3006</v>
      </c>
      <c r="B935" s="571"/>
      <c r="C935" s="571">
        <v>0</v>
      </c>
      <c r="D935" s="571" t="s">
        <v>1481</v>
      </c>
      <c r="E935" s="561" t="s">
        <v>3007</v>
      </c>
      <c r="F935" s="572"/>
      <c r="G935" s="571"/>
      <c r="H935" s="571">
        <v>1</v>
      </c>
    </row>
    <row r="936" spans="1:8" x14ac:dyDescent="0.2">
      <c r="A936" s="560" t="s">
        <v>3008</v>
      </c>
      <c r="B936" s="571" t="s">
        <v>1443</v>
      </c>
      <c r="C936" s="571">
        <v>0</v>
      </c>
      <c r="D936" s="571" t="s">
        <v>1464</v>
      </c>
      <c r="E936" s="561" t="s">
        <v>3009</v>
      </c>
      <c r="F936" s="572"/>
      <c r="G936" s="571"/>
      <c r="H936" s="571"/>
    </row>
    <row r="937" spans="1:8" x14ac:dyDescent="0.2">
      <c r="A937" s="560" t="s">
        <v>3010</v>
      </c>
      <c r="B937" s="571" t="s">
        <v>1443</v>
      </c>
      <c r="C937" s="571">
        <v>1</v>
      </c>
      <c r="D937" s="571" t="s">
        <v>1481</v>
      </c>
      <c r="E937" s="561" t="s">
        <v>3011</v>
      </c>
      <c r="F937" s="572"/>
      <c r="G937" s="571"/>
      <c r="H937" s="571"/>
    </row>
    <row r="938" spans="1:8" x14ac:dyDescent="0.2">
      <c r="A938" s="560" t="s">
        <v>3012</v>
      </c>
      <c r="B938" s="571" t="s">
        <v>1443</v>
      </c>
      <c r="C938" s="571">
        <v>1</v>
      </c>
      <c r="D938" s="571" t="s">
        <v>1481</v>
      </c>
      <c r="E938" s="561" t="s">
        <v>3013</v>
      </c>
      <c r="F938" s="572"/>
      <c r="G938" s="571"/>
      <c r="H938" s="571"/>
    </row>
    <row r="939" spans="1:8" x14ac:dyDescent="0.2">
      <c r="A939" s="560" t="s">
        <v>3014</v>
      </c>
      <c r="B939" s="571" t="s">
        <v>1443</v>
      </c>
      <c r="C939" s="571">
        <v>12</v>
      </c>
      <c r="D939" s="571" t="s">
        <v>1481</v>
      </c>
      <c r="E939" s="561" t="s">
        <v>3015</v>
      </c>
      <c r="F939" s="572"/>
      <c r="G939" s="571"/>
      <c r="H939" s="571"/>
    </row>
    <row r="940" spans="1:8" x14ac:dyDescent="0.2">
      <c r="A940" s="560" t="s">
        <v>3016</v>
      </c>
      <c r="B940" s="571" t="s">
        <v>1443</v>
      </c>
      <c r="C940" s="571">
        <v>2</v>
      </c>
      <c r="D940" s="571" t="s">
        <v>1481</v>
      </c>
      <c r="E940" s="561" t="s">
        <v>3017</v>
      </c>
      <c r="F940" s="572"/>
      <c r="G940" s="571"/>
      <c r="H940" s="571"/>
    </row>
    <row r="941" spans="1:8" x14ac:dyDescent="0.2">
      <c r="A941" s="562" t="s">
        <v>3018</v>
      </c>
      <c r="B941" s="571" t="s">
        <v>1443</v>
      </c>
      <c r="C941" s="571">
        <v>0</v>
      </c>
      <c r="D941" s="571"/>
      <c r="E941" s="561"/>
      <c r="F941" s="572"/>
      <c r="G941" s="571"/>
      <c r="H941" s="571">
        <v>1</v>
      </c>
    </row>
    <row r="942" spans="1:8" x14ac:dyDescent="0.2">
      <c r="A942" s="560" t="s">
        <v>3019</v>
      </c>
      <c r="B942" s="571" t="s">
        <v>1443</v>
      </c>
      <c r="C942" s="571">
        <v>1</v>
      </c>
      <c r="D942" s="571" t="s">
        <v>1464</v>
      </c>
      <c r="E942" s="561" t="s">
        <v>3020</v>
      </c>
      <c r="F942" s="572"/>
      <c r="G942" s="571"/>
      <c r="H942" s="571"/>
    </row>
    <row r="943" spans="1:8" x14ac:dyDescent="0.2">
      <c r="A943" s="560" t="s">
        <v>3021</v>
      </c>
      <c r="B943" s="571" t="s">
        <v>1443</v>
      </c>
      <c r="C943" s="571">
        <v>0</v>
      </c>
      <c r="D943" s="571" t="s">
        <v>1449</v>
      </c>
      <c r="E943" s="561" t="s">
        <v>3022</v>
      </c>
      <c r="F943" s="572"/>
      <c r="G943" s="571"/>
      <c r="H943" s="571"/>
    </row>
    <row r="944" spans="1:8" x14ac:dyDescent="0.2">
      <c r="A944" s="560" t="s">
        <v>3023</v>
      </c>
      <c r="B944" s="571" t="s">
        <v>1443</v>
      </c>
      <c r="C944" s="571">
        <v>0</v>
      </c>
      <c r="D944" s="571" t="s">
        <v>1481</v>
      </c>
      <c r="E944" s="561" t="s">
        <v>3024</v>
      </c>
      <c r="F944" s="572"/>
      <c r="G944" s="571"/>
      <c r="H944" s="571"/>
    </row>
    <row r="945" spans="1:8" x14ac:dyDescent="0.2">
      <c r="A945" s="560" t="s">
        <v>3025</v>
      </c>
      <c r="B945" s="571" t="s">
        <v>1443</v>
      </c>
      <c r="C945" s="571">
        <v>0</v>
      </c>
      <c r="D945" s="571" t="s">
        <v>1481</v>
      </c>
      <c r="E945" s="561" t="s">
        <v>3026</v>
      </c>
      <c r="F945" s="572"/>
      <c r="G945" s="571"/>
      <c r="H945" s="571"/>
    </row>
    <row r="946" spans="1:8" x14ac:dyDescent="0.2">
      <c r="A946" s="560" t="s">
        <v>1353</v>
      </c>
      <c r="B946" s="571" t="s">
        <v>1443</v>
      </c>
      <c r="C946" s="571">
        <v>12</v>
      </c>
      <c r="D946" s="571" t="s">
        <v>1449</v>
      </c>
      <c r="E946" s="561" t="s">
        <v>1354</v>
      </c>
      <c r="F946" s="572" t="s">
        <v>1456</v>
      </c>
      <c r="G946" s="571" t="s">
        <v>1456</v>
      </c>
      <c r="H946" s="571"/>
    </row>
    <row r="947" spans="1:8" x14ac:dyDescent="0.2">
      <c r="A947" s="560" t="s">
        <v>3027</v>
      </c>
      <c r="B947" s="571"/>
      <c r="C947" s="571">
        <v>0</v>
      </c>
      <c r="D947" s="571" t="s">
        <v>1481</v>
      </c>
      <c r="E947" s="561" t="s">
        <v>3028</v>
      </c>
      <c r="F947" s="572"/>
      <c r="G947" s="571"/>
      <c r="H947" s="571">
        <v>1</v>
      </c>
    </row>
    <row r="948" spans="1:8" x14ac:dyDescent="0.2">
      <c r="A948" s="560" t="s">
        <v>3029</v>
      </c>
      <c r="B948" s="571"/>
      <c r="C948" s="571">
        <v>0</v>
      </c>
      <c r="D948" s="571" t="s">
        <v>1464</v>
      </c>
      <c r="E948" s="561" t="s">
        <v>3030</v>
      </c>
      <c r="F948" s="572"/>
      <c r="G948" s="571"/>
      <c r="H948" s="571"/>
    </row>
    <row r="949" spans="1:8" x14ac:dyDescent="0.2">
      <c r="A949" s="560" t="s">
        <v>3031</v>
      </c>
      <c r="B949" s="571"/>
      <c r="C949" s="571">
        <v>0</v>
      </c>
      <c r="D949" s="571" t="s">
        <v>1481</v>
      </c>
      <c r="E949" s="561" t="s">
        <v>3032</v>
      </c>
      <c r="F949" s="572"/>
      <c r="G949" s="571"/>
      <c r="H949" s="571"/>
    </row>
    <row r="950" spans="1:8" x14ac:dyDescent="0.2">
      <c r="A950" s="560" t="s">
        <v>3033</v>
      </c>
      <c r="B950" s="571" t="s">
        <v>1443</v>
      </c>
      <c r="C950" s="571">
        <v>2</v>
      </c>
      <c r="D950" s="571" t="s">
        <v>1464</v>
      </c>
      <c r="E950" s="561" t="s">
        <v>3034</v>
      </c>
      <c r="F950" s="572"/>
      <c r="G950" s="571"/>
      <c r="H950" s="571"/>
    </row>
    <row r="951" spans="1:8" x14ac:dyDescent="0.2">
      <c r="A951" s="560" t="s">
        <v>3035</v>
      </c>
      <c r="B951" s="571" t="s">
        <v>1443</v>
      </c>
      <c r="C951" s="571">
        <v>0</v>
      </c>
      <c r="D951" s="571" t="s">
        <v>1449</v>
      </c>
      <c r="E951" s="561" t="s">
        <v>3036</v>
      </c>
      <c r="F951" s="572"/>
      <c r="G951" s="571"/>
      <c r="H951" s="571"/>
    </row>
    <row r="952" spans="1:8" x14ac:dyDescent="0.2">
      <c r="A952" s="560" t="s">
        <v>1355</v>
      </c>
      <c r="B952" s="571" t="s">
        <v>1443</v>
      </c>
      <c r="C952" s="571">
        <v>0</v>
      </c>
      <c r="D952" s="571"/>
      <c r="E952" s="561" t="s">
        <v>1356</v>
      </c>
      <c r="F952" s="572" t="s">
        <v>1456</v>
      </c>
      <c r="G952" s="571"/>
      <c r="H952" s="571"/>
    </row>
    <row r="953" spans="1:8" x14ac:dyDescent="0.2">
      <c r="A953" s="560" t="s">
        <v>3037</v>
      </c>
      <c r="B953" s="571" t="s">
        <v>1443</v>
      </c>
      <c r="C953" s="571">
        <v>6</v>
      </c>
      <c r="D953" s="571" t="s">
        <v>1452</v>
      </c>
      <c r="E953" s="561" t="s">
        <v>3038</v>
      </c>
      <c r="F953" s="572"/>
      <c r="G953" s="571"/>
      <c r="H953" s="571"/>
    </row>
    <row r="954" spans="1:8" x14ac:dyDescent="0.2">
      <c r="A954" s="560" t="s">
        <v>3039</v>
      </c>
      <c r="B954" s="571" t="s">
        <v>1443</v>
      </c>
      <c r="C954" s="571">
        <v>9</v>
      </c>
      <c r="D954" s="571" t="s">
        <v>1449</v>
      </c>
      <c r="E954" s="561" t="s">
        <v>3040</v>
      </c>
      <c r="F954" s="572"/>
      <c r="G954" s="571"/>
      <c r="H954" s="571"/>
    </row>
    <row r="955" spans="1:8" x14ac:dyDescent="0.2">
      <c r="A955" s="562" t="s">
        <v>3041</v>
      </c>
      <c r="B955" s="571" t="s">
        <v>1443</v>
      </c>
      <c r="C955" s="571">
        <v>0</v>
      </c>
      <c r="D955" s="571"/>
      <c r="E955" s="561"/>
      <c r="F955" s="572"/>
      <c r="G955" s="571"/>
      <c r="H955" s="571"/>
    </row>
    <row r="956" spans="1:8" x14ac:dyDescent="0.2">
      <c r="A956" s="560" t="s">
        <v>3042</v>
      </c>
      <c r="B956" s="571"/>
      <c r="C956" s="571">
        <v>0</v>
      </c>
      <c r="D956" s="571" t="s">
        <v>1449</v>
      </c>
      <c r="E956" s="561" t="s">
        <v>3043</v>
      </c>
      <c r="F956" s="572"/>
      <c r="G956" s="571"/>
      <c r="H956" s="571"/>
    </row>
    <row r="957" spans="1:8" x14ac:dyDescent="0.2">
      <c r="A957" s="560" t="s">
        <v>3044</v>
      </c>
      <c r="B957" s="571" t="s">
        <v>1443</v>
      </c>
      <c r="C957" s="571">
        <v>8</v>
      </c>
      <c r="D957" s="571" t="s">
        <v>1464</v>
      </c>
      <c r="E957" s="561" t="s">
        <v>3045</v>
      </c>
      <c r="F957" s="572"/>
      <c r="G957" s="571"/>
      <c r="H957" s="571"/>
    </row>
    <row r="958" spans="1:8" x14ac:dyDescent="0.2">
      <c r="A958" s="560" t="s">
        <v>3046</v>
      </c>
      <c r="B958" s="571" t="s">
        <v>1443</v>
      </c>
      <c r="C958" s="571">
        <v>17</v>
      </c>
      <c r="D958" s="571" t="s">
        <v>1449</v>
      </c>
      <c r="E958" s="561" t="s">
        <v>3047</v>
      </c>
      <c r="F958" s="572"/>
      <c r="G958" s="571"/>
      <c r="H958" s="571"/>
    </row>
    <row r="959" spans="1:8" x14ac:dyDescent="0.2">
      <c r="A959" s="560" t="s">
        <v>3048</v>
      </c>
      <c r="B959" s="571" t="s">
        <v>1443</v>
      </c>
      <c r="C959" s="571">
        <v>0</v>
      </c>
      <c r="D959" s="571" t="s">
        <v>1452</v>
      </c>
      <c r="E959" s="561" t="s">
        <v>3049</v>
      </c>
      <c r="F959" s="572"/>
      <c r="G959" s="571"/>
      <c r="H959" s="571"/>
    </row>
    <row r="960" spans="1:8" x14ac:dyDescent="0.2">
      <c r="A960" s="560" t="s">
        <v>3050</v>
      </c>
      <c r="B960" s="571" t="s">
        <v>1443</v>
      </c>
      <c r="C960" s="571">
        <v>1</v>
      </c>
      <c r="D960" s="571" t="s">
        <v>1449</v>
      </c>
      <c r="E960" s="561" t="s">
        <v>3051</v>
      </c>
      <c r="F960" s="572"/>
      <c r="G960" s="571"/>
      <c r="H960" s="571"/>
    </row>
    <row r="961" spans="1:8" x14ac:dyDescent="0.2">
      <c r="A961" s="560" t="s">
        <v>3052</v>
      </c>
      <c r="B961" s="571" t="s">
        <v>1443</v>
      </c>
      <c r="C961" s="571">
        <v>7</v>
      </c>
      <c r="D961" s="571" t="s">
        <v>1449</v>
      </c>
      <c r="E961" s="561" t="s">
        <v>3053</v>
      </c>
      <c r="F961" s="572"/>
      <c r="G961" s="571"/>
      <c r="H961" s="571"/>
    </row>
    <row r="962" spans="1:8" x14ac:dyDescent="0.2">
      <c r="A962" s="560" t="s">
        <v>3054</v>
      </c>
      <c r="B962" s="571" t="s">
        <v>1443</v>
      </c>
      <c r="C962" s="571">
        <v>15</v>
      </c>
      <c r="D962" s="571"/>
      <c r="E962" s="561" t="s">
        <v>3055</v>
      </c>
      <c r="F962" s="572"/>
      <c r="G962" s="571"/>
      <c r="H962" s="571"/>
    </row>
    <row r="963" spans="1:8" x14ac:dyDescent="0.2">
      <c r="A963" s="560" t="s">
        <v>3056</v>
      </c>
      <c r="B963" s="571" t="s">
        <v>1443</v>
      </c>
      <c r="C963" s="571">
        <v>0</v>
      </c>
      <c r="D963" s="571" t="s">
        <v>1444</v>
      </c>
      <c r="E963" s="561" t="s">
        <v>3057</v>
      </c>
      <c r="F963" s="572"/>
      <c r="G963" s="571"/>
      <c r="H963" s="571"/>
    </row>
    <row r="964" spans="1:8" x14ac:dyDescent="0.2">
      <c r="A964" s="560" t="s">
        <v>3058</v>
      </c>
      <c r="B964" s="571" t="s">
        <v>1443</v>
      </c>
      <c r="C964" s="571">
        <v>0</v>
      </c>
      <c r="D964" s="571" t="s">
        <v>1449</v>
      </c>
      <c r="E964" s="561" t="s">
        <v>3059</v>
      </c>
      <c r="F964" s="572"/>
      <c r="G964" s="571"/>
      <c r="H964" s="571"/>
    </row>
    <row r="965" spans="1:8" x14ac:dyDescent="0.2">
      <c r="A965" s="560" t="s">
        <v>3060</v>
      </c>
      <c r="B965" s="571" t="s">
        <v>1443</v>
      </c>
      <c r="C965" s="571">
        <v>14</v>
      </c>
      <c r="D965" s="571" t="s">
        <v>1481</v>
      </c>
      <c r="E965" s="561" t="s">
        <v>3061</v>
      </c>
      <c r="F965" s="572"/>
      <c r="G965" s="571"/>
      <c r="H965" s="571"/>
    </row>
    <row r="966" spans="1:8" x14ac:dyDescent="0.2">
      <c r="A966" s="560" t="s">
        <v>3062</v>
      </c>
      <c r="B966" s="571"/>
      <c r="C966" s="571">
        <v>0</v>
      </c>
      <c r="D966" s="571" t="s">
        <v>1449</v>
      </c>
      <c r="E966" s="561" t="s">
        <v>3063</v>
      </c>
      <c r="F966" s="572"/>
      <c r="G966" s="571"/>
      <c r="H966" s="571"/>
    </row>
    <row r="967" spans="1:8" x14ac:dyDescent="0.2">
      <c r="A967" s="560" t="s">
        <v>3064</v>
      </c>
      <c r="B967" s="571" t="s">
        <v>1443</v>
      </c>
      <c r="C967" s="571">
        <v>0</v>
      </c>
      <c r="D967" s="571" t="s">
        <v>1464</v>
      </c>
      <c r="E967" s="561" t="s">
        <v>3065</v>
      </c>
      <c r="F967" s="572"/>
      <c r="G967" s="571"/>
      <c r="H967" s="571"/>
    </row>
    <row r="968" spans="1:8" x14ac:dyDescent="0.2">
      <c r="A968" s="560" t="s">
        <v>3066</v>
      </c>
      <c r="B968" s="571" t="s">
        <v>1443</v>
      </c>
      <c r="C968" s="571">
        <v>0</v>
      </c>
      <c r="D968" s="571" t="s">
        <v>1481</v>
      </c>
      <c r="E968" s="561" t="s">
        <v>3067</v>
      </c>
      <c r="F968" s="572"/>
      <c r="G968" s="571"/>
      <c r="H968" s="571">
        <v>1</v>
      </c>
    </row>
    <row r="969" spans="1:8" x14ac:dyDescent="0.2">
      <c r="A969" s="560" t="s">
        <v>3068</v>
      </c>
      <c r="B969" s="571" t="s">
        <v>1443</v>
      </c>
      <c r="C969" s="571">
        <v>3</v>
      </c>
      <c r="D969" s="571" t="s">
        <v>1449</v>
      </c>
      <c r="E969" s="561" t="s">
        <v>3069</v>
      </c>
      <c r="F969" s="572"/>
      <c r="G969" s="571"/>
      <c r="H969" s="571"/>
    </row>
    <row r="970" spans="1:8" x14ac:dyDescent="0.2">
      <c r="A970" s="560" t="s">
        <v>1357</v>
      </c>
      <c r="B970" s="571"/>
      <c r="C970" s="571">
        <v>0</v>
      </c>
      <c r="D970" s="571" t="s">
        <v>1449</v>
      </c>
      <c r="E970" s="561" t="s">
        <v>1358</v>
      </c>
      <c r="F970" s="572" t="s">
        <v>1456</v>
      </c>
      <c r="G970" s="571"/>
      <c r="H970" s="571"/>
    </row>
    <row r="971" spans="1:8" x14ac:dyDescent="0.2">
      <c r="A971" s="560" t="s">
        <v>3070</v>
      </c>
      <c r="B971" s="571" t="s">
        <v>1443</v>
      </c>
      <c r="C971" s="571">
        <v>3</v>
      </c>
      <c r="D971" s="571" t="s">
        <v>1452</v>
      </c>
      <c r="E971" s="561" t="s">
        <v>3071</v>
      </c>
      <c r="F971" s="572"/>
      <c r="G971" s="571"/>
      <c r="H971" s="571"/>
    </row>
    <row r="972" spans="1:8" x14ac:dyDescent="0.2">
      <c r="A972" s="560" t="s">
        <v>3072</v>
      </c>
      <c r="B972" s="571"/>
      <c r="C972" s="571">
        <v>0</v>
      </c>
      <c r="D972" s="571" t="s">
        <v>1444</v>
      </c>
      <c r="E972" s="561" t="s">
        <v>3073</v>
      </c>
      <c r="F972" s="572"/>
      <c r="G972" s="571"/>
      <c r="H972" s="571"/>
    </row>
    <row r="973" spans="1:8" x14ac:dyDescent="0.2">
      <c r="A973" s="560" t="s">
        <v>3074</v>
      </c>
      <c r="B973" s="571" t="s">
        <v>1443</v>
      </c>
      <c r="C973" s="571">
        <v>12</v>
      </c>
      <c r="D973" s="571" t="s">
        <v>1452</v>
      </c>
      <c r="E973" s="561" t="s">
        <v>3075</v>
      </c>
      <c r="F973" s="572"/>
      <c r="G973" s="571"/>
      <c r="H973" s="571"/>
    </row>
    <row r="974" spans="1:8" x14ac:dyDescent="0.2">
      <c r="A974" s="560" t="s">
        <v>1359</v>
      </c>
      <c r="B974" s="571" t="s">
        <v>1443</v>
      </c>
      <c r="C974" s="571">
        <v>5</v>
      </c>
      <c r="D974" s="571" t="s">
        <v>1444</v>
      </c>
      <c r="E974" s="561" t="s">
        <v>1360</v>
      </c>
      <c r="F974" s="572" t="s">
        <v>1456</v>
      </c>
      <c r="G974" s="571"/>
      <c r="H974" s="571"/>
    </row>
    <row r="975" spans="1:8" x14ac:dyDescent="0.2">
      <c r="A975" s="560" t="s">
        <v>3076</v>
      </c>
      <c r="B975" s="571" t="s">
        <v>1443</v>
      </c>
      <c r="C975" s="571">
        <v>0</v>
      </c>
      <c r="D975" s="571" t="s">
        <v>1444</v>
      </c>
      <c r="E975" s="561" t="s">
        <v>3077</v>
      </c>
      <c r="F975" s="572"/>
      <c r="G975" s="571"/>
      <c r="H975" s="571">
        <v>2</v>
      </c>
    </row>
    <row r="976" spans="1:8" x14ac:dyDescent="0.2">
      <c r="A976" s="560" t="s">
        <v>3078</v>
      </c>
      <c r="B976" s="571" t="s">
        <v>1443</v>
      </c>
      <c r="C976" s="571">
        <v>2</v>
      </c>
      <c r="D976" s="571" t="s">
        <v>1449</v>
      </c>
      <c r="E976" s="561" t="s">
        <v>3079</v>
      </c>
      <c r="F976" s="572"/>
      <c r="G976" s="571"/>
      <c r="H976" s="571"/>
    </row>
    <row r="977" spans="1:8" x14ac:dyDescent="0.2">
      <c r="A977" s="560" t="s">
        <v>3080</v>
      </c>
      <c r="B977" s="571" t="s">
        <v>1443</v>
      </c>
      <c r="C977" s="571">
        <v>9</v>
      </c>
      <c r="D977" s="571" t="s">
        <v>1481</v>
      </c>
      <c r="E977" s="561" t="s">
        <v>3081</v>
      </c>
      <c r="F977" s="572"/>
      <c r="G977" s="571"/>
      <c r="H977" s="571"/>
    </row>
    <row r="978" spans="1:8" x14ac:dyDescent="0.2">
      <c r="A978" s="560" t="s">
        <v>1361</v>
      </c>
      <c r="B978" s="571" t="s">
        <v>1443</v>
      </c>
      <c r="C978" s="571">
        <v>4</v>
      </c>
      <c r="D978" s="571" t="s">
        <v>1452</v>
      </c>
      <c r="E978" s="561" t="s">
        <v>1362</v>
      </c>
      <c r="F978" s="572" t="s">
        <v>1456</v>
      </c>
      <c r="G978" s="571"/>
      <c r="H978" s="571"/>
    </row>
    <row r="979" spans="1:8" x14ac:dyDescent="0.2">
      <c r="A979" s="560" t="s">
        <v>3082</v>
      </c>
      <c r="B979" s="571" t="s">
        <v>1443</v>
      </c>
      <c r="C979" s="571">
        <v>0</v>
      </c>
      <c r="D979" s="571" t="s">
        <v>1449</v>
      </c>
      <c r="E979" s="561" t="s">
        <v>3083</v>
      </c>
      <c r="F979" s="572"/>
      <c r="G979" s="571"/>
      <c r="H979" s="571"/>
    </row>
    <row r="980" spans="1:8" x14ac:dyDescent="0.2">
      <c r="A980" s="560" t="s">
        <v>3084</v>
      </c>
      <c r="B980" s="571" t="s">
        <v>1443</v>
      </c>
      <c r="C980" s="571">
        <v>19</v>
      </c>
      <c r="D980" s="571" t="s">
        <v>1452</v>
      </c>
      <c r="E980" s="561" t="s">
        <v>3085</v>
      </c>
      <c r="F980" s="572"/>
      <c r="G980" s="571"/>
      <c r="H980" s="571"/>
    </row>
    <row r="981" spans="1:8" x14ac:dyDescent="0.2">
      <c r="A981" s="560" t="s">
        <v>3086</v>
      </c>
      <c r="B981" s="571" t="s">
        <v>1443</v>
      </c>
      <c r="C981" s="571">
        <v>16</v>
      </c>
      <c r="D981" s="571" t="s">
        <v>1449</v>
      </c>
      <c r="E981" s="561" t="s">
        <v>3087</v>
      </c>
      <c r="F981" s="572"/>
      <c r="G981" s="571"/>
      <c r="H981" s="571"/>
    </row>
    <row r="982" spans="1:8" x14ac:dyDescent="0.2">
      <c r="A982" s="560" t="s">
        <v>3088</v>
      </c>
      <c r="B982" s="571"/>
      <c r="C982" s="571">
        <v>0</v>
      </c>
      <c r="D982" s="571" t="s">
        <v>1481</v>
      </c>
      <c r="E982" s="561" t="s">
        <v>3089</v>
      </c>
      <c r="F982" s="572"/>
      <c r="G982" s="571"/>
      <c r="H982" s="571"/>
    </row>
    <row r="983" spans="1:8" x14ac:dyDescent="0.2">
      <c r="A983" s="560" t="s">
        <v>3090</v>
      </c>
      <c r="B983" s="571" t="s">
        <v>1443</v>
      </c>
      <c r="C983" s="571">
        <v>20</v>
      </c>
      <c r="D983" s="571" t="s">
        <v>1452</v>
      </c>
      <c r="E983" s="561" t="s">
        <v>3091</v>
      </c>
      <c r="F983" s="572"/>
      <c r="G983" s="571"/>
      <c r="H983" s="571"/>
    </row>
    <row r="984" spans="1:8" x14ac:dyDescent="0.2">
      <c r="A984" s="560" t="s">
        <v>1363</v>
      </c>
      <c r="B984" s="571"/>
      <c r="C984" s="571">
        <v>0</v>
      </c>
      <c r="D984" s="571" t="s">
        <v>1452</v>
      </c>
      <c r="E984" s="561" t="s">
        <v>1364</v>
      </c>
      <c r="F984" s="572" t="s">
        <v>1456</v>
      </c>
      <c r="G984" s="571"/>
      <c r="H984" s="571"/>
    </row>
    <row r="985" spans="1:8" x14ac:dyDescent="0.2">
      <c r="A985" s="560" t="s">
        <v>1365</v>
      </c>
      <c r="B985" s="571"/>
      <c r="C985" s="571">
        <v>0</v>
      </c>
      <c r="D985" s="571" t="s">
        <v>1449</v>
      </c>
      <c r="E985" s="561" t="s">
        <v>1366</v>
      </c>
      <c r="F985" s="572" t="s">
        <v>1456</v>
      </c>
      <c r="G985" s="571"/>
      <c r="H985" s="571"/>
    </row>
    <row r="986" spans="1:8" x14ac:dyDescent="0.2">
      <c r="A986" s="560" t="s">
        <v>1367</v>
      </c>
      <c r="B986" s="571" t="s">
        <v>1443</v>
      </c>
      <c r="C986" s="571">
        <v>9</v>
      </c>
      <c r="D986" s="571" t="s">
        <v>1449</v>
      </c>
      <c r="E986" s="561" t="s">
        <v>1368</v>
      </c>
      <c r="F986" s="572" t="s">
        <v>1456</v>
      </c>
      <c r="G986" s="571"/>
      <c r="H986" s="571"/>
    </row>
    <row r="987" spans="1:8" x14ac:dyDescent="0.2">
      <c r="A987" s="560" t="s">
        <v>3092</v>
      </c>
      <c r="B987" s="571" t="s">
        <v>1443</v>
      </c>
      <c r="C987" s="571">
        <v>0</v>
      </c>
      <c r="D987" s="571" t="s">
        <v>1449</v>
      </c>
      <c r="E987" s="561" t="s">
        <v>3093</v>
      </c>
      <c r="F987" s="572"/>
      <c r="G987" s="571"/>
      <c r="H987" s="571"/>
    </row>
    <row r="988" spans="1:8" x14ac:dyDescent="0.2">
      <c r="A988" s="560" t="s">
        <v>1369</v>
      </c>
      <c r="B988" s="571" t="s">
        <v>1443</v>
      </c>
      <c r="C988" s="571">
        <v>2</v>
      </c>
      <c r="D988" s="571" t="s">
        <v>1449</v>
      </c>
      <c r="E988" s="561" t="s">
        <v>1370</v>
      </c>
      <c r="F988" s="572" t="s">
        <v>1456</v>
      </c>
      <c r="G988" s="571"/>
      <c r="H988" s="571"/>
    </row>
    <row r="989" spans="1:8" x14ac:dyDescent="0.2">
      <c r="A989" s="560" t="s">
        <v>3094</v>
      </c>
      <c r="B989" s="571"/>
      <c r="C989" s="571">
        <v>0</v>
      </c>
      <c r="D989" s="571" t="s">
        <v>1481</v>
      </c>
      <c r="E989" s="561" t="s">
        <v>3095</v>
      </c>
      <c r="F989" s="572"/>
      <c r="G989" s="571"/>
      <c r="H989" s="571"/>
    </row>
    <row r="990" spans="1:8" x14ac:dyDescent="0.2">
      <c r="A990" s="560" t="s">
        <v>3096</v>
      </c>
      <c r="B990" s="571"/>
      <c r="C990" s="571">
        <v>0</v>
      </c>
      <c r="D990" s="571" t="s">
        <v>1444</v>
      </c>
      <c r="E990" s="561" t="s">
        <v>3097</v>
      </c>
      <c r="F990" s="572"/>
      <c r="G990" s="571"/>
      <c r="H990" s="571"/>
    </row>
    <row r="991" spans="1:8" x14ac:dyDescent="0.2">
      <c r="A991" s="560" t="s">
        <v>1371</v>
      </c>
      <c r="B991" s="571" t="s">
        <v>1443</v>
      </c>
      <c r="C991" s="571">
        <v>1</v>
      </c>
      <c r="D991" s="571" t="s">
        <v>1449</v>
      </c>
      <c r="E991" s="561" t="s">
        <v>1372</v>
      </c>
      <c r="F991" s="572" t="s">
        <v>1456</v>
      </c>
      <c r="G991" s="571"/>
      <c r="H991" s="571"/>
    </row>
    <row r="992" spans="1:8" x14ac:dyDescent="0.2">
      <c r="A992" s="560" t="s">
        <v>1373</v>
      </c>
      <c r="B992" s="571"/>
      <c r="C992" s="571">
        <v>0</v>
      </c>
      <c r="D992" s="571" t="s">
        <v>1481</v>
      </c>
      <c r="E992" s="561" t="s">
        <v>1374</v>
      </c>
      <c r="F992" s="572" t="s">
        <v>1456</v>
      </c>
      <c r="G992" s="571"/>
      <c r="H992" s="571"/>
    </row>
    <row r="993" spans="1:8" x14ac:dyDescent="0.2">
      <c r="A993" s="560" t="s">
        <v>1375</v>
      </c>
      <c r="B993" s="571" t="s">
        <v>1443</v>
      </c>
      <c r="C993" s="571">
        <v>1</v>
      </c>
      <c r="D993" s="571" t="s">
        <v>1481</v>
      </c>
      <c r="E993" s="561" t="s">
        <v>1376</v>
      </c>
      <c r="F993" s="572" t="s">
        <v>1456</v>
      </c>
      <c r="G993" s="571"/>
      <c r="H993" s="571"/>
    </row>
    <row r="994" spans="1:8" x14ac:dyDescent="0.2">
      <c r="A994" s="560" t="s">
        <v>3098</v>
      </c>
      <c r="B994" s="571" t="s">
        <v>1443</v>
      </c>
      <c r="C994" s="571">
        <v>0</v>
      </c>
      <c r="D994" s="571" t="s">
        <v>1464</v>
      </c>
      <c r="E994" s="561" t="s">
        <v>3099</v>
      </c>
      <c r="F994" s="572"/>
      <c r="G994" s="571"/>
      <c r="H994" s="571"/>
    </row>
    <row r="995" spans="1:8" x14ac:dyDescent="0.2">
      <c r="A995" s="560" t="s">
        <v>3100</v>
      </c>
      <c r="B995" s="571"/>
      <c r="C995" s="571">
        <v>0</v>
      </c>
      <c r="D995" s="571" t="s">
        <v>1449</v>
      </c>
      <c r="E995" s="561"/>
      <c r="F995" s="572"/>
      <c r="G995" s="571"/>
      <c r="H995" s="571"/>
    </row>
    <row r="996" spans="1:8" x14ac:dyDescent="0.2">
      <c r="A996" s="560" t="s">
        <v>3101</v>
      </c>
      <c r="B996" s="571" t="s">
        <v>1443</v>
      </c>
      <c r="C996" s="571">
        <v>2</v>
      </c>
      <c r="D996" s="571"/>
      <c r="E996" s="561"/>
      <c r="F996" s="572"/>
      <c r="G996" s="571"/>
      <c r="H996" s="571"/>
    </row>
    <row r="997" spans="1:8" x14ac:dyDescent="0.2">
      <c r="A997" s="560" t="s">
        <v>3102</v>
      </c>
      <c r="B997" s="571" t="s">
        <v>1443</v>
      </c>
      <c r="C997" s="571">
        <v>5</v>
      </c>
      <c r="D997" s="571" t="s">
        <v>1481</v>
      </c>
      <c r="E997" s="561" t="s">
        <v>3103</v>
      </c>
      <c r="F997" s="572"/>
      <c r="G997" s="571"/>
      <c r="H997" s="571"/>
    </row>
    <row r="998" spans="1:8" x14ac:dyDescent="0.2">
      <c r="A998" s="560" t="s">
        <v>3104</v>
      </c>
      <c r="B998" s="571" t="s">
        <v>1443</v>
      </c>
      <c r="C998" s="571">
        <v>1</v>
      </c>
      <c r="D998" s="571" t="s">
        <v>1464</v>
      </c>
      <c r="E998" s="561" t="s">
        <v>3105</v>
      </c>
      <c r="F998" s="572"/>
      <c r="G998" s="571"/>
      <c r="H998" s="571"/>
    </row>
    <row r="999" spans="1:8" x14ac:dyDescent="0.2">
      <c r="A999" s="560" t="s">
        <v>3106</v>
      </c>
      <c r="B999" s="571" t="s">
        <v>1443</v>
      </c>
      <c r="C999" s="571">
        <v>1</v>
      </c>
      <c r="D999" s="571" t="s">
        <v>1464</v>
      </c>
      <c r="E999" s="561" t="s">
        <v>3107</v>
      </c>
      <c r="F999" s="572"/>
      <c r="G999" s="571"/>
      <c r="H999" s="571"/>
    </row>
    <row r="1000" spans="1:8" x14ac:dyDescent="0.2">
      <c r="A1000" s="560" t="s">
        <v>3108</v>
      </c>
      <c r="B1000" s="571"/>
      <c r="C1000" s="571">
        <v>0</v>
      </c>
      <c r="D1000" s="571" t="s">
        <v>1452</v>
      </c>
      <c r="E1000" s="561" t="s">
        <v>3109</v>
      </c>
      <c r="F1000" s="572"/>
      <c r="G1000" s="571"/>
      <c r="H1000" s="571"/>
    </row>
    <row r="1001" spans="1:8" x14ac:dyDescent="0.2">
      <c r="A1001" s="560" t="s">
        <v>3110</v>
      </c>
      <c r="B1001" s="571" t="s">
        <v>1443</v>
      </c>
      <c r="C1001" s="571">
        <v>9</v>
      </c>
      <c r="D1001" s="571" t="s">
        <v>1481</v>
      </c>
      <c r="E1001" s="561" t="s">
        <v>3111</v>
      </c>
      <c r="F1001" s="572"/>
      <c r="G1001" s="571"/>
      <c r="H1001" s="571"/>
    </row>
    <row r="1002" spans="1:8" x14ac:dyDescent="0.2">
      <c r="A1002" s="560" t="s">
        <v>3112</v>
      </c>
      <c r="B1002" s="571" t="s">
        <v>1443</v>
      </c>
      <c r="C1002" s="571">
        <v>2</v>
      </c>
      <c r="D1002" s="571" t="s">
        <v>1449</v>
      </c>
      <c r="E1002" s="561" t="s">
        <v>3113</v>
      </c>
      <c r="F1002" s="572"/>
      <c r="G1002" s="571"/>
      <c r="H1002" s="571"/>
    </row>
    <row r="1003" spans="1:8" x14ac:dyDescent="0.2">
      <c r="A1003" s="560" t="s">
        <v>1377</v>
      </c>
      <c r="B1003" s="571" t="s">
        <v>1443</v>
      </c>
      <c r="C1003" s="571">
        <v>2</v>
      </c>
      <c r="D1003" s="571" t="s">
        <v>1449</v>
      </c>
      <c r="E1003" s="561" t="s">
        <v>1378</v>
      </c>
      <c r="F1003" s="572" t="s">
        <v>1456</v>
      </c>
      <c r="G1003" s="571"/>
      <c r="H1003" s="571"/>
    </row>
    <row r="1004" spans="1:8" x14ac:dyDescent="0.2">
      <c r="A1004" s="560" t="s">
        <v>3114</v>
      </c>
      <c r="B1004" s="571" t="s">
        <v>1443</v>
      </c>
      <c r="C1004" s="571">
        <v>0</v>
      </c>
      <c r="D1004" s="571" t="s">
        <v>1449</v>
      </c>
      <c r="E1004" s="561" t="s">
        <v>3115</v>
      </c>
      <c r="F1004" s="572"/>
      <c r="G1004" s="571"/>
      <c r="H1004" s="571"/>
    </row>
    <row r="1005" spans="1:8" x14ac:dyDescent="0.2">
      <c r="A1005" s="560" t="s">
        <v>3116</v>
      </c>
      <c r="B1005" s="571"/>
      <c r="C1005" s="571">
        <v>0</v>
      </c>
      <c r="D1005" s="571" t="s">
        <v>1464</v>
      </c>
      <c r="E1005" s="561" t="s">
        <v>3117</v>
      </c>
      <c r="F1005" s="572"/>
      <c r="G1005" s="571"/>
      <c r="H1005" s="571"/>
    </row>
    <row r="1006" spans="1:8" x14ac:dyDescent="0.2">
      <c r="A1006" s="560" t="s">
        <v>3118</v>
      </c>
      <c r="B1006" s="571"/>
      <c r="C1006" s="571">
        <v>0</v>
      </c>
      <c r="D1006" s="571" t="s">
        <v>1464</v>
      </c>
      <c r="E1006" s="561" t="s">
        <v>3119</v>
      </c>
      <c r="F1006" s="572"/>
      <c r="G1006" s="571"/>
      <c r="H1006" s="571"/>
    </row>
    <row r="1007" spans="1:8" x14ac:dyDescent="0.2">
      <c r="A1007" s="560" t="s">
        <v>3120</v>
      </c>
      <c r="B1007" s="571" t="s">
        <v>1443</v>
      </c>
      <c r="C1007" s="571">
        <v>5</v>
      </c>
      <c r="D1007" s="571"/>
      <c r="E1007" s="561"/>
      <c r="F1007" s="572"/>
      <c r="G1007" s="571"/>
      <c r="H1007" s="571"/>
    </row>
    <row r="1008" spans="1:8" x14ac:dyDescent="0.2">
      <c r="A1008" s="560" t="s">
        <v>3121</v>
      </c>
      <c r="B1008" s="571" t="s">
        <v>1443</v>
      </c>
      <c r="C1008" s="571">
        <v>13</v>
      </c>
      <c r="D1008" s="571" t="s">
        <v>1449</v>
      </c>
      <c r="E1008" s="561" t="s">
        <v>3122</v>
      </c>
      <c r="F1008" s="572"/>
      <c r="G1008" s="571"/>
      <c r="H1008" s="571"/>
    </row>
    <row r="1009" spans="1:8" x14ac:dyDescent="0.2">
      <c r="A1009" s="560" t="s">
        <v>3123</v>
      </c>
      <c r="B1009" s="571" t="s">
        <v>1443</v>
      </c>
      <c r="C1009" s="571">
        <v>0</v>
      </c>
      <c r="D1009" s="571" t="s">
        <v>1481</v>
      </c>
      <c r="E1009" s="561" t="s">
        <v>3124</v>
      </c>
      <c r="F1009" s="572"/>
      <c r="G1009" s="571"/>
      <c r="H1009" s="571"/>
    </row>
    <row r="1010" spans="1:8" x14ac:dyDescent="0.2">
      <c r="A1010" s="560" t="s">
        <v>3125</v>
      </c>
      <c r="B1010" s="571" t="s">
        <v>1443</v>
      </c>
      <c r="C1010" s="571">
        <v>14</v>
      </c>
      <c r="D1010" s="571" t="s">
        <v>1452</v>
      </c>
      <c r="E1010" s="561" t="s">
        <v>3126</v>
      </c>
      <c r="F1010" s="572"/>
      <c r="G1010" s="571"/>
      <c r="H1010" s="571"/>
    </row>
    <row r="1011" spans="1:8" x14ac:dyDescent="0.2">
      <c r="A1011" s="560" t="s">
        <v>3127</v>
      </c>
      <c r="B1011" s="571"/>
      <c r="C1011" s="571">
        <v>0</v>
      </c>
      <c r="D1011" s="571" t="s">
        <v>1464</v>
      </c>
      <c r="E1011" s="561" t="s">
        <v>3128</v>
      </c>
      <c r="F1011" s="572"/>
      <c r="G1011" s="571"/>
      <c r="H1011" s="571"/>
    </row>
    <row r="1012" spans="1:8" x14ac:dyDescent="0.2">
      <c r="A1012" s="560" t="s">
        <v>3129</v>
      </c>
      <c r="B1012" s="571"/>
      <c r="C1012" s="571">
        <v>0</v>
      </c>
      <c r="D1012" s="571" t="s">
        <v>1464</v>
      </c>
      <c r="E1012" s="561" t="s">
        <v>3130</v>
      </c>
      <c r="F1012" s="572"/>
      <c r="G1012" s="571"/>
      <c r="H1012" s="571">
        <v>1</v>
      </c>
    </row>
    <row r="1013" spans="1:8" x14ac:dyDescent="0.2">
      <c r="A1013" s="560" t="s">
        <v>3131</v>
      </c>
      <c r="B1013" s="571" t="s">
        <v>1443</v>
      </c>
      <c r="C1013" s="571">
        <v>24</v>
      </c>
      <c r="D1013" s="571" t="s">
        <v>1449</v>
      </c>
      <c r="E1013" s="561" t="s">
        <v>3132</v>
      </c>
      <c r="F1013" s="572"/>
      <c r="G1013" s="571"/>
      <c r="H1013" s="571"/>
    </row>
    <row r="1014" spans="1:8" x14ac:dyDescent="0.2">
      <c r="A1014" s="560" t="s">
        <v>3133</v>
      </c>
      <c r="B1014" s="571" t="s">
        <v>1443</v>
      </c>
      <c r="C1014" s="571">
        <v>0</v>
      </c>
      <c r="D1014" s="571" t="s">
        <v>1481</v>
      </c>
      <c r="E1014" s="561" t="s">
        <v>3134</v>
      </c>
      <c r="F1014" s="572"/>
      <c r="G1014" s="571"/>
      <c r="H1014" s="571"/>
    </row>
    <row r="1015" spans="1:8" x14ac:dyDescent="0.2">
      <c r="A1015" s="560" t="s">
        <v>3135</v>
      </c>
      <c r="B1015" s="571" t="s">
        <v>1443</v>
      </c>
      <c r="C1015" s="571">
        <v>0</v>
      </c>
      <c r="D1015" s="571" t="s">
        <v>1449</v>
      </c>
      <c r="E1015" s="561" t="s">
        <v>3136</v>
      </c>
      <c r="F1015" s="572"/>
      <c r="G1015" s="571"/>
      <c r="H1015" s="571"/>
    </row>
    <row r="1016" spans="1:8" x14ac:dyDescent="0.2">
      <c r="A1016" s="560" t="s">
        <v>3137</v>
      </c>
      <c r="B1016" s="571" t="s">
        <v>1443</v>
      </c>
      <c r="C1016" s="571">
        <v>0</v>
      </c>
      <c r="D1016" s="571" t="s">
        <v>1464</v>
      </c>
      <c r="E1016" s="561" t="s">
        <v>3138</v>
      </c>
      <c r="F1016" s="572"/>
      <c r="G1016" s="571"/>
      <c r="H1016" s="571"/>
    </row>
    <row r="1017" spans="1:8" x14ac:dyDescent="0.2">
      <c r="A1017" s="560" t="s">
        <v>3139</v>
      </c>
      <c r="B1017" s="571" t="s">
        <v>1443</v>
      </c>
      <c r="C1017" s="571">
        <v>0</v>
      </c>
      <c r="D1017" s="571"/>
      <c r="E1017" s="561" t="s">
        <v>3140</v>
      </c>
      <c r="F1017" s="572"/>
      <c r="G1017" s="571"/>
      <c r="H1017" s="571"/>
    </row>
    <row r="1018" spans="1:8" x14ac:dyDescent="0.2">
      <c r="A1018" s="560" t="s">
        <v>3141</v>
      </c>
      <c r="B1018" s="571" t="s">
        <v>1443</v>
      </c>
      <c r="C1018" s="571">
        <v>0</v>
      </c>
      <c r="D1018" s="571" t="s">
        <v>1464</v>
      </c>
      <c r="E1018" s="561" t="s">
        <v>3142</v>
      </c>
      <c r="F1018" s="572"/>
      <c r="G1018" s="571"/>
      <c r="H1018" s="571">
        <v>1</v>
      </c>
    </row>
    <row r="1019" spans="1:8" x14ac:dyDescent="0.2">
      <c r="A1019" s="560" t="s">
        <v>3143</v>
      </c>
      <c r="B1019" s="571"/>
      <c r="C1019" s="571">
        <v>0</v>
      </c>
      <c r="D1019" s="571" t="s">
        <v>1481</v>
      </c>
      <c r="E1019" s="561" t="s">
        <v>3144</v>
      </c>
      <c r="F1019" s="572"/>
      <c r="G1019" s="571"/>
      <c r="H1019" s="571"/>
    </row>
    <row r="1020" spans="1:8" x14ac:dyDescent="0.2">
      <c r="A1020" s="560" t="s">
        <v>3145</v>
      </c>
      <c r="B1020" s="571" t="s">
        <v>1443</v>
      </c>
      <c r="C1020" s="571">
        <v>10</v>
      </c>
      <c r="D1020" s="571" t="s">
        <v>1449</v>
      </c>
      <c r="E1020" s="561" t="s">
        <v>3146</v>
      </c>
      <c r="F1020" s="572"/>
      <c r="G1020" s="571"/>
      <c r="H1020" s="571"/>
    </row>
    <row r="1021" spans="1:8" x14ac:dyDescent="0.2">
      <c r="A1021" s="560" t="s">
        <v>3147</v>
      </c>
      <c r="B1021" s="571" t="s">
        <v>1443</v>
      </c>
      <c r="C1021" s="571">
        <v>1</v>
      </c>
      <c r="D1021" s="571" t="s">
        <v>1481</v>
      </c>
      <c r="E1021" s="561"/>
      <c r="F1021" s="572"/>
      <c r="G1021" s="571"/>
      <c r="H1021" s="571"/>
    </row>
    <row r="1022" spans="1:8" x14ac:dyDescent="0.2">
      <c r="A1022" s="560" t="s">
        <v>3148</v>
      </c>
      <c r="B1022" s="571" t="s">
        <v>1443</v>
      </c>
      <c r="C1022" s="571">
        <v>0</v>
      </c>
      <c r="D1022" s="571"/>
      <c r="E1022" s="561" t="s">
        <v>3149</v>
      </c>
      <c r="F1022" s="572"/>
      <c r="G1022" s="571"/>
      <c r="H1022" s="571"/>
    </row>
    <row r="1023" spans="1:8" x14ac:dyDescent="0.2">
      <c r="A1023" s="560" t="s">
        <v>3150</v>
      </c>
      <c r="B1023" s="571" t="s">
        <v>1443</v>
      </c>
      <c r="C1023" s="571">
        <v>0</v>
      </c>
      <c r="D1023" s="571" t="s">
        <v>1481</v>
      </c>
      <c r="E1023" s="561" t="s">
        <v>3151</v>
      </c>
      <c r="F1023" s="572"/>
      <c r="G1023" s="571"/>
      <c r="H1023" s="571"/>
    </row>
    <row r="1024" spans="1:8" x14ac:dyDescent="0.2">
      <c r="A1024" s="560" t="s">
        <v>3152</v>
      </c>
      <c r="B1024" s="571" t="s">
        <v>1443</v>
      </c>
      <c r="C1024" s="571">
        <v>1</v>
      </c>
      <c r="D1024" s="571" t="s">
        <v>1449</v>
      </c>
      <c r="E1024" s="561" t="s">
        <v>3153</v>
      </c>
      <c r="F1024" s="572"/>
      <c r="G1024" s="571"/>
      <c r="H1024" s="571"/>
    </row>
    <row r="1025" spans="1:8" x14ac:dyDescent="0.2">
      <c r="A1025" s="560" t="s">
        <v>3154</v>
      </c>
      <c r="B1025" s="571"/>
      <c r="C1025" s="571">
        <v>0</v>
      </c>
      <c r="D1025" s="571" t="s">
        <v>1449</v>
      </c>
      <c r="E1025" s="561" t="s">
        <v>3155</v>
      </c>
      <c r="F1025" s="572"/>
      <c r="G1025" s="571"/>
      <c r="H1025" s="571"/>
    </row>
    <row r="1026" spans="1:8" x14ac:dyDescent="0.2">
      <c r="A1026" s="560" t="s">
        <v>3156</v>
      </c>
      <c r="B1026" s="571" t="s">
        <v>1443</v>
      </c>
      <c r="C1026" s="571">
        <v>5</v>
      </c>
      <c r="D1026" s="571" t="s">
        <v>1481</v>
      </c>
      <c r="E1026" s="561" t="s">
        <v>3157</v>
      </c>
      <c r="F1026" s="572"/>
      <c r="G1026" s="571"/>
      <c r="H1026" s="571">
        <v>1</v>
      </c>
    </row>
    <row r="1027" spans="1:8" x14ac:dyDescent="0.2">
      <c r="A1027" s="560" t="s">
        <v>3158</v>
      </c>
      <c r="B1027" s="571" t="s">
        <v>1443</v>
      </c>
      <c r="C1027" s="571">
        <v>0</v>
      </c>
      <c r="D1027" s="571" t="s">
        <v>1481</v>
      </c>
      <c r="E1027" s="561" t="s">
        <v>3159</v>
      </c>
      <c r="F1027" s="572"/>
      <c r="G1027" s="571"/>
      <c r="H1027" s="571"/>
    </row>
    <row r="1028" spans="1:8" x14ac:dyDescent="0.2">
      <c r="A1028" s="560" t="s">
        <v>3160</v>
      </c>
      <c r="B1028" s="571" t="s">
        <v>1443</v>
      </c>
      <c r="C1028" s="571">
        <v>0</v>
      </c>
      <c r="D1028" s="571" t="s">
        <v>1481</v>
      </c>
      <c r="E1028" s="561" t="s">
        <v>3161</v>
      </c>
      <c r="F1028" s="572"/>
      <c r="G1028" s="571"/>
      <c r="H1028" s="571"/>
    </row>
    <row r="1029" spans="1:8" x14ac:dyDescent="0.2">
      <c r="A1029" s="560" t="s">
        <v>3162</v>
      </c>
      <c r="B1029" s="571" t="s">
        <v>1443</v>
      </c>
      <c r="C1029" s="571">
        <v>3</v>
      </c>
      <c r="D1029" s="571" t="s">
        <v>1481</v>
      </c>
      <c r="E1029" s="561"/>
      <c r="F1029" s="572"/>
      <c r="G1029" s="571"/>
      <c r="H1029" s="571"/>
    </row>
    <row r="1030" spans="1:8" x14ac:dyDescent="0.2">
      <c r="A1030" s="560" t="s">
        <v>3163</v>
      </c>
      <c r="B1030" s="571" t="s">
        <v>1443</v>
      </c>
      <c r="C1030" s="571">
        <v>0</v>
      </c>
      <c r="D1030" s="571" t="s">
        <v>1481</v>
      </c>
      <c r="E1030" s="561" t="s">
        <v>3164</v>
      </c>
      <c r="F1030" s="572"/>
      <c r="G1030" s="571"/>
      <c r="H1030" s="571"/>
    </row>
    <row r="1031" spans="1:8" x14ac:dyDescent="0.2">
      <c r="A1031" s="560" t="s">
        <v>3165</v>
      </c>
      <c r="B1031" s="571"/>
      <c r="C1031" s="571">
        <v>0</v>
      </c>
      <c r="D1031" s="571" t="s">
        <v>1449</v>
      </c>
      <c r="E1031" s="561" t="s">
        <v>3166</v>
      </c>
      <c r="F1031" s="572"/>
      <c r="G1031" s="571"/>
      <c r="H1031" s="571"/>
    </row>
    <row r="1032" spans="1:8" x14ac:dyDescent="0.2">
      <c r="A1032" s="560" t="s">
        <v>3167</v>
      </c>
      <c r="B1032" s="571"/>
      <c r="C1032" s="571">
        <v>0</v>
      </c>
      <c r="D1032" s="571" t="s">
        <v>1452</v>
      </c>
      <c r="E1032" s="561" t="s">
        <v>3168</v>
      </c>
      <c r="F1032" s="572"/>
      <c r="G1032" s="571"/>
      <c r="H1032" s="571"/>
    </row>
    <row r="1033" spans="1:8" x14ac:dyDescent="0.2">
      <c r="A1033" s="560" t="s">
        <v>3169</v>
      </c>
      <c r="B1033" s="571" t="s">
        <v>1443</v>
      </c>
      <c r="C1033" s="571">
        <v>3</v>
      </c>
      <c r="D1033" s="571" t="s">
        <v>1481</v>
      </c>
      <c r="E1033" s="561" t="s">
        <v>3170</v>
      </c>
      <c r="F1033" s="572"/>
      <c r="G1033" s="571"/>
      <c r="H1033" s="571">
        <v>2</v>
      </c>
    </row>
    <row r="1034" spans="1:8" x14ac:dyDescent="0.2">
      <c r="A1034" s="560" t="s">
        <v>3171</v>
      </c>
      <c r="B1034" s="571" t="s">
        <v>1443</v>
      </c>
      <c r="C1034" s="571">
        <v>0</v>
      </c>
      <c r="D1034" s="571" t="s">
        <v>1481</v>
      </c>
      <c r="E1034" s="561" t="s">
        <v>3172</v>
      </c>
      <c r="F1034" s="572"/>
      <c r="G1034" s="571"/>
      <c r="H1034" s="571"/>
    </row>
    <row r="1035" spans="1:8" x14ac:dyDescent="0.2">
      <c r="A1035" s="560" t="s">
        <v>3173</v>
      </c>
      <c r="B1035" s="571" t="s">
        <v>1443</v>
      </c>
      <c r="C1035" s="571">
        <v>1</v>
      </c>
      <c r="D1035" s="571" t="s">
        <v>1481</v>
      </c>
      <c r="E1035" s="561" t="s">
        <v>3174</v>
      </c>
      <c r="F1035" s="572"/>
      <c r="G1035" s="571"/>
      <c r="H1035" s="571">
        <v>1</v>
      </c>
    </row>
    <row r="1036" spans="1:8" x14ac:dyDescent="0.2">
      <c r="A1036" s="560" t="s">
        <v>3175</v>
      </c>
      <c r="B1036" s="571"/>
      <c r="C1036" s="571">
        <v>0</v>
      </c>
      <c r="D1036" s="571" t="s">
        <v>1449</v>
      </c>
      <c r="E1036" s="561" t="s">
        <v>3176</v>
      </c>
      <c r="F1036" s="572"/>
      <c r="G1036" s="571"/>
      <c r="H1036" s="571"/>
    </row>
    <row r="1037" spans="1:8" x14ac:dyDescent="0.2">
      <c r="A1037" s="560" t="s">
        <v>3177</v>
      </c>
      <c r="B1037" s="571" t="s">
        <v>1443</v>
      </c>
      <c r="C1037" s="571">
        <v>0</v>
      </c>
      <c r="D1037" s="571" t="s">
        <v>1481</v>
      </c>
      <c r="E1037" s="561" t="s">
        <v>3178</v>
      </c>
      <c r="F1037" s="572"/>
      <c r="G1037" s="571"/>
      <c r="H1037" s="571"/>
    </row>
    <row r="1038" spans="1:8" x14ac:dyDescent="0.2">
      <c r="A1038" s="560" t="s">
        <v>3179</v>
      </c>
      <c r="B1038" s="571" t="s">
        <v>1443</v>
      </c>
      <c r="C1038" s="571">
        <v>5</v>
      </c>
      <c r="D1038" s="571" t="s">
        <v>1449</v>
      </c>
      <c r="E1038" s="561" t="s">
        <v>3180</v>
      </c>
      <c r="F1038" s="572"/>
      <c r="G1038" s="571"/>
      <c r="H1038" s="571">
        <v>1</v>
      </c>
    </row>
    <row r="1039" spans="1:8" x14ac:dyDescent="0.2">
      <c r="A1039" s="560" t="s">
        <v>3181</v>
      </c>
      <c r="B1039" s="571" t="s">
        <v>1443</v>
      </c>
      <c r="C1039" s="571">
        <v>0</v>
      </c>
      <c r="D1039" s="571" t="s">
        <v>1481</v>
      </c>
      <c r="E1039" s="561" t="s">
        <v>3182</v>
      </c>
      <c r="F1039" s="572"/>
      <c r="G1039" s="571"/>
      <c r="H1039" s="571"/>
    </row>
    <row r="1040" spans="1:8" x14ac:dyDescent="0.2">
      <c r="A1040" s="560" t="s">
        <v>3183</v>
      </c>
      <c r="B1040" s="571" t="s">
        <v>1443</v>
      </c>
      <c r="C1040" s="571">
        <v>0</v>
      </c>
      <c r="D1040" s="571" t="s">
        <v>1449</v>
      </c>
      <c r="E1040" s="561" t="s">
        <v>3184</v>
      </c>
      <c r="F1040" s="572"/>
      <c r="G1040" s="571"/>
      <c r="H1040" s="571"/>
    </row>
    <row r="1041" spans="1:8" x14ac:dyDescent="0.2">
      <c r="A1041" s="560" t="s">
        <v>3185</v>
      </c>
      <c r="B1041" s="571" t="s">
        <v>1443</v>
      </c>
      <c r="C1041" s="571">
        <v>6</v>
      </c>
      <c r="D1041" s="571" t="s">
        <v>1449</v>
      </c>
      <c r="E1041" s="561" t="s">
        <v>3186</v>
      </c>
      <c r="F1041" s="572"/>
      <c r="G1041" s="571"/>
      <c r="H1041" s="571"/>
    </row>
    <row r="1042" spans="1:8" x14ac:dyDescent="0.2">
      <c r="A1042" s="560" t="s">
        <v>3187</v>
      </c>
      <c r="B1042" s="571" t="s">
        <v>1443</v>
      </c>
      <c r="C1042" s="571">
        <v>3</v>
      </c>
      <c r="D1042" s="571" t="s">
        <v>1449</v>
      </c>
      <c r="E1042" s="561" t="s">
        <v>3188</v>
      </c>
      <c r="F1042" s="572"/>
      <c r="G1042" s="571"/>
      <c r="H1042" s="571">
        <v>1</v>
      </c>
    </row>
    <row r="1043" spans="1:8" x14ac:dyDescent="0.2">
      <c r="A1043" s="560" t="s">
        <v>3189</v>
      </c>
      <c r="B1043" s="571" t="s">
        <v>1443</v>
      </c>
      <c r="C1043" s="571">
        <v>23</v>
      </c>
      <c r="D1043" s="571" t="s">
        <v>1449</v>
      </c>
      <c r="E1043" s="561" t="s">
        <v>3190</v>
      </c>
      <c r="F1043" s="572"/>
      <c r="G1043" s="571"/>
      <c r="H1043" s="571"/>
    </row>
    <row r="1044" spans="1:8" x14ac:dyDescent="0.2">
      <c r="A1044" s="560" t="s">
        <v>3191</v>
      </c>
      <c r="B1044" s="571"/>
      <c r="C1044" s="571">
        <v>0</v>
      </c>
      <c r="D1044" s="571" t="s">
        <v>1449</v>
      </c>
      <c r="E1044" s="561" t="s">
        <v>3192</v>
      </c>
      <c r="F1044" s="572"/>
      <c r="G1044" s="571"/>
      <c r="H1044" s="571"/>
    </row>
    <row r="1045" spans="1:8" x14ac:dyDescent="0.2">
      <c r="A1045" s="562" t="s">
        <v>3193</v>
      </c>
      <c r="B1045" s="571" t="s">
        <v>1443</v>
      </c>
      <c r="C1045" s="571">
        <v>0</v>
      </c>
      <c r="D1045" s="571"/>
      <c r="E1045" s="561"/>
      <c r="F1045" s="572"/>
      <c r="G1045" s="571"/>
      <c r="H1045" s="571"/>
    </row>
    <row r="1046" spans="1:8" x14ac:dyDescent="0.2">
      <c r="A1046" s="560" t="s">
        <v>3194</v>
      </c>
      <c r="B1046" s="571"/>
      <c r="C1046" s="571">
        <v>0</v>
      </c>
      <c r="D1046" s="571" t="s">
        <v>1481</v>
      </c>
      <c r="E1046" s="561"/>
      <c r="F1046" s="572"/>
      <c r="G1046" s="571"/>
      <c r="H1046" s="571"/>
    </row>
    <row r="1047" spans="1:8" x14ac:dyDescent="0.2">
      <c r="A1047" s="560" t="s">
        <v>3195</v>
      </c>
      <c r="B1047" s="571" t="s">
        <v>1443</v>
      </c>
      <c r="C1047" s="571">
        <v>13</v>
      </c>
      <c r="D1047" s="571" t="s">
        <v>1452</v>
      </c>
      <c r="E1047" s="561" t="s">
        <v>3196</v>
      </c>
      <c r="F1047" s="572"/>
      <c r="G1047" s="571"/>
      <c r="H1047" s="571"/>
    </row>
    <row r="1048" spans="1:8" x14ac:dyDescent="0.2">
      <c r="A1048" s="560" t="s">
        <v>3197</v>
      </c>
      <c r="B1048" s="571" t="s">
        <v>1443</v>
      </c>
      <c r="C1048" s="571">
        <v>0</v>
      </c>
      <c r="D1048" s="571" t="s">
        <v>1481</v>
      </c>
      <c r="E1048" s="561" t="s">
        <v>3198</v>
      </c>
      <c r="F1048" s="572"/>
      <c r="G1048" s="571"/>
      <c r="H1048" s="571"/>
    </row>
    <row r="1049" spans="1:8" x14ac:dyDescent="0.2">
      <c r="A1049" s="560" t="s">
        <v>3199</v>
      </c>
      <c r="B1049" s="571" t="s">
        <v>1443</v>
      </c>
      <c r="C1049" s="571">
        <v>9</v>
      </c>
      <c r="D1049" s="571" t="s">
        <v>1449</v>
      </c>
      <c r="E1049" s="561" t="s">
        <v>3200</v>
      </c>
      <c r="F1049" s="572"/>
      <c r="G1049" s="571"/>
      <c r="H1049" s="571"/>
    </row>
    <row r="1050" spans="1:8" x14ac:dyDescent="0.2">
      <c r="A1050" s="560" t="s">
        <v>3201</v>
      </c>
      <c r="B1050" s="571" t="s">
        <v>1443</v>
      </c>
      <c r="C1050" s="571">
        <v>3</v>
      </c>
      <c r="D1050" s="571" t="s">
        <v>1481</v>
      </c>
      <c r="E1050" s="561" t="s">
        <v>3202</v>
      </c>
      <c r="F1050" s="572"/>
      <c r="G1050" s="571"/>
      <c r="H1050" s="571"/>
    </row>
    <row r="1051" spans="1:8" x14ac:dyDescent="0.2">
      <c r="A1051" s="560" t="s">
        <v>3203</v>
      </c>
      <c r="B1051" s="571" t="s">
        <v>1443</v>
      </c>
      <c r="C1051" s="571">
        <v>3</v>
      </c>
      <c r="D1051" s="571" t="s">
        <v>1481</v>
      </c>
      <c r="E1051" s="561" t="s">
        <v>3204</v>
      </c>
      <c r="F1051" s="572"/>
      <c r="G1051" s="571"/>
      <c r="H1051" s="571">
        <v>1</v>
      </c>
    </row>
    <row r="1052" spans="1:8" x14ac:dyDescent="0.2">
      <c r="A1052" s="560" t="s">
        <v>3205</v>
      </c>
      <c r="B1052" s="571"/>
      <c r="C1052" s="571">
        <v>0</v>
      </c>
      <c r="D1052" s="571" t="s">
        <v>1449</v>
      </c>
      <c r="E1052" s="561" t="s">
        <v>3206</v>
      </c>
      <c r="F1052" s="572"/>
      <c r="G1052" s="571"/>
      <c r="H1052" s="571"/>
    </row>
    <row r="1053" spans="1:8" x14ac:dyDescent="0.2">
      <c r="A1053" s="560" t="s">
        <v>3207</v>
      </c>
      <c r="B1053" s="571"/>
      <c r="C1053" s="571">
        <v>0</v>
      </c>
      <c r="D1053" s="571" t="s">
        <v>1449</v>
      </c>
      <c r="E1053" s="561" t="s">
        <v>3208</v>
      </c>
      <c r="F1053" s="572"/>
      <c r="G1053" s="571"/>
      <c r="H1053" s="571"/>
    </row>
    <row r="1054" spans="1:8" x14ac:dyDescent="0.2">
      <c r="A1054" s="560" t="s">
        <v>3209</v>
      </c>
      <c r="B1054" s="571" t="s">
        <v>1443</v>
      </c>
      <c r="C1054" s="571">
        <v>2</v>
      </c>
      <c r="D1054" s="571" t="s">
        <v>1444</v>
      </c>
      <c r="E1054" s="561" t="s">
        <v>3210</v>
      </c>
      <c r="F1054" s="572"/>
      <c r="G1054" s="571"/>
      <c r="H1054" s="571">
        <v>2</v>
      </c>
    </row>
    <row r="1055" spans="1:8" x14ac:dyDescent="0.2">
      <c r="A1055" s="560" t="s">
        <v>3211</v>
      </c>
      <c r="B1055" s="571"/>
      <c r="C1055" s="571">
        <v>0</v>
      </c>
      <c r="D1055" s="571" t="s">
        <v>1481</v>
      </c>
      <c r="E1055" s="561" t="s">
        <v>3212</v>
      </c>
      <c r="F1055" s="572"/>
      <c r="G1055" s="571"/>
      <c r="H1055" s="571">
        <v>1</v>
      </c>
    </row>
    <row r="1056" spans="1:8" x14ac:dyDescent="0.2">
      <c r="A1056" s="560" t="s">
        <v>3213</v>
      </c>
      <c r="B1056" s="571" t="s">
        <v>1443</v>
      </c>
      <c r="C1056" s="571">
        <v>8</v>
      </c>
      <c r="D1056" s="571" t="s">
        <v>1452</v>
      </c>
      <c r="E1056" s="561" t="s">
        <v>3214</v>
      </c>
      <c r="F1056" s="572"/>
      <c r="G1056" s="571"/>
      <c r="H1056" s="571"/>
    </row>
    <row r="1057" spans="1:8" x14ac:dyDescent="0.2">
      <c r="A1057" s="560" t="s">
        <v>3215</v>
      </c>
      <c r="B1057" s="571" t="s">
        <v>1443</v>
      </c>
      <c r="C1057" s="571">
        <v>4</v>
      </c>
      <c r="D1057" s="571" t="s">
        <v>1449</v>
      </c>
      <c r="E1057" s="561" t="s">
        <v>3216</v>
      </c>
      <c r="F1057" s="572"/>
      <c r="G1057" s="571"/>
      <c r="H1057" s="571"/>
    </row>
    <row r="1058" spans="1:8" x14ac:dyDescent="0.2">
      <c r="A1058" s="560" t="s">
        <v>3217</v>
      </c>
      <c r="B1058" s="571" t="s">
        <v>1443</v>
      </c>
      <c r="C1058" s="571">
        <v>2</v>
      </c>
      <c r="D1058" s="571" t="s">
        <v>1481</v>
      </c>
      <c r="E1058" s="561" t="s">
        <v>3218</v>
      </c>
      <c r="F1058" s="572"/>
      <c r="G1058" s="571"/>
      <c r="H1058" s="571"/>
    </row>
    <row r="1059" spans="1:8" x14ac:dyDescent="0.2">
      <c r="A1059" s="560" t="s">
        <v>3219</v>
      </c>
      <c r="B1059" s="571" t="s">
        <v>1443</v>
      </c>
      <c r="C1059" s="571">
        <v>14</v>
      </c>
      <c r="D1059" s="571" t="s">
        <v>1449</v>
      </c>
      <c r="E1059" s="561" t="s">
        <v>3220</v>
      </c>
      <c r="F1059" s="572"/>
      <c r="G1059" s="571"/>
      <c r="H1059" s="571"/>
    </row>
    <row r="1060" spans="1:8" x14ac:dyDescent="0.2">
      <c r="A1060" s="560" t="s">
        <v>3221</v>
      </c>
      <c r="B1060" s="571"/>
      <c r="C1060" s="571">
        <v>0</v>
      </c>
      <c r="D1060" s="571" t="s">
        <v>1481</v>
      </c>
      <c r="E1060" s="561" t="s">
        <v>3222</v>
      </c>
      <c r="F1060" s="572"/>
      <c r="G1060" s="571"/>
      <c r="H1060" s="571"/>
    </row>
    <row r="1061" spans="1:8" x14ac:dyDescent="0.2">
      <c r="A1061" s="560" t="s">
        <v>3223</v>
      </c>
      <c r="B1061" s="571" t="s">
        <v>1443</v>
      </c>
      <c r="C1061" s="571">
        <v>1</v>
      </c>
      <c r="D1061" s="571" t="s">
        <v>1449</v>
      </c>
      <c r="E1061" s="561" t="s">
        <v>3224</v>
      </c>
      <c r="F1061" s="572"/>
      <c r="G1061" s="571"/>
      <c r="H1061" s="571"/>
    </row>
    <row r="1062" spans="1:8" x14ac:dyDescent="0.2">
      <c r="A1062" s="560" t="s">
        <v>3225</v>
      </c>
      <c r="B1062" s="571"/>
      <c r="C1062" s="571">
        <v>0</v>
      </c>
      <c r="D1062" s="571" t="s">
        <v>1464</v>
      </c>
      <c r="E1062" s="561" t="s">
        <v>3226</v>
      </c>
      <c r="F1062" s="572"/>
      <c r="G1062" s="571"/>
      <c r="H1062" s="571"/>
    </row>
    <row r="1063" spans="1:8" x14ac:dyDescent="0.2">
      <c r="A1063" s="560" t="s">
        <v>3227</v>
      </c>
      <c r="B1063" s="571" t="s">
        <v>1443</v>
      </c>
      <c r="C1063" s="571">
        <v>0</v>
      </c>
      <c r="D1063" s="571" t="s">
        <v>1452</v>
      </c>
      <c r="E1063" s="561" t="s">
        <v>3228</v>
      </c>
      <c r="F1063" s="572"/>
      <c r="G1063" s="571"/>
      <c r="H1063" s="571"/>
    </row>
    <row r="1064" spans="1:8" x14ac:dyDescent="0.2">
      <c r="A1064" s="560" t="s">
        <v>3229</v>
      </c>
      <c r="B1064" s="571" t="s">
        <v>1443</v>
      </c>
      <c r="C1064" s="571">
        <v>9</v>
      </c>
      <c r="D1064" s="571" t="s">
        <v>1481</v>
      </c>
      <c r="E1064" s="561" t="s">
        <v>3230</v>
      </c>
      <c r="F1064" s="572"/>
      <c r="G1064" s="571"/>
      <c r="H1064" s="571"/>
    </row>
    <row r="1065" spans="1:8" x14ac:dyDescent="0.2">
      <c r="A1065" s="560" t="s">
        <v>3231</v>
      </c>
      <c r="B1065" s="571" t="s">
        <v>1443</v>
      </c>
      <c r="C1065" s="571">
        <v>7</v>
      </c>
      <c r="D1065" s="571" t="s">
        <v>1481</v>
      </c>
      <c r="E1065" s="561" t="s">
        <v>3232</v>
      </c>
      <c r="F1065" s="572"/>
      <c r="G1065" s="571"/>
      <c r="H1065" s="571"/>
    </row>
    <row r="1066" spans="1:8" x14ac:dyDescent="0.2">
      <c r="A1066" s="560" t="s">
        <v>3233</v>
      </c>
      <c r="B1066" s="571" t="s">
        <v>1443</v>
      </c>
      <c r="C1066" s="571">
        <v>9</v>
      </c>
      <c r="D1066" s="571" t="s">
        <v>1449</v>
      </c>
      <c r="E1066" s="561" t="s">
        <v>3234</v>
      </c>
      <c r="F1066" s="572"/>
      <c r="G1066" s="571"/>
      <c r="H1066" s="571"/>
    </row>
    <row r="1067" spans="1:8" x14ac:dyDescent="0.2">
      <c r="A1067" s="560" t="s">
        <v>3235</v>
      </c>
      <c r="B1067" s="571"/>
      <c r="C1067" s="571">
        <v>0</v>
      </c>
      <c r="D1067" s="571" t="s">
        <v>1481</v>
      </c>
      <c r="E1067" s="561" t="s">
        <v>3236</v>
      </c>
      <c r="F1067" s="572"/>
      <c r="G1067" s="571"/>
      <c r="H1067" s="571">
        <v>1</v>
      </c>
    </row>
    <row r="1068" spans="1:8" x14ac:dyDescent="0.2">
      <c r="A1068" s="560" t="s">
        <v>3237</v>
      </c>
      <c r="B1068" s="571" t="s">
        <v>1443</v>
      </c>
      <c r="C1068" s="571">
        <v>1</v>
      </c>
      <c r="D1068" s="571" t="s">
        <v>1444</v>
      </c>
      <c r="E1068" s="561" t="s">
        <v>3238</v>
      </c>
      <c r="F1068" s="572"/>
      <c r="G1068" s="571"/>
      <c r="H1068" s="571">
        <v>1</v>
      </c>
    </row>
    <row r="1069" spans="1:8" x14ac:dyDescent="0.2">
      <c r="A1069" s="560" t="s">
        <v>3239</v>
      </c>
      <c r="B1069" s="571" t="s">
        <v>1443</v>
      </c>
      <c r="C1069" s="571">
        <v>6</v>
      </c>
      <c r="D1069" s="571" t="s">
        <v>1449</v>
      </c>
      <c r="E1069" s="561" t="s">
        <v>3240</v>
      </c>
      <c r="F1069" s="572"/>
      <c r="G1069" s="571"/>
      <c r="H1069" s="571"/>
    </row>
    <row r="1070" spans="1:8" x14ac:dyDescent="0.2">
      <c r="A1070" s="560" t="s">
        <v>3241</v>
      </c>
      <c r="B1070" s="571"/>
      <c r="C1070" s="571">
        <v>0</v>
      </c>
      <c r="D1070" s="571" t="s">
        <v>1444</v>
      </c>
      <c r="E1070" s="561" t="s">
        <v>3242</v>
      </c>
      <c r="F1070" s="572"/>
      <c r="G1070" s="571"/>
      <c r="H1070" s="571"/>
    </row>
    <row r="1071" spans="1:8" x14ac:dyDescent="0.2">
      <c r="A1071" s="560" t="s">
        <v>3243</v>
      </c>
      <c r="B1071" s="571" t="s">
        <v>1443</v>
      </c>
      <c r="C1071" s="571">
        <v>0</v>
      </c>
      <c r="D1071" s="571" t="s">
        <v>1464</v>
      </c>
      <c r="E1071" s="561" t="s">
        <v>3244</v>
      </c>
      <c r="F1071" s="572"/>
      <c r="G1071" s="571"/>
      <c r="H1071" s="571">
        <v>2</v>
      </c>
    </row>
    <row r="1072" spans="1:8" x14ac:dyDescent="0.2">
      <c r="A1072" s="560" t="s">
        <v>3245</v>
      </c>
      <c r="B1072" s="571"/>
      <c r="C1072" s="571">
        <v>0</v>
      </c>
      <c r="D1072" s="571" t="s">
        <v>1481</v>
      </c>
      <c r="E1072" s="561" t="s">
        <v>3246</v>
      </c>
      <c r="F1072" s="572"/>
      <c r="G1072" s="571"/>
      <c r="H1072" s="571"/>
    </row>
    <row r="1073" spans="1:8" x14ac:dyDescent="0.2">
      <c r="A1073" s="560" t="s">
        <v>3247</v>
      </c>
      <c r="B1073" s="571" t="s">
        <v>1443</v>
      </c>
      <c r="C1073" s="571">
        <v>3</v>
      </c>
      <c r="D1073" s="571" t="s">
        <v>1452</v>
      </c>
      <c r="E1073" s="561" t="s">
        <v>3248</v>
      </c>
      <c r="F1073" s="572"/>
      <c r="G1073" s="571"/>
      <c r="H1073" s="571"/>
    </row>
    <row r="1074" spans="1:8" x14ac:dyDescent="0.2">
      <c r="A1074" s="560" t="s">
        <v>3249</v>
      </c>
      <c r="B1074" s="571" t="s">
        <v>1443</v>
      </c>
      <c r="C1074" s="571">
        <v>8</v>
      </c>
      <c r="D1074" s="571" t="s">
        <v>1452</v>
      </c>
      <c r="E1074" s="561" t="s">
        <v>3250</v>
      </c>
      <c r="F1074" s="572"/>
      <c r="G1074" s="571"/>
      <c r="H1074" s="571"/>
    </row>
    <row r="1075" spans="1:8" x14ac:dyDescent="0.2">
      <c r="A1075" s="560" t="s">
        <v>3251</v>
      </c>
      <c r="B1075" s="571"/>
      <c r="C1075" s="571">
        <v>0</v>
      </c>
      <c r="D1075" s="571" t="s">
        <v>1449</v>
      </c>
      <c r="E1075" s="561" t="s">
        <v>3252</v>
      </c>
      <c r="F1075" s="572"/>
      <c r="G1075" s="571"/>
      <c r="H1075" s="571"/>
    </row>
    <row r="1076" spans="1:8" x14ac:dyDescent="0.2">
      <c r="A1076" s="560" t="s">
        <v>3253</v>
      </c>
      <c r="B1076" s="571"/>
      <c r="C1076" s="571">
        <v>0</v>
      </c>
      <c r="D1076" s="571" t="s">
        <v>1449</v>
      </c>
      <c r="E1076" s="561" t="s">
        <v>3254</v>
      </c>
      <c r="F1076" s="572"/>
      <c r="G1076" s="571"/>
      <c r="H1076" s="571"/>
    </row>
    <row r="1077" spans="1:8" x14ac:dyDescent="0.2">
      <c r="A1077" s="560" t="s">
        <v>3255</v>
      </c>
      <c r="B1077" s="571" t="s">
        <v>1443</v>
      </c>
      <c r="C1077" s="571">
        <v>3</v>
      </c>
      <c r="D1077" s="571" t="s">
        <v>1464</v>
      </c>
      <c r="E1077" s="561" t="s">
        <v>3256</v>
      </c>
      <c r="F1077" s="572"/>
      <c r="G1077" s="571"/>
      <c r="H1077" s="571"/>
    </row>
    <row r="1078" spans="1:8" x14ac:dyDescent="0.2">
      <c r="A1078" s="560" t="s">
        <v>3257</v>
      </c>
      <c r="B1078" s="571" t="s">
        <v>1443</v>
      </c>
      <c r="C1078" s="571">
        <v>0</v>
      </c>
      <c r="D1078" s="571" t="s">
        <v>1449</v>
      </c>
      <c r="E1078" s="561" t="s">
        <v>3258</v>
      </c>
      <c r="F1078" s="572"/>
      <c r="G1078" s="571"/>
      <c r="H1078" s="571">
        <v>1</v>
      </c>
    </row>
    <row r="1079" spans="1:8" x14ac:dyDescent="0.2">
      <c r="A1079" s="560" t="s">
        <v>3259</v>
      </c>
      <c r="B1079" s="571"/>
      <c r="C1079" s="571">
        <v>0</v>
      </c>
      <c r="D1079" s="571" t="s">
        <v>1464</v>
      </c>
      <c r="E1079" s="561" t="s">
        <v>3260</v>
      </c>
      <c r="F1079" s="572"/>
      <c r="G1079" s="571"/>
      <c r="H1079" s="571"/>
    </row>
    <row r="1080" spans="1:8" x14ac:dyDescent="0.2">
      <c r="A1080" s="560" t="s">
        <v>3261</v>
      </c>
      <c r="B1080" s="571"/>
      <c r="C1080" s="571">
        <v>0</v>
      </c>
      <c r="D1080" s="571" t="s">
        <v>1464</v>
      </c>
      <c r="E1080" s="561" t="s">
        <v>3262</v>
      </c>
      <c r="F1080" s="572"/>
      <c r="G1080" s="571"/>
      <c r="H1080" s="571"/>
    </row>
    <row r="1081" spans="1:8" x14ac:dyDescent="0.2">
      <c r="A1081" s="560" t="s">
        <v>3263</v>
      </c>
      <c r="B1081" s="571"/>
      <c r="C1081" s="571">
        <v>0</v>
      </c>
      <c r="D1081" s="571" t="s">
        <v>1464</v>
      </c>
      <c r="E1081" s="561" t="s">
        <v>3264</v>
      </c>
      <c r="F1081" s="572"/>
      <c r="G1081" s="571"/>
      <c r="H1081" s="571"/>
    </row>
    <row r="1082" spans="1:8" x14ac:dyDescent="0.2">
      <c r="A1082" s="560" t="s">
        <v>3265</v>
      </c>
      <c r="B1082" s="571" t="s">
        <v>1443</v>
      </c>
      <c r="C1082" s="571">
        <v>0</v>
      </c>
      <c r="D1082" s="571" t="s">
        <v>1464</v>
      </c>
      <c r="E1082" s="561" t="s">
        <v>3266</v>
      </c>
      <c r="F1082" s="572"/>
      <c r="G1082" s="571"/>
      <c r="H1082" s="571">
        <v>1</v>
      </c>
    </row>
    <row r="1083" spans="1:8" x14ac:dyDescent="0.2">
      <c r="A1083" s="560" t="s">
        <v>3267</v>
      </c>
      <c r="B1083" s="571" t="s">
        <v>1443</v>
      </c>
      <c r="C1083" s="571">
        <v>0</v>
      </c>
      <c r="D1083" s="571" t="s">
        <v>1464</v>
      </c>
      <c r="E1083" s="561" t="s">
        <v>3268</v>
      </c>
      <c r="F1083" s="572"/>
      <c r="G1083" s="571"/>
      <c r="H1083" s="571"/>
    </row>
    <row r="1084" spans="1:8" x14ac:dyDescent="0.2">
      <c r="A1084" s="560" t="s">
        <v>3269</v>
      </c>
      <c r="B1084" s="571" t="s">
        <v>1443</v>
      </c>
      <c r="C1084" s="571">
        <v>8</v>
      </c>
      <c r="D1084" s="571" t="s">
        <v>1464</v>
      </c>
      <c r="E1084" s="561" t="s">
        <v>3270</v>
      </c>
      <c r="F1084" s="572"/>
      <c r="G1084" s="571"/>
      <c r="H1084" s="571"/>
    </row>
    <row r="1085" spans="1:8" x14ac:dyDescent="0.2">
      <c r="A1085" s="560" t="s">
        <v>3271</v>
      </c>
      <c r="B1085" s="571" t="s">
        <v>1443</v>
      </c>
      <c r="C1085" s="571">
        <v>1</v>
      </c>
      <c r="D1085" s="571" t="s">
        <v>1464</v>
      </c>
      <c r="E1085" s="561"/>
      <c r="F1085" s="572"/>
      <c r="G1085" s="571"/>
      <c r="H1085" s="571"/>
    </row>
    <row r="1086" spans="1:8" x14ac:dyDescent="0.2">
      <c r="A1086" s="560" t="s">
        <v>3272</v>
      </c>
      <c r="B1086" s="571"/>
      <c r="C1086" s="571">
        <v>0</v>
      </c>
      <c r="D1086" s="571" t="s">
        <v>1464</v>
      </c>
      <c r="E1086" s="561" t="s">
        <v>3273</v>
      </c>
      <c r="F1086" s="572"/>
      <c r="G1086" s="571"/>
      <c r="H1086" s="571">
        <v>1</v>
      </c>
    </row>
    <row r="1087" spans="1:8" x14ac:dyDescent="0.2">
      <c r="A1087" s="560" t="s">
        <v>3274</v>
      </c>
      <c r="B1087" s="571" t="s">
        <v>1443</v>
      </c>
      <c r="C1087" s="571">
        <v>0</v>
      </c>
      <c r="D1087" s="571" t="s">
        <v>1464</v>
      </c>
      <c r="E1087" s="561" t="s">
        <v>3275</v>
      </c>
      <c r="F1087" s="572"/>
      <c r="G1087" s="571"/>
      <c r="H1087" s="571"/>
    </row>
    <row r="1088" spans="1:8" x14ac:dyDescent="0.2">
      <c r="A1088" s="560" t="s">
        <v>3276</v>
      </c>
      <c r="B1088" s="571"/>
      <c r="C1088" s="571">
        <v>0</v>
      </c>
      <c r="D1088" s="571" t="s">
        <v>1481</v>
      </c>
      <c r="E1088" s="561" t="s">
        <v>3277</v>
      </c>
      <c r="F1088" s="572"/>
      <c r="G1088" s="571"/>
      <c r="H1088" s="571"/>
    </row>
    <row r="1089" spans="1:8" x14ac:dyDescent="0.2">
      <c r="A1089" s="560" t="s">
        <v>3278</v>
      </c>
      <c r="B1089" s="571"/>
      <c r="C1089" s="571">
        <v>0</v>
      </c>
      <c r="D1089" s="571"/>
      <c r="E1089" s="561"/>
      <c r="F1089" s="572"/>
      <c r="G1089" s="571"/>
      <c r="H1089" s="571"/>
    </row>
    <row r="1090" spans="1:8" x14ac:dyDescent="0.2">
      <c r="A1090" s="560" t="s">
        <v>3279</v>
      </c>
      <c r="B1090" s="571" t="s">
        <v>1443</v>
      </c>
      <c r="C1090" s="571">
        <v>3</v>
      </c>
      <c r="D1090" s="571" t="s">
        <v>1452</v>
      </c>
      <c r="E1090" s="561" t="s">
        <v>3280</v>
      </c>
      <c r="F1090" s="572"/>
      <c r="G1090" s="571"/>
      <c r="H1090" s="571"/>
    </row>
    <row r="1091" spans="1:8" x14ac:dyDescent="0.2">
      <c r="A1091" s="560" t="s">
        <v>1379</v>
      </c>
      <c r="B1091" s="571"/>
      <c r="C1091" s="571">
        <v>0</v>
      </c>
      <c r="D1091" s="571" t="s">
        <v>1444</v>
      </c>
      <c r="E1091" s="561" t="s">
        <v>1380</v>
      </c>
      <c r="F1091" s="572" t="s">
        <v>1456</v>
      </c>
      <c r="G1091" s="571"/>
      <c r="H1091" s="571"/>
    </row>
    <row r="1092" spans="1:8" x14ac:dyDescent="0.2">
      <c r="A1092" s="560" t="s">
        <v>1381</v>
      </c>
      <c r="B1092" s="571" t="s">
        <v>1443</v>
      </c>
      <c r="C1092" s="571">
        <v>0</v>
      </c>
      <c r="D1092" s="571"/>
      <c r="E1092" s="561" t="s">
        <v>1382</v>
      </c>
      <c r="F1092" s="572" t="s">
        <v>1456</v>
      </c>
      <c r="G1092" s="571"/>
      <c r="H1092" s="571"/>
    </row>
    <row r="1093" spans="1:8" x14ac:dyDescent="0.2">
      <c r="A1093" s="560" t="s">
        <v>3281</v>
      </c>
      <c r="B1093" s="571" t="s">
        <v>1443</v>
      </c>
      <c r="C1093" s="571">
        <v>2</v>
      </c>
      <c r="D1093" s="571" t="s">
        <v>1449</v>
      </c>
      <c r="E1093" s="561" t="s">
        <v>3282</v>
      </c>
      <c r="F1093" s="572"/>
      <c r="G1093" s="571"/>
      <c r="H1093" s="571"/>
    </row>
    <row r="1094" spans="1:8" x14ac:dyDescent="0.2">
      <c r="A1094" s="560" t="s">
        <v>3283</v>
      </c>
      <c r="B1094" s="571"/>
      <c r="C1094" s="571">
        <v>0</v>
      </c>
      <c r="D1094" s="571"/>
      <c r="E1094" s="561"/>
      <c r="F1094" s="572"/>
      <c r="G1094" s="571"/>
      <c r="H1094" s="571"/>
    </row>
    <row r="1095" spans="1:8" x14ac:dyDescent="0.2">
      <c r="A1095" s="560" t="s">
        <v>3284</v>
      </c>
      <c r="B1095" s="571" t="s">
        <v>1443</v>
      </c>
      <c r="C1095" s="571">
        <v>6</v>
      </c>
      <c r="D1095" s="571" t="s">
        <v>1452</v>
      </c>
      <c r="E1095" s="561" t="s">
        <v>3285</v>
      </c>
      <c r="F1095" s="572"/>
      <c r="G1095" s="571"/>
      <c r="H1095" s="571"/>
    </row>
    <row r="1096" spans="1:8" x14ac:dyDescent="0.2">
      <c r="A1096" s="560" t="s">
        <v>3286</v>
      </c>
      <c r="B1096" s="571" t="s">
        <v>1443</v>
      </c>
      <c r="C1096" s="571">
        <v>12</v>
      </c>
      <c r="D1096" s="571" t="s">
        <v>1481</v>
      </c>
      <c r="E1096" s="561" t="s">
        <v>3287</v>
      </c>
      <c r="F1096" s="572"/>
      <c r="G1096" s="571"/>
      <c r="H1096" s="571"/>
    </row>
    <row r="1097" spans="1:8" x14ac:dyDescent="0.2">
      <c r="A1097" s="560" t="s">
        <v>1383</v>
      </c>
      <c r="B1097" s="571" t="s">
        <v>1443</v>
      </c>
      <c r="C1097" s="571">
        <v>5</v>
      </c>
      <c r="D1097" s="571" t="s">
        <v>1452</v>
      </c>
      <c r="E1097" s="561" t="s">
        <v>1384</v>
      </c>
      <c r="F1097" s="572" t="s">
        <v>1456</v>
      </c>
      <c r="G1097" s="571"/>
      <c r="H1097" s="571"/>
    </row>
    <row r="1098" spans="1:8" x14ac:dyDescent="0.2">
      <c r="A1098" s="560" t="s">
        <v>3288</v>
      </c>
      <c r="B1098" s="571" t="s">
        <v>1443</v>
      </c>
      <c r="C1098" s="571">
        <v>2</v>
      </c>
      <c r="D1098" s="571" t="s">
        <v>1452</v>
      </c>
      <c r="E1098" s="561" t="s">
        <v>3289</v>
      </c>
      <c r="F1098" s="572"/>
      <c r="G1098" s="571"/>
      <c r="H1098" s="571"/>
    </row>
    <row r="1099" spans="1:8" x14ac:dyDescent="0.2">
      <c r="A1099" s="560" t="s">
        <v>3290</v>
      </c>
      <c r="B1099" s="571" t="s">
        <v>1443</v>
      </c>
      <c r="C1099" s="571">
        <v>8</v>
      </c>
      <c r="D1099" s="571" t="s">
        <v>1452</v>
      </c>
      <c r="E1099" s="561" t="s">
        <v>3291</v>
      </c>
      <c r="F1099" s="572"/>
      <c r="G1099" s="571"/>
      <c r="H1099" s="571"/>
    </row>
    <row r="1100" spans="1:8" x14ac:dyDescent="0.2">
      <c r="A1100" s="560" t="s">
        <v>3292</v>
      </c>
      <c r="B1100" s="571" t="s">
        <v>1443</v>
      </c>
      <c r="C1100" s="571">
        <v>1</v>
      </c>
      <c r="D1100" s="571" t="s">
        <v>1444</v>
      </c>
      <c r="E1100" s="561" t="s">
        <v>3293</v>
      </c>
      <c r="F1100" s="572"/>
      <c r="G1100" s="571"/>
      <c r="H1100" s="571">
        <v>1</v>
      </c>
    </row>
    <row r="1101" spans="1:8" x14ac:dyDescent="0.2">
      <c r="A1101" s="560" t="s">
        <v>3294</v>
      </c>
      <c r="B1101" s="571" t="s">
        <v>1443</v>
      </c>
      <c r="C1101" s="571">
        <v>12</v>
      </c>
      <c r="D1101" s="571" t="s">
        <v>1444</v>
      </c>
      <c r="E1101" s="561" t="s">
        <v>3295</v>
      </c>
      <c r="F1101" s="572"/>
      <c r="G1101" s="571"/>
      <c r="H1101" s="571"/>
    </row>
    <row r="1102" spans="1:8" x14ac:dyDescent="0.2">
      <c r="A1102" s="560" t="s">
        <v>3296</v>
      </c>
      <c r="B1102" s="571" t="s">
        <v>1443</v>
      </c>
      <c r="C1102" s="571">
        <v>0</v>
      </c>
      <c r="D1102" s="571" t="s">
        <v>1449</v>
      </c>
      <c r="E1102" s="561" t="s">
        <v>3297</v>
      </c>
      <c r="F1102" s="572"/>
      <c r="G1102" s="571"/>
      <c r="H1102" s="571"/>
    </row>
    <row r="1103" spans="1:8" x14ac:dyDescent="0.2">
      <c r="A1103" s="560" t="s">
        <v>3298</v>
      </c>
      <c r="B1103" s="571" t="s">
        <v>1443</v>
      </c>
      <c r="C1103" s="571">
        <v>1</v>
      </c>
      <c r="D1103" s="571" t="s">
        <v>1444</v>
      </c>
      <c r="E1103" s="561" t="s">
        <v>3299</v>
      </c>
      <c r="F1103" s="572"/>
      <c r="G1103" s="571"/>
      <c r="H1103" s="571">
        <v>2</v>
      </c>
    </row>
    <row r="1104" spans="1:8" x14ac:dyDescent="0.2">
      <c r="A1104" s="560" t="s">
        <v>1385</v>
      </c>
      <c r="B1104" s="571" t="s">
        <v>1443</v>
      </c>
      <c r="C1104" s="571">
        <v>0</v>
      </c>
      <c r="D1104" s="571" t="s">
        <v>1452</v>
      </c>
      <c r="E1104" s="561" t="s">
        <v>1386</v>
      </c>
      <c r="F1104" s="572" t="s">
        <v>1456</v>
      </c>
      <c r="G1104" s="571"/>
      <c r="H1104" s="571"/>
    </row>
    <row r="1105" spans="1:8" x14ac:dyDescent="0.2">
      <c r="A1105" s="560" t="s">
        <v>3300</v>
      </c>
      <c r="B1105" s="571" t="s">
        <v>1443</v>
      </c>
      <c r="C1105" s="571">
        <v>10</v>
      </c>
      <c r="D1105" s="571" t="s">
        <v>1481</v>
      </c>
      <c r="E1105" s="561" t="s">
        <v>3301</v>
      </c>
      <c r="F1105" s="572"/>
      <c r="G1105" s="571"/>
      <c r="H1105" s="571"/>
    </row>
    <row r="1106" spans="1:8" x14ac:dyDescent="0.2">
      <c r="A1106" s="560" t="s">
        <v>3302</v>
      </c>
      <c r="B1106" s="571"/>
      <c r="C1106" s="571">
        <v>0</v>
      </c>
      <c r="D1106" s="571" t="s">
        <v>1481</v>
      </c>
      <c r="E1106" s="561" t="s">
        <v>3303</v>
      </c>
      <c r="F1106" s="572"/>
      <c r="G1106" s="571"/>
      <c r="H1106" s="571">
        <v>1</v>
      </c>
    </row>
    <row r="1107" spans="1:8" x14ac:dyDescent="0.2">
      <c r="A1107" s="560" t="s">
        <v>3304</v>
      </c>
      <c r="B1107" s="571" t="s">
        <v>1443</v>
      </c>
      <c r="C1107" s="571">
        <v>0</v>
      </c>
      <c r="D1107" s="571" t="s">
        <v>1464</v>
      </c>
      <c r="E1107" s="561" t="s">
        <v>3305</v>
      </c>
      <c r="F1107" s="572"/>
      <c r="G1107" s="571"/>
      <c r="H1107" s="571"/>
    </row>
    <row r="1108" spans="1:8" x14ac:dyDescent="0.2">
      <c r="A1108" s="560" t="s">
        <v>1387</v>
      </c>
      <c r="B1108" s="571" t="s">
        <v>1443</v>
      </c>
      <c r="C1108" s="571">
        <v>1</v>
      </c>
      <c r="D1108" s="571" t="s">
        <v>1452</v>
      </c>
      <c r="E1108" s="561" t="s">
        <v>1388</v>
      </c>
      <c r="F1108" s="572" t="s">
        <v>1456</v>
      </c>
      <c r="G1108" s="571"/>
      <c r="H1108" s="571"/>
    </row>
    <row r="1109" spans="1:8" x14ac:dyDescent="0.2">
      <c r="A1109" s="560" t="s">
        <v>3306</v>
      </c>
      <c r="B1109" s="571" t="s">
        <v>1443</v>
      </c>
      <c r="C1109" s="571">
        <v>2</v>
      </c>
      <c r="D1109" s="571"/>
      <c r="E1109" s="561"/>
      <c r="F1109" s="572"/>
      <c r="G1109" s="571"/>
      <c r="H1109" s="571"/>
    </row>
    <row r="1110" spans="1:8" x14ac:dyDescent="0.2">
      <c r="A1110" s="560" t="s">
        <v>3307</v>
      </c>
      <c r="B1110" s="571" t="s">
        <v>1443</v>
      </c>
      <c r="C1110" s="571">
        <v>11</v>
      </c>
      <c r="D1110" s="571" t="s">
        <v>1452</v>
      </c>
      <c r="E1110" s="561" t="s">
        <v>3308</v>
      </c>
      <c r="F1110" s="572"/>
      <c r="G1110" s="571"/>
      <c r="H1110" s="571"/>
    </row>
    <row r="1111" spans="1:8" x14ac:dyDescent="0.2">
      <c r="A1111" s="560" t="s">
        <v>3309</v>
      </c>
      <c r="B1111" s="571" t="s">
        <v>1443</v>
      </c>
      <c r="C1111" s="571">
        <v>9</v>
      </c>
      <c r="D1111" s="571" t="s">
        <v>1452</v>
      </c>
      <c r="E1111" s="561" t="s">
        <v>3310</v>
      </c>
      <c r="F1111" s="572"/>
      <c r="G1111" s="571"/>
      <c r="H1111" s="571"/>
    </row>
    <row r="1112" spans="1:8" x14ac:dyDescent="0.2">
      <c r="A1112" s="560" t="s">
        <v>3311</v>
      </c>
      <c r="B1112" s="571" t="s">
        <v>1443</v>
      </c>
      <c r="C1112" s="571">
        <v>0</v>
      </c>
      <c r="D1112" s="571" t="s">
        <v>1444</v>
      </c>
      <c r="E1112" s="561" t="s">
        <v>3312</v>
      </c>
      <c r="F1112" s="572"/>
      <c r="G1112" s="571"/>
      <c r="H1112" s="571"/>
    </row>
    <row r="1113" spans="1:8" x14ac:dyDescent="0.2">
      <c r="A1113" s="560" t="s">
        <v>1389</v>
      </c>
      <c r="B1113" s="571" t="s">
        <v>1443</v>
      </c>
      <c r="C1113" s="571">
        <v>2</v>
      </c>
      <c r="D1113" s="571" t="s">
        <v>1452</v>
      </c>
      <c r="E1113" s="561" t="s">
        <v>1390</v>
      </c>
      <c r="F1113" s="572" t="s">
        <v>1456</v>
      </c>
      <c r="G1113" s="571" t="s">
        <v>1456</v>
      </c>
      <c r="H1113" s="571"/>
    </row>
    <row r="1114" spans="1:8" x14ac:dyDescent="0.2">
      <c r="A1114" s="560" t="s">
        <v>1391</v>
      </c>
      <c r="B1114" s="571" t="s">
        <v>1443</v>
      </c>
      <c r="C1114" s="571">
        <v>1</v>
      </c>
      <c r="D1114" s="571" t="s">
        <v>1452</v>
      </c>
      <c r="E1114" s="561" t="s">
        <v>1392</v>
      </c>
      <c r="F1114" s="572" t="s">
        <v>1456</v>
      </c>
      <c r="G1114" s="571"/>
      <c r="H1114" s="571"/>
    </row>
    <row r="1115" spans="1:8" x14ac:dyDescent="0.2">
      <c r="A1115" s="560" t="s">
        <v>1393</v>
      </c>
      <c r="B1115" s="571" t="s">
        <v>1443</v>
      </c>
      <c r="C1115" s="571">
        <v>0</v>
      </c>
      <c r="D1115" s="571" t="s">
        <v>1444</v>
      </c>
      <c r="E1115" s="561" t="s">
        <v>1394</v>
      </c>
      <c r="F1115" s="572" t="s">
        <v>1456</v>
      </c>
      <c r="G1115" s="571"/>
      <c r="H1115" s="571"/>
    </row>
    <row r="1116" spans="1:8" x14ac:dyDescent="0.2">
      <c r="A1116" s="562" t="s">
        <v>1395</v>
      </c>
      <c r="B1116" s="571" t="s">
        <v>1443</v>
      </c>
      <c r="C1116" s="571">
        <v>0</v>
      </c>
      <c r="D1116" s="571"/>
      <c r="E1116" s="561"/>
      <c r="F1116" s="572" t="s">
        <v>1456</v>
      </c>
      <c r="G1116" s="571"/>
      <c r="H1116" s="571"/>
    </row>
    <row r="1117" spans="1:8" x14ac:dyDescent="0.2">
      <c r="A1117" s="560" t="s">
        <v>3313</v>
      </c>
      <c r="B1117" s="571" t="s">
        <v>1443</v>
      </c>
      <c r="C1117" s="571">
        <v>4</v>
      </c>
      <c r="D1117" s="571" t="s">
        <v>1452</v>
      </c>
      <c r="E1117" s="561" t="s">
        <v>3314</v>
      </c>
      <c r="F1117" s="572"/>
      <c r="G1117" s="571"/>
      <c r="H1117" s="571"/>
    </row>
    <row r="1118" spans="1:8" x14ac:dyDescent="0.2">
      <c r="A1118" s="560" t="s">
        <v>3315</v>
      </c>
      <c r="B1118" s="571" t="s">
        <v>1443</v>
      </c>
      <c r="C1118" s="571">
        <v>9</v>
      </c>
      <c r="D1118" s="571" t="s">
        <v>1452</v>
      </c>
      <c r="E1118" s="561" t="s">
        <v>3316</v>
      </c>
      <c r="F1118" s="572"/>
      <c r="G1118" s="571"/>
      <c r="H1118" s="571"/>
    </row>
    <row r="1119" spans="1:8" x14ac:dyDescent="0.2">
      <c r="A1119" s="560" t="s">
        <v>3317</v>
      </c>
      <c r="B1119" s="571" t="s">
        <v>1443</v>
      </c>
      <c r="C1119" s="571">
        <v>3</v>
      </c>
      <c r="D1119" s="571" t="s">
        <v>1464</v>
      </c>
      <c r="E1119" s="561" t="s">
        <v>3318</v>
      </c>
      <c r="F1119" s="572"/>
      <c r="G1119" s="571"/>
      <c r="H1119" s="571"/>
    </row>
    <row r="1120" spans="1:8" x14ac:dyDescent="0.2">
      <c r="A1120" s="560" t="s">
        <v>3319</v>
      </c>
      <c r="B1120" s="571"/>
      <c r="C1120" s="571">
        <v>0</v>
      </c>
      <c r="D1120" s="571" t="s">
        <v>1464</v>
      </c>
      <c r="E1120" s="561" t="s">
        <v>3320</v>
      </c>
      <c r="F1120" s="572"/>
      <c r="G1120" s="571"/>
      <c r="H1120" s="571"/>
    </row>
    <row r="1121" spans="1:8" x14ac:dyDescent="0.2">
      <c r="A1121" s="560" t="s">
        <v>3321</v>
      </c>
      <c r="B1121" s="571" t="s">
        <v>1443</v>
      </c>
      <c r="C1121" s="571">
        <v>7</v>
      </c>
      <c r="D1121" s="571" t="s">
        <v>1464</v>
      </c>
      <c r="E1121" s="561" t="s">
        <v>3322</v>
      </c>
      <c r="F1121" s="572"/>
      <c r="G1121" s="571"/>
      <c r="H1121" s="571"/>
    </row>
    <row r="1122" spans="1:8" x14ac:dyDescent="0.2">
      <c r="A1122" s="560" t="s">
        <v>3323</v>
      </c>
      <c r="B1122" s="571" t="s">
        <v>1443</v>
      </c>
      <c r="C1122" s="571">
        <v>0</v>
      </c>
      <c r="D1122" s="571" t="s">
        <v>1464</v>
      </c>
      <c r="E1122" s="561" t="s">
        <v>3324</v>
      </c>
      <c r="F1122" s="572"/>
      <c r="G1122" s="571"/>
      <c r="H1122" s="571"/>
    </row>
    <row r="1123" spans="1:8" x14ac:dyDescent="0.2">
      <c r="A1123" s="560" t="s">
        <v>3325</v>
      </c>
      <c r="B1123" s="571" t="s">
        <v>1443</v>
      </c>
      <c r="C1123" s="571">
        <v>12</v>
      </c>
      <c r="D1123" s="571" t="s">
        <v>1481</v>
      </c>
      <c r="E1123" s="561" t="s">
        <v>3326</v>
      </c>
      <c r="F1123" s="572"/>
      <c r="G1123" s="571"/>
      <c r="H1123" s="571"/>
    </row>
    <row r="1124" spans="1:8" x14ac:dyDescent="0.2">
      <c r="A1124" s="560" t="s">
        <v>1396</v>
      </c>
      <c r="B1124" s="571" t="s">
        <v>1443</v>
      </c>
      <c r="C1124" s="571">
        <v>1</v>
      </c>
      <c r="D1124" s="571" t="s">
        <v>1449</v>
      </c>
      <c r="E1124" s="561" t="s">
        <v>1397</v>
      </c>
      <c r="F1124" s="572" t="s">
        <v>1456</v>
      </c>
      <c r="G1124" s="571"/>
      <c r="H1124" s="571"/>
    </row>
    <row r="1125" spans="1:8" x14ac:dyDescent="0.2">
      <c r="A1125" s="560" t="s">
        <v>3327</v>
      </c>
      <c r="B1125" s="571"/>
      <c r="C1125" s="571">
        <v>0</v>
      </c>
      <c r="D1125" s="571" t="s">
        <v>1452</v>
      </c>
      <c r="E1125" s="561"/>
      <c r="F1125" s="572"/>
      <c r="G1125" s="571"/>
      <c r="H1125" s="571"/>
    </row>
    <row r="1126" spans="1:8" x14ac:dyDescent="0.2">
      <c r="A1126" s="560" t="s">
        <v>3328</v>
      </c>
      <c r="B1126" s="571" t="s">
        <v>1443</v>
      </c>
      <c r="C1126" s="571">
        <v>5</v>
      </c>
      <c r="D1126" s="571" t="s">
        <v>1481</v>
      </c>
      <c r="E1126" s="561" t="s">
        <v>3329</v>
      </c>
      <c r="F1126" s="572"/>
      <c r="G1126" s="571"/>
      <c r="H1126" s="571">
        <v>1</v>
      </c>
    </row>
    <row r="1127" spans="1:8" x14ac:dyDescent="0.2">
      <c r="A1127" s="560" t="s">
        <v>3330</v>
      </c>
      <c r="B1127" s="571" t="s">
        <v>1443</v>
      </c>
      <c r="C1127" s="571">
        <v>1</v>
      </c>
      <c r="D1127" s="571" t="s">
        <v>1452</v>
      </c>
      <c r="E1127" s="561" t="s">
        <v>3331</v>
      </c>
      <c r="F1127" s="572"/>
      <c r="G1127" s="571"/>
      <c r="H1127" s="571"/>
    </row>
    <row r="1128" spans="1:8" x14ac:dyDescent="0.2">
      <c r="A1128" s="560" t="s">
        <v>3332</v>
      </c>
      <c r="B1128" s="571" t="s">
        <v>1443</v>
      </c>
      <c r="C1128" s="571">
        <v>5</v>
      </c>
      <c r="D1128" s="571" t="s">
        <v>1464</v>
      </c>
      <c r="E1128" s="561" t="s">
        <v>3333</v>
      </c>
      <c r="F1128" s="572"/>
      <c r="G1128" s="571"/>
      <c r="H1128" s="571"/>
    </row>
    <row r="1129" spans="1:8" x14ac:dyDescent="0.2">
      <c r="A1129" s="560" t="s">
        <v>3334</v>
      </c>
      <c r="B1129" s="571"/>
      <c r="C1129" s="571">
        <v>0</v>
      </c>
      <c r="D1129" s="571" t="s">
        <v>1481</v>
      </c>
      <c r="E1129" s="561" t="s">
        <v>3335</v>
      </c>
      <c r="F1129" s="572"/>
      <c r="G1129" s="571"/>
      <c r="H1129" s="571"/>
    </row>
    <row r="1130" spans="1:8" x14ac:dyDescent="0.2">
      <c r="A1130" s="560" t="s">
        <v>3336</v>
      </c>
      <c r="B1130" s="571" t="s">
        <v>1443</v>
      </c>
      <c r="C1130" s="571">
        <v>0</v>
      </c>
      <c r="D1130" s="571" t="s">
        <v>1444</v>
      </c>
      <c r="E1130" s="561" t="s">
        <v>3337</v>
      </c>
      <c r="F1130" s="572"/>
      <c r="G1130" s="571"/>
      <c r="H1130" s="571"/>
    </row>
    <row r="1131" spans="1:8" x14ac:dyDescent="0.2">
      <c r="A1131" s="560" t="s">
        <v>3338</v>
      </c>
      <c r="B1131" s="571"/>
      <c r="C1131" s="571">
        <v>0</v>
      </c>
      <c r="D1131" s="571" t="s">
        <v>1481</v>
      </c>
      <c r="E1131" s="561" t="s">
        <v>3339</v>
      </c>
      <c r="F1131" s="572"/>
      <c r="G1131" s="571"/>
      <c r="H1131" s="571"/>
    </row>
    <row r="1132" spans="1:8" x14ac:dyDescent="0.2">
      <c r="A1132" s="560" t="s">
        <v>3340</v>
      </c>
      <c r="B1132" s="571" t="s">
        <v>1443</v>
      </c>
      <c r="C1132" s="571">
        <v>0</v>
      </c>
      <c r="D1132" s="571" t="s">
        <v>1481</v>
      </c>
      <c r="E1132" s="561" t="s">
        <v>3341</v>
      </c>
      <c r="F1132" s="572"/>
      <c r="G1132" s="571"/>
      <c r="H1132" s="571"/>
    </row>
    <row r="1133" spans="1:8" x14ac:dyDescent="0.2">
      <c r="A1133" s="560" t="s">
        <v>3342</v>
      </c>
      <c r="B1133" s="571" t="s">
        <v>1443</v>
      </c>
      <c r="C1133" s="571">
        <v>15</v>
      </c>
      <c r="D1133" s="571" t="s">
        <v>1481</v>
      </c>
      <c r="E1133" s="561" t="s">
        <v>3343</v>
      </c>
      <c r="F1133" s="572"/>
      <c r="G1133" s="571"/>
      <c r="H1133" s="571"/>
    </row>
    <row r="1134" spans="1:8" x14ac:dyDescent="0.2">
      <c r="A1134" s="560" t="s">
        <v>3344</v>
      </c>
      <c r="B1134" s="571" t="s">
        <v>1443</v>
      </c>
      <c r="C1134" s="571">
        <v>2</v>
      </c>
      <c r="D1134" s="571" t="s">
        <v>1481</v>
      </c>
      <c r="E1134" s="561" t="s">
        <v>3345</v>
      </c>
      <c r="F1134" s="572"/>
      <c r="G1134" s="571"/>
      <c r="H1134" s="571"/>
    </row>
    <row r="1135" spans="1:8" x14ac:dyDescent="0.2">
      <c r="A1135" s="560" t="s">
        <v>3346</v>
      </c>
      <c r="B1135" s="571" t="s">
        <v>1443</v>
      </c>
      <c r="C1135" s="571">
        <v>2</v>
      </c>
      <c r="D1135" s="571" t="s">
        <v>1481</v>
      </c>
      <c r="E1135" s="561" t="s">
        <v>3347</v>
      </c>
      <c r="F1135" s="572"/>
      <c r="G1135" s="571"/>
      <c r="H1135" s="571"/>
    </row>
    <row r="1136" spans="1:8" x14ac:dyDescent="0.2">
      <c r="A1136" s="560" t="s">
        <v>3348</v>
      </c>
      <c r="B1136" s="571" t="s">
        <v>1443</v>
      </c>
      <c r="C1136" s="571">
        <v>11</v>
      </c>
      <c r="D1136" s="571" t="s">
        <v>1449</v>
      </c>
      <c r="E1136" s="561" t="s">
        <v>3349</v>
      </c>
      <c r="F1136" s="572"/>
      <c r="G1136" s="571"/>
      <c r="H1136" s="571"/>
    </row>
    <row r="1137" spans="1:8" x14ac:dyDescent="0.2">
      <c r="A1137" s="560" t="s">
        <v>3350</v>
      </c>
      <c r="B1137" s="571" t="s">
        <v>1443</v>
      </c>
      <c r="C1137" s="571">
        <v>8</v>
      </c>
      <c r="D1137" s="571" t="s">
        <v>1464</v>
      </c>
      <c r="E1137" s="561" t="s">
        <v>3351</v>
      </c>
      <c r="F1137" s="572"/>
      <c r="G1137" s="571"/>
      <c r="H1137" s="571"/>
    </row>
    <row r="1138" spans="1:8" x14ac:dyDescent="0.2">
      <c r="A1138" s="560" t="s">
        <v>3352</v>
      </c>
      <c r="B1138" s="571" t="s">
        <v>1443</v>
      </c>
      <c r="C1138" s="571">
        <v>1</v>
      </c>
      <c r="D1138" s="571" t="s">
        <v>1449</v>
      </c>
      <c r="E1138" s="561" t="s">
        <v>3353</v>
      </c>
      <c r="F1138" s="572"/>
      <c r="G1138" s="571"/>
      <c r="H1138" s="571"/>
    </row>
    <row r="1139" spans="1:8" x14ac:dyDescent="0.2">
      <c r="A1139" s="560" t="s">
        <v>3354</v>
      </c>
      <c r="B1139" s="571" t="s">
        <v>1443</v>
      </c>
      <c r="C1139" s="571">
        <v>1</v>
      </c>
      <c r="D1139" s="571" t="s">
        <v>1449</v>
      </c>
      <c r="E1139" s="561" t="s">
        <v>3355</v>
      </c>
      <c r="F1139" s="572"/>
      <c r="G1139" s="571"/>
      <c r="H1139" s="571"/>
    </row>
    <row r="1140" spans="1:8" x14ac:dyDescent="0.2">
      <c r="A1140" s="560" t="s">
        <v>1398</v>
      </c>
      <c r="B1140" s="571" t="s">
        <v>1443</v>
      </c>
      <c r="C1140" s="571">
        <v>3</v>
      </c>
      <c r="D1140" s="571" t="s">
        <v>1444</v>
      </c>
      <c r="E1140" s="561" t="s">
        <v>1399</v>
      </c>
      <c r="F1140" s="572" t="s">
        <v>1456</v>
      </c>
      <c r="G1140" s="571"/>
      <c r="H1140" s="571"/>
    </row>
    <row r="1141" spans="1:8" x14ac:dyDescent="0.2">
      <c r="A1141" s="560" t="s">
        <v>3356</v>
      </c>
      <c r="B1141" s="571"/>
      <c r="C1141" s="571">
        <v>0</v>
      </c>
      <c r="D1141" s="571" t="s">
        <v>1481</v>
      </c>
      <c r="E1141" s="561" t="s">
        <v>3357</v>
      </c>
      <c r="F1141" s="572"/>
      <c r="G1141" s="571"/>
      <c r="H1141" s="571">
        <v>1</v>
      </c>
    </row>
    <row r="1142" spans="1:8" x14ac:dyDescent="0.2">
      <c r="A1142" s="560" t="s">
        <v>3358</v>
      </c>
      <c r="B1142" s="571" t="s">
        <v>1443</v>
      </c>
      <c r="C1142" s="571">
        <v>8</v>
      </c>
      <c r="D1142" s="571" t="s">
        <v>1452</v>
      </c>
      <c r="E1142" s="561" t="s">
        <v>3359</v>
      </c>
      <c r="F1142" s="572"/>
      <c r="G1142" s="571"/>
      <c r="H1142" s="571"/>
    </row>
    <row r="1143" spans="1:8" x14ac:dyDescent="0.2">
      <c r="A1143" s="560" t="s">
        <v>3360</v>
      </c>
      <c r="B1143" s="571" t="s">
        <v>1443</v>
      </c>
      <c r="C1143" s="571">
        <v>0</v>
      </c>
      <c r="D1143" s="571" t="s">
        <v>1452</v>
      </c>
      <c r="E1143" s="561" t="s">
        <v>3361</v>
      </c>
      <c r="F1143" s="572"/>
      <c r="G1143" s="571"/>
      <c r="H1143" s="571"/>
    </row>
    <row r="1144" spans="1:8" x14ac:dyDescent="0.2">
      <c r="A1144" s="560" t="s">
        <v>3362</v>
      </c>
      <c r="B1144" s="571" t="s">
        <v>1443</v>
      </c>
      <c r="C1144" s="571">
        <v>12</v>
      </c>
      <c r="D1144" s="571"/>
      <c r="E1144" s="561"/>
      <c r="F1144" s="572"/>
      <c r="G1144" s="571"/>
      <c r="H1144" s="571"/>
    </row>
    <row r="1145" spans="1:8" x14ac:dyDescent="0.2">
      <c r="A1145" s="560" t="s">
        <v>3363</v>
      </c>
      <c r="B1145" s="571" t="s">
        <v>1443</v>
      </c>
      <c r="C1145" s="571">
        <v>8</v>
      </c>
      <c r="D1145" s="571" t="s">
        <v>1449</v>
      </c>
      <c r="E1145" s="561" t="s">
        <v>3364</v>
      </c>
      <c r="F1145" s="572"/>
      <c r="G1145" s="571"/>
      <c r="H1145" s="571"/>
    </row>
    <row r="1146" spans="1:8" x14ac:dyDescent="0.2">
      <c r="A1146" s="560" t="s">
        <v>3365</v>
      </c>
      <c r="B1146" s="571" t="s">
        <v>1443</v>
      </c>
      <c r="C1146" s="571">
        <v>1</v>
      </c>
      <c r="D1146" s="571" t="s">
        <v>1464</v>
      </c>
      <c r="E1146" s="561" t="s">
        <v>3366</v>
      </c>
      <c r="F1146" s="572"/>
      <c r="G1146" s="571"/>
      <c r="H1146" s="571"/>
    </row>
    <row r="1147" spans="1:8" x14ac:dyDescent="0.2">
      <c r="A1147" s="560" t="s">
        <v>3367</v>
      </c>
      <c r="B1147" s="571" t="s">
        <v>1443</v>
      </c>
      <c r="C1147" s="571">
        <v>2</v>
      </c>
      <c r="D1147" s="571" t="s">
        <v>1464</v>
      </c>
      <c r="E1147" s="561" t="s">
        <v>3368</v>
      </c>
      <c r="F1147" s="572"/>
      <c r="G1147" s="571"/>
      <c r="H1147" s="571"/>
    </row>
    <row r="1148" spans="1:8" x14ac:dyDescent="0.2">
      <c r="A1148" s="560" t="s">
        <v>3369</v>
      </c>
      <c r="B1148" s="571" t="s">
        <v>1443</v>
      </c>
      <c r="C1148" s="571">
        <v>0</v>
      </c>
      <c r="D1148" s="571" t="s">
        <v>1464</v>
      </c>
      <c r="E1148" s="561" t="s">
        <v>3370</v>
      </c>
      <c r="F1148" s="572"/>
      <c r="G1148" s="571"/>
      <c r="H1148" s="571"/>
    </row>
    <row r="1149" spans="1:8" x14ac:dyDescent="0.2">
      <c r="A1149" s="560" t="s">
        <v>3371</v>
      </c>
      <c r="B1149" s="571" t="s">
        <v>1443</v>
      </c>
      <c r="C1149" s="571">
        <v>2</v>
      </c>
      <c r="D1149" s="571" t="s">
        <v>1481</v>
      </c>
      <c r="E1149" s="561" t="s">
        <v>3372</v>
      </c>
      <c r="F1149" s="572"/>
      <c r="G1149" s="571"/>
      <c r="H1149" s="571"/>
    </row>
    <row r="1150" spans="1:8" x14ac:dyDescent="0.2">
      <c r="A1150" s="560" t="s">
        <v>3373</v>
      </c>
      <c r="B1150" s="571" t="s">
        <v>1443</v>
      </c>
      <c r="C1150" s="571">
        <v>1</v>
      </c>
      <c r="D1150" s="571" t="s">
        <v>1449</v>
      </c>
      <c r="E1150" s="561" t="s">
        <v>3374</v>
      </c>
      <c r="F1150" s="572"/>
      <c r="G1150" s="571"/>
      <c r="H1150" s="571"/>
    </row>
    <row r="1151" spans="1:8" x14ac:dyDescent="0.2">
      <c r="A1151" s="560" t="s">
        <v>3375</v>
      </c>
      <c r="B1151" s="571" t="s">
        <v>1443</v>
      </c>
      <c r="C1151" s="571">
        <v>0</v>
      </c>
      <c r="D1151" s="571" t="s">
        <v>1464</v>
      </c>
      <c r="E1151" s="561" t="s">
        <v>3376</v>
      </c>
      <c r="F1151" s="572"/>
      <c r="G1151" s="571"/>
      <c r="H1151" s="571"/>
    </row>
    <row r="1152" spans="1:8" x14ac:dyDescent="0.2">
      <c r="A1152" s="560" t="s">
        <v>3377</v>
      </c>
      <c r="B1152" s="571" t="s">
        <v>1443</v>
      </c>
      <c r="C1152" s="571">
        <v>7</v>
      </c>
      <c r="D1152" s="571" t="s">
        <v>1481</v>
      </c>
      <c r="E1152" s="561" t="s">
        <v>3378</v>
      </c>
      <c r="F1152" s="572"/>
      <c r="G1152" s="571"/>
      <c r="H1152" s="571"/>
    </row>
    <row r="1153" spans="1:8" x14ac:dyDescent="0.2">
      <c r="A1153" s="560" t="s">
        <v>3379</v>
      </c>
      <c r="B1153" s="571" t="s">
        <v>1443</v>
      </c>
      <c r="C1153" s="571">
        <v>2</v>
      </c>
      <c r="D1153" s="571" t="s">
        <v>1452</v>
      </c>
      <c r="E1153" s="561" t="s">
        <v>3380</v>
      </c>
      <c r="F1153" s="572"/>
      <c r="G1153" s="571"/>
      <c r="H1153" s="571">
        <v>2</v>
      </c>
    </row>
    <row r="1154" spans="1:8" x14ac:dyDescent="0.2">
      <c r="A1154" s="560" t="s">
        <v>3381</v>
      </c>
      <c r="B1154" s="571" t="s">
        <v>1443</v>
      </c>
      <c r="C1154" s="571">
        <v>0</v>
      </c>
      <c r="D1154" s="571" t="s">
        <v>1464</v>
      </c>
      <c r="E1154" s="561" t="s">
        <v>3382</v>
      </c>
      <c r="F1154" s="572"/>
      <c r="G1154" s="571"/>
      <c r="H1154" s="571"/>
    </row>
    <row r="1155" spans="1:8" x14ac:dyDescent="0.2">
      <c r="A1155" s="560" t="s">
        <v>3383</v>
      </c>
      <c r="B1155" s="571"/>
      <c r="C1155" s="571">
        <v>0</v>
      </c>
      <c r="D1155" s="571" t="s">
        <v>1452</v>
      </c>
      <c r="E1155" s="561" t="s">
        <v>3384</v>
      </c>
      <c r="F1155" s="572"/>
      <c r="G1155" s="571"/>
      <c r="H1155" s="571"/>
    </row>
    <row r="1156" spans="1:8" x14ac:dyDescent="0.2">
      <c r="A1156" s="560" t="s">
        <v>3385</v>
      </c>
      <c r="B1156" s="571"/>
      <c r="C1156" s="571">
        <v>0</v>
      </c>
      <c r="D1156" s="571" t="s">
        <v>1452</v>
      </c>
      <c r="E1156" s="561" t="s">
        <v>3386</v>
      </c>
      <c r="F1156" s="572"/>
      <c r="G1156" s="571"/>
      <c r="H1156" s="571">
        <v>2</v>
      </c>
    </row>
    <row r="1157" spans="1:8" x14ac:dyDescent="0.2">
      <c r="A1157" s="560" t="s">
        <v>3387</v>
      </c>
      <c r="B1157" s="571" t="s">
        <v>1443</v>
      </c>
      <c r="C1157" s="571">
        <v>0</v>
      </c>
      <c r="D1157" s="571" t="s">
        <v>1444</v>
      </c>
      <c r="E1157" s="561" t="s">
        <v>3388</v>
      </c>
      <c r="F1157" s="572"/>
      <c r="G1157" s="571"/>
      <c r="H1157" s="571"/>
    </row>
    <row r="1158" spans="1:8" x14ac:dyDescent="0.2">
      <c r="A1158" s="560" t="s">
        <v>3389</v>
      </c>
      <c r="B1158" s="571"/>
      <c r="C1158" s="571">
        <v>0</v>
      </c>
      <c r="D1158" s="571" t="s">
        <v>1444</v>
      </c>
      <c r="E1158" s="561" t="s">
        <v>3390</v>
      </c>
      <c r="F1158" s="572"/>
      <c r="G1158" s="571"/>
      <c r="H1158" s="571">
        <v>1</v>
      </c>
    </row>
    <row r="1159" spans="1:8" x14ac:dyDescent="0.2">
      <c r="A1159" s="560" t="s">
        <v>3391</v>
      </c>
      <c r="B1159" s="571" t="s">
        <v>1443</v>
      </c>
      <c r="C1159" s="571">
        <v>0</v>
      </c>
      <c r="D1159" s="571" t="s">
        <v>1449</v>
      </c>
      <c r="E1159" s="561" t="s">
        <v>3392</v>
      </c>
      <c r="F1159" s="572"/>
      <c r="G1159" s="571"/>
      <c r="H1159" s="571"/>
    </row>
    <row r="1160" spans="1:8" x14ac:dyDescent="0.2">
      <c r="A1160" s="560" t="s">
        <v>3393</v>
      </c>
      <c r="B1160" s="571"/>
      <c r="C1160" s="571">
        <v>0</v>
      </c>
      <c r="D1160" s="571" t="s">
        <v>1481</v>
      </c>
      <c r="E1160" s="561" t="s">
        <v>3394</v>
      </c>
      <c r="F1160" s="572"/>
      <c r="G1160" s="571"/>
      <c r="H1160" s="571">
        <v>1</v>
      </c>
    </row>
    <row r="1161" spans="1:8" x14ac:dyDescent="0.2">
      <c r="A1161" s="560" t="s">
        <v>1400</v>
      </c>
      <c r="B1161" s="571" t="s">
        <v>1443</v>
      </c>
      <c r="C1161" s="571">
        <v>1</v>
      </c>
      <c r="D1161" s="571" t="s">
        <v>1444</v>
      </c>
      <c r="E1161" s="561" t="s">
        <v>1401</v>
      </c>
      <c r="F1161" s="572" t="s">
        <v>1456</v>
      </c>
      <c r="G1161" s="571"/>
      <c r="H1161" s="571"/>
    </row>
    <row r="1162" spans="1:8" x14ac:dyDescent="0.2">
      <c r="A1162" s="562" t="s">
        <v>3395</v>
      </c>
      <c r="B1162" s="571" t="s">
        <v>1443</v>
      </c>
      <c r="C1162" s="571">
        <v>0</v>
      </c>
      <c r="D1162" s="571"/>
      <c r="E1162" s="561"/>
      <c r="F1162" s="572"/>
      <c r="G1162" s="571"/>
      <c r="H1162" s="571">
        <v>2</v>
      </c>
    </row>
    <row r="1163" spans="1:8" x14ac:dyDescent="0.2">
      <c r="A1163" s="560" t="s">
        <v>1402</v>
      </c>
      <c r="B1163" s="571" t="s">
        <v>1443</v>
      </c>
      <c r="C1163" s="571">
        <v>3</v>
      </c>
      <c r="D1163" s="571" t="s">
        <v>1444</v>
      </c>
      <c r="E1163" s="561" t="s">
        <v>1403</v>
      </c>
      <c r="F1163" s="572" t="s">
        <v>1456</v>
      </c>
      <c r="G1163" s="571"/>
      <c r="H1163" s="571"/>
    </row>
    <row r="1164" spans="1:8" x14ac:dyDescent="0.2">
      <c r="A1164" s="560" t="s">
        <v>3396</v>
      </c>
      <c r="B1164" s="571" t="s">
        <v>1443</v>
      </c>
      <c r="C1164" s="571">
        <v>2</v>
      </c>
      <c r="D1164" s="571" t="s">
        <v>1444</v>
      </c>
      <c r="E1164" s="561" t="s">
        <v>3397</v>
      </c>
      <c r="F1164" s="572"/>
      <c r="G1164" s="571"/>
      <c r="H1164" s="571"/>
    </row>
    <row r="1165" spans="1:8" x14ac:dyDescent="0.2">
      <c r="A1165" s="560" t="s">
        <v>1404</v>
      </c>
      <c r="B1165" s="571" t="s">
        <v>1443</v>
      </c>
      <c r="C1165" s="571">
        <v>3</v>
      </c>
      <c r="D1165" s="571" t="s">
        <v>1452</v>
      </c>
      <c r="E1165" s="561" t="s">
        <v>1405</v>
      </c>
      <c r="F1165" s="572" t="s">
        <v>1456</v>
      </c>
      <c r="G1165" s="571"/>
      <c r="H1165" s="571"/>
    </row>
    <row r="1166" spans="1:8" x14ac:dyDescent="0.2">
      <c r="A1166" s="560" t="s">
        <v>3398</v>
      </c>
      <c r="B1166" s="571" t="s">
        <v>1443</v>
      </c>
      <c r="C1166" s="571">
        <v>4</v>
      </c>
      <c r="D1166" s="571" t="s">
        <v>1452</v>
      </c>
      <c r="E1166" s="561" t="s">
        <v>3399</v>
      </c>
      <c r="F1166" s="572"/>
      <c r="G1166" s="571"/>
      <c r="H1166" s="571">
        <v>1</v>
      </c>
    </row>
    <row r="1167" spans="1:8" x14ac:dyDescent="0.2">
      <c r="A1167" s="560" t="s">
        <v>3400</v>
      </c>
      <c r="B1167" s="571" t="s">
        <v>1443</v>
      </c>
      <c r="C1167" s="571">
        <v>11</v>
      </c>
      <c r="D1167" s="571" t="s">
        <v>1452</v>
      </c>
      <c r="E1167" s="561" t="s">
        <v>3401</v>
      </c>
      <c r="F1167" s="572"/>
      <c r="G1167" s="571"/>
      <c r="H1167" s="571"/>
    </row>
    <row r="1168" spans="1:8" x14ac:dyDescent="0.2">
      <c r="A1168" s="560" t="s">
        <v>3402</v>
      </c>
      <c r="B1168" s="571"/>
      <c r="C1168" s="571">
        <v>0</v>
      </c>
      <c r="D1168" s="571" t="s">
        <v>1449</v>
      </c>
      <c r="E1168" s="561" t="s">
        <v>3403</v>
      </c>
      <c r="F1168" s="572"/>
      <c r="G1168" s="571"/>
      <c r="H1168" s="571"/>
    </row>
    <row r="1169" spans="1:8" x14ac:dyDescent="0.2">
      <c r="A1169" s="560" t="s">
        <v>3404</v>
      </c>
      <c r="B1169" s="571" t="s">
        <v>1443</v>
      </c>
      <c r="C1169" s="571">
        <v>0</v>
      </c>
      <c r="D1169" s="571" t="s">
        <v>1449</v>
      </c>
      <c r="E1169" s="561" t="s">
        <v>3405</v>
      </c>
      <c r="F1169" s="572"/>
      <c r="G1169" s="571"/>
      <c r="H1169" s="571"/>
    </row>
    <row r="1170" spans="1:8" x14ac:dyDescent="0.2">
      <c r="A1170" s="560" t="s">
        <v>3406</v>
      </c>
      <c r="B1170" s="571" t="s">
        <v>1443</v>
      </c>
      <c r="C1170" s="571">
        <v>0</v>
      </c>
      <c r="D1170" s="571" t="s">
        <v>1481</v>
      </c>
      <c r="E1170" s="561" t="s">
        <v>3407</v>
      </c>
      <c r="F1170" s="572"/>
      <c r="G1170" s="571"/>
      <c r="H1170" s="571"/>
    </row>
    <row r="1171" spans="1:8" x14ac:dyDescent="0.2">
      <c r="A1171" s="560" t="s">
        <v>3408</v>
      </c>
      <c r="B1171" s="571" t="s">
        <v>1443</v>
      </c>
      <c r="C1171" s="571">
        <v>2</v>
      </c>
      <c r="D1171" s="571" t="s">
        <v>1449</v>
      </c>
      <c r="E1171" s="561" t="s">
        <v>3409</v>
      </c>
      <c r="F1171" s="572"/>
      <c r="G1171" s="571"/>
      <c r="H1171" s="571"/>
    </row>
    <row r="1172" spans="1:8" x14ac:dyDescent="0.2">
      <c r="A1172" s="560" t="s">
        <v>3410</v>
      </c>
      <c r="B1172" s="571" t="s">
        <v>1443</v>
      </c>
      <c r="C1172" s="571">
        <v>3</v>
      </c>
      <c r="D1172" s="571" t="s">
        <v>1452</v>
      </c>
      <c r="E1172" s="561" t="s">
        <v>3411</v>
      </c>
      <c r="F1172" s="572"/>
      <c r="G1172" s="571"/>
      <c r="H1172" s="571">
        <v>1</v>
      </c>
    </row>
    <row r="1173" spans="1:8" x14ac:dyDescent="0.2">
      <c r="A1173" s="560" t="s">
        <v>3412</v>
      </c>
      <c r="B1173" s="571" t="s">
        <v>1443</v>
      </c>
      <c r="C1173" s="571">
        <v>5</v>
      </c>
      <c r="D1173" s="571" t="s">
        <v>1452</v>
      </c>
      <c r="E1173" s="561" t="s">
        <v>3413</v>
      </c>
      <c r="F1173" s="572"/>
      <c r="G1173" s="571"/>
      <c r="H1173" s="571"/>
    </row>
    <row r="1174" spans="1:8" x14ac:dyDescent="0.2">
      <c r="A1174" s="562" t="s">
        <v>3414</v>
      </c>
      <c r="B1174" s="571" t="s">
        <v>1443</v>
      </c>
      <c r="C1174" s="571">
        <v>0</v>
      </c>
      <c r="D1174" s="571"/>
      <c r="E1174" s="561"/>
      <c r="F1174" s="572"/>
      <c r="G1174" s="571"/>
      <c r="H1174" s="571"/>
    </row>
    <row r="1175" spans="1:8" x14ac:dyDescent="0.2">
      <c r="A1175" s="560" t="s">
        <v>1406</v>
      </c>
      <c r="B1175" s="571" t="s">
        <v>1443</v>
      </c>
      <c r="C1175" s="571">
        <v>2</v>
      </c>
      <c r="D1175" s="571" t="s">
        <v>1444</v>
      </c>
      <c r="E1175" s="561" t="s">
        <v>1407</v>
      </c>
      <c r="F1175" s="572" t="s">
        <v>1456</v>
      </c>
      <c r="G1175" s="571"/>
      <c r="H1175" s="571"/>
    </row>
    <row r="1176" spans="1:8" x14ac:dyDescent="0.2">
      <c r="A1176" s="560" t="s">
        <v>3415</v>
      </c>
      <c r="B1176" s="571" t="s">
        <v>1443</v>
      </c>
      <c r="C1176" s="571">
        <v>4</v>
      </c>
      <c r="D1176" s="571" t="s">
        <v>1449</v>
      </c>
      <c r="E1176" s="561" t="s">
        <v>3416</v>
      </c>
      <c r="F1176" s="572"/>
      <c r="G1176" s="571"/>
      <c r="H1176" s="571">
        <v>1</v>
      </c>
    </row>
    <row r="1177" spans="1:8" x14ac:dyDescent="0.2">
      <c r="A1177" s="560" t="s">
        <v>3417</v>
      </c>
      <c r="B1177" s="571" t="s">
        <v>1443</v>
      </c>
      <c r="C1177" s="571">
        <v>20</v>
      </c>
      <c r="D1177" s="571" t="s">
        <v>1449</v>
      </c>
      <c r="E1177" s="561" t="s">
        <v>3418</v>
      </c>
      <c r="F1177" s="572"/>
      <c r="G1177" s="571"/>
      <c r="H1177" s="571">
        <v>2</v>
      </c>
    </row>
    <row r="1178" spans="1:8" x14ac:dyDescent="0.2">
      <c r="A1178" s="560" t="s">
        <v>3419</v>
      </c>
      <c r="B1178" s="571" t="s">
        <v>1443</v>
      </c>
      <c r="C1178" s="571">
        <v>3</v>
      </c>
      <c r="D1178" s="571" t="s">
        <v>1449</v>
      </c>
      <c r="E1178" s="561" t="s">
        <v>3420</v>
      </c>
      <c r="F1178" s="572"/>
      <c r="G1178" s="571"/>
      <c r="H1178" s="571"/>
    </row>
    <row r="1179" spans="1:8" x14ac:dyDescent="0.2">
      <c r="A1179" s="560" t="s">
        <v>3421</v>
      </c>
      <c r="B1179" s="571" t="s">
        <v>1443</v>
      </c>
      <c r="C1179" s="571">
        <v>4</v>
      </c>
      <c r="D1179" s="571" t="s">
        <v>1481</v>
      </c>
      <c r="E1179" s="561"/>
      <c r="F1179" s="572"/>
      <c r="G1179" s="571"/>
      <c r="H1179" s="571"/>
    </row>
    <row r="1180" spans="1:8" x14ac:dyDescent="0.2">
      <c r="A1180" s="560" t="s">
        <v>3422</v>
      </c>
      <c r="B1180" s="571" t="s">
        <v>1443</v>
      </c>
      <c r="C1180" s="571">
        <v>0</v>
      </c>
      <c r="D1180" s="571" t="s">
        <v>1449</v>
      </c>
      <c r="E1180" s="561" t="s">
        <v>3423</v>
      </c>
      <c r="F1180" s="572"/>
      <c r="G1180" s="571"/>
      <c r="H1180" s="571"/>
    </row>
    <row r="1181" spans="1:8" x14ac:dyDescent="0.2">
      <c r="A1181" s="560" t="s">
        <v>3424</v>
      </c>
      <c r="B1181" s="571" t="s">
        <v>1443</v>
      </c>
      <c r="C1181" s="571">
        <v>4</v>
      </c>
      <c r="D1181" s="571" t="s">
        <v>1481</v>
      </c>
      <c r="E1181" s="561" t="s">
        <v>3425</v>
      </c>
      <c r="F1181" s="572"/>
      <c r="G1181" s="571"/>
      <c r="H1181" s="571"/>
    </row>
    <row r="1182" spans="1:8" x14ac:dyDescent="0.2">
      <c r="A1182" s="560" t="s">
        <v>3426</v>
      </c>
      <c r="B1182" s="571" t="s">
        <v>1443</v>
      </c>
      <c r="C1182" s="571">
        <v>4</v>
      </c>
      <c r="D1182" s="571" t="s">
        <v>1481</v>
      </c>
      <c r="E1182" s="561" t="s">
        <v>3427</v>
      </c>
      <c r="F1182" s="572"/>
      <c r="G1182" s="571"/>
      <c r="H1182" s="571"/>
    </row>
    <row r="1183" spans="1:8" x14ac:dyDescent="0.2">
      <c r="A1183" s="560" t="s">
        <v>3428</v>
      </c>
      <c r="B1183" s="571"/>
      <c r="C1183" s="571">
        <v>0</v>
      </c>
      <c r="D1183" s="571" t="s">
        <v>1452</v>
      </c>
      <c r="E1183" s="561" t="s">
        <v>3429</v>
      </c>
      <c r="F1183" s="572"/>
      <c r="G1183" s="571"/>
      <c r="H1183" s="571"/>
    </row>
    <row r="1184" spans="1:8" x14ac:dyDescent="0.2">
      <c r="A1184" s="560" t="s">
        <v>3430</v>
      </c>
      <c r="B1184" s="571" t="s">
        <v>1443</v>
      </c>
      <c r="C1184" s="571">
        <v>0</v>
      </c>
      <c r="D1184" s="571" t="s">
        <v>1481</v>
      </c>
      <c r="E1184" s="561" t="s">
        <v>3431</v>
      </c>
      <c r="F1184" s="572"/>
      <c r="G1184" s="571"/>
      <c r="H1184" s="571"/>
    </row>
    <row r="1185" spans="1:8" x14ac:dyDescent="0.2">
      <c r="A1185" s="560" t="s">
        <v>3432</v>
      </c>
      <c r="B1185" s="571" t="s">
        <v>1443</v>
      </c>
      <c r="C1185" s="571">
        <v>0</v>
      </c>
      <c r="D1185" s="571" t="s">
        <v>1444</v>
      </c>
      <c r="E1185" s="561" t="s">
        <v>3433</v>
      </c>
      <c r="F1185" s="572"/>
      <c r="G1185" s="571"/>
      <c r="H1185" s="571"/>
    </row>
    <row r="1186" spans="1:8" x14ac:dyDescent="0.2">
      <c r="A1186" s="560" t="s">
        <v>3434</v>
      </c>
      <c r="B1186" s="571" t="s">
        <v>1443</v>
      </c>
      <c r="C1186" s="571">
        <v>0</v>
      </c>
      <c r="D1186" s="571" t="s">
        <v>1464</v>
      </c>
      <c r="E1186" s="561" t="s">
        <v>3435</v>
      </c>
      <c r="F1186" s="572"/>
      <c r="G1186" s="571"/>
      <c r="H1186" s="571"/>
    </row>
    <row r="1187" spans="1:8" x14ac:dyDescent="0.2">
      <c r="A1187" s="560" t="s">
        <v>3436</v>
      </c>
      <c r="B1187" s="571"/>
      <c r="C1187" s="571">
        <v>0</v>
      </c>
      <c r="D1187" s="571" t="s">
        <v>1464</v>
      </c>
      <c r="E1187" s="561" t="s">
        <v>3437</v>
      </c>
      <c r="F1187" s="572"/>
      <c r="G1187" s="571"/>
      <c r="H1187" s="571"/>
    </row>
    <row r="1188" spans="1:8" x14ac:dyDescent="0.2">
      <c r="A1188" s="560" t="s">
        <v>3438</v>
      </c>
      <c r="B1188" s="571"/>
      <c r="C1188" s="571">
        <v>0</v>
      </c>
      <c r="D1188" s="571" t="s">
        <v>1464</v>
      </c>
      <c r="E1188" s="561" t="s">
        <v>3439</v>
      </c>
      <c r="F1188" s="572"/>
      <c r="G1188" s="571"/>
      <c r="H1188" s="571">
        <v>2</v>
      </c>
    </row>
    <row r="1189" spans="1:8" x14ac:dyDescent="0.2">
      <c r="A1189" s="562" t="s">
        <v>3440</v>
      </c>
      <c r="B1189" s="573" t="s">
        <v>1443</v>
      </c>
      <c r="C1189" s="573">
        <v>0</v>
      </c>
      <c r="D1189" s="573"/>
      <c r="E1189" s="560"/>
      <c r="F1189" s="574"/>
      <c r="G1189" s="573"/>
      <c r="H1189" s="573"/>
    </row>
    <row r="1190" spans="1:8" x14ac:dyDescent="0.2">
      <c r="A1190" s="560" t="s">
        <v>3441</v>
      </c>
      <c r="B1190" s="571" t="s">
        <v>1443</v>
      </c>
      <c r="C1190" s="571">
        <v>0</v>
      </c>
      <c r="D1190" s="571" t="s">
        <v>1449</v>
      </c>
      <c r="E1190" s="561" t="s">
        <v>3442</v>
      </c>
      <c r="F1190" s="572"/>
      <c r="G1190" s="571"/>
      <c r="H1190" s="571"/>
    </row>
    <row r="1191" spans="1:8" x14ac:dyDescent="0.2">
      <c r="A1191" s="560" t="s">
        <v>3443</v>
      </c>
      <c r="B1191" s="571" t="s">
        <v>1443</v>
      </c>
      <c r="C1191" s="571">
        <v>10</v>
      </c>
      <c r="D1191" s="571" t="s">
        <v>1452</v>
      </c>
      <c r="E1191" s="561" t="s">
        <v>3444</v>
      </c>
      <c r="F1191" s="572"/>
      <c r="G1191" s="571"/>
      <c r="H1191" s="571"/>
    </row>
    <row r="1192" spans="1:8" x14ac:dyDescent="0.2">
      <c r="A1192" s="560" t="s">
        <v>3445</v>
      </c>
      <c r="B1192" s="571"/>
      <c r="C1192" s="571">
        <v>0</v>
      </c>
      <c r="D1192" s="571" t="s">
        <v>1444</v>
      </c>
      <c r="E1192" s="561" t="s">
        <v>3446</v>
      </c>
      <c r="F1192" s="572"/>
      <c r="G1192" s="571"/>
      <c r="H1192" s="571"/>
    </row>
    <row r="1193" spans="1:8" x14ac:dyDescent="0.2">
      <c r="A1193" s="560" t="s">
        <v>1408</v>
      </c>
      <c r="B1193" s="571" t="s">
        <v>1443</v>
      </c>
      <c r="C1193" s="571">
        <v>0</v>
      </c>
      <c r="D1193" s="571" t="s">
        <v>1444</v>
      </c>
      <c r="E1193" s="561" t="s">
        <v>1409</v>
      </c>
      <c r="F1193" s="572" t="s">
        <v>1456</v>
      </c>
      <c r="G1193" s="571" t="s">
        <v>1456</v>
      </c>
      <c r="H1193" s="571"/>
    </row>
    <row r="1194" spans="1:8" x14ac:dyDescent="0.2">
      <c r="A1194" s="560" t="s">
        <v>1410</v>
      </c>
      <c r="B1194" s="571" t="s">
        <v>1443</v>
      </c>
      <c r="C1194" s="571">
        <v>1</v>
      </c>
      <c r="D1194" s="571" t="s">
        <v>1449</v>
      </c>
      <c r="E1194" s="561" t="s">
        <v>1411</v>
      </c>
      <c r="F1194" s="572" t="s">
        <v>1456</v>
      </c>
      <c r="G1194" s="571" t="s">
        <v>1456</v>
      </c>
      <c r="H1194" s="571"/>
    </row>
    <row r="1195" spans="1:8" x14ac:dyDescent="0.2">
      <c r="A1195" s="560" t="s">
        <v>1412</v>
      </c>
      <c r="B1195" s="571"/>
      <c r="C1195" s="571">
        <v>0</v>
      </c>
      <c r="D1195" s="571" t="s">
        <v>1444</v>
      </c>
      <c r="E1195" s="561" t="s">
        <v>1413</v>
      </c>
      <c r="F1195" s="572" t="s">
        <v>1456</v>
      </c>
      <c r="G1195" s="571"/>
      <c r="H1195" s="571"/>
    </row>
    <row r="1196" spans="1:8" x14ac:dyDescent="0.2">
      <c r="A1196" s="560" t="s">
        <v>1414</v>
      </c>
      <c r="B1196" s="571" t="s">
        <v>1443</v>
      </c>
      <c r="C1196" s="571">
        <v>4</v>
      </c>
      <c r="D1196" s="571" t="s">
        <v>1452</v>
      </c>
      <c r="E1196" s="561" t="s">
        <v>1415</v>
      </c>
      <c r="F1196" s="572" t="s">
        <v>1456</v>
      </c>
      <c r="G1196" s="571"/>
      <c r="H1196" s="571"/>
    </row>
    <row r="1197" spans="1:8" x14ac:dyDescent="0.2">
      <c r="A1197" s="560" t="s">
        <v>1416</v>
      </c>
      <c r="B1197" s="571" t="s">
        <v>1443</v>
      </c>
      <c r="C1197" s="571">
        <v>4</v>
      </c>
      <c r="D1197" s="571" t="s">
        <v>1452</v>
      </c>
      <c r="E1197" s="561" t="s">
        <v>1417</v>
      </c>
      <c r="F1197" s="572" t="s">
        <v>1456</v>
      </c>
      <c r="G1197" s="571" t="s">
        <v>1456</v>
      </c>
      <c r="H1197" s="571"/>
    </row>
    <row r="1198" spans="1:8" x14ac:dyDescent="0.2">
      <c r="A1198" s="560" t="s">
        <v>1418</v>
      </c>
      <c r="B1198" s="571"/>
      <c r="C1198" s="571">
        <v>0</v>
      </c>
      <c r="D1198" s="571" t="s">
        <v>1449</v>
      </c>
      <c r="E1198" s="561" t="s">
        <v>1419</v>
      </c>
      <c r="F1198" s="572" t="s">
        <v>1456</v>
      </c>
      <c r="G1198" s="571"/>
      <c r="H1198" s="571"/>
    </row>
    <row r="1199" spans="1:8" x14ac:dyDescent="0.2">
      <c r="A1199" s="560" t="s">
        <v>3447</v>
      </c>
      <c r="B1199" s="571"/>
      <c r="C1199" s="571">
        <v>0</v>
      </c>
      <c r="D1199" s="571" t="s">
        <v>1449</v>
      </c>
      <c r="E1199" s="561" t="s">
        <v>3448</v>
      </c>
      <c r="F1199" s="572"/>
      <c r="G1199" s="571"/>
      <c r="H1199" s="571">
        <v>1</v>
      </c>
    </row>
    <row r="1200" spans="1:8" x14ac:dyDescent="0.2">
      <c r="A1200" s="560" t="s">
        <v>3449</v>
      </c>
      <c r="B1200" s="571" t="s">
        <v>1443</v>
      </c>
      <c r="C1200" s="571">
        <v>15</v>
      </c>
      <c r="D1200" s="571" t="s">
        <v>1464</v>
      </c>
      <c r="E1200" s="561" t="s">
        <v>3450</v>
      </c>
      <c r="F1200" s="572"/>
      <c r="G1200" s="571"/>
      <c r="H1200" s="571"/>
    </row>
    <row r="1201" spans="1:8" x14ac:dyDescent="0.2">
      <c r="A1201" s="560" t="s">
        <v>3451</v>
      </c>
      <c r="B1201" s="571"/>
      <c r="C1201" s="571">
        <v>0</v>
      </c>
      <c r="D1201" s="571" t="s">
        <v>1464</v>
      </c>
      <c r="E1201" s="561"/>
      <c r="F1201" s="572"/>
      <c r="G1201" s="571"/>
      <c r="H1201" s="571"/>
    </row>
    <row r="1202" spans="1:8" x14ac:dyDescent="0.2">
      <c r="A1202" s="560" t="s">
        <v>3452</v>
      </c>
      <c r="B1202" s="571"/>
      <c r="C1202" s="571">
        <v>0</v>
      </c>
      <c r="D1202" s="571" t="s">
        <v>1464</v>
      </c>
      <c r="E1202" s="561"/>
      <c r="F1202" s="572"/>
      <c r="G1202" s="571"/>
      <c r="H1202" s="571"/>
    </row>
    <row r="1203" spans="1:8" x14ac:dyDescent="0.2">
      <c r="A1203" s="560" t="s">
        <v>3453</v>
      </c>
      <c r="B1203" s="571" t="s">
        <v>1443</v>
      </c>
      <c r="C1203" s="571">
        <v>5</v>
      </c>
      <c r="D1203" s="571" t="s">
        <v>1464</v>
      </c>
      <c r="E1203" s="561" t="s">
        <v>3454</v>
      </c>
      <c r="F1203" s="572"/>
      <c r="G1203" s="571"/>
      <c r="H1203" s="571"/>
    </row>
    <row r="1204" spans="1:8" x14ac:dyDescent="0.2">
      <c r="A1204" s="560" t="s">
        <v>3455</v>
      </c>
      <c r="B1204" s="571"/>
      <c r="C1204" s="571">
        <v>0</v>
      </c>
      <c r="D1204" s="571" t="s">
        <v>1449</v>
      </c>
      <c r="E1204" s="561" t="s">
        <v>3456</v>
      </c>
      <c r="F1204" s="572"/>
      <c r="G1204" s="571"/>
      <c r="H1204" s="571"/>
    </row>
    <row r="1205" spans="1:8" x14ac:dyDescent="0.2">
      <c r="A1205" s="560" t="s">
        <v>3457</v>
      </c>
      <c r="B1205" s="571" t="s">
        <v>1443</v>
      </c>
      <c r="C1205" s="571">
        <v>12</v>
      </c>
      <c r="D1205" s="571" t="s">
        <v>1452</v>
      </c>
      <c r="E1205" s="561" t="s">
        <v>3458</v>
      </c>
      <c r="F1205" s="572"/>
      <c r="G1205" s="571"/>
      <c r="H1205" s="571"/>
    </row>
    <row r="1206" spans="1:8" x14ac:dyDescent="0.2">
      <c r="A1206" s="560" t="s">
        <v>3459</v>
      </c>
      <c r="B1206" s="571"/>
      <c r="C1206" s="571">
        <v>0</v>
      </c>
      <c r="D1206" s="571" t="s">
        <v>1449</v>
      </c>
      <c r="E1206" s="561" t="s">
        <v>3460</v>
      </c>
      <c r="F1206" s="572"/>
      <c r="G1206" s="571"/>
      <c r="H1206" s="571">
        <v>2</v>
      </c>
    </row>
    <row r="1207" spans="1:8" x14ac:dyDescent="0.2">
      <c r="A1207" s="560" t="s">
        <v>3461</v>
      </c>
      <c r="B1207" s="571" t="s">
        <v>1443</v>
      </c>
      <c r="C1207" s="571">
        <v>24</v>
      </c>
      <c r="D1207" s="571" t="s">
        <v>1449</v>
      </c>
      <c r="E1207" s="561" t="s">
        <v>3462</v>
      </c>
      <c r="F1207" s="572"/>
      <c r="G1207" s="571"/>
      <c r="H1207" s="571"/>
    </row>
    <row r="1208" spans="1:8" x14ac:dyDescent="0.2">
      <c r="A1208" s="560" t="s">
        <v>3463</v>
      </c>
      <c r="B1208" s="571" t="s">
        <v>1443</v>
      </c>
      <c r="C1208" s="571">
        <v>16</v>
      </c>
      <c r="D1208" s="571" t="s">
        <v>1449</v>
      </c>
      <c r="E1208" s="561" t="s">
        <v>3464</v>
      </c>
      <c r="F1208" s="572"/>
      <c r="G1208" s="571"/>
      <c r="H1208" s="571"/>
    </row>
    <row r="1209" spans="1:8" x14ac:dyDescent="0.2">
      <c r="A1209" s="560" t="s">
        <v>3465</v>
      </c>
      <c r="B1209" s="571" t="s">
        <v>1443</v>
      </c>
      <c r="C1209" s="571">
        <v>10</v>
      </c>
      <c r="D1209" s="571" t="s">
        <v>1449</v>
      </c>
      <c r="E1209" s="561" t="s">
        <v>3466</v>
      </c>
      <c r="F1209" s="572"/>
      <c r="G1209" s="571"/>
      <c r="H1209" s="571"/>
    </row>
    <row r="1210" spans="1:8" x14ac:dyDescent="0.2">
      <c r="A1210" s="560" t="s">
        <v>3467</v>
      </c>
      <c r="B1210" s="571"/>
      <c r="C1210" s="571">
        <v>0</v>
      </c>
      <c r="D1210" s="571" t="s">
        <v>1464</v>
      </c>
      <c r="E1210" s="561" t="s">
        <v>3468</v>
      </c>
      <c r="F1210" s="572"/>
      <c r="G1210" s="571"/>
      <c r="H1210" s="571"/>
    </row>
    <row r="1211" spans="1:8" x14ac:dyDescent="0.2">
      <c r="A1211" s="560" t="s">
        <v>3469</v>
      </c>
      <c r="B1211" s="571" t="s">
        <v>1443</v>
      </c>
      <c r="C1211" s="571">
        <v>5</v>
      </c>
      <c r="D1211" s="571" t="s">
        <v>1452</v>
      </c>
      <c r="E1211" s="561" t="s">
        <v>3470</v>
      </c>
      <c r="F1211" s="572"/>
      <c r="G1211" s="571"/>
      <c r="H1211" s="571"/>
    </row>
    <row r="1212" spans="1:8" x14ac:dyDescent="0.2">
      <c r="A1212" s="560" t="s">
        <v>3471</v>
      </c>
      <c r="B1212" s="571" t="s">
        <v>1443</v>
      </c>
      <c r="C1212" s="571">
        <v>3</v>
      </c>
      <c r="D1212" s="571" t="s">
        <v>1464</v>
      </c>
      <c r="E1212" s="561" t="s">
        <v>3472</v>
      </c>
      <c r="F1212" s="572"/>
      <c r="G1212" s="571"/>
      <c r="H1212" s="571"/>
    </row>
    <row r="1213" spans="1:8" x14ac:dyDescent="0.2">
      <c r="A1213" s="560" t="s">
        <v>3473</v>
      </c>
      <c r="B1213" s="571" t="s">
        <v>1443</v>
      </c>
      <c r="C1213" s="571">
        <v>0</v>
      </c>
      <c r="D1213" s="571" t="s">
        <v>1464</v>
      </c>
      <c r="E1213" s="561" t="s">
        <v>3474</v>
      </c>
      <c r="F1213" s="572"/>
      <c r="G1213" s="571"/>
      <c r="H1213" s="571"/>
    </row>
    <row r="1214" spans="1:8" x14ac:dyDescent="0.2">
      <c r="A1214" s="560" t="s">
        <v>3475</v>
      </c>
      <c r="B1214" s="571" t="s">
        <v>1443</v>
      </c>
      <c r="C1214" s="571">
        <v>0</v>
      </c>
      <c r="D1214" s="571" t="s">
        <v>1464</v>
      </c>
      <c r="E1214" s="561" t="s">
        <v>3476</v>
      </c>
      <c r="F1214" s="572"/>
      <c r="G1214" s="571"/>
      <c r="H1214" s="571"/>
    </row>
    <row r="1215" spans="1:8" x14ac:dyDescent="0.2">
      <c r="A1215" s="560" t="s">
        <v>3477</v>
      </c>
      <c r="B1215" s="571"/>
      <c r="C1215" s="571">
        <v>0</v>
      </c>
      <c r="D1215" s="571" t="s">
        <v>1464</v>
      </c>
      <c r="E1215" s="561" t="s">
        <v>3478</v>
      </c>
      <c r="F1215" s="572"/>
      <c r="G1215" s="571"/>
      <c r="H1215" s="571">
        <v>1</v>
      </c>
    </row>
    <row r="1216" spans="1:8" x14ac:dyDescent="0.2">
      <c r="A1216" s="560" t="s">
        <v>3479</v>
      </c>
      <c r="B1216" s="571"/>
      <c r="C1216" s="571">
        <v>0</v>
      </c>
      <c r="D1216" s="571" t="s">
        <v>1464</v>
      </c>
      <c r="E1216" s="561" t="s">
        <v>3480</v>
      </c>
      <c r="F1216" s="572"/>
      <c r="G1216" s="571"/>
      <c r="H1216" s="571"/>
    </row>
    <row r="1217" spans="1:8" x14ac:dyDescent="0.2">
      <c r="A1217" s="560" t="s">
        <v>1420</v>
      </c>
      <c r="B1217" s="571" t="s">
        <v>1443</v>
      </c>
      <c r="C1217" s="571">
        <v>1</v>
      </c>
      <c r="D1217" s="571" t="s">
        <v>1449</v>
      </c>
      <c r="E1217" s="561" t="s">
        <v>1421</v>
      </c>
      <c r="F1217" s="572" t="s">
        <v>1456</v>
      </c>
      <c r="G1217" s="571"/>
      <c r="H1217" s="571"/>
    </row>
    <row r="1218" spans="1:8" x14ac:dyDescent="0.2">
      <c r="A1218" s="560" t="s">
        <v>3481</v>
      </c>
      <c r="B1218" s="571" t="s">
        <v>1443</v>
      </c>
      <c r="C1218" s="571">
        <v>12</v>
      </c>
      <c r="D1218" s="571" t="s">
        <v>3482</v>
      </c>
      <c r="E1218" s="561" t="s">
        <v>3483</v>
      </c>
      <c r="F1218" s="572"/>
      <c r="G1218" s="571"/>
      <c r="H1218" s="571"/>
    </row>
    <row r="1219" spans="1:8" x14ac:dyDescent="0.2">
      <c r="A1219" s="560" t="s">
        <v>3484</v>
      </c>
      <c r="B1219" s="571" t="s">
        <v>1443</v>
      </c>
      <c r="C1219" s="571">
        <v>17</v>
      </c>
      <c r="D1219" s="571" t="s">
        <v>1481</v>
      </c>
      <c r="E1219" s="561" t="s">
        <v>3485</v>
      </c>
      <c r="F1219" s="572"/>
      <c r="G1219" s="571"/>
      <c r="H1219" s="571"/>
    </row>
    <row r="1220" spans="1:8" x14ac:dyDescent="0.2">
      <c r="A1220" s="560" t="s">
        <v>3486</v>
      </c>
      <c r="B1220" s="571" t="s">
        <v>1443</v>
      </c>
      <c r="C1220" s="571">
        <v>1</v>
      </c>
      <c r="D1220" s="571" t="s">
        <v>1481</v>
      </c>
      <c r="E1220" s="561" t="s">
        <v>3485</v>
      </c>
      <c r="F1220" s="572"/>
      <c r="G1220" s="571"/>
      <c r="H1220" s="571"/>
    </row>
    <row r="1221" spans="1:8" x14ac:dyDescent="0.2">
      <c r="A1221" s="560" t="s">
        <v>3487</v>
      </c>
      <c r="B1221" s="571"/>
      <c r="C1221" s="571">
        <v>0</v>
      </c>
      <c r="D1221" s="571" t="s">
        <v>1464</v>
      </c>
      <c r="E1221" s="561" t="s">
        <v>3488</v>
      </c>
      <c r="F1221" s="572"/>
      <c r="G1221" s="571"/>
      <c r="H1221" s="571"/>
    </row>
    <row r="1222" spans="1:8" x14ac:dyDescent="0.2">
      <c r="A1222" s="560" t="s">
        <v>3489</v>
      </c>
      <c r="B1222" s="571" t="s">
        <v>1443</v>
      </c>
      <c r="C1222" s="571">
        <v>0</v>
      </c>
      <c r="D1222" s="571" t="s">
        <v>1452</v>
      </c>
      <c r="E1222" s="561" t="s">
        <v>3490</v>
      </c>
      <c r="F1222" s="572"/>
      <c r="G1222" s="571"/>
      <c r="H1222" s="571"/>
    </row>
    <row r="1223" spans="1:8" x14ac:dyDescent="0.2">
      <c r="A1223" s="560" t="s">
        <v>3491</v>
      </c>
      <c r="B1223" s="571" t="s">
        <v>1443</v>
      </c>
      <c r="C1223" s="571">
        <v>12</v>
      </c>
      <c r="D1223" s="571" t="s">
        <v>1449</v>
      </c>
      <c r="E1223" s="561" t="s">
        <v>3492</v>
      </c>
      <c r="F1223" s="572"/>
      <c r="G1223" s="571"/>
      <c r="H1223" s="571"/>
    </row>
    <row r="1224" spans="1:8" x14ac:dyDescent="0.2">
      <c r="A1224" s="560" t="s">
        <v>3493</v>
      </c>
      <c r="B1224" s="571" t="s">
        <v>1443</v>
      </c>
      <c r="C1224" s="571">
        <v>2</v>
      </c>
      <c r="D1224" s="571" t="s">
        <v>1464</v>
      </c>
      <c r="E1224" s="561" t="s">
        <v>3494</v>
      </c>
      <c r="F1224" s="572"/>
      <c r="G1224" s="571"/>
      <c r="H1224" s="571"/>
    </row>
    <row r="1225" spans="1:8" x14ac:dyDescent="0.2">
      <c r="A1225" s="560" t="s">
        <v>3495</v>
      </c>
      <c r="B1225" s="571" t="s">
        <v>1443</v>
      </c>
      <c r="C1225" s="571">
        <v>14</v>
      </c>
      <c r="D1225" s="571" t="s">
        <v>1452</v>
      </c>
      <c r="E1225" s="561" t="s">
        <v>3496</v>
      </c>
      <c r="F1225" s="572"/>
      <c r="G1225" s="571"/>
      <c r="H1225" s="571"/>
    </row>
    <row r="1226" spans="1:8" x14ac:dyDescent="0.2">
      <c r="A1226" s="560" t="s">
        <v>3497</v>
      </c>
      <c r="B1226" s="571" t="s">
        <v>1443</v>
      </c>
      <c r="C1226" s="571">
        <v>0</v>
      </c>
      <c r="D1226" s="571"/>
      <c r="E1226" s="561" t="s">
        <v>3498</v>
      </c>
      <c r="F1226" s="572"/>
      <c r="G1226" s="571"/>
      <c r="H1226" s="571"/>
    </row>
    <row r="1227" spans="1:8" x14ac:dyDescent="0.2">
      <c r="A1227" s="560" t="s">
        <v>3499</v>
      </c>
      <c r="B1227" s="571" t="s">
        <v>1443</v>
      </c>
      <c r="C1227" s="571">
        <v>19</v>
      </c>
      <c r="D1227" s="571" t="s">
        <v>1449</v>
      </c>
      <c r="E1227" s="561" t="s">
        <v>3500</v>
      </c>
      <c r="F1227" s="572"/>
      <c r="G1227" s="571"/>
      <c r="H1227" s="571"/>
    </row>
    <row r="1228" spans="1:8" x14ac:dyDescent="0.2">
      <c r="A1228" s="560" t="s">
        <v>3501</v>
      </c>
      <c r="B1228" s="571" t="s">
        <v>1443</v>
      </c>
      <c r="C1228" s="571">
        <v>9</v>
      </c>
      <c r="D1228" s="571" t="s">
        <v>1449</v>
      </c>
      <c r="E1228" s="561" t="s">
        <v>3502</v>
      </c>
      <c r="F1228" s="572"/>
      <c r="G1228" s="571"/>
      <c r="H1228" s="571"/>
    </row>
    <row r="1229" spans="1:8" x14ac:dyDescent="0.2">
      <c r="A1229" s="560" t="s">
        <v>3503</v>
      </c>
      <c r="B1229" s="571" t="s">
        <v>1443</v>
      </c>
      <c r="C1229" s="571">
        <v>11</v>
      </c>
      <c r="D1229" s="571" t="s">
        <v>1481</v>
      </c>
      <c r="E1229" s="561" t="s">
        <v>3504</v>
      </c>
      <c r="F1229" s="572"/>
      <c r="G1229" s="571"/>
      <c r="H1229" s="571"/>
    </row>
    <row r="1230" spans="1:8" x14ac:dyDescent="0.2">
      <c r="A1230" s="560" t="s">
        <v>3505</v>
      </c>
      <c r="B1230" s="571" t="s">
        <v>1443</v>
      </c>
      <c r="C1230" s="571">
        <v>1</v>
      </c>
      <c r="D1230" s="571" t="s">
        <v>1449</v>
      </c>
      <c r="E1230" s="561" t="s">
        <v>3506</v>
      </c>
      <c r="F1230" s="572"/>
      <c r="G1230" s="571"/>
      <c r="H1230" s="571"/>
    </row>
    <row r="1231" spans="1:8" x14ac:dyDescent="0.2">
      <c r="A1231" s="560" t="s">
        <v>3507</v>
      </c>
      <c r="B1231" s="571"/>
      <c r="C1231" s="571">
        <v>0</v>
      </c>
      <c r="D1231" s="571" t="s">
        <v>1481</v>
      </c>
      <c r="E1231" s="561" t="s">
        <v>3508</v>
      </c>
      <c r="F1231" s="572"/>
      <c r="G1231" s="571"/>
      <c r="H1231" s="571"/>
    </row>
    <row r="1232" spans="1:8" x14ac:dyDescent="0.2">
      <c r="A1232" s="560" t="s">
        <v>3509</v>
      </c>
      <c r="B1232" s="571" t="s">
        <v>1443</v>
      </c>
      <c r="C1232" s="571">
        <v>10</v>
      </c>
      <c r="D1232" s="571" t="s">
        <v>1449</v>
      </c>
      <c r="E1232" s="561" t="s">
        <v>3510</v>
      </c>
      <c r="F1232" s="572"/>
      <c r="G1232" s="571"/>
      <c r="H1232" s="571"/>
    </row>
    <row r="1233" spans="1:8" x14ac:dyDescent="0.2">
      <c r="A1233" s="560" t="s">
        <v>3511</v>
      </c>
      <c r="B1233" s="571" t="s">
        <v>1443</v>
      </c>
      <c r="C1233" s="571">
        <v>8</v>
      </c>
      <c r="D1233" s="571" t="s">
        <v>1449</v>
      </c>
      <c r="E1233" s="561" t="s">
        <v>3512</v>
      </c>
      <c r="F1233" s="572"/>
      <c r="G1233" s="571"/>
      <c r="H1233" s="571"/>
    </row>
    <row r="1234" spans="1:8" x14ac:dyDescent="0.2">
      <c r="A1234" s="560" t="s">
        <v>1422</v>
      </c>
      <c r="B1234" s="571"/>
      <c r="C1234" s="571">
        <v>0</v>
      </c>
      <c r="D1234" s="571" t="s">
        <v>1452</v>
      </c>
      <c r="E1234" s="561" t="s">
        <v>1423</v>
      </c>
      <c r="F1234" s="572" t="s">
        <v>1456</v>
      </c>
      <c r="G1234" s="571"/>
      <c r="H1234" s="571"/>
    </row>
    <row r="1235" spans="1:8" x14ac:dyDescent="0.2">
      <c r="A1235" s="560" t="s">
        <v>3513</v>
      </c>
      <c r="B1235" s="571" t="s">
        <v>1443</v>
      </c>
      <c r="C1235" s="571">
        <v>11</v>
      </c>
      <c r="D1235" s="571" t="s">
        <v>1464</v>
      </c>
      <c r="E1235" s="561" t="s">
        <v>3514</v>
      </c>
      <c r="F1235" s="572"/>
      <c r="G1235" s="571"/>
      <c r="H1235" s="571"/>
    </row>
    <row r="1236" spans="1:8" x14ac:dyDescent="0.2">
      <c r="A1236" s="560" t="s">
        <v>1424</v>
      </c>
      <c r="B1236" s="571" t="s">
        <v>1443</v>
      </c>
      <c r="C1236" s="571">
        <v>0</v>
      </c>
      <c r="D1236" s="571" t="s">
        <v>1464</v>
      </c>
      <c r="E1236" s="561" t="s">
        <v>1425</v>
      </c>
      <c r="F1236" s="572" t="s">
        <v>1456</v>
      </c>
      <c r="G1236" s="571"/>
      <c r="H1236" s="571"/>
    </row>
    <row r="1237" spans="1:8" x14ac:dyDescent="0.2">
      <c r="A1237" s="560" t="s">
        <v>1426</v>
      </c>
      <c r="B1237" s="571" t="s">
        <v>1443</v>
      </c>
      <c r="C1237" s="571">
        <v>1</v>
      </c>
      <c r="D1237" s="571" t="s">
        <v>1452</v>
      </c>
      <c r="E1237" s="561" t="s">
        <v>1427</v>
      </c>
      <c r="F1237" s="572" t="s">
        <v>1456</v>
      </c>
      <c r="G1237" s="571"/>
      <c r="H1237" s="571"/>
    </row>
    <row r="1238" spans="1:8" x14ac:dyDescent="0.2">
      <c r="A1238" s="560" t="s">
        <v>1428</v>
      </c>
      <c r="B1238" s="571" t="s">
        <v>1443</v>
      </c>
      <c r="C1238" s="571">
        <v>2</v>
      </c>
      <c r="D1238" s="571" t="s">
        <v>1444</v>
      </c>
      <c r="E1238" s="561" t="s">
        <v>1429</v>
      </c>
      <c r="F1238" s="572" t="s">
        <v>1456</v>
      </c>
      <c r="G1238" s="571"/>
      <c r="H1238" s="571"/>
    </row>
    <row r="1239" spans="1:8" x14ac:dyDescent="0.2">
      <c r="A1239" s="560" t="s">
        <v>3515</v>
      </c>
      <c r="B1239" s="571" t="s">
        <v>1443</v>
      </c>
      <c r="C1239" s="571">
        <v>0</v>
      </c>
      <c r="D1239" s="571" t="s">
        <v>1449</v>
      </c>
      <c r="E1239" s="561" t="s">
        <v>3516</v>
      </c>
      <c r="F1239" s="572"/>
      <c r="G1239" s="571"/>
      <c r="H1239" s="571"/>
    </row>
    <row r="1240" spans="1:8" x14ac:dyDescent="0.2">
      <c r="A1240" s="560" t="s">
        <v>1430</v>
      </c>
      <c r="B1240" s="571" t="s">
        <v>1443</v>
      </c>
      <c r="C1240" s="571">
        <v>0</v>
      </c>
      <c r="D1240" s="571" t="s">
        <v>1481</v>
      </c>
      <c r="E1240" s="561" t="s">
        <v>1431</v>
      </c>
      <c r="F1240" s="572" t="s">
        <v>1456</v>
      </c>
      <c r="G1240" s="571"/>
      <c r="H1240" s="571"/>
    </row>
    <row r="1241" spans="1:8" x14ac:dyDescent="0.2">
      <c r="A1241" s="560" t="s">
        <v>3517</v>
      </c>
      <c r="B1241" s="571" t="s">
        <v>1443</v>
      </c>
      <c r="C1241" s="571">
        <v>0</v>
      </c>
      <c r="D1241" s="571" t="s">
        <v>1464</v>
      </c>
      <c r="E1241" s="561" t="s">
        <v>3518</v>
      </c>
      <c r="F1241" s="572"/>
      <c r="G1241" s="571"/>
      <c r="H1241" s="571"/>
    </row>
    <row r="1242" spans="1:8" x14ac:dyDescent="0.2">
      <c r="A1242" s="560" t="s">
        <v>1432</v>
      </c>
      <c r="B1242" s="571" t="s">
        <v>1443</v>
      </c>
      <c r="C1242" s="571">
        <v>4</v>
      </c>
      <c r="D1242" s="571" t="s">
        <v>1464</v>
      </c>
      <c r="E1242" s="561" t="s">
        <v>1433</v>
      </c>
      <c r="F1242" s="572" t="s">
        <v>1456</v>
      </c>
      <c r="G1242" s="571"/>
      <c r="H1242" s="571"/>
    </row>
    <row r="1243" spans="1:8" x14ac:dyDescent="0.2">
      <c r="A1243" s="560" t="s">
        <v>3519</v>
      </c>
      <c r="B1243" s="571" t="s">
        <v>1443</v>
      </c>
      <c r="C1243" s="571">
        <v>6</v>
      </c>
      <c r="D1243" s="571" t="s">
        <v>1449</v>
      </c>
      <c r="E1243" s="561" t="s">
        <v>3520</v>
      </c>
      <c r="F1243" s="572"/>
      <c r="G1243" s="571"/>
      <c r="H1243" s="571"/>
    </row>
    <row r="1244" spans="1:8" x14ac:dyDescent="0.2">
      <c r="A1244" s="560" t="s">
        <v>3521</v>
      </c>
      <c r="B1244" s="571" t="s">
        <v>1443</v>
      </c>
      <c r="C1244" s="571">
        <v>10</v>
      </c>
      <c r="D1244" s="571" t="s">
        <v>1452</v>
      </c>
      <c r="E1244" s="561" t="s">
        <v>3522</v>
      </c>
      <c r="F1244" s="572"/>
      <c r="G1244" s="571"/>
      <c r="H1244" s="571"/>
    </row>
    <row r="1245" spans="1:8" x14ac:dyDescent="0.2">
      <c r="A1245" s="560" t="s">
        <v>3523</v>
      </c>
      <c r="B1245" s="571" t="s">
        <v>1443</v>
      </c>
      <c r="C1245" s="571">
        <v>0</v>
      </c>
      <c r="D1245" s="571" t="s">
        <v>1452</v>
      </c>
      <c r="E1245" s="561" t="s">
        <v>3524</v>
      </c>
      <c r="F1245" s="572"/>
      <c r="G1245" s="571"/>
      <c r="H1245" s="571">
        <v>1</v>
      </c>
    </row>
    <row r="1246" spans="1:8" x14ac:dyDescent="0.2">
      <c r="A1246" s="560" t="s">
        <v>3525</v>
      </c>
      <c r="B1246" s="571" t="s">
        <v>1443</v>
      </c>
      <c r="C1246" s="571">
        <v>0</v>
      </c>
      <c r="D1246" s="571" t="s">
        <v>1444</v>
      </c>
      <c r="E1246" s="561" t="s">
        <v>3526</v>
      </c>
      <c r="F1246" s="572"/>
      <c r="G1246" s="571"/>
      <c r="H1246" s="571"/>
    </row>
    <row r="1247" spans="1:8" x14ac:dyDescent="0.2">
      <c r="A1247" s="560" t="s">
        <v>1434</v>
      </c>
      <c r="B1247" s="571" t="s">
        <v>1443</v>
      </c>
      <c r="C1247" s="571">
        <v>0</v>
      </c>
      <c r="D1247" s="571" t="s">
        <v>1444</v>
      </c>
      <c r="E1247" s="561" t="s">
        <v>1435</v>
      </c>
      <c r="F1247" s="572" t="s">
        <v>1456</v>
      </c>
      <c r="G1247" s="571"/>
      <c r="H1247" s="571"/>
    </row>
    <row r="1248" spans="1:8" x14ac:dyDescent="0.2">
      <c r="A1248" s="560" t="s">
        <v>3527</v>
      </c>
      <c r="B1248" s="571" t="s">
        <v>1443</v>
      </c>
      <c r="C1248" s="571">
        <v>4</v>
      </c>
      <c r="D1248" s="571" t="s">
        <v>1449</v>
      </c>
      <c r="E1248" s="561" t="s">
        <v>3528</v>
      </c>
      <c r="F1248" s="572"/>
      <c r="G1248" s="571"/>
      <c r="H1248" s="571"/>
    </row>
    <row r="1249" spans="1:8" x14ac:dyDescent="0.2">
      <c r="A1249" s="560" t="s">
        <v>3529</v>
      </c>
      <c r="B1249" s="571" t="s">
        <v>1443</v>
      </c>
      <c r="C1249" s="571">
        <v>4</v>
      </c>
      <c r="D1249" s="571" t="s">
        <v>1481</v>
      </c>
      <c r="E1249" s="561" t="s">
        <v>3530</v>
      </c>
      <c r="F1249" s="572"/>
      <c r="G1249" s="571"/>
      <c r="H1249" s="571"/>
    </row>
    <row r="1250" spans="1:8" x14ac:dyDescent="0.2">
      <c r="A1250" s="560" t="s">
        <v>3531</v>
      </c>
      <c r="B1250" s="571" t="s">
        <v>1443</v>
      </c>
      <c r="C1250" s="571">
        <v>0</v>
      </c>
      <c r="D1250" s="571" t="s">
        <v>1449</v>
      </c>
      <c r="E1250" s="561" t="s">
        <v>3532</v>
      </c>
      <c r="F1250" s="572"/>
      <c r="G1250" s="571"/>
      <c r="H1250" s="571"/>
    </row>
    <row r="1251" spans="1:8" x14ac:dyDescent="0.2">
      <c r="A1251" s="560" t="s">
        <v>3533</v>
      </c>
      <c r="B1251" s="571" t="s">
        <v>1443</v>
      </c>
      <c r="C1251" s="571">
        <v>4</v>
      </c>
      <c r="D1251" s="571" t="s">
        <v>1481</v>
      </c>
      <c r="E1251" s="561" t="s">
        <v>3534</v>
      </c>
      <c r="F1251" s="572"/>
      <c r="G1251" s="571"/>
      <c r="H1251" s="571"/>
    </row>
    <row r="1252" spans="1:8" x14ac:dyDescent="0.2">
      <c r="A1252" s="560" t="s">
        <v>3535</v>
      </c>
      <c r="B1252" s="571" t="s">
        <v>1443</v>
      </c>
      <c r="C1252" s="571">
        <v>8</v>
      </c>
      <c r="D1252" s="571" t="s">
        <v>1481</v>
      </c>
      <c r="E1252" s="561" t="s">
        <v>3536</v>
      </c>
      <c r="F1252" s="572"/>
      <c r="G1252" s="571"/>
      <c r="H1252" s="571"/>
    </row>
    <row r="1253" spans="1:8" x14ac:dyDescent="0.2">
      <c r="A1253" s="560" t="s">
        <v>3537</v>
      </c>
      <c r="B1253" s="571" t="s">
        <v>1443</v>
      </c>
      <c r="C1253" s="571">
        <v>10</v>
      </c>
      <c r="D1253" s="571"/>
      <c r="E1253" s="561" t="s">
        <v>3538</v>
      </c>
      <c r="F1253" s="572"/>
      <c r="G1253" s="571"/>
      <c r="H1253" s="571"/>
    </row>
    <row r="1254" spans="1:8" x14ac:dyDescent="0.2">
      <c r="A1254" s="560" t="s">
        <v>3539</v>
      </c>
      <c r="B1254" s="571" t="s">
        <v>1443</v>
      </c>
      <c r="C1254" s="571">
        <v>6</v>
      </c>
      <c r="D1254" s="571" t="s">
        <v>1481</v>
      </c>
      <c r="E1254" s="561" t="s">
        <v>3540</v>
      </c>
      <c r="F1254" s="572"/>
      <c r="G1254" s="571"/>
      <c r="H1254" s="571"/>
    </row>
    <row r="1255" spans="1:8" x14ac:dyDescent="0.2">
      <c r="A1255" s="560" t="s">
        <v>3541</v>
      </c>
      <c r="B1255" s="571" t="s">
        <v>1443</v>
      </c>
      <c r="C1255" s="571">
        <v>0</v>
      </c>
      <c r="D1255" s="571"/>
      <c r="E1255" s="561" t="s">
        <v>3542</v>
      </c>
      <c r="F1255" s="572"/>
      <c r="G1255" s="571"/>
      <c r="H1255" s="571"/>
    </row>
    <row r="1256" spans="1:8" x14ac:dyDescent="0.2">
      <c r="A1256" s="560" t="s">
        <v>3543</v>
      </c>
      <c r="B1256" s="571" t="s">
        <v>1443</v>
      </c>
      <c r="C1256" s="571">
        <v>0</v>
      </c>
      <c r="D1256" s="571"/>
      <c r="E1256" s="561" t="s">
        <v>3544</v>
      </c>
      <c r="F1256" s="572"/>
      <c r="G1256" s="571"/>
      <c r="H1256" s="571"/>
    </row>
    <row r="1257" spans="1:8" x14ac:dyDescent="0.2">
      <c r="A1257" s="560" t="s">
        <v>3545</v>
      </c>
      <c r="B1257" s="571" t="s">
        <v>1443</v>
      </c>
      <c r="C1257" s="571">
        <v>1</v>
      </c>
      <c r="D1257" s="571" t="s">
        <v>1481</v>
      </c>
      <c r="E1257" s="561" t="s">
        <v>3546</v>
      </c>
      <c r="F1257" s="572"/>
      <c r="G1257" s="571"/>
      <c r="H1257" s="571"/>
    </row>
    <row r="1258" spans="1:8" x14ac:dyDescent="0.2">
      <c r="A1258" s="560" t="s">
        <v>3547</v>
      </c>
      <c r="B1258" s="571" t="s">
        <v>1443</v>
      </c>
      <c r="C1258" s="571">
        <v>1</v>
      </c>
      <c r="D1258" s="571" t="s">
        <v>1449</v>
      </c>
      <c r="E1258" s="561" t="s">
        <v>3548</v>
      </c>
      <c r="F1258" s="572"/>
      <c r="G1258" s="571"/>
      <c r="H1258" s="571"/>
    </row>
    <row r="1259" spans="1:8" x14ac:dyDescent="0.2">
      <c r="A1259" s="560" t="s">
        <v>1436</v>
      </c>
      <c r="B1259" s="571"/>
      <c r="C1259" s="571">
        <v>0</v>
      </c>
      <c r="D1259" s="571" t="s">
        <v>1444</v>
      </c>
      <c r="E1259" s="561" t="s">
        <v>1437</v>
      </c>
      <c r="F1259" s="572" t="s">
        <v>1456</v>
      </c>
      <c r="G1259" s="571"/>
      <c r="H1259" s="571"/>
    </row>
    <row r="1260" spans="1:8" x14ac:dyDescent="0.2">
      <c r="A1260" s="560" t="s">
        <v>3549</v>
      </c>
      <c r="B1260" s="571" t="s">
        <v>1443</v>
      </c>
      <c r="C1260" s="571">
        <v>0</v>
      </c>
      <c r="D1260" s="571" t="s">
        <v>1449</v>
      </c>
      <c r="E1260" s="561" t="s">
        <v>3550</v>
      </c>
      <c r="F1260" s="572"/>
      <c r="G1260" s="571"/>
      <c r="H1260" s="571"/>
    </row>
    <row r="1261" spans="1:8" x14ac:dyDescent="0.2">
      <c r="A1261" s="560" t="s">
        <v>3551</v>
      </c>
      <c r="B1261" s="571"/>
      <c r="C1261" s="571">
        <v>0</v>
      </c>
      <c r="D1261" s="571" t="s">
        <v>1449</v>
      </c>
      <c r="E1261" s="561" t="s">
        <v>3552</v>
      </c>
      <c r="F1261" s="572"/>
      <c r="G1261" s="571"/>
      <c r="H1261" s="571"/>
    </row>
    <row r="1262" spans="1:8" x14ac:dyDescent="0.2">
      <c r="A1262" s="560" t="s">
        <v>3553</v>
      </c>
      <c r="B1262" s="571"/>
      <c r="C1262" s="571">
        <v>0</v>
      </c>
      <c r="D1262" s="571" t="s">
        <v>1464</v>
      </c>
      <c r="E1262" s="561" t="s">
        <v>3554</v>
      </c>
      <c r="F1262" s="572"/>
      <c r="G1262" s="571"/>
      <c r="H1262" s="571">
        <v>1</v>
      </c>
    </row>
    <row r="1263" spans="1:8" x14ac:dyDescent="0.2">
      <c r="A1263" s="560" t="s">
        <v>3555</v>
      </c>
      <c r="B1263" s="571" t="s">
        <v>1443</v>
      </c>
      <c r="C1263" s="571">
        <v>0</v>
      </c>
      <c r="D1263" s="571"/>
      <c r="E1263" s="561" t="s">
        <v>3556</v>
      </c>
      <c r="F1263" s="572"/>
      <c r="G1263" s="571"/>
      <c r="H1263" s="571"/>
    </row>
    <row r="1264" spans="1:8" x14ac:dyDescent="0.2">
      <c r="A1264" s="560" t="s">
        <v>3557</v>
      </c>
      <c r="B1264" s="571" t="s">
        <v>1443</v>
      </c>
      <c r="C1264" s="571">
        <v>3</v>
      </c>
      <c r="D1264" s="571" t="s">
        <v>1464</v>
      </c>
      <c r="E1264" s="561" t="s">
        <v>3558</v>
      </c>
      <c r="F1264" s="572"/>
      <c r="G1264" s="571"/>
      <c r="H1264" s="571"/>
    </row>
    <row r="1265" spans="1:8" x14ac:dyDescent="0.2">
      <c r="A1265" s="575"/>
      <c r="B1265" s="576"/>
      <c r="C1265" s="576"/>
      <c r="D1265" s="576"/>
      <c r="E1265"/>
      <c r="F1265"/>
      <c r="G1265"/>
      <c r="H1265"/>
    </row>
    <row r="1266" spans="1:8" x14ac:dyDescent="0.2">
      <c r="A1266" s="575"/>
      <c r="B1266" s="576"/>
      <c r="C1266" s="576"/>
      <c r="D1266" s="576"/>
      <c r="E1266"/>
      <c r="F1266"/>
      <c r="G1266"/>
      <c r="H1266"/>
    </row>
    <row r="1267" spans="1:8" x14ac:dyDescent="0.2">
      <c r="A1267" s="575"/>
      <c r="B1267" s="576"/>
      <c r="C1267" s="576"/>
      <c r="D1267" s="576"/>
      <c r="E1267"/>
      <c r="F1267"/>
      <c r="G1267"/>
      <c r="H1267"/>
    </row>
    <row r="1268" spans="1:8" x14ac:dyDescent="0.2">
      <c r="A1268" s="575"/>
      <c r="B1268" s="576"/>
      <c r="C1268" s="576"/>
      <c r="D1268" s="576"/>
      <c r="E1268"/>
      <c r="F1268"/>
      <c r="G1268"/>
      <c r="H1268"/>
    </row>
    <row r="1269" spans="1:8" x14ac:dyDescent="0.2">
      <c r="A1269" s="575"/>
      <c r="B1269" s="576"/>
      <c r="C1269" s="576"/>
      <c r="D1269" s="576"/>
      <c r="E1269"/>
      <c r="F1269"/>
      <c r="G1269"/>
      <c r="H1269"/>
    </row>
    <row r="1270" spans="1:8" x14ac:dyDescent="0.2">
      <c r="A1270" s="575"/>
      <c r="B1270" s="576"/>
      <c r="C1270" s="576"/>
      <c r="D1270" s="576"/>
      <c r="E1270"/>
      <c r="F1270"/>
      <c r="G1270"/>
      <c r="H1270"/>
    </row>
    <row r="1271" spans="1:8" x14ac:dyDescent="0.2">
      <c r="A1271" s="575"/>
      <c r="B1271" s="576"/>
      <c r="C1271" s="576"/>
      <c r="D1271" s="576"/>
      <c r="E1271"/>
      <c r="F1271"/>
      <c r="G1271"/>
      <c r="H1271"/>
    </row>
    <row r="1272" spans="1:8" x14ac:dyDescent="0.2">
      <c r="A1272" s="575"/>
      <c r="B1272" s="576"/>
      <c r="C1272" s="576"/>
      <c r="D1272" s="576"/>
      <c r="E1272"/>
      <c r="F1272"/>
      <c r="G1272"/>
      <c r="H1272"/>
    </row>
    <row r="1273" spans="1:8" x14ac:dyDescent="0.2">
      <c r="A1273" s="575"/>
      <c r="B1273" s="576"/>
      <c r="C1273" s="576"/>
      <c r="D1273" s="576"/>
      <c r="E1273"/>
      <c r="F1273"/>
      <c r="G1273"/>
      <c r="H1273"/>
    </row>
    <row r="1274" spans="1:8" x14ac:dyDescent="0.2">
      <c r="A1274" s="575"/>
      <c r="B1274" s="576"/>
      <c r="C1274" s="576"/>
      <c r="D1274" s="576"/>
      <c r="E1274"/>
      <c r="F1274"/>
      <c r="G1274"/>
      <c r="H1274"/>
    </row>
    <row r="1275" spans="1:8" x14ac:dyDescent="0.2">
      <c r="A1275" s="575"/>
      <c r="B1275" s="576"/>
      <c r="C1275" s="576"/>
      <c r="D1275" s="576"/>
      <c r="E1275"/>
      <c r="F1275"/>
      <c r="G1275"/>
      <c r="H1275"/>
    </row>
    <row r="1276" spans="1:8" x14ac:dyDescent="0.2">
      <c r="A1276" s="575"/>
      <c r="B1276" s="576"/>
      <c r="C1276" s="576"/>
      <c r="D1276" s="576"/>
      <c r="E1276"/>
      <c r="F1276"/>
      <c r="G1276"/>
      <c r="H1276"/>
    </row>
    <row r="1277" spans="1:8" x14ac:dyDescent="0.2">
      <c r="A1277" s="575"/>
      <c r="B1277" s="576"/>
      <c r="C1277" s="576"/>
      <c r="D1277" s="576"/>
      <c r="E1277"/>
      <c r="F1277"/>
      <c r="G1277"/>
      <c r="H1277"/>
    </row>
    <row r="1278" spans="1:8" x14ac:dyDescent="0.2">
      <c r="A1278" s="575"/>
      <c r="B1278" s="576"/>
      <c r="C1278" s="576"/>
      <c r="D1278" s="576"/>
      <c r="E1278"/>
      <c r="F1278"/>
      <c r="G1278"/>
      <c r="H1278"/>
    </row>
    <row r="1279" spans="1:8" x14ac:dyDescent="0.2">
      <c r="A1279" s="575"/>
      <c r="B1279" s="576"/>
      <c r="C1279" s="576"/>
      <c r="D1279" s="576"/>
      <c r="E1279"/>
      <c r="F1279"/>
      <c r="G1279"/>
      <c r="H1279"/>
    </row>
    <row r="1280" spans="1:8" x14ac:dyDescent="0.2">
      <c r="A1280" s="575"/>
      <c r="B1280" s="576"/>
      <c r="C1280" s="576"/>
      <c r="D1280" s="576"/>
      <c r="E1280"/>
      <c r="F1280"/>
      <c r="G1280"/>
      <c r="H1280"/>
    </row>
    <row r="1281" spans="1:8" x14ac:dyDescent="0.2">
      <c r="A1281" s="575"/>
      <c r="B1281" s="576"/>
      <c r="C1281" s="576"/>
      <c r="D1281" s="576"/>
      <c r="E1281"/>
      <c r="F1281"/>
      <c r="G1281"/>
      <c r="H1281"/>
    </row>
    <row r="1282" spans="1:8" x14ac:dyDescent="0.2">
      <c r="A1282" s="575"/>
      <c r="B1282" s="576"/>
      <c r="C1282" s="576"/>
      <c r="D1282" s="576"/>
      <c r="E1282"/>
      <c r="F1282"/>
      <c r="G1282"/>
      <c r="H1282"/>
    </row>
    <row r="1283" spans="1:8" x14ac:dyDescent="0.2">
      <c r="A1283" s="575"/>
      <c r="B1283" s="576"/>
      <c r="C1283" s="576"/>
      <c r="D1283" s="576"/>
      <c r="E1283"/>
      <c r="F1283"/>
      <c r="G1283"/>
      <c r="H1283"/>
    </row>
    <row r="1284" spans="1:8" x14ac:dyDescent="0.2">
      <c r="A1284" s="575"/>
      <c r="B1284" s="576"/>
      <c r="C1284" s="576"/>
      <c r="D1284" s="576"/>
      <c r="E1284"/>
      <c r="F1284"/>
      <c r="G1284"/>
      <c r="H1284"/>
    </row>
    <row r="1285" spans="1:8" x14ac:dyDescent="0.2">
      <c r="A1285" s="575"/>
      <c r="B1285" s="576"/>
      <c r="C1285" s="576"/>
      <c r="D1285" s="576"/>
      <c r="E1285"/>
      <c r="F1285"/>
      <c r="G1285"/>
      <c r="H1285"/>
    </row>
    <row r="1286" spans="1:8" x14ac:dyDescent="0.2">
      <c r="A1286" s="575"/>
      <c r="B1286" s="576"/>
      <c r="C1286" s="576"/>
      <c r="D1286" s="576"/>
      <c r="E1286"/>
      <c r="F1286"/>
      <c r="G1286"/>
      <c r="H1286"/>
    </row>
    <row r="1287" spans="1:8" x14ac:dyDescent="0.2">
      <c r="A1287" s="575"/>
      <c r="B1287" s="576"/>
      <c r="C1287" s="576"/>
      <c r="D1287" s="576"/>
      <c r="E1287"/>
      <c r="F1287"/>
      <c r="G1287"/>
      <c r="H1287"/>
    </row>
    <row r="1288" spans="1:8" x14ac:dyDescent="0.2">
      <c r="A1288" s="575"/>
      <c r="B1288" s="576"/>
      <c r="C1288" s="576"/>
      <c r="D1288" s="576"/>
      <c r="E1288"/>
      <c r="F1288"/>
      <c r="G1288"/>
      <c r="H1288"/>
    </row>
    <row r="1289" spans="1:8" x14ac:dyDescent="0.2">
      <c r="A1289" s="575"/>
      <c r="B1289" s="576"/>
      <c r="C1289" s="576"/>
      <c r="D1289" s="576"/>
      <c r="E1289"/>
      <c r="F1289"/>
      <c r="G1289"/>
      <c r="H1289"/>
    </row>
    <row r="1290" spans="1:8" x14ac:dyDescent="0.2">
      <c r="A1290" s="575"/>
      <c r="B1290" s="576"/>
      <c r="C1290" s="576"/>
      <c r="D1290" s="576"/>
      <c r="E1290"/>
      <c r="F1290"/>
      <c r="G1290"/>
      <c r="H1290"/>
    </row>
    <row r="1291" spans="1:8" x14ac:dyDescent="0.2">
      <c r="A1291" s="575"/>
      <c r="B1291" s="576"/>
      <c r="C1291" s="576"/>
      <c r="D1291" s="576"/>
      <c r="E1291"/>
      <c r="F1291"/>
      <c r="G1291"/>
      <c r="H1291"/>
    </row>
    <row r="1292" spans="1:8" x14ac:dyDescent="0.2">
      <c r="A1292" s="575"/>
      <c r="B1292" s="576"/>
      <c r="C1292" s="576"/>
      <c r="D1292" s="576"/>
      <c r="E1292"/>
      <c r="F1292"/>
      <c r="G1292"/>
      <c r="H1292"/>
    </row>
    <row r="1293" spans="1:8" x14ac:dyDescent="0.2">
      <c r="A1293" s="575"/>
      <c r="B1293" s="576"/>
      <c r="C1293" s="576"/>
      <c r="D1293" s="576"/>
      <c r="E1293"/>
      <c r="F1293"/>
      <c r="G1293"/>
      <c r="H1293"/>
    </row>
    <row r="1294" spans="1:8" x14ac:dyDescent="0.2">
      <c r="A1294" s="575"/>
      <c r="B1294" s="576"/>
      <c r="C1294" s="576"/>
      <c r="D1294" s="576"/>
      <c r="E1294"/>
      <c r="F1294"/>
      <c r="G1294"/>
      <c r="H1294"/>
    </row>
    <row r="1295" spans="1:8" x14ac:dyDescent="0.2">
      <c r="A1295" s="575"/>
      <c r="B1295" s="576"/>
      <c r="C1295" s="576"/>
      <c r="D1295" s="576"/>
      <c r="E1295"/>
      <c r="F1295"/>
      <c r="G1295"/>
      <c r="H1295"/>
    </row>
    <row r="1296" spans="1:8" x14ac:dyDescent="0.2">
      <c r="A1296" s="575"/>
      <c r="B1296" s="576"/>
      <c r="C1296" s="576"/>
      <c r="D1296" s="576"/>
      <c r="E1296"/>
      <c r="F1296"/>
      <c r="G1296"/>
      <c r="H1296"/>
    </row>
    <row r="1297" spans="1:8" x14ac:dyDescent="0.2">
      <c r="A1297" s="575"/>
      <c r="B1297" s="576"/>
      <c r="C1297" s="576"/>
      <c r="D1297" s="576"/>
      <c r="E1297"/>
      <c r="F1297"/>
      <c r="G1297"/>
      <c r="H1297"/>
    </row>
    <row r="1298" spans="1:8" x14ac:dyDescent="0.2">
      <c r="A1298" s="575"/>
      <c r="B1298" s="576"/>
      <c r="C1298" s="576"/>
      <c r="D1298" s="576"/>
      <c r="E1298"/>
      <c r="F1298"/>
      <c r="G1298"/>
      <c r="H1298"/>
    </row>
    <row r="1299" spans="1:8" x14ac:dyDescent="0.2">
      <c r="A1299" s="575"/>
      <c r="B1299" s="576"/>
      <c r="C1299" s="576"/>
      <c r="D1299" s="576"/>
      <c r="E1299"/>
      <c r="F1299"/>
      <c r="G1299"/>
      <c r="H1299"/>
    </row>
    <row r="1300" spans="1:8" x14ac:dyDescent="0.2">
      <c r="A1300" s="575"/>
      <c r="B1300" s="576"/>
      <c r="C1300" s="576"/>
      <c r="D1300" s="576"/>
      <c r="E1300"/>
      <c r="F1300"/>
      <c r="G1300"/>
      <c r="H1300"/>
    </row>
    <row r="1301" spans="1:8" x14ac:dyDescent="0.2">
      <c r="A1301" s="575"/>
      <c r="B1301" s="576"/>
      <c r="C1301" s="576"/>
      <c r="D1301" s="576"/>
      <c r="E1301"/>
      <c r="F1301"/>
      <c r="G1301"/>
      <c r="H1301"/>
    </row>
    <row r="1302" spans="1:8" x14ac:dyDescent="0.2">
      <c r="A1302" s="575"/>
      <c r="B1302" s="576"/>
      <c r="C1302" s="576"/>
      <c r="D1302" s="576"/>
      <c r="E1302"/>
      <c r="F1302"/>
      <c r="G1302"/>
      <c r="H1302"/>
    </row>
    <row r="1303" spans="1:8" x14ac:dyDescent="0.2">
      <c r="A1303" s="575"/>
      <c r="B1303" s="576"/>
      <c r="C1303" s="576"/>
      <c r="D1303" s="576"/>
      <c r="E1303"/>
      <c r="F1303"/>
      <c r="G1303"/>
      <c r="H1303"/>
    </row>
    <row r="1304" spans="1:8" x14ac:dyDescent="0.2">
      <c r="A1304" s="575"/>
      <c r="B1304" s="576"/>
      <c r="C1304" s="576"/>
      <c r="D1304" s="576"/>
      <c r="E1304"/>
      <c r="F1304"/>
      <c r="G1304"/>
      <c r="H1304"/>
    </row>
    <row r="1305" spans="1:8" x14ac:dyDescent="0.2">
      <c r="A1305" s="575"/>
      <c r="B1305" s="576"/>
      <c r="C1305" s="576"/>
      <c r="D1305" s="576"/>
      <c r="E1305"/>
      <c r="F1305"/>
      <c r="G1305"/>
      <c r="H1305"/>
    </row>
    <row r="1306" spans="1:8" x14ac:dyDescent="0.2">
      <c r="A1306" s="575"/>
      <c r="B1306" s="576"/>
      <c r="C1306" s="576"/>
      <c r="D1306" s="576"/>
      <c r="E1306"/>
      <c r="F1306"/>
      <c r="G1306"/>
      <c r="H1306"/>
    </row>
    <row r="1307" spans="1:8" x14ac:dyDescent="0.2">
      <c r="A1307" s="575"/>
      <c r="B1307" s="576"/>
      <c r="C1307" s="576"/>
      <c r="D1307" s="576"/>
      <c r="E1307"/>
      <c r="F1307"/>
      <c r="G1307"/>
      <c r="H1307"/>
    </row>
    <row r="1308" spans="1:8" x14ac:dyDescent="0.2">
      <c r="A1308" s="575"/>
      <c r="B1308" s="576"/>
      <c r="C1308" s="576"/>
      <c r="D1308" s="576"/>
      <c r="E1308"/>
      <c r="F1308"/>
      <c r="G1308"/>
      <c r="H1308"/>
    </row>
  </sheetData>
  <sheetProtection password="C74A" sheet="1" objects="1" scenarios="1" formatCells="0" formatColumns="0" formatRows="0" sort="0"/>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3D1FC-B98A-428C-96BC-E0DE8378ADCB}">
  <sheetPr>
    <tabColor rgb="FFFFFF00"/>
  </sheetPr>
  <dimension ref="A1:B14"/>
  <sheetViews>
    <sheetView tabSelected="1" topLeftCell="A6" workbookViewId="0">
      <selection activeCell="G16" sqref="G16"/>
    </sheetView>
  </sheetViews>
  <sheetFormatPr defaultRowHeight="12.75" x14ac:dyDescent="0.2"/>
  <cols>
    <col min="1" max="1" width="4.6640625" customWidth="1"/>
    <col min="2" max="2" width="168.5" customWidth="1"/>
  </cols>
  <sheetData>
    <row r="1" spans="1:2" ht="15" thickBot="1" x14ac:dyDescent="0.25">
      <c r="A1" s="1112" t="s">
        <v>3682</v>
      </c>
      <c r="B1" s="1113" t="s">
        <v>3683</v>
      </c>
    </row>
    <row r="2" spans="1:2" ht="15" x14ac:dyDescent="0.2">
      <c r="A2" s="1114">
        <v>1</v>
      </c>
      <c r="B2" s="1115" t="s">
        <v>3690</v>
      </c>
    </row>
    <row r="3" spans="1:2" ht="30" x14ac:dyDescent="0.2">
      <c r="A3" s="1116">
        <v>2</v>
      </c>
      <c r="B3" s="1117" t="s">
        <v>3691</v>
      </c>
    </row>
    <row r="4" spans="1:2" ht="60" x14ac:dyDescent="0.2">
      <c r="A4" s="1116">
        <v>3</v>
      </c>
      <c r="B4" s="1117" t="s">
        <v>3684</v>
      </c>
    </row>
    <row r="5" spans="1:2" ht="30" x14ac:dyDescent="0.2">
      <c r="A5" s="1116">
        <v>4</v>
      </c>
      <c r="B5" s="1117" t="s">
        <v>3685</v>
      </c>
    </row>
    <row r="6" spans="1:2" ht="15" x14ac:dyDescent="0.2">
      <c r="A6" s="1116">
        <v>5</v>
      </c>
      <c r="B6" s="1117" t="s">
        <v>3686</v>
      </c>
    </row>
    <row r="7" spans="1:2" ht="120" x14ac:dyDescent="0.2">
      <c r="A7" s="1116">
        <v>6</v>
      </c>
      <c r="B7" s="1117" t="s">
        <v>3693</v>
      </c>
    </row>
    <row r="8" spans="1:2" ht="45" x14ac:dyDescent="0.2">
      <c r="A8" s="1116">
        <v>7</v>
      </c>
      <c r="B8" s="1117" t="s">
        <v>3692</v>
      </c>
    </row>
    <row r="9" spans="1:2" ht="15" x14ac:dyDescent="0.2">
      <c r="A9" s="1119"/>
      <c r="B9" s="1120" t="s">
        <v>3687</v>
      </c>
    </row>
    <row r="10" spans="1:2" ht="30" x14ac:dyDescent="0.2">
      <c r="A10" s="1116">
        <v>8</v>
      </c>
      <c r="B10" s="1117" t="s">
        <v>3695</v>
      </c>
    </row>
    <row r="11" spans="1:2" ht="30" x14ac:dyDescent="0.2">
      <c r="A11" s="1116">
        <v>9</v>
      </c>
      <c r="B11" s="1117" t="s">
        <v>3696</v>
      </c>
    </row>
    <row r="12" spans="1:2" ht="45" x14ac:dyDescent="0.2">
      <c r="A12" s="1116">
        <v>10</v>
      </c>
      <c r="B12" s="1117" t="s">
        <v>3694</v>
      </c>
    </row>
    <row r="13" spans="1:2" ht="60" x14ac:dyDescent="0.2">
      <c r="A13" s="1116">
        <v>14</v>
      </c>
      <c r="B13" s="1121" t="s">
        <v>3697</v>
      </c>
    </row>
    <row r="14" spans="1:2" ht="45.75" thickBot="1" x14ac:dyDescent="0.25">
      <c r="A14" s="1122" t="s">
        <v>3688</v>
      </c>
      <c r="B14" s="1118" t="s">
        <v>3689</v>
      </c>
    </row>
  </sheetData>
  <sheetProtection algorithmName="SHA-512" hashValue="R51XMmPejwPJmWO4zYgurBj6W3rv4MfZNPl8FmiR0hOLqCjsSmeKizWQXWGgpwNsDxXQMuVIJsx+UeNSjhQy0A==" saltValue="XA/5RtlK2cCLShz7xzWnO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13"/>
  </sheetPr>
  <dimension ref="A1:E645"/>
  <sheetViews>
    <sheetView zoomScaleNormal="100" workbookViewId="0">
      <selection activeCell="E1" sqref="E1:E2"/>
    </sheetView>
  </sheetViews>
  <sheetFormatPr defaultColWidth="9.33203125" defaultRowHeight="15" customHeight="1" x14ac:dyDescent="0.2"/>
  <cols>
    <col min="1" max="1" width="5.83203125" style="28" customWidth="1"/>
    <col min="2" max="2" width="18.83203125" style="28" customWidth="1"/>
    <col min="3" max="3" width="98.83203125" style="28" customWidth="1"/>
    <col min="4" max="4" width="6.83203125" style="17" customWidth="1"/>
    <col min="5" max="5" width="75.83203125" style="9" customWidth="1"/>
    <col min="6" max="16384" width="9.33203125" style="9"/>
  </cols>
  <sheetData>
    <row r="1" spans="1:5" ht="36" customHeight="1" thickBot="1" x14ac:dyDescent="0.25">
      <c r="A1" s="714" t="s">
        <v>3680</v>
      </c>
      <c r="B1" s="715"/>
      <c r="C1" s="716"/>
      <c r="D1" s="753"/>
      <c r="E1" s="751"/>
    </row>
    <row r="2" spans="1:5" ht="133.15" customHeight="1" thickBot="1" x14ac:dyDescent="0.25">
      <c r="A2" s="758" t="s">
        <v>1066</v>
      </c>
      <c r="B2" s="759"/>
      <c r="C2" s="760"/>
      <c r="D2" s="754"/>
      <c r="E2" s="752"/>
    </row>
    <row r="3" spans="1:5" s="250" customFormat="1" ht="30" customHeight="1" thickBot="1" x14ac:dyDescent="0.25">
      <c r="A3" s="252" t="s">
        <v>770</v>
      </c>
      <c r="B3" s="249" t="s">
        <v>1023</v>
      </c>
      <c r="C3" s="255" t="s">
        <v>1024</v>
      </c>
      <c r="D3" s="619" t="s">
        <v>805</v>
      </c>
      <c r="E3" s="265" t="s">
        <v>1029</v>
      </c>
    </row>
    <row r="4" spans="1:5" ht="21" customHeight="1" thickBot="1" x14ac:dyDescent="0.25">
      <c r="A4" s="720" t="s">
        <v>187</v>
      </c>
      <c r="B4" s="730" t="s">
        <v>526</v>
      </c>
      <c r="C4" s="57" t="s">
        <v>85</v>
      </c>
      <c r="D4" s="650"/>
      <c r="E4" s="783" t="s">
        <v>1052</v>
      </c>
    </row>
    <row r="5" spans="1:5" ht="27" customHeight="1" x14ac:dyDescent="0.2">
      <c r="A5" s="720"/>
      <c r="B5" s="730"/>
      <c r="C5" s="48" t="s">
        <v>999</v>
      </c>
      <c r="D5" s="643">
        <v>0</v>
      </c>
      <c r="E5" s="784"/>
    </row>
    <row r="6" spans="1:5" ht="32.450000000000003" customHeight="1" x14ac:dyDescent="0.2">
      <c r="A6" s="720"/>
      <c r="B6" s="730"/>
      <c r="C6" s="51" t="s">
        <v>1049</v>
      </c>
      <c r="D6" s="643">
        <v>0</v>
      </c>
      <c r="E6" s="784"/>
    </row>
    <row r="7" spans="1:5" ht="15" customHeight="1" thickBot="1" x14ac:dyDescent="0.25">
      <c r="A7" s="720"/>
      <c r="B7" s="730"/>
      <c r="C7" s="49" t="s">
        <v>1000</v>
      </c>
      <c r="D7" s="643">
        <v>1</v>
      </c>
      <c r="E7" s="785"/>
    </row>
    <row r="8" spans="1:5" ht="76.900000000000006" customHeight="1" x14ac:dyDescent="0.2">
      <c r="A8" s="721" t="s">
        <v>195</v>
      </c>
      <c r="B8" s="723" t="s">
        <v>885</v>
      </c>
      <c r="C8" s="766" t="s">
        <v>886</v>
      </c>
      <c r="D8" s="643">
        <v>8</v>
      </c>
      <c r="E8" s="749" t="s">
        <v>1095</v>
      </c>
    </row>
    <row r="9" spans="1:5" s="134" customFormat="1" ht="46.5" customHeight="1" thickBot="1" x14ac:dyDescent="0.25">
      <c r="A9" s="768"/>
      <c r="B9" s="774"/>
      <c r="C9" s="767"/>
      <c r="D9" s="651"/>
      <c r="E9" s="738"/>
    </row>
    <row r="10" spans="1:5" s="32" customFormat="1" ht="21" customHeight="1" thickBot="1" x14ac:dyDescent="0.25">
      <c r="A10" s="778" t="s">
        <v>188</v>
      </c>
      <c r="B10" s="775" t="s">
        <v>240</v>
      </c>
      <c r="C10" s="256" t="s">
        <v>189</v>
      </c>
      <c r="D10" s="650"/>
      <c r="E10" s="786" t="s">
        <v>1050</v>
      </c>
    </row>
    <row r="11" spans="1:5" s="32" customFormat="1" ht="15" customHeight="1" x14ac:dyDescent="0.2">
      <c r="A11" s="779"/>
      <c r="B11" s="776"/>
      <c r="C11" s="257" t="s">
        <v>190</v>
      </c>
      <c r="D11" s="652">
        <v>0</v>
      </c>
      <c r="E11" s="787"/>
    </row>
    <row r="12" spans="1:5" s="32" customFormat="1" ht="15" customHeight="1" x14ac:dyDescent="0.2">
      <c r="A12" s="779"/>
      <c r="B12" s="776"/>
      <c r="C12" s="258" t="s">
        <v>191</v>
      </c>
      <c r="D12" s="652">
        <v>0</v>
      </c>
      <c r="E12" s="787"/>
    </row>
    <row r="13" spans="1:5" s="32" customFormat="1" ht="15" customHeight="1" x14ac:dyDescent="0.2">
      <c r="A13" s="779"/>
      <c r="B13" s="776"/>
      <c r="C13" s="258" t="s">
        <v>192</v>
      </c>
      <c r="D13" s="652">
        <v>0</v>
      </c>
      <c r="E13" s="787"/>
    </row>
    <row r="14" spans="1:5" s="32" customFormat="1" ht="15" customHeight="1" x14ac:dyDescent="0.2">
      <c r="A14" s="779"/>
      <c r="B14" s="776"/>
      <c r="C14" s="258" t="s">
        <v>518</v>
      </c>
      <c r="D14" s="652">
        <v>0</v>
      </c>
      <c r="E14" s="787"/>
    </row>
    <row r="15" spans="1:5" s="32" customFormat="1" ht="15" customHeight="1" x14ac:dyDescent="0.2">
      <c r="A15" s="779"/>
      <c r="B15" s="776"/>
      <c r="C15" s="258" t="s">
        <v>519</v>
      </c>
      <c r="D15" s="652">
        <v>0</v>
      </c>
      <c r="E15" s="787"/>
    </row>
    <row r="16" spans="1:5" s="32" customFormat="1" ht="15" customHeight="1" x14ac:dyDescent="0.2">
      <c r="A16" s="779"/>
      <c r="B16" s="776"/>
      <c r="C16" s="258" t="s">
        <v>193</v>
      </c>
      <c r="D16" s="652">
        <v>0</v>
      </c>
      <c r="E16" s="787"/>
    </row>
    <row r="17" spans="1:5" s="32" customFormat="1" ht="15" customHeight="1" thickBot="1" x14ac:dyDescent="0.25">
      <c r="A17" s="780"/>
      <c r="B17" s="777"/>
      <c r="C17" s="259" t="s">
        <v>194</v>
      </c>
      <c r="D17" s="652">
        <v>1</v>
      </c>
      <c r="E17" s="788"/>
    </row>
    <row r="18" spans="1:5" ht="30" customHeight="1" thickBot="1" x14ac:dyDescent="0.25">
      <c r="A18" s="721" t="s">
        <v>197</v>
      </c>
      <c r="B18" s="723" t="s">
        <v>867</v>
      </c>
      <c r="C18" s="57" t="s">
        <v>1019</v>
      </c>
      <c r="D18" s="650"/>
      <c r="E18" s="749" t="s">
        <v>1051</v>
      </c>
    </row>
    <row r="19" spans="1:5" ht="15" customHeight="1" x14ac:dyDescent="0.2">
      <c r="A19" s="720"/>
      <c r="B19" s="730"/>
      <c r="C19" s="48" t="s">
        <v>816</v>
      </c>
      <c r="D19" s="652">
        <v>0</v>
      </c>
      <c r="E19" s="744"/>
    </row>
    <row r="20" spans="1:5" ht="15" customHeight="1" x14ac:dyDescent="0.2">
      <c r="A20" s="720"/>
      <c r="B20" s="730"/>
      <c r="C20" s="51" t="s">
        <v>854</v>
      </c>
      <c r="D20" s="652">
        <v>0</v>
      </c>
      <c r="E20" s="744"/>
    </row>
    <row r="21" spans="1:5" ht="15" customHeight="1" x14ac:dyDescent="0.2">
      <c r="A21" s="720"/>
      <c r="B21" s="730"/>
      <c r="C21" s="51" t="s">
        <v>516</v>
      </c>
      <c r="D21" s="652">
        <v>0</v>
      </c>
      <c r="E21" s="744"/>
    </row>
    <row r="22" spans="1:5" ht="15" customHeight="1" x14ac:dyDescent="0.2">
      <c r="A22" s="720"/>
      <c r="B22" s="730"/>
      <c r="C22" s="51" t="s">
        <v>517</v>
      </c>
      <c r="D22" s="652">
        <v>1</v>
      </c>
      <c r="E22" s="744"/>
    </row>
    <row r="23" spans="1:5" ht="15" customHeight="1" thickBot="1" x14ac:dyDescent="0.25">
      <c r="A23" s="722"/>
      <c r="B23" s="731"/>
      <c r="C23" s="52" t="s">
        <v>817</v>
      </c>
      <c r="D23" s="652">
        <v>0</v>
      </c>
      <c r="E23" s="750"/>
    </row>
    <row r="24" spans="1:5" ht="30" customHeight="1" thickBot="1" x14ac:dyDescent="0.25">
      <c r="A24" s="720" t="s">
        <v>247</v>
      </c>
      <c r="B24" s="730" t="s">
        <v>866</v>
      </c>
      <c r="C24" s="216" t="s">
        <v>1020</v>
      </c>
      <c r="D24" s="650"/>
      <c r="E24" s="744" t="s">
        <v>1096</v>
      </c>
    </row>
    <row r="25" spans="1:5" ht="15" customHeight="1" x14ac:dyDescent="0.2">
      <c r="A25" s="720"/>
      <c r="B25" s="730"/>
      <c r="C25" s="48" t="s">
        <v>816</v>
      </c>
      <c r="D25" s="652">
        <v>0</v>
      </c>
      <c r="E25" s="744"/>
    </row>
    <row r="26" spans="1:5" ht="15" customHeight="1" x14ac:dyDescent="0.2">
      <c r="A26" s="720"/>
      <c r="B26" s="730"/>
      <c r="C26" s="51" t="s">
        <v>854</v>
      </c>
      <c r="D26" s="652">
        <v>1</v>
      </c>
      <c r="E26" s="744"/>
    </row>
    <row r="27" spans="1:5" ht="15" customHeight="1" x14ac:dyDescent="0.2">
      <c r="A27" s="720"/>
      <c r="B27" s="730"/>
      <c r="C27" s="51" t="s">
        <v>516</v>
      </c>
      <c r="D27" s="652">
        <v>0</v>
      </c>
      <c r="E27" s="744"/>
    </row>
    <row r="28" spans="1:5" ht="15" customHeight="1" x14ac:dyDescent="0.2">
      <c r="A28" s="720"/>
      <c r="B28" s="730"/>
      <c r="C28" s="51" t="s">
        <v>517</v>
      </c>
      <c r="D28" s="652">
        <v>0</v>
      </c>
      <c r="E28" s="744"/>
    </row>
    <row r="29" spans="1:5" ht="15" customHeight="1" thickBot="1" x14ac:dyDescent="0.25">
      <c r="A29" s="720"/>
      <c r="B29" s="730"/>
      <c r="C29" s="49" t="s">
        <v>817</v>
      </c>
      <c r="D29" s="652">
        <v>0</v>
      </c>
      <c r="E29" s="744"/>
    </row>
    <row r="30" spans="1:5" ht="45" customHeight="1" thickBot="1" x14ac:dyDescent="0.25">
      <c r="A30" s="721" t="s">
        <v>196</v>
      </c>
      <c r="B30" s="723" t="s">
        <v>822</v>
      </c>
      <c r="C30" s="57" t="s">
        <v>1021</v>
      </c>
      <c r="D30" s="650"/>
      <c r="E30" s="749" t="s">
        <v>1052</v>
      </c>
    </row>
    <row r="31" spans="1:5" ht="15" customHeight="1" x14ac:dyDescent="0.2">
      <c r="A31" s="720"/>
      <c r="B31" s="730"/>
      <c r="C31" s="48" t="s">
        <v>814</v>
      </c>
      <c r="D31" s="652">
        <v>0</v>
      </c>
      <c r="E31" s="744"/>
    </row>
    <row r="32" spans="1:5" ht="15" customHeight="1" x14ac:dyDescent="0.2">
      <c r="A32" s="720"/>
      <c r="B32" s="730"/>
      <c r="C32" s="53" t="s">
        <v>785</v>
      </c>
      <c r="D32" s="652">
        <v>1</v>
      </c>
      <c r="E32" s="744"/>
    </row>
    <row r="33" spans="1:5" ht="15" customHeight="1" thickBot="1" x14ac:dyDescent="0.25">
      <c r="A33" s="722"/>
      <c r="B33" s="731"/>
      <c r="C33" s="52" t="s">
        <v>870</v>
      </c>
      <c r="D33" s="652">
        <v>0</v>
      </c>
      <c r="E33" s="750"/>
    </row>
    <row r="34" spans="1:5" ht="30" customHeight="1" thickBot="1" x14ac:dyDescent="0.25">
      <c r="A34" s="720" t="s">
        <v>198</v>
      </c>
      <c r="B34" s="730" t="s">
        <v>457</v>
      </c>
      <c r="C34" s="216" t="s">
        <v>390</v>
      </c>
      <c r="D34" s="650"/>
      <c r="E34" s="744" t="s">
        <v>1065</v>
      </c>
    </row>
    <row r="35" spans="1:5" ht="27" customHeight="1" x14ac:dyDescent="0.2">
      <c r="A35" s="720"/>
      <c r="B35" s="730"/>
      <c r="C35" s="48" t="s">
        <v>328</v>
      </c>
      <c r="D35" s="652">
        <v>0</v>
      </c>
      <c r="E35" s="744"/>
    </row>
    <row r="36" spans="1:5" ht="19.899999999999999" customHeight="1" x14ac:dyDescent="0.2">
      <c r="A36" s="720"/>
      <c r="B36" s="730"/>
      <c r="C36" s="51" t="s">
        <v>528</v>
      </c>
      <c r="D36" s="652">
        <v>0</v>
      </c>
      <c r="E36" s="744"/>
    </row>
    <row r="37" spans="1:5" ht="15" customHeight="1" x14ac:dyDescent="0.2">
      <c r="A37" s="720"/>
      <c r="B37" s="730"/>
      <c r="C37" s="51" t="s">
        <v>326</v>
      </c>
      <c r="D37" s="652">
        <v>1</v>
      </c>
      <c r="E37" s="744"/>
    </row>
    <row r="38" spans="1:5" ht="15" customHeight="1" thickBot="1" x14ac:dyDescent="0.25">
      <c r="A38" s="720"/>
      <c r="B38" s="730"/>
      <c r="C38" s="49" t="s">
        <v>327</v>
      </c>
      <c r="D38" s="652">
        <v>0</v>
      </c>
      <c r="E38" s="744"/>
    </row>
    <row r="39" spans="1:5" ht="21" customHeight="1" thickBot="1" x14ac:dyDescent="0.25">
      <c r="A39" s="721" t="s">
        <v>199</v>
      </c>
      <c r="B39" s="723" t="s">
        <v>865</v>
      </c>
      <c r="C39" s="260" t="s">
        <v>502</v>
      </c>
      <c r="D39" s="650"/>
      <c r="E39" s="749" t="s">
        <v>1053</v>
      </c>
    </row>
    <row r="40" spans="1:5" ht="27" customHeight="1" x14ac:dyDescent="0.2">
      <c r="A40" s="720"/>
      <c r="B40" s="730"/>
      <c r="C40" s="48" t="s">
        <v>291</v>
      </c>
      <c r="D40" s="643">
        <v>0</v>
      </c>
      <c r="E40" s="744"/>
    </row>
    <row r="41" spans="1:5" ht="39.75" customHeight="1" x14ac:dyDescent="0.2">
      <c r="A41" s="720"/>
      <c r="B41" s="730"/>
      <c r="C41" s="51" t="s">
        <v>884</v>
      </c>
      <c r="D41" s="643">
        <v>1</v>
      </c>
      <c r="E41" s="744"/>
    </row>
    <row r="42" spans="1:5" ht="27.75" customHeight="1" thickBot="1" x14ac:dyDescent="0.25">
      <c r="A42" s="722"/>
      <c r="B42" s="731"/>
      <c r="C42" s="52" t="s">
        <v>497</v>
      </c>
      <c r="D42" s="643">
        <v>0</v>
      </c>
      <c r="E42" s="750"/>
    </row>
    <row r="43" spans="1:5" ht="21" customHeight="1" thickBot="1" x14ac:dyDescent="0.25">
      <c r="A43" s="720" t="s">
        <v>200</v>
      </c>
      <c r="B43" s="730" t="s">
        <v>235</v>
      </c>
      <c r="C43" s="216" t="s">
        <v>116</v>
      </c>
      <c r="D43" s="650"/>
      <c r="E43" s="744" t="s">
        <v>1054</v>
      </c>
    </row>
    <row r="44" spans="1:5" ht="15" customHeight="1" x14ac:dyDescent="0.2">
      <c r="A44" s="720"/>
      <c r="B44" s="730"/>
      <c r="C44" s="48" t="s">
        <v>117</v>
      </c>
      <c r="D44" s="643">
        <v>1</v>
      </c>
      <c r="E44" s="744"/>
    </row>
    <row r="45" spans="1:5" ht="15" customHeight="1" x14ac:dyDescent="0.2">
      <c r="A45" s="720"/>
      <c r="B45" s="730"/>
      <c r="C45" s="51" t="s">
        <v>236</v>
      </c>
      <c r="D45" s="643">
        <v>0</v>
      </c>
      <c r="E45" s="744"/>
    </row>
    <row r="46" spans="1:5" ht="15" customHeight="1" x14ac:dyDescent="0.2">
      <c r="A46" s="720"/>
      <c r="B46" s="730"/>
      <c r="C46" s="51" t="s">
        <v>237</v>
      </c>
      <c r="D46" s="643">
        <v>0</v>
      </c>
      <c r="E46" s="744"/>
    </row>
    <row r="47" spans="1:5" ht="15" customHeight="1" x14ac:dyDescent="0.2">
      <c r="A47" s="720"/>
      <c r="B47" s="730"/>
      <c r="C47" s="51" t="s">
        <v>238</v>
      </c>
      <c r="D47" s="643">
        <v>0</v>
      </c>
      <c r="E47" s="744"/>
    </row>
    <row r="48" spans="1:5" ht="15" customHeight="1" thickBot="1" x14ac:dyDescent="0.25">
      <c r="A48" s="720"/>
      <c r="B48" s="730"/>
      <c r="C48" s="49" t="s">
        <v>340</v>
      </c>
      <c r="D48" s="643">
        <v>0</v>
      </c>
      <c r="E48" s="744"/>
    </row>
    <row r="49" spans="1:5" ht="21" customHeight="1" thickBot="1" x14ac:dyDescent="0.25">
      <c r="A49" s="721" t="s">
        <v>201</v>
      </c>
      <c r="B49" s="723" t="s">
        <v>772</v>
      </c>
      <c r="C49" s="260" t="s">
        <v>251</v>
      </c>
      <c r="D49" s="650"/>
      <c r="E49" s="749" t="s">
        <v>1055</v>
      </c>
    </row>
    <row r="50" spans="1:5" ht="27" customHeight="1" x14ac:dyDescent="0.2">
      <c r="A50" s="761"/>
      <c r="B50" s="769"/>
      <c r="C50" s="48" t="s">
        <v>1438</v>
      </c>
      <c r="D50" s="643">
        <v>0</v>
      </c>
      <c r="E50" s="789"/>
    </row>
    <row r="51" spans="1:5" ht="27" customHeight="1" x14ac:dyDescent="0.2">
      <c r="A51" s="761"/>
      <c r="B51" s="769"/>
      <c r="C51" s="48" t="s">
        <v>956</v>
      </c>
      <c r="D51" s="643">
        <v>1</v>
      </c>
      <c r="E51" s="789"/>
    </row>
    <row r="52" spans="1:5" ht="27" customHeight="1" x14ac:dyDescent="0.2">
      <c r="A52" s="761"/>
      <c r="B52" s="769"/>
      <c r="C52" s="49" t="s">
        <v>949</v>
      </c>
      <c r="D52" s="643">
        <v>0</v>
      </c>
      <c r="E52" s="789"/>
    </row>
    <row r="53" spans="1:5" ht="27" customHeight="1" thickBot="1" x14ac:dyDescent="0.25">
      <c r="A53" s="762"/>
      <c r="B53" s="770"/>
      <c r="C53" s="52" t="s">
        <v>950</v>
      </c>
      <c r="D53" s="643">
        <v>0</v>
      </c>
      <c r="E53" s="790"/>
    </row>
    <row r="54" spans="1:5" ht="30" customHeight="1" thickBot="1" x14ac:dyDescent="0.25">
      <c r="A54" s="720" t="s">
        <v>202</v>
      </c>
      <c r="B54" s="730" t="s">
        <v>239</v>
      </c>
      <c r="C54" s="216" t="s">
        <v>71</v>
      </c>
      <c r="D54" s="650"/>
      <c r="E54" s="744" t="s">
        <v>1056</v>
      </c>
    </row>
    <row r="55" spans="1:5" ht="15" customHeight="1" x14ac:dyDescent="0.2">
      <c r="A55" s="720"/>
      <c r="B55" s="730"/>
      <c r="C55" s="51" t="s">
        <v>43</v>
      </c>
      <c r="D55" s="653">
        <v>0</v>
      </c>
      <c r="E55" s="744"/>
    </row>
    <row r="56" spans="1:5" ht="15" customHeight="1" x14ac:dyDescent="0.2">
      <c r="A56" s="720"/>
      <c r="B56" s="730"/>
      <c r="C56" s="51" t="s">
        <v>44</v>
      </c>
      <c r="D56" s="653">
        <v>0</v>
      </c>
      <c r="E56" s="744"/>
    </row>
    <row r="57" spans="1:5" ht="15" customHeight="1" x14ac:dyDescent="0.2">
      <c r="A57" s="720"/>
      <c r="B57" s="730"/>
      <c r="C57" s="51" t="s">
        <v>341</v>
      </c>
      <c r="D57" s="653">
        <v>0</v>
      </c>
      <c r="E57" s="744"/>
    </row>
    <row r="58" spans="1:5" ht="15" customHeight="1" x14ac:dyDescent="0.2">
      <c r="A58" s="720"/>
      <c r="B58" s="730"/>
      <c r="C58" s="51" t="s">
        <v>342</v>
      </c>
      <c r="D58" s="653">
        <v>0</v>
      </c>
      <c r="E58" s="744"/>
    </row>
    <row r="59" spans="1:5" ht="15" customHeight="1" x14ac:dyDescent="0.2">
      <c r="A59" s="720"/>
      <c r="B59" s="730"/>
      <c r="C59" s="51" t="s">
        <v>343</v>
      </c>
      <c r="D59" s="653">
        <v>0</v>
      </c>
      <c r="E59" s="744"/>
    </row>
    <row r="60" spans="1:5" ht="15" customHeight="1" thickBot="1" x14ac:dyDescent="0.25">
      <c r="A60" s="720"/>
      <c r="B60" s="730"/>
      <c r="C60" s="49" t="s">
        <v>45</v>
      </c>
      <c r="D60" s="653">
        <v>1</v>
      </c>
      <c r="E60" s="744"/>
    </row>
    <row r="61" spans="1:5" s="15" customFormat="1" ht="21" customHeight="1" thickBot="1" x14ac:dyDescent="0.25">
      <c r="A61" s="763" t="s">
        <v>203</v>
      </c>
      <c r="B61" s="771" t="s">
        <v>841</v>
      </c>
      <c r="C61" s="261" t="s">
        <v>842</v>
      </c>
      <c r="D61" s="650"/>
      <c r="E61" s="791" t="s">
        <v>1042</v>
      </c>
    </row>
    <row r="62" spans="1:5" s="15" customFormat="1" ht="15" customHeight="1" x14ac:dyDescent="0.2">
      <c r="A62" s="764"/>
      <c r="B62" s="772"/>
      <c r="C62" s="54" t="s">
        <v>241</v>
      </c>
      <c r="D62" s="652">
        <v>0</v>
      </c>
      <c r="E62" s="792"/>
    </row>
    <row r="63" spans="1:5" s="15" customFormat="1" ht="15" customHeight="1" x14ac:dyDescent="0.2">
      <c r="A63" s="764"/>
      <c r="B63" s="772"/>
      <c r="C63" s="55" t="s">
        <v>849</v>
      </c>
      <c r="D63" s="652">
        <v>1</v>
      </c>
      <c r="E63" s="792"/>
    </row>
    <row r="64" spans="1:5" s="15" customFormat="1" ht="15" customHeight="1" thickBot="1" x14ac:dyDescent="0.25">
      <c r="A64" s="765"/>
      <c r="B64" s="773"/>
      <c r="C64" s="56" t="s">
        <v>242</v>
      </c>
      <c r="D64" s="652">
        <v>0</v>
      </c>
      <c r="E64" s="793"/>
    </row>
    <row r="65" spans="1:5" ht="21" customHeight="1" thickBot="1" x14ac:dyDescent="0.25">
      <c r="A65" s="720" t="s">
        <v>204</v>
      </c>
      <c r="B65" s="730" t="s">
        <v>880</v>
      </c>
      <c r="C65" s="183" t="s">
        <v>386</v>
      </c>
      <c r="D65" s="650"/>
      <c r="E65" s="744" t="s">
        <v>1057</v>
      </c>
    </row>
    <row r="66" spans="1:5" ht="15" customHeight="1" x14ac:dyDescent="0.2">
      <c r="A66" s="720"/>
      <c r="B66" s="730"/>
      <c r="C66" s="48" t="s">
        <v>243</v>
      </c>
      <c r="D66" s="641">
        <v>1</v>
      </c>
      <c r="E66" s="744"/>
    </row>
    <row r="67" spans="1:5" ht="15" customHeight="1" x14ac:dyDescent="0.2">
      <c r="A67" s="720"/>
      <c r="B67" s="730"/>
      <c r="C67" s="51" t="s">
        <v>881</v>
      </c>
      <c r="D67" s="641">
        <v>0</v>
      </c>
      <c r="E67" s="744"/>
    </row>
    <row r="68" spans="1:5" ht="15" customHeight="1" x14ac:dyDescent="0.2">
      <c r="A68" s="720"/>
      <c r="B68" s="730"/>
      <c r="C68" s="51" t="s">
        <v>882</v>
      </c>
      <c r="D68" s="641">
        <v>0</v>
      </c>
      <c r="E68" s="744"/>
    </row>
    <row r="69" spans="1:5" ht="15" customHeight="1" x14ac:dyDescent="0.2">
      <c r="A69" s="720"/>
      <c r="B69" s="730"/>
      <c r="C69" s="51" t="s">
        <v>883</v>
      </c>
      <c r="D69" s="641">
        <v>0</v>
      </c>
      <c r="E69" s="744"/>
    </row>
    <row r="70" spans="1:5" ht="15" customHeight="1" thickBot="1" x14ac:dyDescent="0.25">
      <c r="A70" s="720"/>
      <c r="B70" s="730"/>
      <c r="C70" s="49" t="s">
        <v>520</v>
      </c>
      <c r="D70" s="643">
        <v>0</v>
      </c>
      <c r="E70" s="744"/>
    </row>
    <row r="71" spans="1:5" ht="21" customHeight="1" thickBot="1" x14ac:dyDescent="0.25">
      <c r="A71" s="721" t="s">
        <v>205</v>
      </c>
      <c r="B71" s="723" t="s">
        <v>448</v>
      </c>
      <c r="C71" s="260" t="s">
        <v>869</v>
      </c>
      <c r="D71" s="650"/>
      <c r="E71" s="749" t="s">
        <v>3583</v>
      </c>
    </row>
    <row r="72" spans="1:5" ht="15" customHeight="1" x14ac:dyDescent="0.2">
      <c r="A72" s="720"/>
      <c r="B72" s="730"/>
      <c r="C72" s="48" t="s">
        <v>888</v>
      </c>
      <c r="D72" s="643">
        <v>1</v>
      </c>
      <c r="E72" s="744"/>
    </row>
    <row r="73" spans="1:5" ht="15" customHeight="1" x14ac:dyDescent="0.2">
      <c r="A73" s="720"/>
      <c r="B73" s="730"/>
      <c r="C73" s="51" t="s">
        <v>501</v>
      </c>
      <c r="D73" s="643">
        <v>0</v>
      </c>
      <c r="E73" s="744"/>
    </row>
    <row r="74" spans="1:5" ht="15" customHeight="1" x14ac:dyDescent="0.2">
      <c r="A74" s="720"/>
      <c r="B74" s="730"/>
      <c r="C74" s="51" t="s">
        <v>518</v>
      </c>
      <c r="D74" s="643">
        <v>0</v>
      </c>
      <c r="E74" s="744"/>
    </row>
    <row r="75" spans="1:5" ht="15" customHeight="1" x14ac:dyDescent="0.2">
      <c r="A75" s="720"/>
      <c r="B75" s="730"/>
      <c r="C75" s="51" t="s">
        <v>519</v>
      </c>
      <c r="D75" s="643">
        <v>0</v>
      </c>
      <c r="E75" s="744"/>
    </row>
    <row r="76" spans="1:5" ht="15" customHeight="1" thickBot="1" x14ac:dyDescent="0.25">
      <c r="A76" s="722"/>
      <c r="B76" s="731"/>
      <c r="C76" s="52" t="s">
        <v>520</v>
      </c>
      <c r="D76" s="643">
        <v>0</v>
      </c>
      <c r="E76" s="750"/>
    </row>
    <row r="77" spans="1:5" ht="30" customHeight="1" thickBot="1" x14ac:dyDescent="0.25">
      <c r="A77" s="720" t="s">
        <v>206</v>
      </c>
      <c r="B77" s="730" t="s">
        <v>903</v>
      </c>
      <c r="C77" s="183" t="s">
        <v>389</v>
      </c>
      <c r="D77" s="650"/>
      <c r="E77" s="744" t="s">
        <v>1097</v>
      </c>
    </row>
    <row r="78" spans="1:5" ht="15" customHeight="1" x14ac:dyDescent="0.2">
      <c r="A78" s="720"/>
      <c r="B78" s="730"/>
      <c r="C78" s="49" t="s">
        <v>513</v>
      </c>
      <c r="D78" s="652">
        <v>0</v>
      </c>
      <c r="E78" s="744"/>
    </row>
    <row r="79" spans="1:5" ht="15" customHeight="1" x14ac:dyDescent="0.2">
      <c r="A79" s="720"/>
      <c r="B79" s="730"/>
      <c r="C79" s="51" t="s">
        <v>782</v>
      </c>
      <c r="D79" s="652">
        <v>0</v>
      </c>
      <c r="E79" s="744"/>
    </row>
    <row r="80" spans="1:5" ht="15" customHeight="1" x14ac:dyDescent="0.2">
      <c r="A80" s="720"/>
      <c r="B80" s="730"/>
      <c r="C80" s="51" t="s">
        <v>783</v>
      </c>
      <c r="D80" s="652">
        <v>0</v>
      </c>
      <c r="E80" s="744"/>
    </row>
    <row r="81" spans="1:5" ht="15" customHeight="1" x14ac:dyDescent="0.2">
      <c r="A81" s="720"/>
      <c r="B81" s="730"/>
      <c r="C81" s="51" t="s">
        <v>784</v>
      </c>
      <c r="D81" s="652">
        <v>0</v>
      </c>
      <c r="E81" s="744"/>
    </row>
    <row r="82" spans="1:5" ht="15" customHeight="1" thickBot="1" x14ac:dyDescent="0.25">
      <c r="A82" s="720"/>
      <c r="B82" s="730"/>
      <c r="C82" s="53" t="s">
        <v>338</v>
      </c>
      <c r="D82" s="643">
        <v>1</v>
      </c>
      <c r="E82" s="744"/>
    </row>
    <row r="83" spans="1:5" ht="21" customHeight="1" thickBot="1" x14ac:dyDescent="0.25">
      <c r="A83" s="721" t="s">
        <v>207</v>
      </c>
      <c r="B83" s="723" t="s">
        <v>904</v>
      </c>
      <c r="C83" s="260" t="s">
        <v>905</v>
      </c>
      <c r="D83" s="650"/>
      <c r="E83" s="749" t="s">
        <v>1058</v>
      </c>
    </row>
    <row r="84" spans="1:5" ht="15" customHeight="1" x14ac:dyDescent="0.2">
      <c r="A84" s="720"/>
      <c r="B84" s="730"/>
      <c r="C84" s="48" t="s">
        <v>324</v>
      </c>
      <c r="D84" s="643">
        <v>0</v>
      </c>
      <c r="E84" s="744"/>
    </row>
    <row r="85" spans="1:5" ht="15" customHeight="1" thickBot="1" x14ac:dyDescent="0.25">
      <c r="A85" s="722"/>
      <c r="B85" s="731"/>
      <c r="C85" s="52" t="s">
        <v>325</v>
      </c>
      <c r="D85" s="643">
        <v>0</v>
      </c>
      <c r="E85" s="750"/>
    </row>
    <row r="86" spans="1:5" ht="30" customHeight="1" thickBot="1" x14ac:dyDescent="0.25">
      <c r="A86" s="720" t="s">
        <v>208</v>
      </c>
      <c r="B86" s="730" t="s">
        <v>387</v>
      </c>
      <c r="C86" s="183" t="s">
        <v>388</v>
      </c>
      <c r="D86" s="650"/>
      <c r="E86" s="744" t="s">
        <v>1098</v>
      </c>
    </row>
    <row r="87" spans="1:5" ht="15" customHeight="1" x14ac:dyDescent="0.2">
      <c r="A87" s="720"/>
      <c r="B87" s="730"/>
      <c r="C87" s="48" t="s">
        <v>819</v>
      </c>
      <c r="D87" s="643">
        <v>0</v>
      </c>
      <c r="E87" s="744"/>
    </row>
    <row r="88" spans="1:5" ht="15" customHeight="1" x14ac:dyDescent="0.2">
      <c r="A88" s="720"/>
      <c r="B88" s="730"/>
      <c r="C88" s="51" t="s">
        <v>771</v>
      </c>
      <c r="D88" s="643">
        <v>0</v>
      </c>
      <c r="E88" s="744"/>
    </row>
    <row r="89" spans="1:5" ht="15" customHeight="1" x14ac:dyDescent="0.2">
      <c r="A89" s="720"/>
      <c r="B89" s="730"/>
      <c r="C89" s="51" t="s">
        <v>437</v>
      </c>
      <c r="D89" s="643">
        <v>0</v>
      </c>
      <c r="E89" s="744"/>
    </row>
    <row r="90" spans="1:5" ht="15" customHeight="1" thickBot="1" x14ac:dyDescent="0.25">
      <c r="A90" s="720"/>
      <c r="B90" s="730"/>
      <c r="C90" s="49" t="s">
        <v>452</v>
      </c>
      <c r="D90" s="643">
        <v>1</v>
      </c>
      <c r="E90" s="744"/>
    </row>
    <row r="91" spans="1:5" ht="45" customHeight="1" thickBot="1" x14ac:dyDescent="0.25">
      <c r="A91" s="50" t="s">
        <v>209</v>
      </c>
      <c r="B91" s="29" t="s">
        <v>887</v>
      </c>
      <c r="C91" s="57" t="s">
        <v>818</v>
      </c>
      <c r="D91" s="643">
        <v>0</v>
      </c>
      <c r="E91" s="162" t="s">
        <v>1042</v>
      </c>
    </row>
    <row r="92" spans="1:5" ht="42" customHeight="1" thickBot="1" x14ac:dyDescent="0.25">
      <c r="A92" s="720" t="s">
        <v>210</v>
      </c>
      <c r="B92" s="730" t="s">
        <v>514</v>
      </c>
      <c r="C92" s="183" t="s">
        <v>391</v>
      </c>
      <c r="D92" s="650"/>
      <c r="E92" s="744" t="s">
        <v>1099</v>
      </c>
    </row>
    <row r="93" spans="1:5" ht="15" customHeight="1" x14ac:dyDescent="0.2">
      <c r="A93" s="720"/>
      <c r="B93" s="730"/>
      <c r="C93" s="58" t="s">
        <v>745</v>
      </c>
      <c r="D93" s="654">
        <v>0</v>
      </c>
      <c r="E93" s="744"/>
    </row>
    <row r="94" spans="1:5" ht="15" customHeight="1" x14ac:dyDescent="0.2">
      <c r="A94" s="720"/>
      <c r="B94" s="730"/>
      <c r="C94" s="59" t="s">
        <v>746</v>
      </c>
      <c r="D94" s="654">
        <v>1</v>
      </c>
      <c r="E94" s="744"/>
    </row>
    <row r="95" spans="1:5" ht="15" customHeight="1" x14ac:dyDescent="0.2">
      <c r="A95" s="720"/>
      <c r="B95" s="730"/>
      <c r="C95" s="59" t="s">
        <v>747</v>
      </c>
      <c r="D95" s="654">
        <v>0</v>
      </c>
      <c r="E95" s="744"/>
    </row>
    <row r="96" spans="1:5" ht="15" customHeight="1" x14ac:dyDescent="0.2">
      <c r="A96" s="720"/>
      <c r="B96" s="730"/>
      <c r="C96" s="60" t="s">
        <v>744</v>
      </c>
      <c r="D96" s="654">
        <v>0</v>
      </c>
      <c r="E96" s="744"/>
    </row>
    <row r="97" spans="1:5" ht="15" customHeight="1" x14ac:dyDescent="0.2">
      <c r="A97" s="720"/>
      <c r="B97" s="730"/>
      <c r="C97" s="49" t="s">
        <v>769</v>
      </c>
      <c r="D97" s="654">
        <v>0</v>
      </c>
      <c r="E97" s="744"/>
    </row>
    <row r="98" spans="1:5" ht="15" customHeight="1" thickBot="1" x14ac:dyDescent="0.25">
      <c r="A98" s="720"/>
      <c r="B98" s="730"/>
      <c r="C98" s="49" t="s">
        <v>752</v>
      </c>
      <c r="D98" s="654">
        <v>0</v>
      </c>
      <c r="E98" s="744"/>
    </row>
    <row r="99" spans="1:5" ht="46.5" customHeight="1" thickBot="1" x14ac:dyDescent="0.25">
      <c r="A99" s="721" t="s">
        <v>211</v>
      </c>
      <c r="B99" s="723" t="s">
        <v>806</v>
      </c>
      <c r="C99" s="260" t="s">
        <v>392</v>
      </c>
      <c r="D99" s="650"/>
      <c r="E99" s="749" t="s">
        <v>1100</v>
      </c>
    </row>
    <row r="100" spans="1:5" ht="15" customHeight="1" x14ac:dyDescent="0.2">
      <c r="A100" s="720"/>
      <c r="B100" s="730"/>
      <c r="C100" s="48" t="s">
        <v>512</v>
      </c>
      <c r="D100" s="652">
        <v>0</v>
      </c>
      <c r="E100" s="744"/>
    </row>
    <row r="101" spans="1:5" ht="15" customHeight="1" x14ac:dyDescent="0.2">
      <c r="A101" s="720"/>
      <c r="B101" s="730"/>
      <c r="C101" s="59" t="s">
        <v>504</v>
      </c>
      <c r="D101" s="652">
        <v>0</v>
      </c>
      <c r="E101" s="744"/>
    </row>
    <row r="102" spans="1:5" ht="15" customHeight="1" x14ac:dyDescent="0.2">
      <c r="A102" s="720"/>
      <c r="B102" s="730"/>
      <c r="C102" s="51" t="s">
        <v>769</v>
      </c>
      <c r="D102" s="652">
        <v>0</v>
      </c>
      <c r="E102" s="744"/>
    </row>
    <row r="103" spans="1:5" ht="15" customHeight="1" thickBot="1" x14ac:dyDescent="0.25">
      <c r="A103" s="722"/>
      <c r="B103" s="731"/>
      <c r="C103" s="52" t="s">
        <v>752</v>
      </c>
      <c r="D103" s="652">
        <v>1</v>
      </c>
      <c r="E103" s="750"/>
    </row>
    <row r="104" spans="1:5" ht="30" customHeight="1" thickBot="1" x14ac:dyDescent="0.25">
      <c r="A104" s="720" t="s">
        <v>212</v>
      </c>
      <c r="B104" s="730" t="s">
        <v>844</v>
      </c>
      <c r="C104" s="183" t="s">
        <v>823</v>
      </c>
      <c r="D104" s="650"/>
      <c r="E104" s="744" t="s">
        <v>1101</v>
      </c>
    </row>
    <row r="105" spans="1:5" ht="15" customHeight="1" x14ac:dyDescent="0.2">
      <c r="A105" s="720"/>
      <c r="B105" s="730"/>
      <c r="C105" s="48" t="s">
        <v>444</v>
      </c>
      <c r="D105" s="652">
        <v>0</v>
      </c>
      <c r="E105" s="744"/>
    </row>
    <row r="106" spans="1:5" ht="15" customHeight="1" x14ac:dyDescent="0.2">
      <c r="A106" s="720"/>
      <c r="B106" s="730"/>
      <c r="C106" s="51" t="s">
        <v>518</v>
      </c>
      <c r="D106" s="652">
        <v>0</v>
      </c>
      <c r="E106" s="744"/>
    </row>
    <row r="107" spans="1:5" ht="15" customHeight="1" thickBot="1" x14ac:dyDescent="0.25">
      <c r="A107" s="720"/>
      <c r="B107" s="730"/>
      <c r="C107" s="49" t="s">
        <v>511</v>
      </c>
      <c r="D107" s="652">
        <v>1</v>
      </c>
      <c r="E107" s="744"/>
    </row>
    <row r="108" spans="1:5" ht="21" customHeight="1" thickBot="1" x14ac:dyDescent="0.25">
      <c r="A108" s="721" t="s">
        <v>213</v>
      </c>
      <c r="B108" s="723" t="s">
        <v>754</v>
      </c>
      <c r="C108" s="260" t="s">
        <v>115</v>
      </c>
      <c r="D108" s="650"/>
      <c r="E108" s="749" t="s">
        <v>1059</v>
      </c>
    </row>
    <row r="109" spans="1:5" ht="15" customHeight="1" x14ac:dyDescent="0.2">
      <c r="A109" s="720"/>
      <c r="B109" s="730"/>
      <c r="C109" s="48" t="s">
        <v>114</v>
      </c>
      <c r="D109" s="652">
        <v>0</v>
      </c>
      <c r="E109" s="744"/>
    </row>
    <row r="110" spans="1:5" ht="15" customHeight="1" x14ac:dyDescent="0.2">
      <c r="A110" s="720"/>
      <c r="B110" s="730"/>
      <c r="C110" s="48" t="s">
        <v>244</v>
      </c>
      <c r="D110" s="652">
        <v>0</v>
      </c>
      <c r="E110" s="744"/>
    </row>
    <row r="111" spans="1:5" ht="15" customHeight="1" x14ac:dyDescent="0.2">
      <c r="A111" s="720"/>
      <c r="B111" s="730"/>
      <c r="C111" s="51" t="s">
        <v>245</v>
      </c>
      <c r="D111" s="652">
        <v>0</v>
      </c>
      <c r="E111" s="744"/>
    </row>
    <row r="112" spans="1:5" ht="15" customHeight="1" thickBot="1" x14ac:dyDescent="0.25">
      <c r="A112" s="722"/>
      <c r="B112" s="731"/>
      <c r="C112" s="52" t="s">
        <v>246</v>
      </c>
      <c r="D112" s="652">
        <v>1</v>
      </c>
      <c r="E112" s="750"/>
    </row>
    <row r="113" spans="1:5" ht="21" customHeight="1" thickBot="1" x14ac:dyDescent="0.25">
      <c r="A113" s="720" t="s">
        <v>214</v>
      </c>
      <c r="B113" s="730" t="s">
        <v>797</v>
      </c>
      <c r="C113" s="183" t="s">
        <v>741</v>
      </c>
      <c r="D113" s="650"/>
      <c r="E113" s="744" t="s">
        <v>1045</v>
      </c>
    </row>
    <row r="114" spans="1:5" ht="15" customHeight="1" x14ac:dyDescent="0.2">
      <c r="A114" s="720"/>
      <c r="B114" s="730"/>
      <c r="C114" s="48" t="s">
        <v>320</v>
      </c>
      <c r="D114" s="652">
        <v>1</v>
      </c>
      <c r="E114" s="744"/>
    </row>
    <row r="115" spans="1:5" ht="15" customHeight="1" x14ac:dyDescent="0.2">
      <c r="A115" s="720"/>
      <c r="B115" s="730"/>
      <c r="C115" s="51" t="s">
        <v>321</v>
      </c>
      <c r="D115" s="652">
        <v>1</v>
      </c>
      <c r="E115" s="744"/>
    </row>
    <row r="116" spans="1:5" ht="26.25" customHeight="1" x14ac:dyDescent="0.2">
      <c r="A116" s="720"/>
      <c r="B116" s="730"/>
      <c r="C116" s="49" t="s">
        <v>742</v>
      </c>
      <c r="D116" s="643">
        <v>0</v>
      </c>
      <c r="E116" s="744"/>
    </row>
    <row r="117" spans="1:5" ht="27.6" customHeight="1" thickBot="1" x14ac:dyDescent="0.25">
      <c r="A117" s="720"/>
      <c r="B117" s="730"/>
      <c r="C117" s="262" t="s">
        <v>15</v>
      </c>
      <c r="D117" s="643">
        <v>0</v>
      </c>
      <c r="E117" s="744"/>
    </row>
    <row r="118" spans="1:5" s="33" customFormat="1" ht="45" customHeight="1" thickBot="1" x14ac:dyDescent="0.25">
      <c r="A118" s="254" t="s">
        <v>215</v>
      </c>
      <c r="B118" s="29" t="s">
        <v>322</v>
      </c>
      <c r="C118" s="263" t="s">
        <v>323</v>
      </c>
      <c r="D118" s="643">
        <v>0</v>
      </c>
      <c r="E118" s="266" t="s">
        <v>1102</v>
      </c>
    </row>
    <row r="119" spans="1:5" ht="21" customHeight="1" thickBot="1" x14ac:dyDescent="0.25">
      <c r="A119" s="721" t="s">
        <v>216</v>
      </c>
      <c r="B119" s="723" t="s">
        <v>500</v>
      </c>
      <c r="C119" s="260" t="s">
        <v>515</v>
      </c>
      <c r="D119" s="650"/>
      <c r="E119" s="749" t="s">
        <v>1060</v>
      </c>
    </row>
    <row r="120" spans="1:5" ht="15" customHeight="1" x14ac:dyDescent="0.2">
      <c r="A120" s="720"/>
      <c r="B120" s="730"/>
      <c r="C120" s="51" t="s">
        <v>932</v>
      </c>
      <c r="D120" s="643">
        <v>0</v>
      </c>
      <c r="E120" s="744"/>
    </row>
    <row r="121" spans="1:5" ht="15" customHeight="1" x14ac:dyDescent="0.2">
      <c r="A121" s="720"/>
      <c r="B121" s="730"/>
      <c r="C121" s="51" t="s">
        <v>445</v>
      </c>
      <c r="D121" s="643">
        <v>0</v>
      </c>
      <c r="E121" s="744"/>
    </row>
    <row r="122" spans="1:5" ht="15" customHeight="1" x14ac:dyDescent="0.2">
      <c r="A122" s="720"/>
      <c r="B122" s="730"/>
      <c r="C122" s="51" t="s">
        <v>774</v>
      </c>
      <c r="D122" s="643">
        <v>1</v>
      </c>
      <c r="E122" s="744"/>
    </row>
    <row r="123" spans="1:5" ht="15" customHeight="1" thickBot="1" x14ac:dyDescent="0.25">
      <c r="A123" s="722"/>
      <c r="B123" s="731"/>
      <c r="C123" s="52" t="s">
        <v>809</v>
      </c>
      <c r="D123" s="643">
        <v>0</v>
      </c>
      <c r="E123" s="750"/>
    </row>
    <row r="124" spans="1:5" s="251" customFormat="1" ht="36" customHeight="1" thickBot="1" x14ac:dyDescent="0.25">
      <c r="A124" s="781" t="s">
        <v>248</v>
      </c>
      <c r="B124" s="782"/>
      <c r="C124" s="782"/>
      <c r="D124" s="650"/>
      <c r="E124" s="267"/>
    </row>
    <row r="125" spans="1:5" ht="42.75" customHeight="1" thickBot="1" x14ac:dyDescent="0.25">
      <c r="A125" s="50" t="s">
        <v>217</v>
      </c>
      <c r="B125" s="29" t="s">
        <v>30</v>
      </c>
      <c r="C125" s="57" t="s">
        <v>119</v>
      </c>
      <c r="D125" s="643">
        <v>1</v>
      </c>
      <c r="E125" s="162" t="s">
        <v>1061</v>
      </c>
    </row>
    <row r="126" spans="1:5" ht="30" customHeight="1" thickBot="1" x14ac:dyDescent="0.25">
      <c r="A126" s="720" t="s">
        <v>218</v>
      </c>
      <c r="B126" s="730" t="s">
        <v>871</v>
      </c>
      <c r="C126" s="183" t="s">
        <v>70</v>
      </c>
      <c r="D126" s="650"/>
      <c r="E126" s="744" t="s">
        <v>1062</v>
      </c>
    </row>
    <row r="127" spans="1:5" ht="15" customHeight="1" x14ac:dyDescent="0.2">
      <c r="A127" s="720"/>
      <c r="B127" s="730"/>
      <c r="C127" s="45" t="s">
        <v>876</v>
      </c>
      <c r="D127" s="643">
        <v>0</v>
      </c>
      <c r="E127" s="744"/>
    </row>
    <row r="128" spans="1:5" ht="15" customHeight="1" x14ac:dyDescent="0.2">
      <c r="A128" s="720"/>
      <c r="B128" s="730"/>
      <c r="C128" s="46" t="s">
        <v>877</v>
      </c>
      <c r="D128" s="643">
        <v>1</v>
      </c>
      <c r="E128" s="744"/>
    </row>
    <row r="129" spans="1:5" ht="15" customHeight="1" x14ac:dyDescent="0.2">
      <c r="A129" s="720"/>
      <c r="B129" s="730"/>
      <c r="C129" s="46" t="s">
        <v>878</v>
      </c>
      <c r="D129" s="643">
        <v>0</v>
      </c>
      <c r="E129" s="744"/>
    </row>
    <row r="130" spans="1:5" ht="15" customHeight="1" thickBot="1" x14ac:dyDescent="0.25">
      <c r="A130" s="720"/>
      <c r="B130" s="730"/>
      <c r="C130" s="47" t="s">
        <v>879</v>
      </c>
      <c r="D130" s="643">
        <v>0</v>
      </c>
      <c r="E130" s="744"/>
    </row>
    <row r="131" spans="1:5" ht="21" customHeight="1" thickBot="1" x14ac:dyDescent="0.25">
      <c r="A131" s="721" t="s">
        <v>219</v>
      </c>
      <c r="B131" s="723" t="s">
        <v>845</v>
      </c>
      <c r="C131" s="260" t="s">
        <v>840</v>
      </c>
      <c r="D131" s="650"/>
      <c r="E131" s="749" t="s">
        <v>1063</v>
      </c>
    </row>
    <row r="132" spans="1:5" ht="29.25" customHeight="1" x14ac:dyDescent="0.2">
      <c r="A132" s="720"/>
      <c r="B132" s="730"/>
      <c r="C132" s="53" t="s">
        <v>31</v>
      </c>
      <c r="D132" s="643">
        <v>0</v>
      </c>
      <c r="E132" s="744"/>
    </row>
    <row r="133" spans="1:5" ht="15" customHeight="1" x14ac:dyDescent="0.2">
      <c r="A133" s="720"/>
      <c r="B133" s="730"/>
      <c r="C133" s="51" t="s">
        <v>106</v>
      </c>
      <c r="D133" s="643">
        <v>0</v>
      </c>
      <c r="E133" s="744"/>
    </row>
    <row r="134" spans="1:5" ht="15" customHeight="1" thickBot="1" x14ac:dyDescent="0.25">
      <c r="A134" s="722"/>
      <c r="B134" s="731"/>
      <c r="C134" s="52" t="s">
        <v>107</v>
      </c>
      <c r="D134" s="655">
        <v>1</v>
      </c>
      <c r="E134" s="750"/>
    </row>
    <row r="135" spans="1:5" ht="30" customHeight="1" thickBot="1" x14ac:dyDescent="0.25">
      <c r="A135" s="50" t="s">
        <v>220</v>
      </c>
      <c r="B135" s="70" t="s">
        <v>112</v>
      </c>
      <c r="C135" s="57" t="s">
        <v>1022</v>
      </c>
      <c r="D135" s="634">
        <v>0</v>
      </c>
      <c r="E135" s="180" t="s">
        <v>1064</v>
      </c>
    </row>
    <row r="136" spans="1:5" s="8" customFormat="1" ht="21" customHeight="1" thickBot="1" x14ac:dyDescent="0.25">
      <c r="A136" s="755" t="s">
        <v>221</v>
      </c>
      <c r="B136" s="723" t="s">
        <v>1007</v>
      </c>
      <c r="C136" s="260" t="s">
        <v>113</v>
      </c>
      <c r="D136" s="656"/>
      <c r="E136" s="749" t="s">
        <v>1064</v>
      </c>
    </row>
    <row r="137" spans="1:5" s="8" customFormat="1" ht="15" customHeight="1" x14ac:dyDescent="0.2">
      <c r="A137" s="756"/>
      <c r="B137" s="730"/>
      <c r="C137" s="48" t="s">
        <v>438</v>
      </c>
      <c r="D137" s="643">
        <v>0</v>
      </c>
      <c r="E137" s="744"/>
    </row>
    <row r="138" spans="1:5" s="8" customFormat="1" ht="15" customHeight="1" x14ac:dyDescent="0.2">
      <c r="A138" s="756"/>
      <c r="B138" s="730"/>
      <c r="C138" s="51" t="s">
        <v>439</v>
      </c>
      <c r="D138" s="643">
        <v>0</v>
      </c>
      <c r="E138" s="744"/>
    </row>
    <row r="139" spans="1:5" s="8" customFormat="1" ht="15" customHeight="1" thickBot="1" x14ac:dyDescent="0.25">
      <c r="A139" s="757"/>
      <c r="B139" s="731"/>
      <c r="C139" s="52" t="s">
        <v>743</v>
      </c>
      <c r="D139" s="643">
        <v>0</v>
      </c>
      <c r="E139" s="750"/>
    </row>
    <row r="140" spans="1:5" s="8" customFormat="1" ht="21" customHeight="1" thickBot="1" x14ac:dyDescent="0.25">
      <c r="A140" s="756" t="s">
        <v>222</v>
      </c>
      <c r="B140" s="730" t="s">
        <v>1008</v>
      </c>
      <c r="C140" s="183" t="s">
        <v>249</v>
      </c>
      <c r="D140" s="650"/>
      <c r="E140" s="744" t="s">
        <v>1042</v>
      </c>
    </row>
    <row r="141" spans="1:5" s="8" customFormat="1" ht="15" customHeight="1" x14ac:dyDescent="0.2">
      <c r="A141" s="756"/>
      <c r="B141" s="730"/>
      <c r="C141" s="53" t="s">
        <v>110</v>
      </c>
      <c r="D141" s="641">
        <v>0</v>
      </c>
      <c r="E141" s="744"/>
    </row>
    <row r="142" spans="1:5" s="8" customFormat="1" ht="15" customHeight="1" x14ac:dyDescent="0.2">
      <c r="A142" s="756"/>
      <c r="B142" s="730"/>
      <c r="C142" s="49" t="s">
        <v>108</v>
      </c>
      <c r="D142" s="643">
        <v>0</v>
      </c>
      <c r="E142" s="744"/>
    </row>
    <row r="143" spans="1:5" s="8" customFormat="1" ht="15" customHeight="1" x14ac:dyDescent="0.2">
      <c r="A143" s="756"/>
      <c r="B143" s="730"/>
      <c r="C143" s="49" t="s">
        <v>109</v>
      </c>
      <c r="D143" s="643">
        <v>0</v>
      </c>
      <c r="E143" s="744"/>
    </row>
    <row r="144" spans="1:5" s="8" customFormat="1" ht="15" customHeight="1" thickBot="1" x14ac:dyDescent="0.25">
      <c r="A144" s="756"/>
      <c r="B144" s="730"/>
      <c r="C144" s="49" t="s">
        <v>111</v>
      </c>
      <c r="D144" s="643">
        <v>0</v>
      </c>
      <c r="E144" s="744"/>
    </row>
    <row r="145" spans="1:5" s="8" customFormat="1" ht="21" customHeight="1" thickBot="1" x14ac:dyDescent="0.25">
      <c r="A145" s="755" t="s">
        <v>223</v>
      </c>
      <c r="B145" s="723" t="s">
        <v>1009</v>
      </c>
      <c r="C145" s="260" t="s">
        <v>317</v>
      </c>
      <c r="D145" s="650"/>
      <c r="E145" s="749" t="s">
        <v>1052</v>
      </c>
    </row>
    <row r="146" spans="1:5" s="8" customFormat="1" ht="15" customHeight="1" x14ac:dyDescent="0.2">
      <c r="A146" s="756"/>
      <c r="B146" s="730"/>
      <c r="C146" s="53" t="s">
        <v>318</v>
      </c>
      <c r="D146" s="641">
        <v>0</v>
      </c>
      <c r="E146" s="744"/>
    </row>
    <row r="147" spans="1:5" s="8" customFormat="1" ht="15" customHeight="1" x14ac:dyDescent="0.2">
      <c r="A147" s="756"/>
      <c r="B147" s="730"/>
      <c r="C147" s="51" t="s">
        <v>319</v>
      </c>
      <c r="D147" s="641">
        <v>0</v>
      </c>
      <c r="E147" s="744"/>
    </row>
    <row r="148" spans="1:5" s="8" customFormat="1" ht="15" customHeight="1" thickBot="1" x14ac:dyDescent="0.25">
      <c r="A148" s="757"/>
      <c r="B148" s="731"/>
      <c r="C148" s="52" t="s">
        <v>250</v>
      </c>
      <c r="D148" s="641">
        <v>0</v>
      </c>
      <c r="E148" s="750"/>
    </row>
    <row r="149" spans="1:5" s="8" customFormat="1" ht="21" customHeight="1" thickBot="1" x14ac:dyDescent="0.25">
      <c r="A149" s="755" t="s">
        <v>224</v>
      </c>
      <c r="B149" s="772" t="s">
        <v>868</v>
      </c>
      <c r="C149" s="183" t="s">
        <v>900</v>
      </c>
      <c r="D149" s="650"/>
      <c r="E149" s="794" t="s">
        <v>1052</v>
      </c>
    </row>
    <row r="150" spans="1:5" s="8" customFormat="1" ht="15" customHeight="1" x14ac:dyDescent="0.2">
      <c r="A150" s="756"/>
      <c r="B150" s="772"/>
      <c r="C150" s="53" t="s">
        <v>901</v>
      </c>
      <c r="D150" s="641">
        <v>0</v>
      </c>
      <c r="E150" s="794"/>
    </row>
    <row r="151" spans="1:5" s="8" customFormat="1" ht="15" customHeight="1" x14ac:dyDescent="0.2">
      <c r="A151" s="756"/>
      <c r="B151" s="772"/>
      <c r="C151" s="51" t="s">
        <v>118</v>
      </c>
      <c r="D151" s="641">
        <v>0</v>
      </c>
      <c r="E151" s="794"/>
    </row>
    <row r="152" spans="1:5" s="8" customFormat="1" ht="15" customHeight="1" thickBot="1" x14ac:dyDescent="0.25">
      <c r="A152" s="757"/>
      <c r="B152" s="773"/>
      <c r="C152" s="264" t="s">
        <v>902</v>
      </c>
      <c r="D152" s="657">
        <v>0</v>
      </c>
      <c r="E152" s="795"/>
    </row>
    <row r="153" spans="1:5" s="135" customFormat="1" ht="15" customHeight="1" x14ac:dyDescent="0.2">
      <c r="A153" s="53"/>
      <c r="B153" s="53"/>
      <c r="C153" s="53"/>
      <c r="D153" s="17"/>
    </row>
    <row r="154" spans="1:5" s="135" customFormat="1" ht="15" customHeight="1" x14ac:dyDescent="0.2">
      <c r="A154" s="53"/>
      <c r="B154" s="53"/>
      <c r="C154" s="53"/>
      <c r="D154" s="17"/>
    </row>
    <row r="155" spans="1:5" s="135" customFormat="1" ht="15" customHeight="1" x14ac:dyDescent="0.2">
      <c r="A155" s="53"/>
      <c r="B155" s="53"/>
      <c r="C155" s="53"/>
      <c r="D155" s="17"/>
    </row>
    <row r="156" spans="1:5" s="135" customFormat="1" ht="15" customHeight="1" x14ac:dyDescent="0.2">
      <c r="A156" s="53"/>
      <c r="B156" s="53"/>
      <c r="C156" s="53"/>
      <c r="D156" s="17"/>
    </row>
    <row r="157" spans="1:5" s="135" customFormat="1" ht="15" customHeight="1" x14ac:dyDescent="0.2">
      <c r="A157" s="53"/>
      <c r="B157" s="53"/>
      <c r="C157" s="53"/>
      <c r="D157" s="17"/>
    </row>
    <row r="158" spans="1:5" s="135" customFormat="1" ht="15" customHeight="1" x14ac:dyDescent="0.2">
      <c r="A158" s="53"/>
      <c r="B158" s="53"/>
      <c r="C158" s="53"/>
      <c r="D158" s="17"/>
    </row>
    <row r="159" spans="1:5" s="135" customFormat="1" ht="15" customHeight="1" x14ac:dyDescent="0.2">
      <c r="A159" s="53"/>
      <c r="B159" s="53"/>
      <c r="C159" s="53"/>
      <c r="D159" s="17"/>
    </row>
    <row r="160" spans="1:5" s="135" customFormat="1" ht="15" customHeight="1" x14ac:dyDescent="0.2">
      <c r="A160" s="53"/>
      <c r="B160" s="53"/>
      <c r="C160" s="53"/>
      <c r="D160" s="17"/>
    </row>
    <row r="161" spans="1:4" s="135" customFormat="1" ht="15" customHeight="1" x14ac:dyDescent="0.2">
      <c r="A161" s="53"/>
      <c r="B161" s="53"/>
      <c r="C161" s="53"/>
      <c r="D161" s="17"/>
    </row>
    <row r="162" spans="1:4" s="135" customFormat="1" ht="15" customHeight="1" x14ac:dyDescent="0.2">
      <c r="A162" s="53"/>
      <c r="B162" s="53"/>
      <c r="C162" s="53"/>
      <c r="D162" s="17"/>
    </row>
    <row r="163" spans="1:4" s="135" customFormat="1" ht="15" customHeight="1" x14ac:dyDescent="0.2">
      <c r="A163" s="53"/>
      <c r="B163" s="53"/>
      <c r="C163" s="53"/>
      <c r="D163" s="17"/>
    </row>
    <row r="164" spans="1:4" s="135" customFormat="1" ht="15" customHeight="1" x14ac:dyDescent="0.2">
      <c r="A164" s="53"/>
      <c r="B164" s="53"/>
      <c r="C164" s="53"/>
      <c r="D164" s="17"/>
    </row>
    <row r="165" spans="1:4" s="135" customFormat="1" ht="15" customHeight="1" x14ac:dyDescent="0.2">
      <c r="A165" s="53"/>
      <c r="B165" s="53"/>
      <c r="C165" s="53"/>
      <c r="D165" s="17"/>
    </row>
    <row r="166" spans="1:4" s="135" customFormat="1" ht="15" customHeight="1" x14ac:dyDescent="0.2">
      <c r="A166" s="53"/>
      <c r="B166" s="53"/>
      <c r="C166" s="53"/>
      <c r="D166" s="17"/>
    </row>
    <row r="167" spans="1:4" s="135" customFormat="1" ht="15" customHeight="1" x14ac:dyDescent="0.2">
      <c r="A167" s="53"/>
      <c r="B167" s="53"/>
      <c r="C167" s="53"/>
      <c r="D167" s="17"/>
    </row>
    <row r="168" spans="1:4" s="135" customFormat="1" ht="15" customHeight="1" x14ac:dyDescent="0.2">
      <c r="A168" s="53"/>
      <c r="B168" s="53"/>
      <c r="C168" s="53"/>
      <c r="D168" s="17"/>
    </row>
    <row r="169" spans="1:4" s="135" customFormat="1" ht="15" customHeight="1" x14ac:dyDescent="0.2">
      <c r="A169" s="53"/>
      <c r="B169" s="53"/>
      <c r="C169" s="53"/>
      <c r="D169" s="17"/>
    </row>
    <row r="170" spans="1:4" s="135" customFormat="1" ht="15" customHeight="1" x14ac:dyDescent="0.2">
      <c r="A170" s="53"/>
      <c r="B170" s="53"/>
      <c r="C170" s="53"/>
      <c r="D170" s="17"/>
    </row>
    <row r="171" spans="1:4" s="135" customFormat="1" ht="15" customHeight="1" x14ac:dyDescent="0.2">
      <c r="A171" s="53"/>
      <c r="B171" s="53"/>
      <c r="C171" s="53"/>
      <c r="D171" s="17"/>
    </row>
    <row r="172" spans="1:4" s="135" customFormat="1" ht="15" customHeight="1" x14ac:dyDescent="0.2">
      <c r="A172" s="53"/>
      <c r="B172" s="53"/>
      <c r="C172" s="53"/>
      <c r="D172" s="17"/>
    </row>
    <row r="173" spans="1:4" s="135" customFormat="1" ht="15" customHeight="1" x14ac:dyDescent="0.2">
      <c r="A173" s="53"/>
      <c r="B173" s="53"/>
      <c r="C173" s="53"/>
      <c r="D173" s="17"/>
    </row>
    <row r="174" spans="1:4" s="135" customFormat="1" ht="15" customHeight="1" x14ac:dyDescent="0.2">
      <c r="A174" s="53"/>
      <c r="B174" s="53"/>
      <c r="C174" s="53"/>
      <c r="D174" s="17"/>
    </row>
    <row r="175" spans="1:4" s="135" customFormat="1" ht="15" customHeight="1" x14ac:dyDescent="0.2">
      <c r="A175" s="53"/>
      <c r="B175" s="53"/>
      <c r="C175" s="53"/>
      <c r="D175" s="17"/>
    </row>
    <row r="176" spans="1:4" s="135" customFormat="1" ht="15" customHeight="1" x14ac:dyDescent="0.2">
      <c r="A176" s="53"/>
      <c r="B176" s="53"/>
      <c r="C176" s="53"/>
      <c r="D176" s="17"/>
    </row>
    <row r="177" spans="1:4" s="135" customFormat="1" ht="15" customHeight="1" x14ac:dyDescent="0.2">
      <c r="A177" s="53"/>
      <c r="B177" s="53"/>
      <c r="C177" s="53"/>
      <c r="D177" s="17"/>
    </row>
    <row r="178" spans="1:4" s="135" customFormat="1" ht="15" customHeight="1" x14ac:dyDescent="0.2">
      <c r="A178" s="53"/>
      <c r="B178" s="53"/>
      <c r="C178" s="53"/>
      <c r="D178" s="17"/>
    </row>
    <row r="179" spans="1:4" s="135" customFormat="1" ht="15" customHeight="1" x14ac:dyDescent="0.2">
      <c r="A179" s="53"/>
      <c r="B179" s="53"/>
      <c r="C179" s="53"/>
      <c r="D179" s="17"/>
    </row>
    <row r="180" spans="1:4" s="135" customFormat="1" ht="15" customHeight="1" x14ac:dyDescent="0.2">
      <c r="A180" s="53"/>
      <c r="B180" s="53"/>
      <c r="C180" s="53"/>
      <c r="D180" s="17"/>
    </row>
    <row r="181" spans="1:4" s="135" customFormat="1" ht="15" customHeight="1" x14ac:dyDescent="0.2">
      <c r="A181" s="53"/>
      <c r="B181" s="53"/>
      <c r="C181" s="53"/>
      <c r="D181" s="17"/>
    </row>
    <row r="182" spans="1:4" s="135" customFormat="1" ht="15" customHeight="1" x14ac:dyDescent="0.2">
      <c r="A182" s="53"/>
      <c r="B182" s="53"/>
      <c r="C182" s="53"/>
      <c r="D182" s="17"/>
    </row>
    <row r="183" spans="1:4" s="135" customFormat="1" ht="15" customHeight="1" x14ac:dyDescent="0.2">
      <c r="A183" s="53"/>
      <c r="B183" s="53"/>
      <c r="C183" s="53"/>
      <c r="D183" s="17"/>
    </row>
    <row r="184" spans="1:4" s="135" customFormat="1" ht="15" customHeight="1" x14ac:dyDescent="0.2">
      <c r="A184" s="53"/>
      <c r="B184" s="53"/>
      <c r="C184" s="53"/>
      <c r="D184" s="17"/>
    </row>
    <row r="185" spans="1:4" s="135" customFormat="1" ht="15" customHeight="1" x14ac:dyDescent="0.2">
      <c r="A185" s="53"/>
      <c r="B185" s="53"/>
      <c r="C185" s="53"/>
      <c r="D185" s="17"/>
    </row>
    <row r="186" spans="1:4" s="135" customFormat="1" ht="15" customHeight="1" x14ac:dyDescent="0.2">
      <c r="A186" s="53"/>
      <c r="B186" s="53"/>
      <c r="C186" s="53"/>
      <c r="D186" s="17"/>
    </row>
    <row r="187" spans="1:4" s="135" customFormat="1" ht="15" customHeight="1" x14ac:dyDescent="0.2">
      <c r="A187" s="53"/>
      <c r="B187" s="53"/>
      <c r="C187" s="53"/>
      <c r="D187" s="17"/>
    </row>
    <row r="188" spans="1:4" s="135" customFormat="1" ht="15" customHeight="1" x14ac:dyDescent="0.2">
      <c r="A188" s="53"/>
      <c r="B188" s="53"/>
      <c r="C188" s="53"/>
      <c r="D188" s="17"/>
    </row>
    <row r="189" spans="1:4" s="135" customFormat="1" ht="15" customHeight="1" x14ac:dyDescent="0.2">
      <c r="A189" s="53"/>
      <c r="B189" s="53"/>
      <c r="C189" s="53"/>
      <c r="D189" s="17"/>
    </row>
    <row r="190" spans="1:4" s="135" customFormat="1" ht="15" customHeight="1" x14ac:dyDescent="0.2">
      <c r="A190" s="53"/>
      <c r="B190" s="53"/>
      <c r="C190" s="53"/>
      <c r="D190" s="17"/>
    </row>
    <row r="191" spans="1:4" s="135" customFormat="1" ht="15" customHeight="1" x14ac:dyDescent="0.2">
      <c r="A191" s="53"/>
      <c r="B191" s="53"/>
      <c r="C191" s="53"/>
      <c r="D191" s="17"/>
    </row>
    <row r="192" spans="1:4" s="135" customFormat="1" ht="15" customHeight="1" x14ac:dyDescent="0.2">
      <c r="A192" s="53"/>
      <c r="B192" s="53"/>
      <c r="C192" s="53"/>
      <c r="D192" s="17"/>
    </row>
    <row r="193" spans="1:4" s="135" customFormat="1" ht="15" customHeight="1" x14ac:dyDescent="0.2">
      <c r="A193" s="53"/>
      <c r="B193" s="53"/>
      <c r="C193" s="53"/>
      <c r="D193" s="17"/>
    </row>
    <row r="194" spans="1:4" s="135" customFormat="1" ht="15" customHeight="1" x14ac:dyDescent="0.2">
      <c r="A194" s="53"/>
      <c r="B194" s="53"/>
      <c r="C194" s="53"/>
      <c r="D194" s="17"/>
    </row>
    <row r="195" spans="1:4" s="135" customFormat="1" ht="15" customHeight="1" x14ac:dyDescent="0.2">
      <c r="A195" s="53"/>
      <c r="B195" s="53"/>
      <c r="C195" s="53"/>
      <c r="D195" s="17"/>
    </row>
    <row r="196" spans="1:4" s="135" customFormat="1" ht="15" customHeight="1" x14ac:dyDescent="0.2">
      <c r="A196" s="53"/>
      <c r="B196" s="53"/>
      <c r="C196" s="53"/>
      <c r="D196" s="17"/>
    </row>
    <row r="197" spans="1:4" s="135" customFormat="1" ht="15" customHeight="1" x14ac:dyDescent="0.2">
      <c r="A197" s="53"/>
      <c r="B197" s="53"/>
      <c r="C197" s="53"/>
      <c r="D197" s="17"/>
    </row>
    <row r="198" spans="1:4" s="135" customFormat="1" ht="15" customHeight="1" x14ac:dyDescent="0.2">
      <c r="A198" s="53"/>
      <c r="B198" s="53"/>
      <c r="C198" s="53"/>
      <c r="D198" s="17"/>
    </row>
    <row r="199" spans="1:4" s="135" customFormat="1" ht="15" customHeight="1" x14ac:dyDescent="0.2">
      <c r="A199" s="53"/>
      <c r="B199" s="53"/>
      <c r="C199" s="53"/>
      <c r="D199" s="17"/>
    </row>
    <row r="200" spans="1:4" s="135" customFormat="1" ht="15" customHeight="1" x14ac:dyDescent="0.2">
      <c r="A200" s="53"/>
      <c r="B200" s="53"/>
      <c r="C200" s="53"/>
      <c r="D200" s="17"/>
    </row>
    <row r="201" spans="1:4" s="135" customFormat="1" ht="15" customHeight="1" x14ac:dyDescent="0.2">
      <c r="A201" s="53"/>
      <c r="B201" s="53"/>
      <c r="C201" s="53"/>
      <c r="D201" s="17"/>
    </row>
    <row r="202" spans="1:4" s="135" customFormat="1" ht="15" customHeight="1" x14ac:dyDescent="0.2">
      <c r="A202" s="53"/>
      <c r="B202" s="53"/>
      <c r="C202" s="53"/>
      <c r="D202" s="17"/>
    </row>
    <row r="203" spans="1:4" s="135" customFormat="1" ht="15" customHeight="1" x14ac:dyDescent="0.2">
      <c r="A203" s="53"/>
      <c r="B203" s="53"/>
      <c r="C203" s="53"/>
      <c r="D203" s="17"/>
    </row>
    <row r="204" spans="1:4" s="135" customFormat="1" ht="15" customHeight="1" x14ac:dyDescent="0.2">
      <c r="A204" s="53"/>
      <c r="B204" s="53"/>
      <c r="C204" s="53"/>
      <c r="D204" s="17"/>
    </row>
    <row r="205" spans="1:4" s="135" customFormat="1" ht="15" customHeight="1" x14ac:dyDescent="0.2">
      <c r="A205" s="53"/>
      <c r="B205" s="53"/>
      <c r="C205" s="53"/>
      <c r="D205" s="17"/>
    </row>
    <row r="206" spans="1:4" s="135" customFormat="1" ht="15" customHeight="1" x14ac:dyDescent="0.2">
      <c r="A206" s="53"/>
      <c r="B206" s="53"/>
      <c r="C206" s="53"/>
      <c r="D206" s="17"/>
    </row>
    <row r="207" spans="1:4" s="135" customFormat="1" ht="15" customHeight="1" x14ac:dyDescent="0.2">
      <c r="A207" s="53"/>
      <c r="B207" s="53"/>
      <c r="C207" s="53"/>
      <c r="D207" s="17"/>
    </row>
    <row r="208" spans="1:4" s="135" customFormat="1" ht="15" customHeight="1" x14ac:dyDescent="0.2">
      <c r="A208" s="53"/>
      <c r="B208" s="53"/>
      <c r="C208" s="53"/>
      <c r="D208" s="17"/>
    </row>
    <row r="209" spans="1:4" s="135" customFormat="1" ht="15" customHeight="1" x14ac:dyDescent="0.2">
      <c r="A209" s="53"/>
      <c r="B209" s="53"/>
      <c r="C209" s="53"/>
      <c r="D209" s="17"/>
    </row>
    <row r="210" spans="1:4" s="135" customFormat="1" ht="15" customHeight="1" x14ac:dyDescent="0.2">
      <c r="A210" s="53"/>
      <c r="B210" s="53"/>
      <c r="C210" s="53"/>
      <c r="D210" s="17"/>
    </row>
    <row r="211" spans="1:4" s="135" customFormat="1" ht="15" customHeight="1" x14ac:dyDescent="0.2">
      <c r="A211" s="53"/>
      <c r="B211" s="53"/>
      <c r="C211" s="53"/>
      <c r="D211" s="17"/>
    </row>
    <row r="212" spans="1:4" s="135" customFormat="1" ht="15" customHeight="1" x14ac:dyDescent="0.2">
      <c r="A212" s="53"/>
      <c r="B212" s="53"/>
      <c r="C212" s="53"/>
      <c r="D212" s="17"/>
    </row>
    <row r="213" spans="1:4" s="135" customFormat="1" ht="15" customHeight="1" x14ac:dyDescent="0.2">
      <c r="A213" s="53"/>
      <c r="B213" s="53"/>
      <c r="C213" s="53"/>
      <c r="D213" s="17"/>
    </row>
    <row r="214" spans="1:4" s="135" customFormat="1" ht="15" customHeight="1" x14ac:dyDescent="0.2">
      <c r="A214" s="53"/>
      <c r="B214" s="53"/>
      <c r="C214" s="53"/>
      <c r="D214" s="17"/>
    </row>
    <row r="215" spans="1:4" s="135" customFormat="1" ht="15" customHeight="1" x14ac:dyDescent="0.2">
      <c r="A215" s="53"/>
      <c r="B215" s="53"/>
      <c r="C215" s="53"/>
      <c r="D215" s="17"/>
    </row>
    <row r="216" spans="1:4" s="135" customFormat="1" ht="15" customHeight="1" x14ac:dyDescent="0.2">
      <c r="A216" s="53"/>
      <c r="B216" s="53"/>
      <c r="C216" s="53"/>
      <c r="D216" s="17"/>
    </row>
    <row r="217" spans="1:4" s="135" customFormat="1" ht="15" customHeight="1" x14ac:dyDescent="0.2">
      <c r="A217" s="53"/>
      <c r="B217" s="53"/>
      <c r="C217" s="53"/>
      <c r="D217" s="17"/>
    </row>
    <row r="218" spans="1:4" s="135" customFormat="1" ht="15" customHeight="1" x14ac:dyDescent="0.2">
      <c r="A218" s="53"/>
      <c r="B218" s="53"/>
      <c r="C218" s="53"/>
      <c r="D218" s="17"/>
    </row>
    <row r="219" spans="1:4" s="135" customFormat="1" ht="15" customHeight="1" x14ac:dyDescent="0.2">
      <c r="A219" s="53"/>
      <c r="B219" s="53"/>
      <c r="C219" s="53"/>
      <c r="D219" s="17"/>
    </row>
    <row r="220" spans="1:4" s="135" customFormat="1" ht="15" customHeight="1" x14ac:dyDescent="0.2">
      <c r="A220" s="53"/>
      <c r="B220" s="53"/>
      <c r="C220" s="53"/>
      <c r="D220" s="17"/>
    </row>
    <row r="221" spans="1:4" s="135" customFormat="1" ht="15" customHeight="1" x14ac:dyDescent="0.2">
      <c r="A221" s="53"/>
      <c r="B221" s="53"/>
      <c r="C221" s="53"/>
      <c r="D221" s="17"/>
    </row>
    <row r="222" spans="1:4" s="135" customFormat="1" ht="15" customHeight="1" x14ac:dyDescent="0.2">
      <c r="A222" s="53"/>
      <c r="B222" s="53"/>
      <c r="C222" s="53"/>
      <c r="D222" s="17"/>
    </row>
    <row r="223" spans="1:4" s="135" customFormat="1" ht="15" customHeight="1" x14ac:dyDescent="0.2">
      <c r="A223" s="53"/>
      <c r="B223" s="53"/>
      <c r="C223" s="53"/>
      <c r="D223" s="17"/>
    </row>
    <row r="224" spans="1:4" s="135" customFormat="1" ht="15" customHeight="1" x14ac:dyDescent="0.2">
      <c r="A224" s="53"/>
      <c r="B224" s="53"/>
      <c r="C224" s="53"/>
      <c r="D224" s="17"/>
    </row>
    <row r="225" spans="1:4" s="135" customFormat="1" ht="15" customHeight="1" x14ac:dyDescent="0.2">
      <c r="A225" s="53"/>
      <c r="B225" s="53"/>
      <c r="C225" s="53"/>
      <c r="D225" s="17"/>
    </row>
    <row r="226" spans="1:4" s="135" customFormat="1" ht="15" customHeight="1" x14ac:dyDescent="0.2">
      <c r="A226" s="53"/>
      <c r="B226" s="53"/>
      <c r="C226" s="53"/>
      <c r="D226" s="17"/>
    </row>
    <row r="227" spans="1:4" s="135" customFormat="1" ht="15" customHeight="1" x14ac:dyDescent="0.2">
      <c r="A227" s="53"/>
      <c r="B227" s="53"/>
      <c r="C227" s="53"/>
      <c r="D227" s="17"/>
    </row>
    <row r="228" spans="1:4" s="135" customFormat="1" ht="15" customHeight="1" x14ac:dyDescent="0.2">
      <c r="A228" s="53"/>
      <c r="B228" s="53"/>
      <c r="C228" s="53"/>
      <c r="D228" s="17"/>
    </row>
    <row r="229" spans="1:4" s="135" customFormat="1" ht="15" customHeight="1" x14ac:dyDescent="0.2">
      <c r="A229" s="53"/>
      <c r="B229" s="53"/>
      <c r="C229" s="53"/>
      <c r="D229" s="17"/>
    </row>
    <row r="230" spans="1:4" s="135" customFormat="1" ht="15" customHeight="1" x14ac:dyDescent="0.2">
      <c r="A230" s="53"/>
      <c r="B230" s="53"/>
      <c r="C230" s="53"/>
      <c r="D230" s="17"/>
    </row>
    <row r="231" spans="1:4" s="135" customFormat="1" ht="15" customHeight="1" x14ac:dyDescent="0.2">
      <c r="A231" s="53"/>
      <c r="B231" s="53"/>
      <c r="C231" s="53"/>
      <c r="D231" s="17"/>
    </row>
    <row r="232" spans="1:4" s="135" customFormat="1" ht="15" customHeight="1" x14ac:dyDescent="0.2">
      <c r="A232" s="53"/>
      <c r="B232" s="53"/>
      <c r="C232" s="53"/>
      <c r="D232" s="17"/>
    </row>
    <row r="233" spans="1:4" s="135" customFormat="1" ht="15" customHeight="1" x14ac:dyDescent="0.2">
      <c r="A233" s="53"/>
      <c r="B233" s="53"/>
      <c r="C233" s="53"/>
      <c r="D233" s="17"/>
    </row>
    <row r="234" spans="1:4" s="135" customFormat="1" ht="15" customHeight="1" x14ac:dyDescent="0.2">
      <c r="A234" s="53"/>
      <c r="B234" s="53"/>
      <c r="C234" s="53"/>
      <c r="D234" s="17"/>
    </row>
    <row r="235" spans="1:4" s="135" customFormat="1" ht="15" customHeight="1" x14ac:dyDescent="0.2">
      <c r="A235" s="53"/>
      <c r="B235" s="53"/>
      <c r="C235" s="53"/>
      <c r="D235" s="17"/>
    </row>
    <row r="236" spans="1:4" s="135" customFormat="1" ht="15" customHeight="1" x14ac:dyDescent="0.2">
      <c r="A236" s="53"/>
      <c r="B236" s="53"/>
      <c r="C236" s="53"/>
      <c r="D236" s="17"/>
    </row>
    <row r="237" spans="1:4" s="135" customFormat="1" ht="15" customHeight="1" x14ac:dyDescent="0.2">
      <c r="A237" s="53"/>
      <c r="B237" s="53"/>
      <c r="C237" s="53"/>
      <c r="D237" s="17"/>
    </row>
    <row r="238" spans="1:4" s="135" customFormat="1" ht="15" customHeight="1" x14ac:dyDescent="0.2">
      <c r="A238" s="53"/>
      <c r="B238" s="53"/>
      <c r="C238" s="53"/>
      <c r="D238" s="17"/>
    </row>
    <row r="239" spans="1:4" s="135" customFormat="1" ht="15" customHeight="1" x14ac:dyDescent="0.2">
      <c r="A239" s="53"/>
      <c r="B239" s="53"/>
      <c r="C239" s="53"/>
      <c r="D239" s="17"/>
    </row>
    <row r="240" spans="1:4" s="135" customFormat="1" ht="15" customHeight="1" x14ac:dyDescent="0.2">
      <c r="A240" s="53"/>
      <c r="B240" s="53"/>
      <c r="C240" s="53"/>
      <c r="D240" s="17"/>
    </row>
    <row r="241" spans="1:4" s="135" customFormat="1" ht="15" customHeight="1" x14ac:dyDescent="0.2">
      <c r="A241" s="53"/>
      <c r="B241" s="53"/>
      <c r="C241" s="53"/>
      <c r="D241" s="17"/>
    </row>
    <row r="242" spans="1:4" s="135" customFormat="1" ht="15" customHeight="1" x14ac:dyDescent="0.2">
      <c r="A242" s="53"/>
      <c r="B242" s="53"/>
      <c r="C242" s="53"/>
      <c r="D242" s="17"/>
    </row>
    <row r="243" spans="1:4" s="135" customFormat="1" ht="15" customHeight="1" x14ac:dyDescent="0.2">
      <c r="A243" s="53"/>
      <c r="B243" s="53"/>
      <c r="C243" s="53"/>
      <c r="D243" s="17"/>
    </row>
    <row r="244" spans="1:4" s="135" customFormat="1" ht="15" customHeight="1" x14ac:dyDescent="0.2">
      <c r="A244" s="53"/>
      <c r="B244" s="53"/>
      <c r="C244" s="53"/>
      <c r="D244" s="17"/>
    </row>
    <row r="245" spans="1:4" s="135" customFormat="1" ht="15" customHeight="1" x14ac:dyDescent="0.2">
      <c r="A245" s="53"/>
      <c r="B245" s="53"/>
      <c r="C245" s="53"/>
      <c r="D245" s="17"/>
    </row>
    <row r="246" spans="1:4" s="135" customFormat="1" ht="15" customHeight="1" x14ac:dyDescent="0.2">
      <c r="A246" s="53"/>
      <c r="B246" s="53"/>
      <c r="C246" s="53"/>
      <c r="D246" s="17"/>
    </row>
    <row r="247" spans="1:4" s="135" customFormat="1" ht="15" customHeight="1" x14ac:dyDescent="0.2">
      <c r="A247" s="53"/>
      <c r="B247" s="53"/>
      <c r="C247" s="53"/>
      <c r="D247" s="17"/>
    </row>
    <row r="248" spans="1:4" s="135" customFormat="1" ht="15" customHeight="1" x14ac:dyDescent="0.2">
      <c r="A248" s="53"/>
      <c r="B248" s="53"/>
      <c r="C248" s="53"/>
      <c r="D248" s="17"/>
    </row>
    <row r="249" spans="1:4" s="135" customFormat="1" ht="15" customHeight="1" x14ac:dyDescent="0.2">
      <c r="A249" s="53"/>
      <c r="B249" s="53"/>
      <c r="C249" s="53"/>
      <c r="D249" s="17"/>
    </row>
    <row r="250" spans="1:4" s="135" customFormat="1" ht="15" customHeight="1" x14ac:dyDescent="0.2">
      <c r="A250" s="53"/>
      <c r="B250" s="53"/>
      <c r="C250" s="53"/>
      <c r="D250" s="17"/>
    </row>
    <row r="251" spans="1:4" s="135" customFormat="1" ht="15" customHeight="1" x14ac:dyDescent="0.2">
      <c r="A251" s="53"/>
      <c r="B251" s="53"/>
      <c r="C251" s="53"/>
      <c r="D251" s="17"/>
    </row>
    <row r="252" spans="1:4" s="135" customFormat="1" ht="15" customHeight="1" x14ac:dyDescent="0.2">
      <c r="A252" s="53"/>
      <c r="B252" s="53"/>
      <c r="C252" s="53"/>
      <c r="D252" s="17"/>
    </row>
    <row r="253" spans="1:4" s="135" customFormat="1" ht="15" customHeight="1" x14ac:dyDescent="0.2">
      <c r="A253" s="53"/>
      <c r="B253" s="53"/>
      <c r="C253" s="53"/>
      <c r="D253" s="17"/>
    </row>
    <row r="254" spans="1:4" s="135" customFormat="1" ht="15" customHeight="1" x14ac:dyDescent="0.2">
      <c r="A254" s="53"/>
      <c r="B254" s="53"/>
      <c r="C254" s="53"/>
      <c r="D254" s="17"/>
    </row>
    <row r="255" spans="1:4" s="135" customFormat="1" ht="15" customHeight="1" x14ac:dyDescent="0.2">
      <c r="A255" s="53"/>
      <c r="B255" s="53"/>
      <c r="C255" s="53"/>
      <c r="D255" s="17"/>
    </row>
    <row r="256" spans="1:4" s="135" customFormat="1" ht="15" customHeight="1" x14ac:dyDescent="0.2">
      <c r="A256" s="53"/>
      <c r="B256" s="53"/>
      <c r="C256" s="53"/>
      <c r="D256" s="17"/>
    </row>
    <row r="257" spans="1:4" s="135" customFormat="1" ht="15" customHeight="1" x14ac:dyDescent="0.2">
      <c r="A257" s="53"/>
      <c r="B257" s="53"/>
      <c r="C257" s="53"/>
      <c r="D257" s="17"/>
    </row>
    <row r="258" spans="1:4" s="135" customFormat="1" ht="15" customHeight="1" x14ac:dyDescent="0.2">
      <c r="A258" s="53"/>
      <c r="B258" s="53"/>
      <c r="C258" s="53"/>
      <c r="D258" s="17"/>
    </row>
    <row r="259" spans="1:4" s="135" customFormat="1" ht="15" customHeight="1" x14ac:dyDescent="0.2">
      <c r="A259" s="53"/>
      <c r="B259" s="53"/>
      <c r="C259" s="53"/>
      <c r="D259" s="17"/>
    </row>
    <row r="260" spans="1:4" s="135" customFormat="1" ht="15" customHeight="1" x14ac:dyDescent="0.2">
      <c r="A260" s="53"/>
      <c r="B260" s="53"/>
      <c r="C260" s="53"/>
      <c r="D260" s="17"/>
    </row>
    <row r="261" spans="1:4" s="135" customFormat="1" ht="15" customHeight="1" x14ac:dyDescent="0.2">
      <c r="A261" s="53"/>
      <c r="B261" s="53"/>
      <c r="C261" s="53"/>
      <c r="D261" s="17"/>
    </row>
    <row r="262" spans="1:4" s="135" customFormat="1" ht="15" customHeight="1" x14ac:dyDescent="0.2">
      <c r="A262" s="53"/>
      <c r="B262" s="53"/>
      <c r="C262" s="53"/>
      <c r="D262" s="17"/>
    </row>
    <row r="263" spans="1:4" s="135" customFormat="1" ht="15" customHeight="1" x14ac:dyDescent="0.2">
      <c r="A263" s="53"/>
      <c r="B263" s="53"/>
      <c r="C263" s="53"/>
      <c r="D263" s="17"/>
    </row>
    <row r="264" spans="1:4" s="135" customFormat="1" ht="15" customHeight="1" x14ac:dyDescent="0.2">
      <c r="A264" s="53"/>
      <c r="B264" s="53"/>
      <c r="C264" s="53"/>
      <c r="D264" s="17"/>
    </row>
    <row r="265" spans="1:4" s="135" customFormat="1" ht="15" customHeight="1" x14ac:dyDescent="0.2">
      <c r="A265" s="53"/>
      <c r="B265" s="53"/>
      <c r="C265" s="53"/>
      <c r="D265" s="17"/>
    </row>
    <row r="266" spans="1:4" s="135" customFormat="1" ht="15" customHeight="1" x14ac:dyDescent="0.2">
      <c r="A266" s="53"/>
      <c r="B266" s="53"/>
      <c r="C266" s="53"/>
      <c r="D266" s="17"/>
    </row>
    <row r="267" spans="1:4" s="135" customFormat="1" ht="15" customHeight="1" x14ac:dyDescent="0.2">
      <c r="A267" s="53"/>
      <c r="B267" s="53"/>
      <c r="C267" s="53"/>
      <c r="D267" s="17"/>
    </row>
    <row r="268" spans="1:4" s="135" customFormat="1" ht="15" customHeight="1" x14ac:dyDescent="0.2">
      <c r="A268" s="53"/>
      <c r="B268" s="53"/>
      <c r="C268" s="53"/>
      <c r="D268" s="17"/>
    </row>
    <row r="269" spans="1:4" s="135" customFormat="1" ht="15" customHeight="1" x14ac:dyDescent="0.2">
      <c r="A269" s="53"/>
      <c r="B269" s="53"/>
      <c r="C269" s="53"/>
      <c r="D269" s="17"/>
    </row>
    <row r="270" spans="1:4" s="135" customFormat="1" ht="15" customHeight="1" x14ac:dyDescent="0.2">
      <c r="A270" s="53"/>
      <c r="B270" s="53"/>
      <c r="C270" s="53"/>
      <c r="D270" s="17"/>
    </row>
    <row r="271" spans="1:4" s="135" customFormat="1" ht="15" customHeight="1" x14ac:dyDescent="0.2">
      <c r="A271" s="53"/>
      <c r="B271" s="53"/>
      <c r="C271" s="53"/>
      <c r="D271" s="17"/>
    </row>
    <row r="272" spans="1:4" s="135" customFormat="1" ht="15" customHeight="1" x14ac:dyDescent="0.2">
      <c r="A272" s="53"/>
      <c r="B272" s="53"/>
      <c r="C272" s="53"/>
      <c r="D272" s="17"/>
    </row>
    <row r="273" spans="1:4" s="135" customFormat="1" ht="15" customHeight="1" x14ac:dyDescent="0.2">
      <c r="A273" s="53"/>
      <c r="B273" s="53"/>
      <c r="C273" s="53"/>
      <c r="D273" s="17"/>
    </row>
    <row r="274" spans="1:4" s="135" customFormat="1" ht="15" customHeight="1" x14ac:dyDescent="0.2">
      <c r="A274" s="53"/>
      <c r="B274" s="53"/>
      <c r="C274" s="53"/>
      <c r="D274" s="17"/>
    </row>
    <row r="275" spans="1:4" s="135" customFormat="1" ht="15" customHeight="1" x14ac:dyDescent="0.2">
      <c r="A275" s="53"/>
      <c r="B275" s="53"/>
      <c r="C275" s="53"/>
      <c r="D275" s="17"/>
    </row>
    <row r="276" spans="1:4" s="135" customFormat="1" ht="15" customHeight="1" x14ac:dyDescent="0.2">
      <c r="A276" s="53"/>
      <c r="B276" s="53"/>
      <c r="C276" s="53"/>
      <c r="D276" s="17"/>
    </row>
    <row r="277" spans="1:4" s="135" customFormat="1" ht="15" customHeight="1" x14ac:dyDescent="0.2">
      <c r="A277" s="53"/>
      <c r="B277" s="53"/>
      <c r="C277" s="53"/>
      <c r="D277" s="17"/>
    </row>
    <row r="278" spans="1:4" s="135" customFormat="1" ht="15" customHeight="1" x14ac:dyDescent="0.2">
      <c r="A278" s="53"/>
      <c r="B278" s="53"/>
      <c r="C278" s="53"/>
      <c r="D278" s="17"/>
    </row>
    <row r="279" spans="1:4" s="135" customFormat="1" ht="15" customHeight="1" x14ac:dyDescent="0.2">
      <c r="A279" s="53"/>
      <c r="B279" s="53"/>
      <c r="C279" s="53"/>
      <c r="D279" s="17"/>
    </row>
    <row r="280" spans="1:4" s="135" customFormat="1" ht="15" customHeight="1" x14ac:dyDescent="0.2">
      <c r="A280" s="53"/>
      <c r="B280" s="53"/>
      <c r="C280" s="53"/>
      <c r="D280" s="17"/>
    </row>
    <row r="281" spans="1:4" s="135" customFormat="1" ht="15" customHeight="1" x14ac:dyDescent="0.2">
      <c r="A281" s="53"/>
      <c r="B281" s="53"/>
      <c r="C281" s="53"/>
      <c r="D281" s="17"/>
    </row>
    <row r="282" spans="1:4" s="135" customFormat="1" ht="15" customHeight="1" x14ac:dyDescent="0.2">
      <c r="A282" s="53"/>
      <c r="B282" s="53"/>
      <c r="C282" s="53"/>
      <c r="D282" s="17"/>
    </row>
    <row r="283" spans="1:4" s="135" customFormat="1" ht="15" customHeight="1" x14ac:dyDescent="0.2">
      <c r="A283" s="53"/>
      <c r="B283" s="53"/>
      <c r="C283" s="53"/>
      <c r="D283" s="17"/>
    </row>
    <row r="284" spans="1:4" s="135" customFormat="1" ht="15" customHeight="1" x14ac:dyDescent="0.2">
      <c r="A284" s="53"/>
      <c r="B284" s="53"/>
      <c r="C284" s="53"/>
      <c r="D284" s="17"/>
    </row>
    <row r="285" spans="1:4" s="135" customFormat="1" ht="15" customHeight="1" x14ac:dyDescent="0.2">
      <c r="A285" s="53"/>
      <c r="B285" s="53"/>
      <c r="C285" s="53"/>
      <c r="D285" s="17"/>
    </row>
    <row r="286" spans="1:4" s="135" customFormat="1" ht="15" customHeight="1" x14ac:dyDescent="0.2">
      <c r="A286" s="53"/>
      <c r="B286" s="53"/>
      <c r="C286" s="53"/>
      <c r="D286" s="17"/>
    </row>
    <row r="287" spans="1:4" s="135" customFormat="1" ht="15" customHeight="1" x14ac:dyDescent="0.2">
      <c r="A287" s="53"/>
      <c r="B287" s="53"/>
      <c r="C287" s="53"/>
      <c r="D287" s="17"/>
    </row>
    <row r="288" spans="1:4" s="135" customFormat="1" ht="15" customHeight="1" x14ac:dyDescent="0.2">
      <c r="A288" s="53"/>
      <c r="B288" s="53"/>
      <c r="C288" s="53"/>
      <c r="D288" s="17"/>
    </row>
    <row r="289" spans="1:4" s="135" customFormat="1" ht="15" customHeight="1" x14ac:dyDescent="0.2">
      <c r="A289" s="53"/>
      <c r="B289" s="53"/>
      <c r="C289" s="53"/>
      <c r="D289" s="17"/>
    </row>
    <row r="290" spans="1:4" s="135" customFormat="1" ht="15" customHeight="1" x14ac:dyDescent="0.2">
      <c r="A290" s="53"/>
      <c r="B290" s="53"/>
      <c r="C290" s="53"/>
      <c r="D290" s="17"/>
    </row>
    <row r="291" spans="1:4" s="135" customFormat="1" ht="15" customHeight="1" x14ac:dyDescent="0.2">
      <c r="A291" s="53"/>
      <c r="B291" s="53"/>
      <c r="C291" s="53"/>
      <c r="D291" s="17"/>
    </row>
    <row r="292" spans="1:4" s="135" customFormat="1" ht="15" customHeight="1" x14ac:dyDescent="0.2">
      <c r="A292" s="53"/>
      <c r="B292" s="53"/>
      <c r="C292" s="53"/>
      <c r="D292" s="17"/>
    </row>
    <row r="293" spans="1:4" s="135" customFormat="1" ht="15" customHeight="1" x14ac:dyDescent="0.2">
      <c r="A293" s="53"/>
      <c r="B293" s="53"/>
      <c r="C293" s="53"/>
      <c r="D293" s="17"/>
    </row>
    <row r="294" spans="1:4" s="135" customFormat="1" ht="15" customHeight="1" x14ac:dyDescent="0.2">
      <c r="A294" s="53"/>
      <c r="B294" s="53"/>
      <c r="C294" s="53"/>
      <c r="D294" s="17"/>
    </row>
    <row r="295" spans="1:4" s="135" customFormat="1" ht="15" customHeight="1" x14ac:dyDescent="0.2">
      <c r="A295" s="53"/>
      <c r="B295" s="53"/>
      <c r="C295" s="53"/>
      <c r="D295" s="17"/>
    </row>
    <row r="296" spans="1:4" s="135" customFormat="1" ht="15" customHeight="1" x14ac:dyDescent="0.2">
      <c r="A296" s="53"/>
      <c r="B296" s="53"/>
      <c r="C296" s="53"/>
      <c r="D296" s="17"/>
    </row>
    <row r="297" spans="1:4" s="135" customFormat="1" ht="15" customHeight="1" x14ac:dyDescent="0.2">
      <c r="A297" s="53"/>
      <c r="B297" s="53"/>
      <c r="C297" s="53"/>
      <c r="D297" s="17"/>
    </row>
    <row r="298" spans="1:4" s="135" customFormat="1" ht="15" customHeight="1" x14ac:dyDescent="0.2">
      <c r="A298" s="53"/>
      <c r="B298" s="53"/>
      <c r="C298" s="53"/>
      <c r="D298" s="17"/>
    </row>
    <row r="299" spans="1:4" s="135" customFormat="1" ht="15" customHeight="1" x14ac:dyDescent="0.2">
      <c r="A299" s="53"/>
      <c r="B299" s="53"/>
      <c r="C299" s="53"/>
      <c r="D299" s="17"/>
    </row>
    <row r="300" spans="1:4" s="135" customFormat="1" ht="15" customHeight="1" x14ac:dyDescent="0.2">
      <c r="A300" s="53"/>
      <c r="B300" s="53"/>
      <c r="C300" s="53"/>
      <c r="D300" s="17"/>
    </row>
    <row r="301" spans="1:4" s="135" customFormat="1" ht="15" customHeight="1" x14ac:dyDescent="0.2">
      <c r="A301" s="53"/>
      <c r="B301" s="53"/>
      <c r="C301" s="53"/>
      <c r="D301" s="17"/>
    </row>
    <row r="302" spans="1:4" s="135" customFormat="1" ht="15" customHeight="1" x14ac:dyDescent="0.2">
      <c r="A302" s="53"/>
      <c r="B302" s="53"/>
      <c r="C302" s="53"/>
      <c r="D302" s="17"/>
    </row>
    <row r="303" spans="1:4" s="135" customFormat="1" ht="15" customHeight="1" x14ac:dyDescent="0.2">
      <c r="A303" s="53"/>
      <c r="B303" s="53"/>
      <c r="C303" s="53"/>
      <c r="D303" s="17"/>
    </row>
    <row r="304" spans="1:4" s="135" customFormat="1" ht="15" customHeight="1" x14ac:dyDescent="0.2">
      <c r="A304" s="53"/>
      <c r="B304" s="53"/>
      <c r="C304" s="53"/>
      <c r="D304" s="17"/>
    </row>
    <row r="305" spans="1:4" s="135" customFormat="1" ht="15" customHeight="1" x14ac:dyDescent="0.2">
      <c r="A305" s="53"/>
      <c r="B305" s="53"/>
      <c r="C305" s="53"/>
      <c r="D305" s="17"/>
    </row>
    <row r="306" spans="1:4" s="135" customFormat="1" ht="15" customHeight="1" x14ac:dyDescent="0.2">
      <c r="A306" s="53"/>
      <c r="B306" s="53"/>
      <c r="C306" s="53"/>
      <c r="D306" s="17"/>
    </row>
    <row r="307" spans="1:4" s="135" customFormat="1" ht="15" customHeight="1" x14ac:dyDescent="0.2">
      <c r="A307" s="53"/>
      <c r="B307" s="53"/>
      <c r="C307" s="53"/>
      <c r="D307" s="17"/>
    </row>
    <row r="308" spans="1:4" s="135" customFormat="1" ht="15" customHeight="1" x14ac:dyDescent="0.2">
      <c r="A308" s="53"/>
      <c r="B308" s="53"/>
      <c r="C308" s="53"/>
      <c r="D308" s="17"/>
    </row>
    <row r="309" spans="1:4" s="135" customFormat="1" ht="15" customHeight="1" x14ac:dyDescent="0.2">
      <c r="A309" s="53"/>
      <c r="B309" s="53"/>
      <c r="C309" s="53"/>
      <c r="D309" s="17"/>
    </row>
    <row r="310" spans="1:4" s="135" customFormat="1" ht="15" customHeight="1" x14ac:dyDescent="0.2">
      <c r="A310" s="53"/>
      <c r="B310" s="53"/>
      <c r="C310" s="53"/>
      <c r="D310" s="17"/>
    </row>
    <row r="311" spans="1:4" s="135" customFormat="1" ht="15" customHeight="1" x14ac:dyDescent="0.2">
      <c r="A311" s="53"/>
      <c r="B311" s="53"/>
      <c r="C311" s="53"/>
      <c r="D311" s="17"/>
    </row>
    <row r="312" spans="1:4" s="135" customFormat="1" ht="15" customHeight="1" x14ac:dyDescent="0.2">
      <c r="A312" s="53"/>
      <c r="B312" s="53"/>
      <c r="C312" s="53"/>
      <c r="D312" s="17"/>
    </row>
    <row r="313" spans="1:4" s="135" customFormat="1" ht="15" customHeight="1" x14ac:dyDescent="0.2">
      <c r="A313" s="53"/>
      <c r="B313" s="53"/>
      <c r="C313" s="53"/>
      <c r="D313" s="17"/>
    </row>
    <row r="314" spans="1:4" s="135" customFormat="1" ht="15" customHeight="1" x14ac:dyDescent="0.2">
      <c r="A314" s="53"/>
      <c r="B314" s="53"/>
      <c r="C314" s="53"/>
      <c r="D314" s="17"/>
    </row>
    <row r="315" spans="1:4" s="135" customFormat="1" ht="15" customHeight="1" x14ac:dyDescent="0.2">
      <c r="A315" s="53"/>
      <c r="B315" s="53"/>
      <c r="C315" s="53"/>
      <c r="D315" s="17"/>
    </row>
    <row r="316" spans="1:4" s="135" customFormat="1" ht="15" customHeight="1" x14ac:dyDescent="0.2">
      <c r="A316" s="53"/>
      <c r="B316" s="53"/>
      <c r="C316" s="53"/>
      <c r="D316" s="17"/>
    </row>
    <row r="317" spans="1:4" s="135" customFormat="1" ht="15" customHeight="1" x14ac:dyDescent="0.2">
      <c r="A317" s="53"/>
      <c r="B317" s="53"/>
      <c r="C317" s="53"/>
      <c r="D317" s="17"/>
    </row>
    <row r="318" spans="1:4" s="135" customFormat="1" ht="15" customHeight="1" x14ac:dyDescent="0.2">
      <c r="A318" s="53"/>
      <c r="B318" s="53"/>
      <c r="C318" s="53"/>
      <c r="D318" s="17"/>
    </row>
    <row r="319" spans="1:4" s="135" customFormat="1" ht="15" customHeight="1" x14ac:dyDescent="0.2">
      <c r="A319" s="53"/>
      <c r="B319" s="53"/>
      <c r="C319" s="53"/>
      <c r="D319" s="17"/>
    </row>
    <row r="320" spans="1:4" s="135" customFormat="1" ht="15" customHeight="1" x14ac:dyDescent="0.2">
      <c r="A320" s="53"/>
      <c r="B320" s="53"/>
      <c r="C320" s="53"/>
      <c r="D320" s="17"/>
    </row>
    <row r="321" spans="1:4" s="135" customFormat="1" ht="15" customHeight="1" x14ac:dyDescent="0.2">
      <c r="A321" s="53"/>
      <c r="B321" s="53"/>
      <c r="C321" s="53"/>
      <c r="D321" s="17"/>
    </row>
    <row r="322" spans="1:4" s="135" customFormat="1" ht="15" customHeight="1" x14ac:dyDescent="0.2">
      <c r="A322" s="53"/>
      <c r="B322" s="53"/>
      <c r="C322" s="53"/>
      <c r="D322" s="17"/>
    </row>
    <row r="323" spans="1:4" s="135" customFormat="1" ht="15" customHeight="1" x14ac:dyDescent="0.2">
      <c r="A323" s="53"/>
      <c r="B323" s="53"/>
      <c r="C323" s="53"/>
      <c r="D323" s="17"/>
    </row>
    <row r="324" spans="1:4" s="135" customFormat="1" ht="15" customHeight="1" x14ac:dyDescent="0.2">
      <c r="A324" s="53"/>
      <c r="B324" s="53"/>
      <c r="C324" s="53"/>
      <c r="D324" s="17"/>
    </row>
    <row r="325" spans="1:4" s="135" customFormat="1" ht="15" customHeight="1" x14ac:dyDescent="0.2">
      <c r="A325" s="53"/>
      <c r="B325" s="53"/>
      <c r="C325" s="53"/>
      <c r="D325" s="17"/>
    </row>
    <row r="326" spans="1:4" s="135" customFormat="1" ht="15" customHeight="1" x14ac:dyDescent="0.2">
      <c r="A326" s="53"/>
      <c r="B326" s="53"/>
      <c r="C326" s="53"/>
      <c r="D326" s="17"/>
    </row>
    <row r="327" spans="1:4" s="135" customFormat="1" ht="15" customHeight="1" x14ac:dyDescent="0.2">
      <c r="A327" s="53"/>
      <c r="B327" s="53"/>
      <c r="C327" s="53"/>
      <c r="D327" s="17"/>
    </row>
    <row r="328" spans="1:4" s="135" customFormat="1" ht="15" customHeight="1" x14ac:dyDescent="0.2">
      <c r="A328" s="53"/>
      <c r="B328" s="53"/>
      <c r="C328" s="53"/>
      <c r="D328" s="17"/>
    </row>
    <row r="329" spans="1:4" s="135" customFormat="1" ht="15" customHeight="1" x14ac:dyDescent="0.2">
      <c r="A329" s="53"/>
      <c r="B329" s="53"/>
      <c r="C329" s="53"/>
      <c r="D329" s="17"/>
    </row>
    <row r="330" spans="1:4" s="135" customFormat="1" ht="15" customHeight="1" x14ac:dyDescent="0.2">
      <c r="A330" s="53"/>
      <c r="B330" s="53"/>
      <c r="C330" s="53"/>
      <c r="D330" s="17"/>
    </row>
    <row r="331" spans="1:4" s="135" customFormat="1" ht="15" customHeight="1" x14ac:dyDescent="0.2">
      <c r="A331" s="53"/>
      <c r="B331" s="53"/>
      <c r="C331" s="53"/>
      <c r="D331" s="17"/>
    </row>
    <row r="332" spans="1:4" s="135" customFormat="1" ht="15" customHeight="1" x14ac:dyDescent="0.2">
      <c r="A332" s="53"/>
      <c r="B332" s="53"/>
      <c r="C332" s="53"/>
      <c r="D332" s="17"/>
    </row>
    <row r="333" spans="1:4" s="135" customFormat="1" ht="15" customHeight="1" x14ac:dyDescent="0.2">
      <c r="A333" s="53"/>
      <c r="B333" s="53"/>
      <c r="C333" s="53"/>
      <c r="D333" s="17"/>
    </row>
    <row r="334" spans="1:4" s="135" customFormat="1" ht="15" customHeight="1" x14ac:dyDescent="0.2">
      <c r="A334" s="53"/>
      <c r="B334" s="53"/>
      <c r="C334" s="53"/>
      <c r="D334" s="17"/>
    </row>
    <row r="335" spans="1:4" s="135" customFormat="1" ht="15" customHeight="1" x14ac:dyDescent="0.2">
      <c r="A335" s="53"/>
      <c r="B335" s="53"/>
      <c r="C335" s="53"/>
      <c r="D335" s="17"/>
    </row>
    <row r="336" spans="1:4" s="135" customFormat="1" ht="15" customHeight="1" x14ac:dyDescent="0.2">
      <c r="A336" s="53"/>
      <c r="B336" s="53"/>
      <c r="C336" s="53"/>
      <c r="D336" s="17"/>
    </row>
    <row r="337" spans="1:4" s="135" customFormat="1" ht="15" customHeight="1" x14ac:dyDescent="0.2">
      <c r="A337" s="53"/>
      <c r="B337" s="53"/>
      <c r="C337" s="53"/>
      <c r="D337" s="17"/>
    </row>
    <row r="338" spans="1:4" s="135" customFormat="1" ht="15" customHeight="1" x14ac:dyDescent="0.2">
      <c r="A338" s="53"/>
      <c r="B338" s="53"/>
      <c r="C338" s="53"/>
      <c r="D338" s="17"/>
    </row>
    <row r="339" spans="1:4" s="135" customFormat="1" ht="15" customHeight="1" x14ac:dyDescent="0.2">
      <c r="A339" s="53"/>
      <c r="B339" s="53"/>
      <c r="C339" s="53"/>
      <c r="D339" s="17"/>
    </row>
    <row r="340" spans="1:4" s="135" customFormat="1" ht="15" customHeight="1" x14ac:dyDescent="0.2">
      <c r="A340" s="53"/>
      <c r="B340" s="53"/>
      <c r="C340" s="53"/>
      <c r="D340" s="17"/>
    </row>
    <row r="341" spans="1:4" s="135" customFormat="1" ht="15" customHeight="1" x14ac:dyDescent="0.2">
      <c r="A341" s="53"/>
      <c r="B341" s="53"/>
      <c r="C341" s="53"/>
      <c r="D341" s="17"/>
    </row>
    <row r="342" spans="1:4" s="135" customFormat="1" ht="15" customHeight="1" x14ac:dyDescent="0.2">
      <c r="A342" s="53"/>
      <c r="B342" s="53"/>
      <c r="C342" s="53"/>
      <c r="D342" s="17"/>
    </row>
    <row r="343" spans="1:4" s="135" customFormat="1" ht="15" customHeight="1" x14ac:dyDescent="0.2">
      <c r="A343" s="53"/>
      <c r="B343" s="53"/>
      <c r="C343" s="53"/>
      <c r="D343" s="17"/>
    </row>
    <row r="344" spans="1:4" s="135" customFormat="1" ht="15" customHeight="1" x14ac:dyDescent="0.2">
      <c r="A344" s="53"/>
      <c r="B344" s="53"/>
      <c r="C344" s="53"/>
      <c r="D344" s="17"/>
    </row>
    <row r="345" spans="1:4" s="135" customFormat="1" ht="15" customHeight="1" x14ac:dyDescent="0.2">
      <c r="A345" s="53"/>
      <c r="B345" s="53"/>
      <c r="C345" s="53"/>
      <c r="D345" s="17"/>
    </row>
    <row r="346" spans="1:4" s="135" customFormat="1" ht="15" customHeight="1" x14ac:dyDescent="0.2">
      <c r="A346" s="53"/>
      <c r="B346" s="53"/>
      <c r="C346" s="53"/>
      <c r="D346" s="17"/>
    </row>
    <row r="347" spans="1:4" s="135" customFormat="1" ht="15" customHeight="1" x14ac:dyDescent="0.2">
      <c r="A347" s="53"/>
      <c r="B347" s="53"/>
      <c r="C347" s="53"/>
      <c r="D347" s="17"/>
    </row>
    <row r="348" spans="1:4" s="135" customFormat="1" ht="15" customHeight="1" x14ac:dyDescent="0.2">
      <c r="A348" s="53"/>
      <c r="B348" s="53"/>
      <c r="C348" s="53"/>
      <c r="D348" s="17"/>
    </row>
    <row r="349" spans="1:4" s="135" customFormat="1" ht="15" customHeight="1" x14ac:dyDescent="0.2">
      <c r="A349" s="53"/>
      <c r="B349" s="53"/>
      <c r="C349" s="53"/>
      <c r="D349" s="17"/>
    </row>
    <row r="350" spans="1:4" s="135" customFormat="1" ht="15" customHeight="1" x14ac:dyDescent="0.2">
      <c r="A350" s="53"/>
      <c r="B350" s="53"/>
      <c r="C350" s="53"/>
      <c r="D350" s="17"/>
    </row>
    <row r="351" spans="1:4" s="135" customFormat="1" ht="15" customHeight="1" x14ac:dyDescent="0.2">
      <c r="A351" s="53"/>
      <c r="B351" s="53"/>
      <c r="C351" s="53"/>
      <c r="D351" s="17"/>
    </row>
    <row r="352" spans="1:4" s="135" customFormat="1" ht="15" customHeight="1" x14ac:dyDescent="0.2">
      <c r="A352" s="53"/>
      <c r="B352" s="53"/>
      <c r="C352" s="53"/>
      <c r="D352" s="17"/>
    </row>
    <row r="353" spans="1:4" s="135" customFormat="1" ht="15" customHeight="1" x14ac:dyDescent="0.2">
      <c r="A353" s="53"/>
      <c r="B353" s="53"/>
      <c r="C353" s="53"/>
      <c r="D353" s="17"/>
    </row>
    <row r="354" spans="1:4" s="135" customFormat="1" ht="15" customHeight="1" x14ac:dyDescent="0.2">
      <c r="A354" s="53"/>
      <c r="B354" s="53"/>
      <c r="C354" s="53"/>
      <c r="D354" s="17"/>
    </row>
    <row r="355" spans="1:4" s="135" customFormat="1" ht="15" customHeight="1" x14ac:dyDescent="0.2">
      <c r="A355" s="53"/>
      <c r="B355" s="53"/>
      <c r="C355" s="53"/>
      <c r="D355" s="17"/>
    </row>
    <row r="356" spans="1:4" s="135" customFormat="1" ht="15" customHeight="1" x14ac:dyDescent="0.2">
      <c r="A356" s="53"/>
      <c r="B356" s="53"/>
      <c r="C356" s="53"/>
      <c r="D356" s="17"/>
    </row>
    <row r="357" spans="1:4" s="135" customFormat="1" ht="15" customHeight="1" x14ac:dyDescent="0.2">
      <c r="A357" s="53"/>
      <c r="B357" s="53"/>
      <c r="C357" s="53"/>
      <c r="D357" s="17"/>
    </row>
    <row r="358" spans="1:4" s="135" customFormat="1" ht="15" customHeight="1" x14ac:dyDescent="0.2">
      <c r="A358" s="53"/>
      <c r="B358" s="53"/>
      <c r="C358" s="53"/>
      <c r="D358" s="17"/>
    </row>
    <row r="359" spans="1:4" s="135" customFormat="1" ht="15" customHeight="1" x14ac:dyDescent="0.2">
      <c r="A359" s="53"/>
      <c r="B359" s="53"/>
      <c r="C359" s="53"/>
      <c r="D359" s="17"/>
    </row>
    <row r="360" spans="1:4" s="135" customFormat="1" ht="15" customHeight="1" x14ac:dyDescent="0.2">
      <c r="A360" s="53"/>
      <c r="B360" s="53"/>
      <c r="C360" s="53"/>
      <c r="D360" s="17"/>
    </row>
    <row r="361" spans="1:4" s="135" customFormat="1" ht="15" customHeight="1" x14ac:dyDescent="0.2">
      <c r="A361" s="53"/>
      <c r="B361" s="53"/>
      <c r="C361" s="53"/>
      <c r="D361" s="17"/>
    </row>
    <row r="362" spans="1:4" s="135" customFormat="1" ht="15" customHeight="1" x14ac:dyDescent="0.2">
      <c r="A362" s="53"/>
      <c r="B362" s="53"/>
      <c r="C362" s="53"/>
      <c r="D362" s="17"/>
    </row>
    <row r="363" spans="1:4" s="135" customFormat="1" ht="15" customHeight="1" x14ac:dyDescent="0.2">
      <c r="A363" s="53"/>
      <c r="B363" s="53"/>
      <c r="C363" s="53"/>
      <c r="D363" s="17"/>
    </row>
    <row r="364" spans="1:4" s="135" customFormat="1" ht="15" customHeight="1" x14ac:dyDescent="0.2">
      <c r="A364" s="53"/>
      <c r="B364" s="53"/>
      <c r="C364" s="53"/>
      <c r="D364" s="17"/>
    </row>
    <row r="365" spans="1:4" s="135" customFormat="1" ht="15" customHeight="1" x14ac:dyDescent="0.2">
      <c r="A365" s="53"/>
      <c r="B365" s="53"/>
      <c r="C365" s="53"/>
      <c r="D365" s="17"/>
    </row>
    <row r="366" spans="1:4" s="135" customFormat="1" ht="15" customHeight="1" x14ac:dyDescent="0.2">
      <c r="A366" s="53"/>
      <c r="B366" s="53"/>
      <c r="C366" s="53"/>
      <c r="D366" s="17"/>
    </row>
    <row r="367" spans="1:4" s="135" customFormat="1" ht="15" customHeight="1" x14ac:dyDescent="0.2">
      <c r="A367" s="53"/>
      <c r="B367" s="53"/>
      <c r="C367" s="53"/>
      <c r="D367" s="17"/>
    </row>
    <row r="368" spans="1:4" s="135" customFormat="1" ht="15" customHeight="1" x14ac:dyDescent="0.2">
      <c r="A368" s="53"/>
      <c r="B368" s="53"/>
      <c r="C368" s="53"/>
      <c r="D368" s="17"/>
    </row>
    <row r="369" spans="1:4" s="135" customFormat="1" ht="15" customHeight="1" x14ac:dyDescent="0.2">
      <c r="A369" s="53"/>
      <c r="B369" s="53"/>
      <c r="C369" s="53"/>
      <c r="D369" s="17"/>
    </row>
    <row r="370" spans="1:4" s="135" customFormat="1" ht="15" customHeight="1" x14ac:dyDescent="0.2">
      <c r="A370" s="53"/>
      <c r="B370" s="53"/>
      <c r="C370" s="53"/>
      <c r="D370" s="17"/>
    </row>
    <row r="371" spans="1:4" s="135" customFormat="1" ht="15" customHeight="1" x14ac:dyDescent="0.2">
      <c r="A371" s="53"/>
      <c r="B371" s="53"/>
      <c r="C371" s="53"/>
      <c r="D371" s="17"/>
    </row>
    <row r="372" spans="1:4" s="135" customFormat="1" ht="15" customHeight="1" x14ac:dyDescent="0.2">
      <c r="A372" s="53"/>
      <c r="B372" s="53"/>
      <c r="C372" s="53"/>
      <c r="D372" s="17"/>
    </row>
    <row r="373" spans="1:4" s="135" customFormat="1" ht="15" customHeight="1" x14ac:dyDescent="0.2">
      <c r="A373" s="53"/>
      <c r="B373" s="53"/>
      <c r="C373" s="53"/>
      <c r="D373" s="17"/>
    </row>
    <row r="374" spans="1:4" s="135" customFormat="1" ht="15" customHeight="1" x14ac:dyDescent="0.2">
      <c r="A374" s="53"/>
      <c r="B374" s="53"/>
      <c r="C374" s="53"/>
      <c r="D374" s="17"/>
    </row>
    <row r="375" spans="1:4" s="135" customFormat="1" ht="15" customHeight="1" x14ac:dyDescent="0.2">
      <c r="A375" s="53"/>
      <c r="B375" s="53"/>
      <c r="C375" s="53"/>
      <c r="D375" s="17"/>
    </row>
    <row r="376" spans="1:4" s="135" customFormat="1" ht="15" customHeight="1" x14ac:dyDescent="0.2">
      <c r="A376" s="53"/>
      <c r="B376" s="53"/>
      <c r="C376" s="53"/>
      <c r="D376" s="17"/>
    </row>
    <row r="377" spans="1:4" s="135" customFormat="1" ht="15" customHeight="1" x14ac:dyDescent="0.2">
      <c r="A377" s="53"/>
      <c r="B377" s="53"/>
      <c r="C377" s="53"/>
      <c r="D377" s="17"/>
    </row>
    <row r="378" spans="1:4" s="135" customFormat="1" ht="15" customHeight="1" x14ac:dyDescent="0.2">
      <c r="A378" s="53"/>
      <c r="B378" s="53"/>
      <c r="C378" s="53"/>
      <c r="D378" s="17"/>
    </row>
    <row r="379" spans="1:4" s="135" customFormat="1" ht="15" customHeight="1" x14ac:dyDescent="0.2">
      <c r="A379" s="53"/>
      <c r="B379" s="53"/>
      <c r="C379" s="53"/>
      <c r="D379" s="17"/>
    </row>
    <row r="380" spans="1:4" s="135" customFormat="1" ht="15" customHeight="1" x14ac:dyDescent="0.2">
      <c r="A380" s="53"/>
      <c r="B380" s="53"/>
      <c r="C380" s="53"/>
      <c r="D380" s="17"/>
    </row>
    <row r="381" spans="1:4" s="135" customFormat="1" ht="15" customHeight="1" x14ac:dyDescent="0.2">
      <c r="A381" s="53"/>
      <c r="B381" s="53"/>
      <c r="C381" s="53"/>
      <c r="D381" s="17"/>
    </row>
    <row r="382" spans="1:4" s="135" customFormat="1" ht="15" customHeight="1" x14ac:dyDescent="0.2">
      <c r="A382" s="53"/>
      <c r="B382" s="53"/>
      <c r="C382" s="53"/>
      <c r="D382" s="17"/>
    </row>
    <row r="383" spans="1:4" s="135" customFormat="1" ht="15" customHeight="1" x14ac:dyDescent="0.2">
      <c r="A383" s="53"/>
      <c r="B383" s="53"/>
      <c r="C383" s="53"/>
      <c r="D383" s="17"/>
    </row>
    <row r="384" spans="1:4" s="135" customFormat="1" ht="15" customHeight="1" x14ac:dyDescent="0.2">
      <c r="A384" s="53"/>
      <c r="B384" s="53"/>
      <c r="C384" s="53"/>
      <c r="D384" s="17"/>
    </row>
    <row r="385" spans="1:4" s="135" customFormat="1" ht="15" customHeight="1" x14ac:dyDescent="0.2">
      <c r="A385" s="53"/>
      <c r="B385" s="53"/>
      <c r="C385" s="53"/>
      <c r="D385" s="17"/>
    </row>
    <row r="386" spans="1:4" s="135" customFormat="1" ht="15" customHeight="1" x14ac:dyDescent="0.2">
      <c r="A386" s="53"/>
      <c r="B386" s="53"/>
      <c r="C386" s="53"/>
      <c r="D386" s="17"/>
    </row>
    <row r="387" spans="1:4" s="135" customFormat="1" ht="15" customHeight="1" x14ac:dyDescent="0.2">
      <c r="A387" s="53"/>
      <c r="B387" s="53"/>
      <c r="C387" s="53"/>
      <c r="D387" s="17"/>
    </row>
    <row r="388" spans="1:4" s="135" customFormat="1" ht="15" customHeight="1" x14ac:dyDescent="0.2">
      <c r="A388" s="53"/>
      <c r="B388" s="53"/>
      <c r="C388" s="53"/>
      <c r="D388" s="17"/>
    </row>
    <row r="389" spans="1:4" s="135" customFormat="1" ht="15" customHeight="1" x14ac:dyDescent="0.2">
      <c r="A389" s="53"/>
      <c r="B389" s="53"/>
      <c r="C389" s="53"/>
      <c r="D389" s="17"/>
    </row>
    <row r="390" spans="1:4" s="135" customFormat="1" ht="15" customHeight="1" x14ac:dyDescent="0.2">
      <c r="A390" s="53"/>
      <c r="B390" s="53"/>
      <c r="C390" s="53"/>
      <c r="D390" s="17"/>
    </row>
    <row r="391" spans="1:4" s="135" customFormat="1" ht="15" customHeight="1" x14ac:dyDescent="0.2">
      <c r="A391" s="53"/>
      <c r="B391" s="53"/>
      <c r="C391" s="53"/>
      <c r="D391" s="17"/>
    </row>
    <row r="392" spans="1:4" s="135" customFormat="1" ht="15" customHeight="1" x14ac:dyDescent="0.2">
      <c r="A392" s="53"/>
      <c r="B392" s="53"/>
      <c r="C392" s="53"/>
      <c r="D392" s="17"/>
    </row>
    <row r="393" spans="1:4" s="135" customFormat="1" ht="15" customHeight="1" x14ac:dyDescent="0.2">
      <c r="A393" s="53"/>
      <c r="B393" s="53"/>
      <c r="C393" s="53"/>
      <c r="D393" s="17"/>
    </row>
    <row r="394" spans="1:4" s="135" customFormat="1" ht="15" customHeight="1" x14ac:dyDescent="0.2">
      <c r="A394" s="53"/>
      <c r="B394" s="53"/>
      <c r="C394" s="53"/>
      <c r="D394" s="17"/>
    </row>
    <row r="395" spans="1:4" s="135" customFormat="1" ht="15" customHeight="1" x14ac:dyDescent="0.2">
      <c r="A395" s="53"/>
      <c r="B395" s="53"/>
      <c r="C395" s="53"/>
      <c r="D395" s="17"/>
    </row>
    <row r="396" spans="1:4" s="135" customFormat="1" ht="15" customHeight="1" x14ac:dyDescent="0.2">
      <c r="A396" s="53"/>
      <c r="B396" s="53"/>
      <c r="C396" s="53"/>
      <c r="D396" s="17"/>
    </row>
    <row r="397" spans="1:4" s="135" customFormat="1" ht="15" customHeight="1" x14ac:dyDescent="0.2">
      <c r="A397" s="53"/>
      <c r="B397" s="53"/>
      <c r="C397" s="53"/>
      <c r="D397" s="17"/>
    </row>
    <row r="398" spans="1:4" s="135" customFormat="1" ht="15" customHeight="1" x14ac:dyDescent="0.2">
      <c r="A398" s="53"/>
      <c r="B398" s="53"/>
      <c r="C398" s="53"/>
      <c r="D398" s="17"/>
    </row>
    <row r="399" spans="1:4" s="135" customFormat="1" ht="15" customHeight="1" x14ac:dyDescent="0.2">
      <c r="A399" s="53"/>
      <c r="B399" s="53"/>
      <c r="C399" s="53"/>
      <c r="D399" s="17"/>
    </row>
    <row r="400" spans="1:4" s="135" customFormat="1" ht="15" customHeight="1" x14ac:dyDescent="0.2">
      <c r="A400" s="53"/>
      <c r="B400" s="53"/>
      <c r="C400" s="53"/>
      <c r="D400" s="17"/>
    </row>
    <row r="401" spans="1:4" s="135" customFormat="1" ht="15" customHeight="1" x14ac:dyDescent="0.2">
      <c r="A401" s="53"/>
      <c r="B401" s="53"/>
      <c r="C401" s="53"/>
      <c r="D401" s="17"/>
    </row>
    <row r="402" spans="1:4" s="135" customFormat="1" ht="15" customHeight="1" x14ac:dyDescent="0.2">
      <c r="A402" s="53"/>
      <c r="B402" s="53"/>
      <c r="C402" s="53"/>
      <c r="D402" s="17"/>
    </row>
    <row r="403" spans="1:4" s="135" customFormat="1" ht="15" customHeight="1" x14ac:dyDescent="0.2">
      <c r="A403" s="53"/>
      <c r="B403" s="53"/>
      <c r="C403" s="53"/>
      <c r="D403" s="17"/>
    </row>
    <row r="404" spans="1:4" s="135" customFormat="1" ht="15" customHeight="1" x14ac:dyDescent="0.2">
      <c r="A404" s="53"/>
      <c r="B404" s="53"/>
      <c r="C404" s="53"/>
      <c r="D404" s="17"/>
    </row>
    <row r="405" spans="1:4" s="135" customFormat="1" ht="15" customHeight="1" x14ac:dyDescent="0.2">
      <c r="A405" s="53"/>
      <c r="B405" s="53"/>
      <c r="C405" s="53"/>
      <c r="D405" s="17"/>
    </row>
    <row r="406" spans="1:4" s="135" customFormat="1" ht="15" customHeight="1" x14ac:dyDescent="0.2">
      <c r="A406" s="53"/>
      <c r="B406" s="53"/>
      <c r="C406" s="53"/>
      <c r="D406" s="17"/>
    </row>
    <row r="407" spans="1:4" s="135" customFormat="1" ht="15" customHeight="1" x14ac:dyDescent="0.2">
      <c r="A407" s="53"/>
      <c r="B407" s="53"/>
      <c r="C407" s="53"/>
      <c r="D407" s="17"/>
    </row>
    <row r="408" spans="1:4" s="135" customFormat="1" ht="15" customHeight="1" x14ac:dyDescent="0.2">
      <c r="A408" s="53"/>
      <c r="B408" s="53"/>
      <c r="C408" s="53"/>
      <c r="D408" s="17"/>
    </row>
    <row r="409" spans="1:4" s="135" customFormat="1" ht="15" customHeight="1" x14ac:dyDescent="0.2">
      <c r="A409" s="53"/>
      <c r="B409" s="53"/>
      <c r="C409" s="53"/>
      <c r="D409" s="17"/>
    </row>
    <row r="410" spans="1:4" s="135" customFormat="1" ht="15" customHeight="1" x14ac:dyDescent="0.2">
      <c r="A410" s="53"/>
      <c r="B410" s="53"/>
      <c r="C410" s="53"/>
      <c r="D410" s="17"/>
    </row>
    <row r="411" spans="1:4" s="135" customFormat="1" ht="15" customHeight="1" x14ac:dyDescent="0.2">
      <c r="A411" s="53"/>
      <c r="B411" s="53"/>
      <c r="C411" s="53"/>
      <c r="D411" s="17"/>
    </row>
    <row r="412" spans="1:4" s="135" customFormat="1" ht="15" customHeight="1" x14ac:dyDescent="0.2">
      <c r="A412" s="53"/>
      <c r="B412" s="53"/>
      <c r="C412" s="53"/>
      <c r="D412" s="17"/>
    </row>
    <row r="413" spans="1:4" s="135" customFormat="1" ht="15" customHeight="1" x14ac:dyDescent="0.2">
      <c r="A413" s="53"/>
      <c r="B413" s="53"/>
      <c r="C413" s="53"/>
      <c r="D413" s="17"/>
    </row>
    <row r="414" spans="1:4" s="135" customFormat="1" ht="15" customHeight="1" x14ac:dyDescent="0.2">
      <c r="A414" s="53"/>
      <c r="B414" s="53"/>
      <c r="C414" s="53"/>
      <c r="D414" s="17"/>
    </row>
    <row r="415" spans="1:4" s="135" customFormat="1" ht="15" customHeight="1" x14ac:dyDescent="0.2">
      <c r="A415" s="53"/>
      <c r="B415" s="53"/>
      <c r="C415" s="53"/>
      <c r="D415" s="17"/>
    </row>
    <row r="416" spans="1:4" s="135" customFormat="1" ht="15" customHeight="1" x14ac:dyDescent="0.2">
      <c r="A416" s="53"/>
      <c r="B416" s="53"/>
      <c r="C416" s="53"/>
      <c r="D416" s="17"/>
    </row>
    <row r="417" spans="1:4" s="135" customFormat="1" ht="15" customHeight="1" x14ac:dyDescent="0.2">
      <c r="A417" s="53"/>
      <c r="B417" s="53"/>
      <c r="C417" s="53"/>
      <c r="D417" s="17"/>
    </row>
    <row r="418" spans="1:4" s="135" customFormat="1" ht="15" customHeight="1" x14ac:dyDescent="0.2">
      <c r="A418" s="53"/>
      <c r="B418" s="53"/>
      <c r="C418" s="53"/>
      <c r="D418" s="17"/>
    </row>
    <row r="419" spans="1:4" s="135" customFormat="1" ht="15" customHeight="1" x14ac:dyDescent="0.2">
      <c r="A419" s="53"/>
      <c r="B419" s="53"/>
      <c r="C419" s="53"/>
      <c r="D419" s="17"/>
    </row>
    <row r="420" spans="1:4" s="135" customFormat="1" ht="15" customHeight="1" x14ac:dyDescent="0.2">
      <c r="A420" s="53"/>
      <c r="B420" s="53"/>
      <c r="C420" s="53"/>
      <c r="D420" s="17"/>
    </row>
    <row r="421" spans="1:4" s="135" customFormat="1" ht="15" customHeight="1" x14ac:dyDescent="0.2">
      <c r="A421" s="53"/>
      <c r="B421" s="53"/>
      <c r="C421" s="53"/>
      <c r="D421" s="17"/>
    </row>
    <row r="422" spans="1:4" s="135" customFormat="1" ht="15" customHeight="1" x14ac:dyDescent="0.2">
      <c r="A422" s="53"/>
      <c r="B422" s="53"/>
      <c r="C422" s="53"/>
      <c r="D422" s="17"/>
    </row>
    <row r="423" spans="1:4" s="135" customFormat="1" ht="15" customHeight="1" x14ac:dyDescent="0.2">
      <c r="A423" s="53"/>
      <c r="B423" s="53"/>
      <c r="C423" s="53"/>
      <c r="D423" s="17"/>
    </row>
    <row r="424" spans="1:4" s="135" customFormat="1" ht="15" customHeight="1" x14ac:dyDescent="0.2">
      <c r="A424" s="53"/>
      <c r="B424" s="53"/>
      <c r="C424" s="53"/>
      <c r="D424" s="17"/>
    </row>
    <row r="425" spans="1:4" s="135" customFormat="1" ht="15" customHeight="1" x14ac:dyDescent="0.2">
      <c r="A425" s="53"/>
      <c r="B425" s="53"/>
      <c r="C425" s="53"/>
      <c r="D425" s="17"/>
    </row>
    <row r="426" spans="1:4" s="135" customFormat="1" ht="15" customHeight="1" x14ac:dyDescent="0.2">
      <c r="A426" s="53"/>
      <c r="B426" s="53"/>
      <c r="C426" s="53"/>
      <c r="D426" s="17"/>
    </row>
    <row r="427" spans="1:4" s="135" customFormat="1" ht="15" customHeight="1" x14ac:dyDescent="0.2">
      <c r="A427" s="53"/>
      <c r="B427" s="53"/>
      <c r="C427" s="53"/>
      <c r="D427" s="17"/>
    </row>
    <row r="428" spans="1:4" s="135" customFormat="1" ht="15" customHeight="1" x14ac:dyDescent="0.2">
      <c r="A428" s="53"/>
      <c r="B428" s="53"/>
      <c r="C428" s="53"/>
      <c r="D428" s="17"/>
    </row>
    <row r="429" spans="1:4" s="135" customFormat="1" ht="15" customHeight="1" x14ac:dyDescent="0.2">
      <c r="A429" s="53"/>
      <c r="B429" s="53"/>
      <c r="C429" s="53"/>
      <c r="D429" s="17"/>
    </row>
    <row r="430" spans="1:4" s="135" customFormat="1" ht="15" customHeight="1" x14ac:dyDescent="0.2">
      <c r="A430" s="53"/>
      <c r="B430" s="53"/>
      <c r="C430" s="53"/>
      <c r="D430" s="17"/>
    </row>
    <row r="431" spans="1:4" s="135" customFormat="1" ht="15" customHeight="1" x14ac:dyDescent="0.2">
      <c r="A431" s="53"/>
      <c r="B431" s="53"/>
      <c r="C431" s="53"/>
      <c r="D431" s="17"/>
    </row>
    <row r="432" spans="1:4" s="135" customFormat="1" ht="15" customHeight="1" x14ac:dyDescent="0.2">
      <c r="A432" s="53"/>
      <c r="B432" s="53"/>
      <c r="C432" s="53"/>
      <c r="D432" s="17"/>
    </row>
    <row r="433" spans="1:4" s="135" customFormat="1" ht="15" customHeight="1" x14ac:dyDescent="0.2">
      <c r="A433" s="53"/>
      <c r="B433" s="53"/>
      <c r="C433" s="53"/>
      <c r="D433" s="17"/>
    </row>
    <row r="434" spans="1:4" s="135" customFormat="1" ht="15" customHeight="1" x14ac:dyDescent="0.2">
      <c r="A434" s="53"/>
      <c r="B434" s="53"/>
      <c r="C434" s="53"/>
      <c r="D434" s="17"/>
    </row>
    <row r="435" spans="1:4" s="135" customFormat="1" ht="15" customHeight="1" x14ac:dyDescent="0.2">
      <c r="A435" s="53"/>
      <c r="B435" s="53"/>
      <c r="C435" s="53"/>
      <c r="D435" s="17"/>
    </row>
    <row r="436" spans="1:4" s="135" customFormat="1" ht="15" customHeight="1" x14ac:dyDescent="0.2">
      <c r="A436" s="53"/>
      <c r="B436" s="53"/>
      <c r="C436" s="53"/>
      <c r="D436" s="17"/>
    </row>
    <row r="437" spans="1:4" s="135" customFormat="1" ht="15" customHeight="1" x14ac:dyDescent="0.2">
      <c r="A437" s="53"/>
      <c r="B437" s="53"/>
      <c r="C437" s="53"/>
      <c r="D437" s="17"/>
    </row>
    <row r="438" spans="1:4" s="135" customFormat="1" ht="15" customHeight="1" x14ac:dyDescent="0.2">
      <c r="A438" s="53"/>
      <c r="B438" s="53"/>
      <c r="C438" s="53"/>
      <c r="D438" s="17"/>
    </row>
    <row r="439" spans="1:4" s="135" customFormat="1" ht="15" customHeight="1" x14ac:dyDescent="0.2">
      <c r="A439" s="53"/>
      <c r="B439" s="53"/>
      <c r="C439" s="53"/>
      <c r="D439" s="17"/>
    </row>
    <row r="440" spans="1:4" s="135" customFormat="1" ht="15" customHeight="1" x14ac:dyDescent="0.2">
      <c r="A440" s="53"/>
      <c r="B440" s="53"/>
      <c r="C440" s="53"/>
      <c r="D440" s="17"/>
    </row>
    <row r="441" spans="1:4" s="135" customFormat="1" ht="15" customHeight="1" x14ac:dyDescent="0.2">
      <c r="A441" s="53"/>
      <c r="B441" s="53"/>
      <c r="C441" s="53"/>
      <c r="D441" s="17"/>
    </row>
    <row r="442" spans="1:4" s="135" customFormat="1" ht="15" customHeight="1" x14ac:dyDescent="0.2">
      <c r="A442" s="53"/>
      <c r="B442" s="53"/>
      <c r="C442" s="53"/>
      <c r="D442" s="17"/>
    </row>
    <row r="443" spans="1:4" s="135" customFormat="1" ht="15" customHeight="1" x14ac:dyDescent="0.2">
      <c r="A443" s="53"/>
      <c r="B443" s="53"/>
      <c r="C443" s="53"/>
      <c r="D443" s="17"/>
    </row>
    <row r="444" spans="1:4" s="135" customFormat="1" ht="15" customHeight="1" x14ac:dyDescent="0.2">
      <c r="A444" s="53"/>
      <c r="B444" s="53"/>
      <c r="C444" s="53"/>
      <c r="D444" s="17"/>
    </row>
    <row r="445" spans="1:4" s="135" customFormat="1" ht="15" customHeight="1" x14ac:dyDescent="0.2">
      <c r="A445" s="53"/>
      <c r="B445" s="53"/>
      <c r="C445" s="53"/>
      <c r="D445" s="17"/>
    </row>
    <row r="446" spans="1:4" s="135" customFormat="1" ht="15" customHeight="1" x14ac:dyDescent="0.2">
      <c r="A446" s="53"/>
      <c r="B446" s="53"/>
      <c r="C446" s="53"/>
      <c r="D446" s="17"/>
    </row>
    <row r="447" spans="1:4" s="135" customFormat="1" ht="15" customHeight="1" x14ac:dyDescent="0.2">
      <c r="A447" s="53"/>
      <c r="B447" s="53"/>
      <c r="C447" s="53"/>
      <c r="D447" s="17"/>
    </row>
    <row r="448" spans="1:4" s="135" customFormat="1" ht="15" customHeight="1" x14ac:dyDescent="0.2">
      <c r="A448" s="53"/>
      <c r="B448" s="53"/>
      <c r="C448" s="53"/>
      <c r="D448" s="17"/>
    </row>
    <row r="449" spans="1:4" s="135" customFormat="1" ht="15" customHeight="1" x14ac:dyDescent="0.2">
      <c r="A449" s="53"/>
      <c r="B449" s="53"/>
      <c r="C449" s="53"/>
      <c r="D449" s="17"/>
    </row>
    <row r="450" spans="1:4" s="135" customFormat="1" ht="15" customHeight="1" x14ac:dyDescent="0.2">
      <c r="A450" s="53"/>
      <c r="B450" s="53"/>
      <c r="C450" s="53"/>
      <c r="D450" s="17"/>
    </row>
    <row r="451" spans="1:4" s="135" customFormat="1" ht="15" customHeight="1" x14ac:dyDescent="0.2">
      <c r="A451" s="53"/>
      <c r="B451" s="53"/>
      <c r="C451" s="53"/>
      <c r="D451" s="17"/>
    </row>
    <row r="452" spans="1:4" s="135" customFormat="1" ht="15" customHeight="1" x14ac:dyDescent="0.2">
      <c r="A452" s="53"/>
      <c r="B452" s="53"/>
      <c r="C452" s="53"/>
      <c r="D452" s="17"/>
    </row>
    <row r="453" spans="1:4" s="135" customFormat="1" ht="15" customHeight="1" x14ac:dyDescent="0.2">
      <c r="A453" s="53"/>
      <c r="B453" s="53"/>
      <c r="C453" s="53"/>
      <c r="D453" s="17"/>
    </row>
    <row r="454" spans="1:4" s="135" customFormat="1" ht="15" customHeight="1" x14ac:dyDescent="0.2">
      <c r="A454" s="53"/>
      <c r="B454" s="53"/>
      <c r="C454" s="53"/>
      <c r="D454" s="17"/>
    </row>
    <row r="455" spans="1:4" s="135" customFormat="1" ht="15" customHeight="1" x14ac:dyDescent="0.2">
      <c r="A455" s="53"/>
      <c r="B455" s="53"/>
      <c r="C455" s="53"/>
      <c r="D455" s="17"/>
    </row>
    <row r="456" spans="1:4" s="135" customFormat="1" ht="15" customHeight="1" x14ac:dyDescent="0.2">
      <c r="A456" s="53"/>
      <c r="B456" s="53"/>
      <c r="C456" s="53"/>
      <c r="D456" s="17"/>
    </row>
    <row r="457" spans="1:4" s="135" customFormat="1" ht="15" customHeight="1" x14ac:dyDescent="0.2">
      <c r="A457" s="53"/>
      <c r="B457" s="53"/>
      <c r="C457" s="53"/>
      <c r="D457" s="17"/>
    </row>
    <row r="458" spans="1:4" s="135" customFormat="1" ht="15" customHeight="1" x14ac:dyDescent="0.2">
      <c r="A458" s="53"/>
      <c r="B458" s="53"/>
      <c r="C458" s="53"/>
      <c r="D458" s="17"/>
    </row>
    <row r="459" spans="1:4" s="135" customFormat="1" ht="15" customHeight="1" x14ac:dyDescent="0.2">
      <c r="A459" s="53"/>
      <c r="B459" s="53"/>
      <c r="C459" s="53"/>
      <c r="D459" s="17"/>
    </row>
    <row r="460" spans="1:4" s="135" customFormat="1" ht="15" customHeight="1" x14ac:dyDescent="0.2">
      <c r="A460" s="53"/>
      <c r="B460" s="53"/>
      <c r="C460" s="53"/>
      <c r="D460" s="17"/>
    </row>
    <row r="461" spans="1:4" s="135" customFormat="1" ht="15" customHeight="1" x14ac:dyDescent="0.2">
      <c r="A461" s="53"/>
      <c r="B461" s="53"/>
      <c r="C461" s="53"/>
      <c r="D461" s="17"/>
    </row>
    <row r="462" spans="1:4" s="135" customFormat="1" ht="15" customHeight="1" x14ac:dyDescent="0.2">
      <c r="A462" s="53"/>
      <c r="B462" s="53"/>
      <c r="C462" s="53"/>
      <c r="D462" s="17"/>
    </row>
    <row r="463" spans="1:4" s="135" customFormat="1" ht="15" customHeight="1" x14ac:dyDescent="0.2">
      <c r="A463" s="53"/>
      <c r="B463" s="53"/>
      <c r="C463" s="53"/>
      <c r="D463" s="17"/>
    </row>
    <row r="464" spans="1:4" s="135" customFormat="1" ht="15" customHeight="1" x14ac:dyDescent="0.2">
      <c r="A464" s="53"/>
      <c r="B464" s="53"/>
      <c r="C464" s="53"/>
      <c r="D464" s="17"/>
    </row>
    <row r="465" spans="1:4" s="135" customFormat="1" ht="15" customHeight="1" x14ac:dyDescent="0.2">
      <c r="A465" s="53"/>
      <c r="B465" s="53"/>
      <c r="C465" s="53"/>
      <c r="D465" s="17"/>
    </row>
    <row r="466" spans="1:4" s="135" customFormat="1" ht="15" customHeight="1" x14ac:dyDescent="0.2">
      <c r="A466" s="53"/>
      <c r="B466" s="53"/>
      <c r="C466" s="53"/>
      <c r="D466" s="17"/>
    </row>
    <row r="467" spans="1:4" s="135" customFormat="1" ht="15" customHeight="1" x14ac:dyDescent="0.2">
      <c r="A467" s="53"/>
      <c r="B467" s="53"/>
      <c r="C467" s="53"/>
      <c r="D467" s="17"/>
    </row>
    <row r="468" spans="1:4" s="135" customFormat="1" ht="15" customHeight="1" x14ac:dyDescent="0.2">
      <c r="A468" s="53"/>
      <c r="B468" s="53"/>
      <c r="C468" s="53"/>
      <c r="D468" s="17"/>
    </row>
    <row r="469" spans="1:4" s="135" customFormat="1" ht="15" customHeight="1" x14ac:dyDescent="0.2">
      <c r="A469" s="53"/>
      <c r="B469" s="53"/>
      <c r="C469" s="53"/>
      <c r="D469" s="17"/>
    </row>
    <row r="470" spans="1:4" s="135" customFormat="1" ht="15" customHeight="1" x14ac:dyDescent="0.2">
      <c r="A470" s="53"/>
      <c r="B470" s="53"/>
      <c r="C470" s="53"/>
      <c r="D470" s="17"/>
    </row>
    <row r="471" spans="1:4" s="135" customFormat="1" ht="15" customHeight="1" x14ac:dyDescent="0.2">
      <c r="A471" s="53"/>
      <c r="B471" s="53"/>
      <c r="C471" s="53"/>
      <c r="D471" s="17"/>
    </row>
    <row r="472" spans="1:4" s="135" customFormat="1" ht="15" customHeight="1" x14ac:dyDescent="0.2">
      <c r="A472" s="53"/>
      <c r="B472" s="53"/>
      <c r="C472" s="53"/>
      <c r="D472" s="17"/>
    </row>
    <row r="473" spans="1:4" s="135" customFormat="1" ht="15" customHeight="1" x14ac:dyDescent="0.2">
      <c r="A473" s="53"/>
      <c r="B473" s="53"/>
      <c r="C473" s="53"/>
      <c r="D473" s="17"/>
    </row>
    <row r="474" spans="1:4" s="135" customFormat="1" ht="15" customHeight="1" x14ac:dyDescent="0.2">
      <c r="A474" s="53"/>
      <c r="B474" s="53"/>
      <c r="C474" s="53"/>
      <c r="D474" s="17"/>
    </row>
    <row r="475" spans="1:4" s="135" customFormat="1" ht="15" customHeight="1" x14ac:dyDescent="0.2">
      <c r="A475" s="53"/>
      <c r="B475" s="53"/>
      <c r="C475" s="53"/>
      <c r="D475" s="17"/>
    </row>
    <row r="476" spans="1:4" s="135" customFormat="1" ht="15" customHeight="1" x14ac:dyDescent="0.2">
      <c r="A476" s="53"/>
      <c r="B476" s="53"/>
      <c r="C476" s="53"/>
      <c r="D476" s="17"/>
    </row>
    <row r="477" spans="1:4" s="135" customFormat="1" ht="15" customHeight="1" x14ac:dyDescent="0.2">
      <c r="A477" s="53"/>
      <c r="B477" s="53"/>
      <c r="C477" s="53"/>
      <c r="D477" s="17"/>
    </row>
    <row r="478" spans="1:4" s="135" customFormat="1" ht="15" customHeight="1" x14ac:dyDescent="0.2">
      <c r="A478" s="53"/>
      <c r="B478" s="53"/>
      <c r="C478" s="53"/>
      <c r="D478" s="17"/>
    </row>
    <row r="479" spans="1:4" s="135" customFormat="1" ht="15" customHeight="1" x14ac:dyDescent="0.2">
      <c r="A479" s="53"/>
      <c r="B479" s="53"/>
      <c r="C479" s="53"/>
      <c r="D479" s="17"/>
    </row>
    <row r="480" spans="1:4" s="135" customFormat="1" ht="15" customHeight="1" x14ac:dyDescent="0.2">
      <c r="A480" s="53"/>
      <c r="B480" s="53"/>
      <c r="C480" s="53"/>
      <c r="D480" s="17"/>
    </row>
    <row r="481" spans="1:4" s="135" customFormat="1" ht="15" customHeight="1" x14ac:dyDescent="0.2">
      <c r="A481" s="53"/>
      <c r="B481" s="53"/>
      <c r="C481" s="53"/>
      <c r="D481" s="17"/>
    </row>
    <row r="482" spans="1:4" s="135" customFormat="1" ht="15" customHeight="1" x14ac:dyDescent="0.2">
      <c r="A482" s="53"/>
      <c r="B482" s="53"/>
      <c r="C482" s="53"/>
      <c r="D482" s="17"/>
    </row>
    <row r="483" spans="1:4" s="135" customFormat="1" ht="15" customHeight="1" x14ac:dyDescent="0.2">
      <c r="A483" s="53"/>
      <c r="B483" s="53"/>
      <c r="C483" s="53"/>
      <c r="D483" s="17"/>
    </row>
    <row r="484" spans="1:4" s="135" customFormat="1" ht="15" customHeight="1" x14ac:dyDescent="0.2">
      <c r="A484" s="53"/>
      <c r="B484" s="53"/>
      <c r="C484" s="53"/>
      <c r="D484" s="17"/>
    </row>
    <row r="485" spans="1:4" s="135" customFormat="1" ht="15" customHeight="1" x14ac:dyDescent="0.2">
      <c r="A485" s="53"/>
      <c r="B485" s="53"/>
      <c r="C485" s="53"/>
      <c r="D485" s="17"/>
    </row>
    <row r="486" spans="1:4" s="135" customFormat="1" ht="15" customHeight="1" x14ac:dyDescent="0.2">
      <c r="A486" s="53"/>
      <c r="B486" s="53"/>
      <c r="C486" s="53"/>
      <c r="D486" s="17"/>
    </row>
    <row r="487" spans="1:4" s="135" customFormat="1" ht="15" customHeight="1" x14ac:dyDescent="0.2">
      <c r="A487" s="53"/>
      <c r="B487" s="53"/>
      <c r="C487" s="53"/>
      <c r="D487" s="17"/>
    </row>
    <row r="488" spans="1:4" s="135" customFormat="1" ht="15" customHeight="1" x14ac:dyDescent="0.2">
      <c r="A488" s="53"/>
      <c r="B488" s="53"/>
      <c r="C488" s="53"/>
      <c r="D488" s="17"/>
    </row>
    <row r="489" spans="1:4" s="135" customFormat="1" ht="15" customHeight="1" x14ac:dyDescent="0.2">
      <c r="A489" s="53"/>
      <c r="B489" s="53"/>
      <c r="C489" s="53"/>
      <c r="D489" s="17"/>
    </row>
    <row r="490" spans="1:4" s="135" customFormat="1" ht="15" customHeight="1" x14ac:dyDescent="0.2">
      <c r="A490" s="53"/>
      <c r="B490" s="53"/>
      <c r="C490" s="53"/>
      <c r="D490" s="17"/>
    </row>
    <row r="491" spans="1:4" s="135" customFormat="1" ht="15" customHeight="1" x14ac:dyDescent="0.2">
      <c r="A491" s="53"/>
      <c r="B491" s="53"/>
      <c r="C491" s="53"/>
      <c r="D491" s="17"/>
    </row>
    <row r="492" spans="1:4" s="135" customFormat="1" ht="15" customHeight="1" x14ac:dyDescent="0.2">
      <c r="A492" s="53"/>
      <c r="B492" s="53"/>
      <c r="C492" s="53"/>
      <c r="D492" s="17"/>
    </row>
    <row r="493" spans="1:4" s="135" customFormat="1" ht="15" customHeight="1" x14ac:dyDescent="0.2">
      <c r="A493" s="53"/>
      <c r="B493" s="53"/>
      <c r="C493" s="53"/>
      <c r="D493" s="17"/>
    </row>
    <row r="494" spans="1:4" s="135" customFormat="1" ht="15" customHeight="1" x14ac:dyDescent="0.2">
      <c r="A494" s="53"/>
      <c r="B494" s="53"/>
      <c r="C494" s="53"/>
      <c r="D494" s="17"/>
    </row>
    <row r="495" spans="1:4" s="135" customFormat="1" ht="15" customHeight="1" x14ac:dyDescent="0.2">
      <c r="A495" s="53"/>
      <c r="B495" s="53"/>
      <c r="C495" s="53"/>
      <c r="D495" s="17"/>
    </row>
    <row r="496" spans="1:4" s="135" customFormat="1" ht="15" customHeight="1" x14ac:dyDescent="0.2">
      <c r="A496" s="53"/>
      <c r="B496" s="53"/>
      <c r="C496" s="53"/>
      <c r="D496" s="17"/>
    </row>
    <row r="497" spans="1:4" s="135" customFormat="1" ht="15" customHeight="1" x14ac:dyDescent="0.2">
      <c r="A497" s="53"/>
      <c r="B497" s="53"/>
      <c r="C497" s="53"/>
      <c r="D497" s="17"/>
    </row>
    <row r="498" spans="1:4" s="135" customFormat="1" ht="15" customHeight="1" x14ac:dyDescent="0.2">
      <c r="A498" s="53"/>
      <c r="B498" s="53"/>
      <c r="C498" s="53"/>
      <c r="D498" s="17"/>
    </row>
    <row r="499" spans="1:4" s="135" customFormat="1" ht="15" customHeight="1" x14ac:dyDescent="0.2">
      <c r="A499" s="53"/>
      <c r="B499" s="53"/>
      <c r="C499" s="53"/>
      <c r="D499" s="17"/>
    </row>
    <row r="500" spans="1:4" s="135" customFormat="1" ht="15" customHeight="1" x14ac:dyDescent="0.2">
      <c r="A500" s="53"/>
      <c r="B500" s="53"/>
      <c r="C500" s="53"/>
      <c r="D500" s="17"/>
    </row>
    <row r="501" spans="1:4" s="135" customFormat="1" ht="15" customHeight="1" x14ac:dyDescent="0.2">
      <c r="A501" s="53"/>
      <c r="B501" s="53"/>
      <c r="C501" s="53"/>
      <c r="D501" s="17"/>
    </row>
    <row r="502" spans="1:4" s="135" customFormat="1" ht="15" customHeight="1" x14ac:dyDescent="0.2">
      <c r="A502" s="53"/>
      <c r="B502" s="53"/>
      <c r="C502" s="53"/>
      <c r="D502" s="17"/>
    </row>
    <row r="503" spans="1:4" s="135" customFormat="1" ht="15" customHeight="1" x14ac:dyDescent="0.2">
      <c r="A503" s="53"/>
      <c r="B503" s="53"/>
      <c r="C503" s="53"/>
      <c r="D503" s="17"/>
    </row>
    <row r="504" spans="1:4" s="135" customFormat="1" ht="15" customHeight="1" x14ac:dyDescent="0.2">
      <c r="A504" s="53"/>
      <c r="B504" s="53"/>
      <c r="C504" s="53"/>
      <c r="D504" s="17"/>
    </row>
    <row r="505" spans="1:4" s="135" customFormat="1" ht="15" customHeight="1" x14ac:dyDescent="0.2">
      <c r="A505" s="53"/>
      <c r="B505" s="53"/>
      <c r="C505" s="53"/>
      <c r="D505" s="17"/>
    </row>
    <row r="506" spans="1:4" s="135" customFormat="1" ht="15" customHeight="1" x14ac:dyDescent="0.2">
      <c r="A506" s="53"/>
      <c r="B506" s="53"/>
      <c r="C506" s="53"/>
      <c r="D506" s="17"/>
    </row>
    <row r="507" spans="1:4" s="135" customFormat="1" ht="15" customHeight="1" x14ac:dyDescent="0.2">
      <c r="A507" s="53"/>
      <c r="B507" s="53"/>
      <c r="C507" s="53"/>
      <c r="D507" s="17"/>
    </row>
    <row r="508" spans="1:4" s="135" customFormat="1" ht="15" customHeight="1" x14ac:dyDescent="0.2">
      <c r="A508" s="53"/>
      <c r="B508" s="53"/>
      <c r="C508" s="53"/>
      <c r="D508" s="17"/>
    </row>
    <row r="509" spans="1:4" s="135" customFormat="1" ht="15" customHeight="1" x14ac:dyDescent="0.2">
      <c r="A509" s="53"/>
      <c r="B509" s="53"/>
      <c r="C509" s="53"/>
      <c r="D509" s="17"/>
    </row>
    <row r="510" spans="1:4" s="135" customFormat="1" ht="15" customHeight="1" x14ac:dyDescent="0.2">
      <c r="A510" s="53"/>
      <c r="B510" s="53"/>
      <c r="C510" s="53"/>
      <c r="D510" s="17"/>
    </row>
    <row r="511" spans="1:4" s="135" customFormat="1" ht="15" customHeight="1" x14ac:dyDescent="0.2">
      <c r="A511" s="53"/>
      <c r="B511" s="53"/>
      <c r="C511" s="53"/>
      <c r="D511" s="17"/>
    </row>
    <row r="512" spans="1:4" s="135" customFormat="1" ht="15" customHeight="1" x14ac:dyDescent="0.2">
      <c r="A512" s="53"/>
      <c r="B512" s="53"/>
      <c r="C512" s="53"/>
      <c r="D512" s="17"/>
    </row>
    <row r="513" spans="1:4" s="135" customFormat="1" ht="15" customHeight="1" x14ac:dyDescent="0.2">
      <c r="A513" s="53"/>
      <c r="B513" s="53"/>
      <c r="C513" s="53"/>
      <c r="D513" s="17"/>
    </row>
    <row r="514" spans="1:4" s="135" customFormat="1" ht="15" customHeight="1" x14ac:dyDescent="0.2">
      <c r="A514" s="53"/>
      <c r="B514" s="53"/>
      <c r="C514" s="53"/>
      <c r="D514" s="17"/>
    </row>
    <row r="515" spans="1:4" s="135" customFormat="1" ht="15" customHeight="1" x14ac:dyDescent="0.2">
      <c r="A515" s="53"/>
      <c r="B515" s="53"/>
      <c r="C515" s="53"/>
      <c r="D515" s="17"/>
    </row>
    <row r="516" spans="1:4" s="135" customFormat="1" ht="15" customHeight="1" x14ac:dyDescent="0.2">
      <c r="A516" s="53"/>
      <c r="B516" s="53"/>
      <c r="C516" s="53"/>
      <c r="D516" s="17"/>
    </row>
    <row r="517" spans="1:4" s="135" customFormat="1" ht="15" customHeight="1" x14ac:dyDescent="0.2">
      <c r="A517" s="53"/>
      <c r="B517" s="53"/>
      <c r="C517" s="53"/>
      <c r="D517" s="17"/>
    </row>
    <row r="518" spans="1:4" s="135" customFormat="1" ht="15" customHeight="1" x14ac:dyDescent="0.2">
      <c r="A518" s="53"/>
      <c r="B518" s="53"/>
      <c r="C518" s="53"/>
      <c r="D518" s="17"/>
    </row>
    <row r="519" spans="1:4" s="135" customFormat="1" ht="15" customHeight="1" x14ac:dyDescent="0.2">
      <c r="A519" s="53"/>
      <c r="B519" s="53"/>
      <c r="C519" s="53"/>
      <c r="D519" s="17"/>
    </row>
    <row r="520" spans="1:4" s="135" customFormat="1" ht="15" customHeight="1" x14ac:dyDescent="0.2">
      <c r="A520" s="53"/>
      <c r="B520" s="53"/>
      <c r="C520" s="53"/>
      <c r="D520" s="17"/>
    </row>
    <row r="521" spans="1:4" s="135" customFormat="1" ht="15" customHeight="1" x14ac:dyDescent="0.2">
      <c r="A521" s="53"/>
      <c r="B521" s="53"/>
      <c r="C521" s="53"/>
      <c r="D521" s="17"/>
    </row>
    <row r="522" spans="1:4" s="135" customFormat="1" ht="15" customHeight="1" x14ac:dyDescent="0.2">
      <c r="A522" s="53"/>
      <c r="B522" s="53"/>
      <c r="C522" s="53"/>
      <c r="D522" s="17"/>
    </row>
    <row r="523" spans="1:4" s="135" customFormat="1" ht="15" customHeight="1" x14ac:dyDescent="0.2">
      <c r="A523" s="53"/>
      <c r="B523" s="53"/>
      <c r="C523" s="53"/>
      <c r="D523" s="17"/>
    </row>
    <row r="524" spans="1:4" s="135" customFormat="1" ht="15" customHeight="1" x14ac:dyDescent="0.2">
      <c r="A524" s="53"/>
      <c r="B524" s="53"/>
      <c r="C524" s="53"/>
      <c r="D524" s="17"/>
    </row>
    <row r="525" spans="1:4" s="135" customFormat="1" ht="15" customHeight="1" x14ac:dyDescent="0.2">
      <c r="A525" s="53"/>
      <c r="B525" s="53"/>
      <c r="C525" s="53"/>
      <c r="D525" s="17"/>
    </row>
    <row r="526" spans="1:4" s="135" customFormat="1" ht="15" customHeight="1" x14ac:dyDescent="0.2">
      <c r="A526" s="53"/>
      <c r="B526" s="53"/>
      <c r="C526" s="53"/>
      <c r="D526" s="17"/>
    </row>
    <row r="527" spans="1:4" s="135" customFormat="1" ht="15" customHeight="1" x14ac:dyDescent="0.2">
      <c r="A527" s="53"/>
      <c r="B527" s="53"/>
      <c r="C527" s="53"/>
      <c r="D527" s="17"/>
    </row>
    <row r="528" spans="1:4" s="135" customFormat="1" ht="15" customHeight="1" x14ac:dyDescent="0.2">
      <c r="A528" s="53"/>
      <c r="B528" s="53"/>
      <c r="C528" s="53"/>
      <c r="D528" s="17"/>
    </row>
    <row r="529" spans="1:4" s="135" customFormat="1" ht="15" customHeight="1" x14ac:dyDescent="0.2">
      <c r="A529" s="53"/>
      <c r="B529" s="53"/>
      <c r="C529" s="53"/>
      <c r="D529" s="17"/>
    </row>
    <row r="530" spans="1:4" s="135" customFormat="1" ht="15" customHeight="1" x14ac:dyDescent="0.2">
      <c r="A530" s="53"/>
      <c r="B530" s="53"/>
      <c r="C530" s="53"/>
      <c r="D530" s="17"/>
    </row>
    <row r="531" spans="1:4" s="135" customFormat="1" ht="15" customHeight="1" x14ac:dyDescent="0.2">
      <c r="A531" s="53"/>
      <c r="B531" s="53"/>
      <c r="C531" s="53"/>
      <c r="D531" s="17"/>
    </row>
    <row r="532" spans="1:4" s="135" customFormat="1" ht="15" customHeight="1" x14ac:dyDescent="0.2">
      <c r="A532" s="53"/>
      <c r="B532" s="53"/>
      <c r="C532" s="53"/>
      <c r="D532" s="17"/>
    </row>
    <row r="533" spans="1:4" s="135" customFormat="1" ht="15" customHeight="1" x14ac:dyDescent="0.2">
      <c r="A533" s="53"/>
      <c r="B533" s="53"/>
      <c r="C533" s="53"/>
      <c r="D533" s="17"/>
    </row>
    <row r="534" spans="1:4" s="135" customFormat="1" ht="15" customHeight="1" x14ac:dyDescent="0.2">
      <c r="A534" s="53"/>
      <c r="B534" s="53"/>
      <c r="C534" s="53"/>
      <c r="D534" s="17"/>
    </row>
    <row r="535" spans="1:4" s="135" customFormat="1" ht="15" customHeight="1" x14ac:dyDescent="0.2">
      <c r="A535" s="53"/>
      <c r="B535" s="53"/>
      <c r="C535" s="53"/>
      <c r="D535" s="17"/>
    </row>
    <row r="536" spans="1:4" s="135" customFormat="1" ht="15" customHeight="1" x14ac:dyDescent="0.2">
      <c r="A536" s="53"/>
      <c r="B536" s="53"/>
      <c r="C536" s="53"/>
      <c r="D536" s="17"/>
    </row>
    <row r="537" spans="1:4" s="135" customFormat="1" ht="15" customHeight="1" x14ac:dyDescent="0.2">
      <c r="A537" s="53"/>
      <c r="B537" s="53"/>
      <c r="C537" s="53"/>
      <c r="D537" s="17"/>
    </row>
    <row r="538" spans="1:4" s="135" customFormat="1" ht="15" customHeight="1" x14ac:dyDescent="0.2">
      <c r="A538" s="53"/>
      <c r="B538" s="53"/>
      <c r="C538" s="53"/>
      <c r="D538" s="17"/>
    </row>
    <row r="539" spans="1:4" s="135" customFormat="1" ht="15" customHeight="1" x14ac:dyDescent="0.2">
      <c r="A539" s="53"/>
      <c r="B539" s="53"/>
      <c r="C539" s="53"/>
      <c r="D539" s="17"/>
    </row>
    <row r="540" spans="1:4" s="135" customFormat="1" ht="15" customHeight="1" x14ac:dyDescent="0.2">
      <c r="A540" s="53"/>
      <c r="B540" s="53"/>
      <c r="C540" s="53"/>
      <c r="D540" s="17"/>
    </row>
    <row r="541" spans="1:4" s="135" customFormat="1" ht="15" customHeight="1" x14ac:dyDescent="0.2">
      <c r="A541" s="53"/>
      <c r="B541" s="53"/>
      <c r="C541" s="53"/>
      <c r="D541" s="17"/>
    </row>
    <row r="542" spans="1:4" s="135" customFormat="1" ht="15" customHeight="1" x14ac:dyDescent="0.2">
      <c r="A542" s="53"/>
      <c r="B542" s="53"/>
      <c r="C542" s="53"/>
      <c r="D542" s="17"/>
    </row>
    <row r="543" spans="1:4" s="135" customFormat="1" ht="15" customHeight="1" x14ac:dyDescent="0.2">
      <c r="A543" s="53"/>
      <c r="B543" s="53"/>
      <c r="C543" s="53"/>
      <c r="D543" s="17"/>
    </row>
    <row r="544" spans="1:4" s="135" customFormat="1" ht="15" customHeight="1" x14ac:dyDescent="0.2">
      <c r="A544" s="53"/>
      <c r="B544" s="53"/>
      <c r="C544" s="53"/>
      <c r="D544" s="17"/>
    </row>
    <row r="545" spans="1:4" s="135" customFormat="1" ht="15" customHeight="1" x14ac:dyDescent="0.2">
      <c r="A545" s="53"/>
      <c r="B545" s="53"/>
      <c r="C545" s="53"/>
      <c r="D545" s="17"/>
    </row>
    <row r="546" spans="1:4" s="135" customFormat="1" ht="15" customHeight="1" x14ac:dyDescent="0.2">
      <c r="A546" s="53"/>
      <c r="B546" s="53"/>
      <c r="C546" s="53"/>
      <c r="D546" s="17"/>
    </row>
    <row r="547" spans="1:4" s="135" customFormat="1" ht="15" customHeight="1" x14ac:dyDescent="0.2">
      <c r="A547" s="53"/>
      <c r="B547" s="53"/>
      <c r="C547" s="53"/>
      <c r="D547" s="17"/>
    </row>
    <row r="548" spans="1:4" s="135" customFormat="1" ht="15" customHeight="1" x14ac:dyDescent="0.2">
      <c r="A548" s="53"/>
      <c r="B548" s="53"/>
      <c r="C548" s="53"/>
      <c r="D548" s="17"/>
    </row>
    <row r="549" spans="1:4" s="135" customFormat="1" ht="15" customHeight="1" x14ac:dyDescent="0.2">
      <c r="A549" s="53"/>
      <c r="B549" s="53"/>
      <c r="C549" s="53"/>
      <c r="D549" s="17"/>
    </row>
    <row r="550" spans="1:4" s="135" customFormat="1" ht="15" customHeight="1" x14ac:dyDescent="0.2">
      <c r="A550" s="53"/>
      <c r="B550" s="53"/>
      <c r="C550" s="53"/>
      <c r="D550" s="17"/>
    </row>
    <row r="551" spans="1:4" s="135" customFormat="1" ht="15" customHeight="1" x14ac:dyDescent="0.2">
      <c r="A551" s="53"/>
      <c r="B551" s="53"/>
      <c r="C551" s="53"/>
      <c r="D551" s="17"/>
    </row>
    <row r="552" spans="1:4" s="135" customFormat="1" ht="15" customHeight="1" x14ac:dyDescent="0.2">
      <c r="A552" s="53"/>
      <c r="B552" s="53"/>
      <c r="C552" s="53"/>
      <c r="D552" s="17"/>
    </row>
    <row r="553" spans="1:4" s="135" customFormat="1" ht="15" customHeight="1" x14ac:dyDescent="0.2">
      <c r="A553" s="53"/>
      <c r="B553" s="53"/>
      <c r="C553" s="53"/>
      <c r="D553" s="17"/>
    </row>
    <row r="554" spans="1:4" s="135" customFormat="1" ht="15" customHeight="1" x14ac:dyDescent="0.2">
      <c r="A554" s="53"/>
      <c r="B554" s="53"/>
      <c r="C554" s="53"/>
      <c r="D554" s="17"/>
    </row>
    <row r="555" spans="1:4" s="135" customFormat="1" ht="15" customHeight="1" x14ac:dyDescent="0.2">
      <c r="A555" s="53"/>
      <c r="B555" s="53"/>
      <c r="C555" s="53"/>
      <c r="D555" s="17"/>
    </row>
    <row r="556" spans="1:4" s="135" customFormat="1" ht="15" customHeight="1" x14ac:dyDescent="0.2">
      <c r="A556" s="53"/>
      <c r="B556" s="53"/>
      <c r="C556" s="53"/>
      <c r="D556" s="17"/>
    </row>
    <row r="557" spans="1:4" s="135" customFormat="1" ht="15" customHeight="1" x14ac:dyDescent="0.2">
      <c r="A557" s="53"/>
      <c r="B557" s="53"/>
      <c r="C557" s="53"/>
      <c r="D557" s="17"/>
    </row>
    <row r="558" spans="1:4" s="135" customFormat="1" ht="15" customHeight="1" x14ac:dyDescent="0.2">
      <c r="A558" s="53"/>
      <c r="B558" s="53"/>
      <c r="C558" s="53"/>
      <c r="D558" s="17"/>
    </row>
    <row r="559" spans="1:4" s="135" customFormat="1" ht="15" customHeight="1" x14ac:dyDescent="0.2">
      <c r="A559" s="53"/>
      <c r="B559" s="53"/>
      <c r="C559" s="53"/>
      <c r="D559" s="17"/>
    </row>
    <row r="560" spans="1:4" s="135" customFormat="1" ht="15" customHeight="1" x14ac:dyDescent="0.2">
      <c r="A560" s="53"/>
      <c r="B560" s="53"/>
      <c r="C560" s="53"/>
      <c r="D560" s="17"/>
    </row>
    <row r="561" spans="1:4" s="135" customFormat="1" ht="15" customHeight="1" x14ac:dyDescent="0.2">
      <c r="A561" s="53"/>
      <c r="B561" s="53"/>
      <c r="C561" s="53"/>
      <c r="D561" s="17"/>
    </row>
    <row r="562" spans="1:4" s="135" customFormat="1" ht="15" customHeight="1" x14ac:dyDescent="0.2">
      <c r="A562" s="53"/>
      <c r="B562" s="53"/>
      <c r="C562" s="53"/>
      <c r="D562" s="17"/>
    </row>
    <row r="563" spans="1:4" s="135" customFormat="1" ht="15" customHeight="1" x14ac:dyDescent="0.2">
      <c r="A563" s="53"/>
      <c r="B563" s="53"/>
      <c r="C563" s="53"/>
      <c r="D563" s="17"/>
    </row>
    <row r="564" spans="1:4" s="135" customFormat="1" ht="15" customHeight="1" x14ac:dyDescent="0.2">
      <c r="A564" s="53"/>
      <c r="B564" s="53"/>
      <c r="C564" s="53"/>
      <c r="D564" s="17"/>
    </row>
    <row r="565" spans="1:4" s="135" customFormat="1" ht="15" customHeight="1" x14ac:dyDescent="0.2">
      <c r="A565" s="53"/>
      <c r="B565" s="53"/>
      <c r="C565" s="53"/>
      <c r="D565" s="17"/>
    </row>
    <row r="566" spans="1:4" s="135" customFormat="1" ht="15" customHeight="1" x14ac:dyDescent="0.2">
      <c r="A566" s="53"/>
      <c r="B566" s="53"/>
      <c r="C566" s="53"/>
      <c r="D566" s="17"/>
    </row>
    <row r="567" spans="1:4" s="135" customFormat="1" ht="15" customHeight="1" x14ac:dyDescent="0.2">
      <c r="A567" s="53"/>
      <c r="B567" s="53"/>
      <c r="C567" s="53"/>
      <c r="D567" s="17"/>
    </row>
    <row r="568" spans="1:4" s="135" customFormat="1" ht="15" customHeight="1" x14ac:dyDescent="0.2">
      <c r="A568" s="53"/>
      <c r="B568" s="53"/>
      <c r="C568" s="53"/>
      <c r="D568" s="17"/>
    </row>
    <row r="569" spans="1:4" s="135" customFormat="1" ht="15" customHeight="1" x14ac:dyDescent="0.2">
      <c r="A569" s="53"/>
      <c r="B569" s="53"/>
      <c r="C569" s="53"/>
      <c r="D569" s="17"/>
    </row>
    <row r="570" spans="1:4" s="135" customFormat="1" ht="15" customHeight="1" x14ac:dyDescent="0.2">
      <c r="A570" s="53"/>
      <c r="B570" s="53"/>
      <c r="C570" s="53"/>
      <c r="D570" s="17"/>
    </row>
    <row r="571" spans="1:4" s="135" customFormat="1" ht="15" customHeight="1" x14ac:dyDescent="0.2">
      <c r="A571" s="53"/>
      <c r="B571" s="53"/>
      <c r="C571" s="53"/>
      <c r="D571" s="17"/>
    </row>
    <row r="572" spans="1:4" s="135" customFormat="1" ht="15" customHeight="1" x14ac:dyDescent="0.2">
      <c r="A572" s="53"/>
      <c r="B572" s="53"/>
      <c r="C572" s="53"/>
      <c r="D572" s="17"/>
    </row>
    <row r="573" spans="1:4" s="135" customFormat="1" ht="15" customHeight="1" x14ac:dyDescent="0.2">
      <c r="A573" s="53"/>
      <c r="B573" s="53"/>
      <c r="C573" s="53"/>
      <c r="D573" s="17"/>
    </row>
    <row r="574" spans="1:4" s="135" customFormat="1" ht="15" customHeight="1" x14ac:dyDescent="0.2">
      <c r="A574" s="53"/>
      <c r="B574" s="53"/>
      <c r="C574" s="53"/>
      <c r="D574" s="17"/>
    </row>
    <row r="575" spans="1:4" s="135" customFormat="1" ht="15" customHeight="1" x14ac:dyDescent="0.2">
      <c r="A575" s="53"/>
      <c r="B575" s="53"/>
      <c r="C575" s="53"/>
      <c r="D575" s="17"/>
    </row>
    <row r="576" spans="1:4" s="135" customFormat="1" ht="15" customHeight="1" x14ac:dyDescent="0.2">
      <c r="A576" s="53"/>
      <c r="B576" s="53"/>
      <c r="C576" s="53"/>
      <c r="D576" s="17"/>
    </row>
    <row r="577" spans="1:4" s="135" customFormat="1" ht="15" customHeight="1" x14ac:dyDescent="0.2">
      <c r="A577" s="53"/>
      <c r="B577" s="53"/>
      <c r="C577" s="53"/>
      <c r="D577" s="17"/>
    </row>
    <row r="578" spans="1:4" s="135" customFormat="1" ht="15" customHeight="1" x14ac:dyDescent="0.2">
      <c r="A578" s="53"/>
      <c r="B578" s="53"/>
      <c r="C578" s="53"/>
      <c r="D578" s="17"/>
    </row>
    <row r="579" spans="1:4" s="135" customFormat="1" ht="15" customHeight="1" x14ac:dyDescent="0.2">
      <c r="A579" s="53"/>
      <c r="B579" s="53"/>
      <c r="C579" s="53"/>
      <c r="D579" s="17"/>
    </row>
    <row r="580" spans="1:4" s="135" customFormat="1" ht="15" customHeight="1" x14ac:dyDescent="0.2">
      <c r="A580" s="53"/>
      <c r="B580" s="53"/>
      <c r="C580" s="53"/>
      <c r="D580" s="17"/>
    </row>
    <row r="581" spans="1:4" s="135" customFormat="1" ht="15" customHeight="1" x14ac:dyDescent="0.2">
      <c r="A581" s="53"/>
      <c r="B581" s="53"/>
      <c r="C581" s="53"/>
      <c r="D581" s="17"/>
    </row>
    <row r="582" spans="1:4" s="135" customFormat="1" ht="15" customHeight="1" x14ac:dyDescent="0.2">
      <c r="A582" s="53"/>
      <c r="B582" s="53"/>
      <c r="C582" s="53"/>
      <c r="D582" s="17"/>
    </row>
    <row r="583" spans="1:4" s="135" customFormat="1" ht="15" customHeight="1" x14ac:dyDescent="0.2">
      <c r="A583" s="53"/>
      <c r="B583" s="53"/>
      <c r="C583" s="53"/>
      <c r="D583" s="17"/>
    </row>
    <row r="584" spans="1:4" s="135" customFormat="1" ht="15" customHeight="1" x14ac:dyDescent="0.2">
      <c r="A584" s="53"/>
      <c r="B584" s="53"/>
      <c r="C584" s="53"/>
      <c r="D584" s="17"/>
    </row>
    <row r="585" spans="1:4" s="135" customFormat="1" ht="15" customHeight="1" x14ac:dyDescent="0.2">
      <c r="A585" s="53"/>
      <c r="B585" s="53"/>
      <c r="C585" s="53"/>
      <c r="D585" s="17"/>
    </row>
    <row r="586" spans="1:4" s="135" customFormat="1" ht="15" customHeight="1" x14ac:dyDescent="0.2">
      <c r="A586" s="53"/>
      <c r="B586" s="53"/>
      <c r="C586" s="53"/>
      <c r="D586" s="17"/>
    </row>
    <row r="587" spans="1:4" s="135" customFormat="1" ht="15" customHeight="1" x14ac:dyDescent="0.2">
      <c r="A587" s="53"/>
      <c r="B587" s="53"/>
      <c r="C587" s="53"/>
      <c r="D587" s="17"/>
    </row>
    <row r="588" spans="1:4" s="135" customFormat="1" ht="15" customHeight="1" x14ac:dyDescent="0.2">
      <c r="A588" s="53"/>
      <c r="B588" s="53"/>
      <c r="C588" s="53"/>
      <c r="D588" s="17"/>
    </row>
    <row r="589" spans="1:4" s="135" customFormat="1" ht="15" customHeight="1" x14ac:dyDescent="0.2">
      <c r="A589" s="53"/>
      <c r="B589" s="53"/>
      <c r="C589" s="53"/>
      <c r="D589" s="17"/>
    </row>
    <row r="590" spans="1:4" s="135" customFormat="1" ht="15" customHeight="1" x14ac:dyDescent="0.2">
      <c r="A590" s="53"/>
      <c r="B590" s="53"/>
      <c r="C590" s="53"/>
      <c r="D590" s="17"/>
    </row>
    <row r="591" spans="1:4" s="135" customFormat="1" ht="15" customHeight="1" x14ac:dyDescent="0.2">
      <c r="A591" s="53"/>
      <c r="B591" s="53"/>
      <c r="C591" s="53"/>
      <c r="D591" s="17"/>
    </row>
    <row r="592" spans="1:4" s="135" customFormat="1" ht="15" customHeight="1" x14ac:dyDescent="0.2">
      <c r="A592" s="53"/>
      <c r="B592" s="53"/>
      <c r="C592" s="53"/>
      <c r="D592" s="17"/>
    </row>
    <row r="593" spans="1:4" s="135" customFormat="1" ht="15" customHeight="1" x14ac:dyDescent="0.2">
      <c r="A593" s="53"/>
      <c r="B593" s="53"/>
      <c r="C593" s="53"/>
      <c r="D593" s="17"/>
    </row>
    <row r="594" spans="1:4" s="135" customFormat="1" ht="15" customHeight="1" x14ac:dyDescent="0.2">
      <c r="A594" s="53"/>
      <c r="B594" s="53"/>
      <c r="C594" s="53"/>
      <c r="D594" s="17"/>
    </row>
    <row r="595" spans="1:4" s="135" customFormat="1" ht="15" customHeight="1" x14ac:dyDescent="0.2">
      <c r="A595" s="53"/>
      <c r="B595" s="53"/>
      <c r="C595" s="53"/>
      <c r="D595" s="17"/>
    </row>
    <row r="596" spans="1:4" s="135" customFormat="1" ht="15" customHeight="1" x14ac:dyDescent="0.2">
      <c r="A596" s="53"/>
      <c r="B596" s="53"/>
      <c r="C596" s="53"/>
      <c r="D596" s="17"/>
    </row>
    <row r="597" spans="1:4" s="135" customFormat="1" ht="15" customHeight="1" x14ac:dyDescent="0.2">
      <c r="A597" s="53"/>
      <c r="B597" s="53"/>
      <c r="C597" s="53"/>
      <c r="D597" s="17"/>
    </row>
    <row r="598" spans="1:4" s="135" customFormat="1" ht="15" customHeight="1" x14ac:dyDescent="0.2">
      <c r="A598" s="53"/>
      <c r="B598" s="53"/>
      <c r="C598" s="53"/>
      <c r="D598" s="17"/>
    </row>
    <row r="599" spans="1:4" s="135" customFormat="1" ht="15" customHeight="1" x14ac:dyDescent="0.2">
      <c r="A599" s="53"/>
      <c r="B599" s="53"/>
      <c r="C599" s="53"/>
      <c r="D599" s="17"/>
    </row>
    <row r="600" spans="1:4" s="135" customFormat="1" ht="15" customHeight="1" x14ac:dyDescent="0.2">
      <c r="A600" s="53"/>
      <c r="B600" s="53"/>
      <c r="C600" s="53"/>
      <c r="D600" s="17"/>
    </row>
    <row r="601" spans="1:4" s="135" customFormat="1" ht="15" customHeight="1" x14ac:dyDescent="0.2">
      <c r="A601" s="53"/>
      <c r="B601" s="53"/>
      <c r="C601" s="53"/>
      <c r="D601" s="17"/>
    </row>
    <row r="602" spans="1:4" s="135" customFormat="1" ht="15" customHeight="1" x14ac:dyDescent="0.2">
      <c r="A602" s="53"/>
      <c r="B602" s="53"/>
      <c r="C602" s="53"/>
      <c r="D602" s="17"/>
    </row>
    <row r="603" spans="1:4" s="135" customFormat="1" ht="15" customHeight="1" x14ac:dyDescent="0.2">
      <c r="A603" s="53"/>
      <c r="B603" s="53"/>
      <c r="C603" s="53"/>
      <c r="D603" s="17"/>
    </row>
    <row r="604" spans="1:4" s="135" customFormat="1" ht="15" customHeight="1" x14ac:dyDescent="0.2">
      <c r="A604" s="53"/>
      <c r="B604" s="53"/>
      <c r="C604" s="53"/>
      <c r="D604" s="17"/>
    </row>
    <row r="605" spans="1:4" s="135" customFormat="1" ht="15" customHeight="1" x14ac:dyDescent="0.2">
      <c r="A605" s="53"/>
      <c r="B605" s="53"/>
      <c r="C605" s="53"/>
      <c r="D605" s="17"/>
    </row>
    <row r="606" spans="1:4" s="135" customFormat="1" ht="15" customHeight="1" x14ac:dyDescent="0.2">
      <c r="A606" s="53"/>
      <c r="B606" s="53"/>
      <c r="C606" s="53"/>
      <c r="D606" s="17"/>
    </row>
    <row r="607" spans="1:4" s="135" customFormat="1" ht="15" customHeight="1" x14ac:dyDescent="0.2">
      <c r="A607" s="53"/>
      <c r="B607" s="53"/>
      <c r="C607" s="53"/>
      <c r="D607" s="17"/>
    </row>
    <row r="608" spans="1:4" s="135" customFormat="1" ht="15" customHeight="1" x14ac:dyDescent="0.2">
      <c r="A608" s="53"/>
      <c r="B608" s="53"/>
      <c r="C608" s="53"/>
      <c r="D608" s="17"/>
    </row>
    <row r="609" spans="1:4" s="135" customFormat="1" ht="15" customHeight="1" x14ac:dyDescent="0.2">
      <c r="A609" s="53"/>
      <c r="B609" s="53"/>
      <c r="C609" s="53"/>
      <c r="D609" s="17"/>
    </row>
    <row r="610" spans="1:4" s="135" customFormat="1" ht="15" customHeight="1" x14ac:dyDescent="0.2">
      <c r="A610" s="53"/>
      <c r="B610" s="53"/>
      <c r="C610" s="53"/>
      <c r="D610" s="17"/>
    </row>
    <row r="611" spans="1:4" s="135" customFormat="1" ht="15" customHeight="1" x14ac:dyDescent="0.2">
      <c r="A611" s="53"/>
      <c r="B611" s="53"/>
      <c r="C611" s="53"/>
      <c r="D611" s="17"/>
    </row>
    <row r="612" spans="1:4" s="135" customFormat="1" ht="15" customHeight="1" x14ac:dyDescent="0.2">
      <c r="A612" s="53"/>
      <c r="B612" s="53"/>
      <c r="C612" s="53"/>
      <c r="D612" s="17"/>
    </row>
    <row r="613" spans="1:4" s="135" customFormat="1" ht="15" customHeight="1" x14ac:dyDescent="0.2">
      <c r="A613" s="53"/>
      <c r="B613" s="53"/>
      <c r="C613" s="53"/>
      <c r="D613" s="17"/>
    </row>
    <row r="614" spans="1:4" s="135" customFormat="1" ht="15" customHeight="1" x14ac:dyDescent="0.2">
      <c r="A614" s="53"/>
      <c r="B614" s="53"/>
      <c r="C614" s="53"/>
      <c r="D614" s="17"/>
    </row>
    <row r="615" spans="1:4" s="135" customFormat="1" ht="15" customHeight="1" x14ac:dyDescent="0.2">
      <c r="A615" s="53"/>
      <c r="B615" s="53"/>
      <c r="C615" s="53"/>
      <c r="D615" s="17"/>
    </row>
    <row r="616" spans="1:4" s="135" customFormat="1" ht="15" customHeight="1" x14ac:dyDescent="0.2">
      <c r="A616" s="53"/>
      <c r="B616" s="53"/>
      <c r="C616" s="53"/>
      <c r="D616" s="17"/>
    </row>
    <row r="617" spans="1:4" s="135" customFormat="1" ht="15" customHeight="1" x14ac:dyDescent="0.2">
      <c r="A617" s="53"/>
      <c r="B617" s="53"/>
      <c r="C617" s="53"/>
      <c r="D617" s="17"/>
    </row>
    <row r="618" spans="1:4" s="135" customFormat="1" ht="15" customHeight="1" x14ac:dyDescent="0.2">
      <c r="A618" s="53"/>
      <c r="B618" s="53"/>
      <c r="C618" s="53"/>
      <c r="D618" s="17"/>
    </row>
    <row r="619" spans="1:4" s="135" customFormat="1" ht="15" customHeight="1" x14ac:dyDescent="0.2">
      <c r="A619" s="53"/>
      <c r="B619" s="53"/>
      <c r="C619" s="53"/>
      <c r="D619" s="17"/>
    </row>
    <row r="620" spans="1:4" s="135" customFormat="1" ht="15" customHeight="1" x14ac:dyDescent="0.2">
      <c r="A620" s="53"/>
      <c r="B620" s="53"/>
      <c r="C620" s="53"/>
      <c r="D620" s="17"/>
    </row>
    <row r="621" spans="1:4" s="135" customFormat="1" ht="15" customHeight="1" x14ac:dyDescent="0.2">
      <c r="A621" s="53"/>
      <c r="B621" s="53"/>
      <c r="C621" s="53"/>
      <c r="D621" s="17"/>
    </row>
    <row r="622" spans="1:4" s="135" customFormat="1" ht="15" customHeight="1" x14ac:dyDescent="0.2">
      <c r="A622" s="53"/>
      <c r="B622" s="53"/>
      <c r="C622" s="53"/>
      <c r="D622" s="17"/>
    </row>
    <row r="623" spans="1:4" s="135" customFormat="1" ht="15" customHeight="1" x14ac:dyDescent="0.2">
      <c r="A623" s="53"/>
      <c r="B623" s="53"/>
      <c r="C623" s="53"/>
      <c r="D623" s="17"/>
    </row>
    <row r="624" spans="1:4" s="135" customFormat="1" ht="15" customHeight="1" x14ac:dyDescent="0.2">
      <c r="A624" s="53"/>
      <c r="B624" s="53"/>
      <c r="C624" s="53"/>
      <c r="D624" s="17"/>
    </row>
    <row r="625" spans="1:4" s="135" customFormat="1" ht="15" customHeight="1" x14ac:dyDescent="0.2">
      <c r="A625" s="53"/>
      <c r="B625" s="53"/>
      <c r="C625" s="53"/>
      <c r="D625" s="17"/>
    </row>
    <row r="626" spans="1:4" s="135" customFormat="1" ht="15" customHeight="1" x14ac:dyDescent="0.2">
      <c r="A626" s="53"/>
      <c r="B626" s="53"/>
      <c r="C626" s="53"/>
      <c r="D626" s="17"/>
    </row>
    <row r="627" spans="1:4" s="135" customFormat="1" ht="15" customHeight="1" x14ac:dyDescent="0.2">
      <c r="A627" s="53"/>
      <c r="B627" s="53"/>
      <c r="C627" s="53"/>
      <c r="D627" s="17"/>
    </row>
    <row r="628" spans="1:4" s="135" customFormat="1" ht="15" customHeight="1" x14ac:dyDescent="0.2">
      <c r="A628" s="53"/>
      <c r="B628" s="53"/>
      <c r="C628" s="53"/>
      <c r="D628" s="17"/>
    </row>
    <row r="629" spans="1:4" s="135" customFormat="1" ht="15" customHeight="1" x14ac:dyDescent="0.2">
      <c r="A629" s="53"/>
      <c r="B629" s="53"/>
      <c r="C629" s="53"/>
      <c r="D629" s="17"/>
    </row>
    <row r="630" spans="1:4" s="135" customFormat="1" ht="15" customHeight="1" x14ac:dyDescent="0.2">
      <c r="A630" s="53"/>
      <c r="B630" s="53"/>
      <c r="C630" s="53"/>
      <c r="D630" s="17"/>
    </row>
    <row r="631" spans="1:4" s="135" customFormat="1" ht="15" customHeight="1" x14ac:dyDescent="0.2">
      <c r="A631" s="53"/>
      <c r="B631" s="53"/>
      <c r="C631" s="53"/>
      <c r="D631" s="17"/>
    </row>
    <row r="632" spans="1:4" s="135" customFormat="1" ht="15" customHeight="1" x14ac:dyDescent="0.2">
      <c r="A632" s="53"/>
      <c r="B632" s="53"/>
      <c r="C632" s="53"/>
      <c r="D632" s="17"/>
    </row>
    <row r="633" spans="1:4" s="135" customFormat="1" ht="15" customHeight="1" x14ac:dyDescent="0.2">
      <c r="A633" s="53"/>
      <c r="B633" s="53"/>
      <c r="C633" s="53"/>
      <c r="D633" s="17"/>
    </row>
    <row r="634" spans="1:4" s="135" customFormat="1" ht="15" customHeight="1" x14ac:dyDescent="0.2">
      <c r="A634" s="53"/>
      <c r="B634" s="53"/>
      <c r="C634" s="53"/>
      <c r="D634" s="17"/>
    </row>
    <row r="635" spans="1:4" s="135" customFormat="1" ht="15" customHeight="1" x14ac:dyDescent="0.2">
      <c r="A635" s="53"/>
      <c r="B635" s="53"/>
      <c r="C635" s="53"/>
      <c r="D635" s="17"/>
    </row>
    <row r="636" spans="1:4" s="135" customFormat="1" ht="15" customHeight="1" x14ac:dyDescent="0.2">
      <c r="A636" s="53"/>
      <c r="B636" s="53"/>
      <c r="C636" s="53"/>
      <c r="D636" s="17"/>
    </row>
    <row r="637" spans="1:4" s="135" customFormat="1" ht="15" customHeight="1" x14ac:dyDescent="0.2">
      <c r="A637" s="53"/>
      <c r="B637" s="53"/>
      <c r="C637" s="53"/>
      <c r="D637" s="17"/>
    </row>
    <row r="638" spans="1:4" s="135" customFormat="1" ht="15" customHeight="1" x14ac:dyDescent="0.2">
      <c r="A638" s="53"/>
      <c r="B638" s="53"/>
      <c r="C638" s="53"/>
      <c r="D638" s="17"/>
    </row>
    <row r="639" spans="1:4" s="135" customFormat="1" ht="15" customHeight="1" x14ac:dyDescent="0.2">
      <c r="A639" s="53"/>
      <c r="B639" s="53"/>
      <c r="C639" s="53"/>
      <c r="D639" s="17"/>
    </row>
    <row r="640" spans="1:4" s="135" customFormat="1" ht="15" customHeight="1" x14ac:dyDescent="0.2">
      <c r="A640" s="53"/>
      <c r="B640" s="53"/>
      <c r="C640" s="53"/>
      <c r="D640" s="17"/>
    </row>
    <row r="641" spans="1:4" s="135" customFormat="1" ht="15" customHeight="1" x14ac:dyDescent="0.2">
      <c r="A641" s="53"/>
      <c r="B641" s="53"/>
      <c r="C641" s="53"/>
      <c r="D641" s="17"/>
    </row>
    <row r="642" spans="1:4" s="135" customFormat="1" ht="15" customHeight="1" x14ac:dyDescent="0.2">
      <c r="A642" s="53"/>
      <c r="B642" s="53"/>
      <c r="C642" s="53"/>
      <c r="D642" s="17"/>
    </row>
    <row r="643" spans="1:4" s="135" customFormat="1" ht="15" customHeight="1" x14ac:dyDescent="0.2">
      <c r="A643" s="53"/>
      <c r="B643" s="53"/>
      <c r="C643" s="53"/>
      <c r="D643" s="17"/>
    </row>
    <row r="644" spans="1:4" s="135" customFormat="1" ht="15" customHeight="1" x14ac:dyDescent="0.2">
      <c r="A644" s="53"/>
      <c r="B644" s="53"/>
      <c r="C644" s="53"/>
      <c r="D644" s="17"/>
    </row>
    <row r="645" spans="1:4" s="135" customFormat="1" ht="15" customHeight="1" x14ac:dyDescent="0.2">
      <c r="A645" s="53"/>
      <c r="B645" s="53"/>
      <c r="C645" s="53"/>
      <c r="D645" s="17"/>
    </row>
  </sheetData>
  <sheetProtection algorithmName="SHA-512" hashValue="ernLfO4cMkkL8u1aryLjpHZ30/+SQwoHMFidXsQyvSMlNcGNyvziZpGUXc5MbKfXINlijtSOh73pI2KFbfxAyg==" saltValue="UYl2R/gnkO2ntox+8sncYA==" spinCount="100000" sheet="1" objects="1" scenarios="1" formatCells="0" formatColumns="0" formatRows="0"/>
  <sortState xmlns:xlrd2="http://schemas.microsoft.com/office/spreadsheetml/2017/richdata2" columnSort="1" ref="E3:BG646">
    <sortCondition ref="E3:BG3"/>
  </sortState>
  <customSheetViews>
    <customSheetView guid="{B8E02330-2419-4DE6-AD01-7ACC7A5D18DD}" scale="90" topLeftCell="A96">
      <selection activeCell="C101" sqref="C101:C102"/>
      <rowBreaks count="16" manualBreakCount="16">
        <brk id="9" max="4" man="1"/>
        <brk id="26" max="4" man="1"/>
        <brk id="45" max="4" man="1"/>
        <brk id="82" max="4" man="1"/>
        <brk id="100" max="4" man="1"/>
        <brk id="124" max="4" man="1"/>
        <brk id="148" max="4" man="1"/>
        <brk id="166" max="4" man="1"/>
        <brk id="196" max="4" man="1"/>
        <brk id="220" max="4" man="1"/>
        <brk id="236" max="4" man="1"/>
        <brk id="267" max="4" man="1"/>
        <brk id="287" max="4" man="1"/>
        <brk id="306" max="4" man="1"/>
        <brk id="333" max="4" man="1"/>
        <brk id="363" max="4" man="1"/>
      </rowBreaks>
      <pageMargins left="0.7" right="0.7" top="0.75" bottom="0.75" header="0.3" footer="0.3"/>
      <printOptions headings="1"/>
      <pageSetup scale="85" orientation="landscape"/>
      <headerFooter>
        <oddFooter>&amp;LWESPUS betaV1, by Dr. Paul Adamus</oddFooter>
      </headerFooter>
    </customSheetView>
  </customSheetViews>
  <mergeCells count="93">
    <mergeCell ref="E136:E139"/>
    <mergeCell ref="E140:E144"/>
    <mergeCell ref="E145:E148"/>
    <mergeCell ref="E149:E152"/>
    <mergeCell ref="E108:E112"/>
    <mergeCell ref="E113:E117"/>
    <mergeCell ref="E119:E123"/>
    <mergeCell ref="E126:E130"/>
    <mergeCell ref="E131:E134"/>
    <mergeCell ref="E83:E85"/>
    <mergeCell ref="E86:E90"/>
    <mergeCell ref="E92:E98"/>
    <mergeCell ref="E99:E103"/>
    <mergeCell ref="E104:E107"/>
    <mergeCell ref="E54:E60"/>
    <mergeCell ref="E61:E64"/>
    <mergeCell ref="E65:E70"/>
    <mergeCell ref="E71:E76"/>
    <mergeCell ref="E77:E82"/>
    <mergeCell ref="E30:E33"/>
    <mergeCell ref="E34:E38"/>
    <mergeCell ref="E39:E42"/>
    <mergeCell ref="E43:E48"/>
    <mergeCell ref="E49:E53"/>
    <mergeCell ref="E4:E7"/>
    <mergeCell ref="E8:E9"/>
    <mergeCell ref="E10:E17"/>
    <mergeCell ref="E18:E23"/>
    <mergeCell ref="E24:E29"/>
    <mergeCell ref="B149:B152"/>
    <mergeCell ref="A124:C124"/>
    <mergeCell ref="B136:B139"/>
    <mergeCell ref="B140:B144"/>
    <mergeCell ref="A145:A148"/>
    <mergeCell ref="B145:B148"/>
    <mergeCell ref="A140:A144"/>
    <mergeCell ref="B131:B134"/>
    <mergeCell ref="B126:B130"/>
    <mergeCell ref="A4:A7"/>
    <mergeCell ref="B4:B7"/>
    <mergeCell ref="B8:B9"/>
    <mergeCell ref="A43:A48"/>
    <mergeCell ref="B30:B33"/>
    <mergeCell ref="B24:B29"/>
    <mergeCell ref="A39:A42"/>
    <mergeCell ref="A30:A33"/>
    <mergeCell ref="A24:A29"/>
    <mergeCell ref="B39:B42"/>
    <mergeCell ref="A34:A38"/>
    <mergeCell ref="B34:B38"/>
    <mergeCell ref="B10:B17"/>
    <mergeCell ref="A18:A23"/>
    <mergeCell ref="A10:A17"/>
    <mergeCell ref="B18:B23"/>
    <mergeCell ref="A104:A107"/>
    <mergeCell ref="A99:A103"/>
    <mergeCell ref="A108:A112"/>
    <mergeCell ref="B43:B48"/>
    <mergeCell ref="B71:B76"/>
    <mergeCell ref="B65:B70"/>
    <mergeCell ref="B49:B53"/>
    <mergeCell ref="B108:B112"/>
    <mergeCell ref="B104:B107"/>
    <mergeCell ref="B83:B85"/>
    <mergeCell ref="B77:B82"/>
    <mergeCell ref="B61:B64"/>
    <mergeCell ref="B86:B90"/>
    <mergeCell ref="B92:B98"/>
    <mergeCell ref="B99:B103"/>
    <mergeCell ref="B54:B60"/>
    <mergeCell ref="B113:B117"/>
    <mergeCell ref="B119:B123"/>
    <mergeCell ref="A136:A139"/>
    <mergeCell ref="A131:A134"/>
    <mergeCell ref="A126:A130"/>
    <mergeCell ref="A119:A123"/>
    <mergeCell ref="A113:A117"/>
    <mergeCell ref="A92:A98"/>
    <mergeCell ref="E1:E2"/>
    <mergeCell ref="D1:D2"/>
    <mergeCell ref="A149:A152"/>
    <mergeCell ref="A1:C1"/>
    <mergeCell ref="A2:C2"/>
    <mergeCell ref="A83:A85"/>
    <mergeCell ref="A86:A90"/>
    <mergeCell ref="A54:A60"/>
    <mergeCell ref="A49:A53"/>
    <mergeCell ref="A61:A64"/>
    <mergeCell ref="A77:A82"/>
    <mergeCell ref="A65:A70"/>
    <mergeCell ref="A71:A76"/>
    <mergeCell ref="C8:C9"/>
    <mergeCell ref="A8:A9"/>
  </mergeCells>
  <phoneticPr fontId="2" type="noConversion"/>
  <conditionalFormatting sqref="E118">
    <cfRule type="cellIs" dxfId="1" priority="1" stopIfTrue="1" operator="equal">
      <formula>1</formula>
    </cfRule>
  </conditionalFormatting>
  <printOptions headings="1" gridLines="1"/>
  <pageMargins left="0.25" right="0.25" top="0.75" bottom="0.75" header="0.3" footer="0.3"/>
  <pageSetup scale="85" pageOrder="overThenDown" orientation="landscape" draft="1" r:id="rId1"/>
  <headerFooter>
    <oddFooter>&amp;LWESPUS betaV1, by Dr. Paul Adamus</oddFooter>
  </headerFooter>
  <rowBreaks count="5" manualBreakCount="5">
    <brk id="29" max="4" man="1"/>
    <brk id="48" max="4" man="1"/>
    <brk id="82" max="4" man="1"/>
    <brk id="103" max="4" man="1"/>
    <brk id="139" max="4"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G591"/>
  <sheetViews>
    <sheetView zoomScaleNormal="100" workbookViewId="0">
      <selection activeCell="J18" sqref="J18"/>
    </sheetView>
  </sheetViews>
  <sheetFormatPr defaultColWidth="9.33203125" defaultRowHeight="12.75" x14ac:dyDescent="0.2"/>
  <cols>
    <col min="1" max="1" width="5.83203125" style="147" customWidth="1"/>
    <col min="2" max="2" width="60.83203125" style="14" customWidth="1"/>
    <col min="3" max="3" width="42.83203125" style="14" customWidth="1"/>
    <col min="4" max="4" width="44.6640625" style="14" customWidth="1"/>
    <col min="5" max="5" width="43" style="14" customWidth="1"/>
    <col min="6" max="6" width="5.1640625" style="156" customWidth="1"/>
    <col min="7" max="59" width="9.33203125" style="154"/>
    <col min="60" max="16384" width="9.33203125" style="14"/>
  </cols>
  <sheetData>
    <row r="1" spans="1:59" s="159" customFormat="1" ht="30" customHeight="1" thickBot="1" x14ac:dyDescent="0.25">
      <c r="A1" s="840" t="s">
        <v>3681</v>
      </c>
      <c r="B1" s="841"/>
      <c r="C1" s="841"/>
      <c r="D1" s="841"/>
      <c r="E1" s="842"/>
      <c r="F1" s="554" t="s">
        <v>805</v>
      </c>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c r="AK1" s="607"/>
      <c r="AL1" s="607"/>
      <c r="AM1" s="607"/>
      <c r="AN1" s="607"/>
      <c r="AO1" s="607"/>
      <c r="AP1" s="607"/>
      <c r="AQ1" s="607"/>
      <c r="AR1" s="607"/>
      <c r="AS1" s="607"/>
      <c r="AT1" s="607"/>
      <c r="AU1" s="607"/>
      <c r="AV1" s="607"/>
      <c r="AW1" s="607"/>
      <c r="AX1" s="607"/>
      <c r="AY1" s="607"/>
      <c r="AZ1" s="607"/>
      <c r="BA1" s="607"/>
      <c r="BB1" s="607"/>
      <c r="BC1" s="607"/>
      <c r="BD1" s="607"/>
      <c r="BE1" s="607"/>
      <c r="BF1" s="607"/>
      <c r="BG1" s="607"/>
    </row>
    <row r="2" spans="1:59" s="271" customFormat="1" ht="24" customHeight="1" thickBot="1" x14ac:dyDescent="0.35">
      <c r="A2" s="861" t="s">
        <v>453</v>
      </c>
      <c r="B2" s="864" t="s">
        <v>1025</v>
      </c>
      <c r="C2" s="865"/>
      <c r="D2" s="865"/>
      <c r="E2" s="865"/>
      <c r="F2" s="541"/>
      <c r="G2" s="608"/>
      <c r="H2" s="608"/>
      <c r="I2" s="608"/>
      <c r="J2" s="608"/>
      <c r="K2" s="608"/>
      <c r="L2" s="608"/>
      <c r="M2" s="608"/>
      <c r="N2" s="608"/>
      <c r="O2" s="608"/>
      <c r="P2" s="608"/>
      <c r="Q2" s="608"/>
      <c r="R2" s="608"/>
      <c r="S2" s="608"/>
      <c r="T2" s="608"/>
      <c r="U2" s="608"/>
      <c r="V2" s="608"/>
      <c r="W2" s="608"/>
      <c r="X2" s="608"/>
      <c r="Y2" s="608"/>
      <c r="Z2" s="608"/>
      <c r="AA2" s="608"/>
      <c r="AB2" s="608"/>
      <c r="AC2" s="608"/>
      <c r="AD2" s="608"/>
      <c r="AE2" s="608"/>
      <c r="AF2" s="608"/>
      <c r="AG2" s="608"/>
      <c r="AH2" s="608"/>
      <c r="AI2" s="608"/>
      <c r="AJ2" s="608"/>
      <c r="AK2" s="608"/>
      <c r="AL2" s="608"/>
      <c r="AM2" s="608"/>
      <c r="AN2" s="608"/>
      <c r="AO2" s="608"/>
      <c r="AP2" s="608"/>
      <c r="AQ2" s="608"/>
      <c r="AR2" s="608"/>
      <c r="AS2" s="608"/>
      <c r="AT2" s="608"/>
      <c r="AU2" s="608"/>
      <c r="AV2" s="608"/>
      <c r="AW2" s="608"/>
      <c r="AX2" s="608"/>
      <c r="AY2" s="608"/>
      <c r="AZ2" s="608"/>
      <c r="BA2" s="608"/>
      <c r="BB2" s="608"/>
      <c r="BC2" s="608"/>
      <c r="BD2" s="608"/>
      <c r="BE2" s="608"/>
      <c r="BF2" s="608"/>
      <c r="BG2" s="608"/>
    </row>
    <row r="3" spans="1:59" s="62" customFormat="1" ht="18" customHeight="1" x14ac:dyDescent="0.2">
      <c r="A3" s="862"/>
      <c r="B3" s="866" t="s">
        <v>3584</v>
      </c>
      <c r="C3" s="866"/>
      <c r="D3" s="866"/>
      <c r="E3" s="866"/>
      <c r="F3" s="542"/>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9"/>
      <c r="AQ3" s="609"/>
      <c r="AR3" s="609"/>
      <c r="AS3" s="609"/>
      <c r="AT3" s="609"/>
      <c r="AU3" s="609"/>
      <c r="AV3" s="609"/>
      <c r="AW3" s="609"/>
      <c r="AX3" s="609"/>
      <c r="AY3" s="609"/>
      <c r="AZ3" s="609"/>
      <c r="BA3" s="609"/>
      <c r="BB3" s="609"/>
      <c r="BC3" s="609"/>
      <c r="BD3" s="609"/>
      <c r="BE3" s="609"/>
      <c r="BF3" s="609"/>
      <c r="BG3" s="609"/>
    </row>
    <row r="4" spans="1:59" s="62" customFormat="1" ht="18" customHeight="1" x14ac:dyDescent="0.2">
      <c r="A4" s="862"/>
      <c r="B4" s="867" t="s">
        <v>3585</v>
      </c>
      <c r="C4" s="804"/>
      <c r="D4" s="804"/>
      <c r="E4" s="804"/>
      <c r="F4" s="542"/>
      <c r="G4" s="609"/>
      <c r="H4" s="609"/>
      <c r="I4" s="609"/>
      <c r="J4" s="609"/>
      <c r="K4" s="609"/>
      <c r="L4" s="609"/>
      <c r="M4" s="609"/>
      <c r="N4" s="609"/>
      <c r="O4" s="609"/>
      <c r="P4" s="609"/>
      <c r="Q4" s="609"/>
      <c r="R4" s="609"/>
      <c r="S4" s="609"/>
      <c r="T4" s="609"/>
      <c r="U4" s="609"/>
      <c r="V4" s="609"/>
      <c r="W4" s="609"/>
      <c r="X4" s="609"/>
      <c r="Y4" s="609"/>
      <c r="Z4" s="609"/>
      <c r="AA4" s="609"/>
      <c r="AB4" s="609"/>
      <c r="AC4" s="609"/>
      <c r="AD4" s="609"/>
      <c r="AE4" s="609"/>
      <c r="AF4" s="609"/>
      <c r="AG4" s="609"/>
      <c r="AH4" s="609"/>
      <c r="AI4" s="609"/>
      <c r="AJ4" s="609"/>
      <c r="AK4" s="609"/>
      <c r="AL4" s="609"/>
      <c r="AM4" s="609"/>
      <c r="AN4" s="609"/>
      <c r="AO4" s="609"/>
      <c r="AP4" s="609"/>
      <c r="AQ4" s="609"/>
      <c r="AR4" s="609"/>
      <c r="AS4" s="609"/>
      <c r="AT4" s="609"/>
      <c r="AU4" s="609"/>
      <c r="AV4" s="609"/>
      <c r="AW4" s="609"/>
      <c r="AX4" s="609"/>
      <c r="AY4" s="609"/>
      <c r="AZ4" s="609"/>
      <c r="BA4" s="609"/>
      <c r="BB4" s="609"/>
      <c r="BC4" s="609"/>
      <c r="BD4" s="609"/>
      <c r="BE4" s="609"/>
      <c r="BF4" s="609"/>
      <c r="BG4" s="609"/>
    </row>
    <row r="5" spans="1:59" s="62" customFormat="1" ht="18" customHeight="1" x14ac:dyDescent="0.2">
      <c r="A5" s="862"/>
      <c r="B5" s="867" t="s">
        <v>3586</v>
      </c>
      <c r="C5" s="804"/>
      <c r="D5" s="804"/>
      <c r="E5" s="804"/>
      <c r="F5" s="542"/>
      <c r="G5" s="609"/>
      <c r="H5" s="609"/>
      <c r="I5" s="609"/>
      <c r="J5" s="609"/>
      <c r="K5" s="609"/>
      <c r="L5" s="609"/>
      <c r="M5" s="609"/>
      <c r="N5" s="609"/>
      <c r="O5" s="609"/>
      <c r="P5" s="609"/>
      <c r="Q5" s="609"/>
      <c r="R5" s="609"/>
      <c r="S5" s="609"/>
      <c r="T5" s="609"/>
      <c r="U5" s="609"/>
      <c r="V5" s="609"/>
      <c r="W5" s="609"/>
      <c r="X5" s="609"/>
      <c r="Y5" s="609"/>
      <c r="Z5" s="609"/>
      <c r="AA5" s="609"/>
      <c r="AB5" s="609"/>
      <c r="AC5" s="609"/>
      <c r="AD5" s="609"/>
      <c r="AE5" s="609"/>
      <c r="AF5" s="609"/>
      <c r="AG5" s="609"/>
      <c r="AH5" s="609"/>
      <c r="AI5" s="609"/>
      <c r="AJ5" s="609"/>
      <c r="AK5" s="609"/>
      <c r="AL5" s="609"/>
      <c r="AM5" s="609"/>
      <c r="AN5" s="609"/>
      <c r="AO5" s="609"/>
      <c r="AP5" s="609"/>
      <c r="AQ5" s="609"/>
      <c r="AR5" s="609"/>
      <c r="AS5" s="609"/>
      <c r="AT5" s="609"/>
      <c r="AU5" s="609"/>
      <c r="AV5" s="609"/>
      <c r="AW5" s="609"/>
      <c r="AX5" s="609"/>
      <c r="AY5" s="609"/>
      <c r="AZ5" s="609"/>
      <c r="BA5" s="609"/>
      <c r="BB5" s="609"/>
      <c r="BC5" s="609"/>
      <c r="BD5" s="609"/>
      <c r="BE5" s="609"/>
      <c r="BF5" s="609"/>
      <c r="BG5" s="609"/>
    </row>
    <row r="6" spans="1:59" s="62" customFormat="1" ht="18" customHeight="1" x14ac:dyDescent="0.2">
      <c r="A6" s="862"/>
      <c r="B6" s="867" t="s">
        <v>3587</v>
      </c>
      <c r="C6" s="804"/>
      <c r="D6" s="804"/>
      <c r="E6" s="804"/>
      <c r="F6" s="542"/>
      <c r="G6" s="609"/>
      <c r="H6" s="609"/>
      <c r="I6" s="609"/>
      <c r="J6" s="609"/>
      <c r="K6" s="609"/>
      <c r="L6" s="609"/>
      <c r="M6" s="609"/>
      <c r="N6" s="609"/>
      <c r="O6" s="609"/>
      <c r="P6" s="609"/>
      <c r="Q6" s="609"/>
      <c r="R6" s="609"/>
      <c r="S6" s="609"/>
      <c r="T6" s="609"/>
      <c r="U6" s="609"/>
      <c r="V6" s="609"/>
      <c r="W6" s="609"/>
      <c r="X6" s="609"/>
      <c r="Y6" s="609"/>
      <c r="Z6" s="609"/>
      <c r="AA6" s="609"/>
      <c r="AB6" s="609"/>
      <c r="AC6" s="609"/>
      <c r="AD6" s="609"/>
      <c r="AE6" s="609"/>
      <c r="AF6" s="609"/>
      <c r="AG6" s="609"/>
      <c r="AH6" s="609"/>
      <c r="AI6" s="609"/>
      <c r="AJ6" s="609"/>
      <c r="AK6" s="609"/>
      <c r="AL6" s="609"/>
      <c r="AM6" s="609"/>
      <c r="AN6" s="609"/>
      <c r="AO6" s="609"/>
      <c r="AP6" s="609"/>
      <c r="AQ6" s="609"/>
      <c r="AR6" s="609"/>
      <c r="AS6" s="609"/>
      <c r="AT6" s="609"/>
      <c r="AU6" s="609"/>
      <c r="AV6" s="609"/>
      <c r="AW6" s="609"/>
      <c r="AX6" s="609"/>
      <c r="AY6" s="609"/>
      <c r="AZ6" s="609"/>
      <c r="BA6" s="609"/>
      <c r="BB6" s="609"/>
      <c r="BC6" s="609"/>
      <c r="BD6" s="609"/>
      <c r="BE6" s="609"/>
      <c r="BF6" s="609"/>
      <c r="BG6" s="609"/>
    </row>
    <row r="7" spans="1:59" s="62" customFormat="1" ht="18" customHeight="1" x14ac:dyDescent="0.2">
      <c r="A7" s="862"/>
      <c r="B7" s="867" t="s">
        <v>3588</v>
      </c>
      <c r="C7" s="804"/>
      <c r="D7" s="804"/>
      <c r="E7" s="804"/>
      <c r="F7" s="542"/>
      <c r="G7" s="609"/>
      <c r="H7" s="609"/>
      <c r="I7" s="609"/>
      <c r="J7" s="609"/>
      <c r="K7" s="609"/>
      <c r="L7" s="609"/>
      <c r="M7" s="609"/>
      <c r="N7" s="609"/>
      <c r="O7" s="609"/>
      <c r="P7" s="609"/>
      <c r="Q7" s="609"/>
      <c r="R7" s="609"/>
      <c r="S7" s="609"/>
      <c r="T7" s="609"/>
      <c r="U7" s="609"/>
      <c r="V7" s="609"/>
      <c r="W7" s="609"/>
      <c r="X7" s="609"/>
      <c r="Y7" s="609"/>
      <c r="Z7" s="609"/>
      <c r="AA7" s="609"/>
      <c r="AB7" s="609"/>
      <c r="AC7" s="609"/>
      <c r="AD7" s="609"/>
      <c r="AE7" s="609"/>
      <c r="AF7" s="609"/>
      <c r="AG7" s="609"/>
      <c r="AH7" s="609"/>
      <c r="AI7" s="609"/>
      <c r="AJ7" s="609"/>
      <c r="AK7" s="609"/>
      <c r="AL7" s="609"/>
      <c r="AM7" s="609"/>
      <c r="AN7" s="609"/>
      <c r="AO7" s="609"/>
      <c r="AP7" s="609"/>
      <c r="AQ7" s="609"/>
      <c r="AR7" s="609"/>
      <c r="AS7" s="609"/>
      <c r="AT7" s="609"/>
      <c r="AU7" s="609"/>
      <c r="AV7" s="609"/>
      <c r="AW7" s="609"/>
      <c r="AX7" s="609"/>
      <c r="AY7" s="609"/>
      <c r="AZ7" s="609"/>
      <c r="BA7" s="609"/>
      <c r="BB7" s="609"/>
      <c r="BC7" s="609"/>
      <c r="BD7" s="609"/>
      <c r="BE7" s="609"/>
      <c r="BF7" s="609"/>
      <c r="BG7" s="609"/>
    </row>
    <row r="8" spans="1:59" s="62" customFormat="1" ht="18" customHeight="1" thickBot="1" x14ac:dyDescent="0.25">
      <c r="A8" s="862"/>
      <c r="B8" s="867" t="s">
        <v>3589</v>
      </c>
      <c r="C8" s="804"/>
      <c r="D8" s="804"/>
      <c r="E8" s="804"/>
      <c r="F8" s="542"/>
      <c r="G8" s="609"/>
      <c r="H8" s="609"/>
      <c r="I8" s="609"/>
      <c r="J8" s="609"/>
      <c r="K8" s="609"/>
      <c r="L8" s="609"/>
      <c r="M8" s="609"/>
      <c r="N8" s="609"/>
      <c r="O8" s="609"/>
      <c r="P8" s="609"/>
      <c r="Q8" s="609"/>
      <c r="R8" s="609"/>
      <c r="S8" s="609"/>
      <c r="T8" s="609"/>
      <c r="U8" s="609"/>
      <c r="V8" s="609"/>
      <c r="W8" s="609"/>
      <c r="X8" s="609"/>
      <c r="Y8" s="609"/>
      <c r="Z8" s="609"/>
      <c r="AA8" s="609"/>
      <c r="AB8" s="609"/>
      <c r="AC8" s="609"/>
      <c r="AD8" s="609"/>
      <c r="AE8" s="609"/>
      <c r="AF8" s="609"/>
      <c r="AG8" s="609"/>
      <c r="AH8" s="609"/>
      <c r="AI8" s="609"/>
      <c r="AJ8" s="609"/>
      <c r="AK8" s="609"/>
      <c r="AL8" s="609"/>
      <c r="AM8" s="609"/>
      <c r="AN8" s="609"/>
      <c r="AO8" s="609"/>
      <c r="AP8" s="609"/>
      <c r="AQ8" s="609"/>
      <c r="AR8" s="609"/>
      <c r="AS8" s="609"/>
      <c r="AT8" s="609"/>
      <c r="AU8" s="609"/>
      <c r="AV8" s="609"/>
      <c r="AW8" s="609"/>
      <c r="AX8" s="609"/>
      <c r="AY8" s="609"/>
      <c r="AZ8" s="609"/>
      <c r="BA8" s="609"/>
      <c r="BB8" s="609"/>
      <c r="BC8" s="609"/>
      <c r="BD8" s="609"/>
      <c r="BE8" s="609"/>
      <c r="BF8" s="609"/>
      <c r="BG8" s="609"/>
    </row>
    <row r="9" spans="1:59" s="62" customFormat="1" ht="30" customHeight="1" thickBot="1" x14ac:dyDescent="0.25">
      <c r="A9" s="862"/>
      <c r="B9" s="815" t="s">
        <v>1109</v>
      </c>
      <c r="C9" s="812"/>
      <c r="D9" s="812"/>
      <c r="E9" s="812"/>
      <c r="F9" s="543"/>
      <c r="G9" s="609"/>
      <c r="H9" s="609"/>
      <c r="I9" s="609"/>
      <c r="J9" s="609"/>
      <c r="K9" s="609"/>
      <c r="L9" s="609"/>
      <c r="M9" s="609"/>
      <c r="N9" s="609"/>
      <c r="O9" s="609"/>
      <c r="P9" s="609"/>
      <c r="Q9" s="609"/>
      <c r="R9" s="609"/>
      <c r="S9" s="609"/>
      <c r="T9" s="609"/>
      <c r="U9" s="609"/>
      <c r="V9" s="609"/>
      <c r="W9" s="609"/>
      <c r="X9" s="609"/>
      <c r="Y9" s="609"/>
      <c r="Z9" s="609"/>
      <c r="AA9" s="609"/>
      <c r="AB9" s="609"/>
      <c r="AC9" s="609"/>
      <c r="AD9" s="609"/>
      <c r="AE9" s="609"/>
      <c r="AF9" s="609"/>
      <c r="AG9" s="609"/>
      <c r="AH9" s="609"/>
      <c r="AI9" s="609"/>
      <c r="AJ9" s="609"/>
      <c r="AK9" s="609"/>
      <c r="AL9" s="609"/>
      <c r="AM9" s="609"/>
      <c r="AN9" s="609"/>
      <c r="AO9" s="609"/>
      <c r="AP9" s="609"/>
      <c r="AQ9" s="609"/>
      <c r="AR9" s="609"/>
      <c r="AS9" s="609"/>
      <c r="AT9" s="609"/>
      <c r="AU9" s="609"/>
      <c r="AV9" s="609"/>
      <c r="AW9" s="609"/>
      <c r="AX9" s="609"/>
      <c r="AY9" s="609"/>
      <c r="AZ9" s="609"/>
      <c r="BA9" s="609"/>
      <c r="BB9" s="609"/>
      <c r="BC9" s="609"/>
      <c r="BD9" s="609"/>
      <c r="BE9" s="609"/>
      <c r="BF9" s="609"/>
      <c r="BG9" s="609"/>
    </row>
    <row r="10" spans="1:59" s="62" customFormat="1" ht="18" customHeight="1" thickBot="1" x14ac:dyDescent="0.25">
      <c r="A10" s="862"/>
      <c r="B10" s="166"/>
      <c r="C10" s="533" t="s">
        <v>792</v>
      </c>
      <c r="D10" s="535" t="s">
        <v>793</v>
      </c>
      <c r="E10" s="536" t="s">
        <v>794</v>
      </c>
      <c r="F10" s="544"/>
      <c r="G10" s="609"/>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09"/>
      <c r="AY10" s="609"/>
      <c r="AZ10" s="609"/>
      <c r="BA10" s="609"/>
      <c r="BB10" s="609"/>
      <c r="BC10" s="609"/>
      <c r="BD10" s="609"/>
      <c r="BE10" s="609"/>
      <c r="BF10" s="609"/>
      <c r="BG10" s="609"/>
    </row>
    <row r="11" spans="1:59" s="62" customFormat="1" ht="18" customHeight="1" x14ac:dyDescent="0.2">
      <c r="A11" s="862"/>
      <c r="B11" s="525" t="s">
        <v>442</v>
      </c>
      <c r="C11" s="526" t="s">
        <v>292</v>
      </c>
      <c r="D11" s="526" t="s">
        <v>293</v>
      </c>
      <c r="E11" s="527" t="s">
        <v>294</v>
      </c>
      <c r="F11" s="149">
        <v>0</v>
      </c>
      <c r="G11" s="609"/>
      <c r="H11" s="609"/>
      <c r="I11" s="609"/>
      <c r="J11" s="609"/>
      <c r="K11" s="609"/>
      <c r="L11" s="609"/>
      <c r="M11" s="609"/>
      <c r="N11" s="609"/>
      <c r="O11" s="609"/>
      <c r="P11" s="609"/>
      <c r="Q11" s="609"/>
      <c r="R11" s="609"/>
      <c r="S11" s="609"/>
      <c r="T11" s="609"/>
      <c r="U11" s="609"/>
      <c r="V11" s="609"/>
      <c r="W11" s="609"/>
      <c r="X11" s="609"/>
      <c r="Y11" s="609"/>
      <c r="Z11" s="609"/>
      <c r="AA11" s="609"/>
      <c r="AB11" s="609"/>
      <c r="AC11" s="609"/>
      <c r="AD11" s="609"/>
      <c r="AE11" s="609"/>
      <c r="AF11" s="609"/>
      <c r="AG11" s="609"/>
      <c r="AH11" s="609"/>
      <c r="AI11" s="609"/>
      <c r="AJ11" s="609"/>
      <c r="AK11" s="609"/>
      <c r="AL11" s="609"/>
      <c r="AM11" s="609"/>
      <c r="AN11" s="609"/>
      <c r="AO11" s="609"/>
      <c r="AP11" s="609"/>
      <c r="AQ11" s="609"/>
      <c r="AR11" s="609"/>
      <c r="AS11" s="609"/>
      <c r="AT11" s="609"/>
      <c r="AU11" s="609"/>
      <c r="AV11" s="609"/>
      <c r="AW11" s="609"/>
      <c r="AX11" s="609"/>
      <c r="AY11" s="609"/>
      <c r="AZ11" s="609"/>
      <c r="BA11" s="609"/>
      <c r="BB11" s="609"/>
      <c r="BC11" s="609"/>
      <c r="BD11" s="609"/>
      <c r="BE11" s="609"/>
      <c r="BF11" s="609"/>
      <c r="BG11" s="609"/>
    </row>
    <row r="12" spans="1:59" s="62" customFormat="1" ht="18" customHeight="1" x14ac:dyDescent="0.2">
      <c r="A12" s="862"/>
      <c r="B12" s="525" t="s">
        <v>295</v>
      </c>
      <c r="C12" s="528" t="s">
        <v>798</v>
      </c>
      <c r="D12" s="528" t="s">
        <v>799</v>
      </c>
      <c r="E12" s="529" t="s">
        <v>800</v>
      </c>
      <c r="F12" s="149">
        <v>0</v>
      </c>
      <c r="G12" s="609"/>
      <c r="H12" s="609"/>
      <c r="I12" s="609"/>
      <c r="J12" s="609"/>
      <c r="K12" s="609"/>
      <c r="L12" s="609"/>
      <c r="M12" s="609"/>
      <c r="N12" s="609"/>
      <c r="O12" s="609"/>
      <c r="P12" s="609"/>
      <c r="Q12" s="609"/>
      <c r="R12" s="609"/>
      <c r="S12" s="609"/>
      <c r="T12" s="609"/>
      <c r="U12" s="609"/>
      <c r="V12" s="609"/>
      <c r="W12" s="609"/>
      <c r="X12" s="609"/>
      <c r="Y12" s="609"/>
      <c r="Z12" s="609"/>
      <c r="AA12" s="609"/>
      <c r="AB12" s="609"/>
      <c r="AC12" s="609"/>
      <c r="AD12" s="609"/>
      <c r="AE12" s="609"/>
      <c r="AF12" s="609"/>
      <c r="AG12" s="609"/>
      <c r="AH12" s="609"/>
      <c r="AI12" s="609"/>
      <c r="AJ12" s="609"/>
      <c r="AK12" s="609"/>
      <c r="AL12" s="609"/>
      <c r="AM12" s="609"/>
      <c r="AN12" s="609"/>
      <c r="AO12" s="609"/>
      <c r="AP12" s="609"/>
      <c r="AQ12" s="609"/>
      <c r="AR12" s="609"/>
      <c r="AS12" s="609"/>
      <c r="AT12" s="609"/>
      <c r="AU12" s="609"/>
      <c r="AV12" s="609"/>
      <c r="AW12" s="609"/>
      <c r="AX12" s="609"/>
      <c r="AY12" s="609"/>
      <c r="AZ12" s="609"/>
      <c r="BA12" s="609"/>
      <c r="BB12" s="609"/>
      <c r="BC12" s="609"/>
      <c r="BD12" s="609"/>
      <c r="BE12" s="609"/>
      <c r="BF12" s="609"/>
      <c r="BG12" s="609"/>
    </row>
    <row r="13" spans="1:59" s="62" customFormat="1" ht="15" customHeight="1" x14ac:dyDescent="0.2">
      <c r="A13" s="862"/>
      <c r="B13" s="843" t="s">
        <v>296</v>
      </c>
      <c r="C13" s="843"/>
      <c r="D13" s="843"/>
      <c r="E13" s="843"/>
      <c r="F13" s="150"/>
      <c r="G13" s="609"/>
      <c r="H13" s="609"/>
      <c r="I13" s="609"/>
      <c r="J13" s="609"/>
      <c r="K13" s="609"/>
      <c r="L13" s="609"/>
      <c r="M13" s="609"/>
      <c r="N13" s="609"/>
      <c r="O13" s="609"/>
      <c r="P13" s="609"/>
      <c r="Q13" s="609"/>
      <c r="R13" s="609"/>
      <c r="S13" s="609"/>
      <c r="T13" s="609"/>
      <c r="U13" s="609"/>
      <c r="V13" s="609"/>
      <c r="W13" s="609"/>
      <c r="X13" s="609"/>
      <c r="Y13" s="609"/>
      <c r="Z13" s="609"/>
      <c r="AA13" s="609"/>
      <c r="AB13" s="609"/>
      <c r="AC13" s="609"/>
      <c r="AD13" s="609"/>
      <c r="AE13" s="609"/>
      <c r="AF13" s="609"/>
      <c r="AG13" s="609"/>
      <c r="AH13" s="609"/>
      <c r="AI13" s="609"/>
      <c r="AJ13" s="609"/>
      <c r="AK13" s="609"/>
      <c r="AL13" s="609"/>
      <c r="AM13" s="609"/>
      <c r="AN13" s="609"/>
      <c r="AO13" s="609"/>
      <c r="AP13" s="609"/>
      <c r="AQ13" s="609"/>
      <c r="AR13" s="609"/>
      <c r="AS13" s="609"/>
      <c r="AT13" s="609"/>
      <c r="AU13" s="609"/>
      <c r="AV13" s="609"/>
      <c r="AW13" s="609"/>
      <c r="AX13" s="609"/>
      <c r="AY13" s="609"/>
      <c r="AZ13" s="609"/>
      <c r="BA13" s="609"/>
      <c r="BB13" s="609"/>
      <c r="BC13" s="609"/>
      <c r="BD13" s="609"/>
      <c r="BE13" s="609"/>
      <c r="BF13" s="609"/>
      <c r="BG13" s="609"/>
    </row>
    <row r="14" spans="1:59" s="62" customFormat="1" ht="18" customHeight="1" x14ac:dyDescent="0.2">
      <c r="A14" s="862"/>
      <c r="B14" s="525" t="s">
        <v>803</v>
      </c>
      <c r="C14" s="526" t="s">
        <v>758</v>
      </c>
      <c r="D14" s="526" t="s">
        <v>759</v>
      </c>
      <c r="E14" s="527" t="s">
        <v>760</v>
      </c>
      <c r="F14" s="149">
        <v>0</v>
      </c>
      <c r="G14" s="609"/>
      <c r="H14" s="609"/>
      <c r="I14" s="609"/>
      <c r="J14" s="609"/>
      <c r="K14" s="609"/>
      <c r="L14" s="609"/>
      <c r="M14" s="609"/>
      <c r="N14" s="609"/>
      <c r="O14" s="609"/>
      <c r="P14" s="609"/>
      <c r="Q14" s="609"/>
      <c r="R14" s="609"/>
      <c r="S14" s="609"/>
      <c r="T14" s="609"/>
      <c r="U14" s="609"/>
      <c r="V14" s="609"/>
      <c r="W14" s="609"/>
      <c r="X14" s="609"/>
      <c r="Y14" s="609"/>
      <c r="Z14" s="609"/>
      <c r="AA14" s="609"/>
      <c r="AB14" s="609"/>
      <c r="AC14" s="609"/>
      <c r="AD14" s="609"/>
      <c r="AE14" s="609"/>
      <c r="AF14" s="609"/>
      <c r="AG14" s="609"/>
      <c r="AH14" s="609"/>
      <c r="AI14" s="609"/>
      <c r="AJ14" s="609"/>
      <c r="AK14" s="609"/>
      <c r="AL14" s="609"/>
      <c r="AM14" s="609"/>
      <c r="AN14" s="609"/>
      <c r="AO14" s="609"/>
      <c r="AP14" s="609"/>
      <c r="AQ14" s="609"/>
      <c r="AR14" s="609"/>
      <c r="AS14" s="609"/>
      <c r="AT14" s="609"/>
      <c r="AU14" s="609"/>
      <c r="AV14" s="609"/>
      <c r="AW14" s="609"/>
      <c r="AX14" s="609"/>
      <c r="AY14" s="609"/>
      <c r="AZ14" s="609"/>
      <c r="BA14" s="609"/>
      <c r="BB14" s="609"/>
      <c r="BC14" s="609"/>
      <c r="BD14" s="609"/>
      <c r="BE14" s="609"/>
      <c r="BF14" s="609"/>
      <c r="BG14" s="609"/>
    </row>
    <row r="15" spans="1:59" s="62" customFormat="1" ht="18" customHeight="1" x14ac:dyDescent="0.2">
      <c r="A15" s="862"/>
      <c r="B15" s="525" t="s">
        <v>804</v>
      </c>
      <c r="C15" s="526" t="s">
        <v>761</v>
      </c>
      <c r="D15" s="526" t="s">
        <v>795</v>
      </c>
      <c r="E15" s="530" t="s">
        <v>796</v>
      </c>
      <c r="F15" s="149">
        <v>0</v>
      </c>
      <c r="G15" s="609"/>
      <c r="H15" s="609"/>
      <c r="I15" s="609"/>
      <c r="J15" s="609"/>
      <c r="K15" s="609"/>
      <c r="L15" s="609"/>
      <c r="M15" s="609"/>
      <c r="N15" s="609"/>
      <c r="O15" s="609"/>
      <c r="P15" s="609"/>
      <c r="Q15" s="609"/>
      <c r="R15" s="609"/>
      <c r="S15" s="609"/>
      <c r="T15" s="609"/>
      <c r="U15" s="609"/>
      <c r="V15" s="609"/>
      <c r="W15" s="609"/>
      <c r="X15" s="609"/>
      <c r="Y15" s="609"/>
      <c r="Z15" s="609"/>
      <c r="AA15" s="609"/>
      <c r="AB15" s="609"/>
      <c r="AC15" s="609"/>
      <c r="AD15" s="609"/>
      <c r="AE15" s="609"/>
      <c r="AF15" s="609"/>
      <c r="AG15" s="609"/>
      <c r="AH15" s="609"/>
      <c r="AI15" s="609"/>
      <c r="AJ15" s="609"/>
      <c r="AK15" s="609"/>
      <c r="AL15" s="609"/>
      <c r="AM15" s="609"/>
      <c r="AN15" s="609"/>
      <c r="AO15" s="609"/>
      <c r="AP15" s="609"/>
      <c r="AQ15" s="609"/>
      <c r="AR15" s="609"/>
      <c r="AS15" s="609"/>
      <c r="AT15" s="609"/>
      <c r="AU15" s="609"/>
      <c r="AV15" s="609"/>
      <c r="AW15" s="609"/>
      <c r="AX15" s="609"/>
      <c r="AY15" s="609"/>
      <c r="AZ15" s="609"/>
      <c r="BA15" s="609"/>
      <c r="BB15" s="609"/>
      <c r="BC15" s="609"/>
      <c r="BD15" s="609"/>
      <c r="BE15" s="609"/>
      <c r="BF15" s="609"/>
      <c r="BG15" s="609"/>
    </row>
    <row r="16" spans="1:59" s="160" customFormat="1" ht="18" customHeight="1" thickBot="1" x14ac:dyDescent="0.25">
      <c r="A16" s="862"/>
      <c r="B16" s="835" t="s">
        <v>764</v>
      </c>
      <c r="C16" s="835"/>
      <c r="D16" s="835"/>
      <c r="E16" s="836"/>
      <c r="F16" s="545">
        <f>SUM(F11:F15)</f>
        <v>0</v>
      </c>
      <c r="G16" s="610"/>
      <c r="H16" s="610"/>
      <c r="I16" s="610"/>
      <c r="J16" s="610"/>
      <c r="K16" s="610"/>
      <c r="L16" s="610"/>
      <c r="M16" s="610"/>
      <c r="N16" s="610"/>
      <c r="O16" s="610"/>
      <c r="P16" s="610"/>
      <c r="Q16" s="610"/>
      <c r="R16" s="610"/>
      <c r="S16" s="610"/>
      <c r="T16" s="610"/>
      <c r="U16" s="610"/>
      <c r="V16" s="610"/>
      <c r="W16" s="610"/>
      <c r="X16" s="610"/>
      <c r="Y16" s="610"/>
      <c r="Z16" s="610"/>
      <c r="AA16" s="610"/>
      <c r="AB16" s="610"/>
      <c r="AC16" s="610"/>
      <c r="AD16" s="610"/>
      <c r="AE16" s="610"/>
      <c r="AF16" s="610"/>
      <c r="AG16" s="610"/>
      <c r="AH16" s="610"/>
      <c r="AI16" s="610"/>
      <c r="AJ16" s="610"/>
      <c r="AK16" s="610"/>
      <c r="AL16" s="610"/>
      <c r="AM16" s="610"/>
      <c r="AN16" s="610"/>
      <c r="AO16" s="610"/>
      <c r="AP16" s="610"/>
      <c r="AQ16" s="610"/>
      <c r="AR16" s="610"/>
      <c r="AS16" s="610"/>
      <c r="AT16" s="610"/>
      <c r="AU16" s="610"/>
      <c r="AV16" s="610"/>
      <c r="AW16" s="610"/>
      <c r="AX16" s="610"/>
      <c r="AY16" s="610"/>
      <c r="AZ16" s="610"/>
      <c r="BA16" s="610"/>
      <c r="BB16" s="610"/>
      <c r="BC16" s="610"/>
      <c r="BD16" s="610"/>
      <c r="BE16" s="610"/>
      <c r="BF16" s="610"/>
      <c r="BG16" s="610"/>
    </row>
    <row r="17" spans="1:59" s="160" customFormat="1" ht="21" customHeight="1" thickBot="1" x14ac:dyDescent="0.25">
      <c r="A17" s="863"/>
      <c r="B17" s="844"/>
      <c r="C17" s="800"/>
      <c r="D17" s="800"/>
      <c r="E17" s="614" t="s">
        <v>146</v>
      </c>
      <c r="F17" s="179">
        <f>F16/12</f>
        <v>0</v>
      </c>
      <c r="G17" s="610"/>
      <c r="H17" s="610"/>
      <c r="I17" s="610"/>
      <c r="J17" s="610"/>
      <c r="K17" s="610"/>
      <c r="L17" s="610"/>
      <c r="M17" s="610"/>
      <c r="N17" s="610"/>
      <c r="O17" s="610"/>
      <c r="P17" s="610"/>
      <c r="Q17" s="610"/>
      <c r="R17" s="610"/>
      <c r="S17" s="610"/>
      <c r="T17" s="610"/>
      <c r="U17" s="610"/>
      <c r="V17" s="610"/>
      <c r="W17" s="610"/>
      <c r="X17" s="610"/>
      <c r="Y17" s="610"/>
      <c r="Z17" s="610"/>
      <c r="AA17" s="610"/>
      <c r="AB17" s="610"/>
      <c r="AC17" s="610"/>
      <c r="AD17" s="610"/>
      <c r="AE17" s="610"/>
      <c r="AF17" s="610"/>
      <c r="AG17" s="610"/>
      <c r="AH17" s="610"/>
      <c r="AI17" s="610"/>
      <c r="AJ17" s="610"/>
      <c r="AK17" s="610"/>
      <c r="AL17" s="610"/>
      <c r="AM17" s="610"/>
      <c r="AN17" s="610"/>
      <c r="AO17" s="610"/>
      <c r="AP17" s="610"/>
      <c r="AQ17" s="610"/>
      <c r="AR17" s="610"/>
      <c r="AS17" s="610"/>
      <c r="AT17" s="610"/>
      <c r="AU17" s="610"/>
      <c r="AV17" s="610"/>
      <c r="AW17" s="610"/>
      <c r="AX17" s="610"/>
      <c r="AY17" s="610"/>
      <c r="AZ17" s="610"/>
      <c r="BA17" s="610"/>
      <c r="BB17" s="610"/>
      <c r="BC17" s="610"/>
      <c r="BD17" s="610"/>
      <c r="BE17" s="610"/>
      <c r="BF17" s="610"/>
      <c r="BG17" s="610"/>
    </row>
    <row r="18" spans="1:59" s="270" customFormat="1" ht="24" customHeight="1" thickBot="1" x14ac:dyDescent="0.3">
      <c r="A18" s="845" t="s">
        <v>811</v>
      </c>
      <c r="B18" s="809" t="s">
        <v>788</v>
      </c>
      <c r="C18" s="810"/>
      <c r="D18" s="810"/>
      <c r="E18" s="810"/>
      <c r="F18" s="546"/>
      <c r="G18" s="611"/>
      <c r="H18" s="611"/>
      <c r="I18" s="611"/>
      <c r="J18" s="611" t="s">
        <v>234</v>
      </c>
      <c r="K18" s="611"/>
      <c r="L18" s="611"/>
      <c r="M18" s="611"/>
      <c r="N18" s="611"/>
      <c r="O18" s="611"/>
      <c r="P18" s="611"/>
      <c r="Q18" s="611"/>
      <c r="R18" s="611"/>
      <c r="S18" s="611"/>
      <c r="T18" s="611"/>
      <c r="U18" s="611"/>
      <c r="V18" s="611"/>
      <c r="W18" s="611"/>
      <c r="X18" s="611"/>
      <c r="Y18" s="611"/>
      <c r="Z18" s="611"/>
      <c r="AA18" s="611"/>
      <c r="AB18" s="611"/>
      <c r="AC18" s="611"/>
      <c r="AD18" s="611"/>
      <c r="AE18" s="611"/>
      <c r="AF18" s="611"/>
      <c r="AG18" s="611"/>
      <c r="AH18" s="611"/>
      <c r="AI18" s="611"/>
      <c r="AJ18" s="611"/>
      <c r="AK18" s="611"/>
      <c r="AL18" s="611"/>
      <c r="AM18" s="611"/>
      <c r="AN18" s="611"/>
      <c r="AO18" s="611"/>
      <c r="AP18" s="611"/>
      <c r="AQ18" s="611"/>
      <c r="AR18" s="611"/>
      <c r="AS18" s="611"/>
      <c r="AT18" s="611"/>
      <c r="AU18" s="611"/>
      <c r="AV18" s="611"/>
      <c r="AW18" s="611"/>
      <c r="AX18" s="611"/>
      <c r="AY18" s="611"/>
      <c r="AZ18" s="611"/>
      <c r="BA18" s="611"/>
      <c r="BB18" s="611"/>
      <c r="BC18" s="611"/>
      <c r="BD18" s="611"/>
      <c r="BE18" s="611"/>
      <c r="BF18" s="611"/>
      <c r="BG18" s="611"/>
    </row>
    <row r="19" spans="1:59" ht="30" customHeight="1" thickBot="1" x14ac:dyDescent="0.25">
      <c r="A19" s="846"/>
      <c r="B19" s="848" t="s">
        <v>147</v>
      </c>
      <c r="C19" s="849"/>
      <c r="D19" s="849"/>
      <c r="E19" s="850"/>
      <c r="F19" s="547"/>
    </row>
    <row r="20" spans="1:59" ht="18" customHeight="1" x14ac:dyDescent="0.2">
      <c r="A20" s="846"/>
      <c r="B20" s="851" t="s">
        <v>3590</v>
      </c>
      <c r="C20" s="852"/>
      <c r="D20" s="852"/>
      <c r="E20" s="852"/>
      <c r="F20" s="548"/>
    </row>
    <row r="21" spans="1:59" ht="18" customHeight="1" x14ac:dyDescent="0.2">
      <c r="A21" s="846"/>
      <c r="B21" s="853" t="s">
        <v>3591</v>
      </c>
      <c r="C21" s="854"/>
      <c r="D21" s="854"/>
      <c r="E21" s="854"/>
      <c r="F21" s="542"/>
    </row>
    <row r="22" spans="1:59" ht="18" customHeight="1" x14ac:dyDescent="0.2">
      <c r="A22" s="846"/>
      <c r="B22" s="853" t="s">
        <v>3592</v>
      </c>
      <c r="C22" s="855"/>
      <c r="D22" s="855"/>
      <c r="E22" s="855"/>
      <c r="F22" s="542"/>
    </row>
    <row r="23" spans="1:59" ht="18" customHeight="1" thickBot="1" x14ac:dyDescent="0.25">
      <c r="A23" s="846"/>
      <c r="B23" s="856" t="s">
        <v>3593</v>
      </c>
      <c r="C23" s="857"/>
      <c r="D23" s="857"/>
      <c r="E23" s="858"/>
      <c r="F23" s="542"/>
    </row>
    <row r="24" spans="1:59" ht="30" customHeight="1" thickBot="1" x14ac:dyDescent="0.25">
      <c r="A24" s="846"/>
      <c r="B24" s="815" t="s">
        <v>1109</v>
      </c>
      <c r="C24" s="812"/>
      <c r="D24" s="812"/>
      <c r="E24" s="812"/>
      <c r="F24" s="543"/>
    </row>
    <row r="25" spans="1:59" s="62" customFormat="1" ht="18" customHeight="1" thickBot="1" x14ac:dyDescent="0.25">
      <c r="A25" s="846"/>
      <c r="B25" s="136"/>
      <c r="C25" s="533" t="s">
        <v>792</v>
      </c>
      <c r="D25" s="535" t="s">
        <v>793</v>
      </c>
      <c r="E25" s="536" t="s">
        <v>794</v>
      </c>
      <c r="F25" s="543"/>
      <c r="G25" s="609"/>
      <c r="H25" s="609"/>
      <c r="I25" s="609"/>
      <c r="J25" s="609"/>
      <c r="K25" s="609"/>
      <c r="L25" s="609"/>
      <c r="M25" s="609"/>
      <c r="N25" s="609"/>
      <c r="O25" s="609"/>
      <c r="P25" s="609"/>
      <c r="Q25" s="609"/>
      <c r="R25" s="609"/>
      <c r="S25" s="609"/>
      <c r="T25" s="609"/>
      <c r="U25" s="609"/>
      <c r="V25" s="609"/>
      <c r="W25" s="609"/>
      <c r="X25" s="609"/>
      <c r="Y25" s="609"/>
      <c r="Z25" s="609"/>
      <c r="AA25" s="609"/>
      <c r="AB25" s="609"/>
      <c r="AC25" s="609"/>
      <c r="AD25" s="609"/>
      <c r="AE25" s="609"/>
      <c r="AF25" s="609"/>
      <c r="AG25" s="609"/>
      <c r="AH25" s="609"/>
      <c r="AI25" s="609"/>
      <c r="AJ25" s="609"/>
      <c r="AK25" s="609"/>
      <c r="AL25" s="609"/>
      <c r="AM25" s="609"/>
      <c r="AN25" s="609"/>
      <c r="AO25" s="609"/>
      <c r="AP25" s="609"/>
      <c r="AQ25" s="609"/>
      <c r="AR25" s="609"/>
      <c r="AS25" s="609"/>
      <c r="AT25" s="609"/>
      <c r="AU25" s="609"/>
      <c r="AV25" s="609"/>
      <c r="AW25" s="609"/>
      <c r="AX25" s="609"/>
      <c r="AY25" s="609"/>
      <c r="AZ25" s="609"/>
      <c r="BA25" s="609"/>
      <c r="BB25" s="609"/>
      <c r="BC25" s="609"/>
      <c r="BD25" s="609"/>
      <c r="BE25" s="609"/>
      <c r="BF25" s="609"/>
      <c r="BG25" s="609"/>
    </row>
    <row r="26" spans="1:59" s="62" customFormat="1" ht="18" customHeight="1" x14ac:dyDescent="0.2">
      <c r="A26" s="846"/>
      <c r="B26" s="531" t="s">
        <v>442</v>
      </c>
      <c r="C26" s="137" t="s">
        <v>297</v>
      </c>
      <c r="D26" s="137" t="s">
        <v>298</v>
      </c>
      <c r="E26" s="537" t="s">
        <v>299</v>
      </c>
      <c r="F26" s="148">
        <v>0</v>
      </c>
      <c r="G26" s="609"/>
      <c r="H26" s="609"/>
      <c r="I26" s="609"/>
      <c r="J26" s="609"/>
      <c r="K26" s="609"/>
      <c r="L26" s="609"/>
      <c r="M26" s="609"/>
      <c r="N26" s="609"/>
      <c r="O26" s="609"/>
      <c r="P26" s="609"/>
      <c r="Q26" s="609"/>
      <c r="R26" s="609"/>
      <c r="S26" s="609"/>
      <c r="T26" s="609"/>
      <c r="U26" s="609"/>
      <c r="V26" s="609"/>
      <c r="W26" s="609"/>
      <c r="X26" s="609"/>
      <c r="Y26" s="609"/>
      <c r="Z26" s="609"/>
      <c r="AA26" s="609"/>
      <c r="AB26" s="609"/>
      <c r="AC26" s="609"/>
      <c r="AD26" s="609"/>
      <c r="AE26" s="609"/>
      <c r="AF26" s="609"/>
      <c r="AG26" s="609"/>
      <c r="AH26" s="609"/>
      <c r="AI26" s="609"/>
      <c r="AJ26" s="609"/>
      <c r="AK26" s="609"/>
      <c r="AL26" s="609"/>
      <c r="AM26" s="609"/>
      <c r="AN26" s="609"/>
      <c r="AO26" s="609"/>
      <c r="AP26" s="609"/>
      <c r="AQ26" s="609"/>
      <c r="AR26" s="609"/>
      <c r="AS26" s="609"/>
      <c r="AT26" s="609"/>
      <c r="AU26" s="609"/>
      <c r="AV26" s="609"/>
      <c r="AW26" s="609"/>
      <c r="AX26" s="609"/>
      <c r="AY26" s="609"/>
      <c r="AZ26" s="609"/>
      <c r="BA26" s="609"/>
      <c r="BB26" s="609"/>
      <c r="BC26" s="609"/>
      <c r="BD26" s="609"/>
      <c r="BE26" s="609"/>
      <c r="BF26" s="609"/>
      <c r="BG26" s="609"/>
    </row>
    <row r="27" spans="1:59" s="62" customFormat="1" ht="18" customHeight="1" x14ac:dyDescent="0.2">
      <c r="A27" s="846"/>
      <c r="B27" s="531" t="s">
        <v>295</v>
      </c>
      <c r="C27" s="139" t="s">
        <v>798</v>
      </c>
      <c r="D27" s="139" t="s">
        <v>801</v>
      </c>
      <c r="E27" s="138" t="s">
        <v>800</v>
      </c>
      <c r="F27" s="149">
        <v>0</v>
      </c>
      <c r="G27" s="609"/>
      <c r="H27" s="609"/>
      <c r="I27" s="609"/>
      <c r="J27" s="609"/>
      <c r="K27" s="609"/>
      <c r="L27" s="609"/>
      <c r="M27" s="609"/>
      <c r="N27" s="609"/>
      <c r="O27" s="609"/>
      <c r="P27" s="609"/>
      <c r="Q27" s="609"/>
      <c r="R27" s="609"/>
      <c r="S27" s="609"/>
      <c r="T27" s="609"/>
      <c r="U27" s="609"/>
      <c r="V27" s="609"/>
      <c r="W27" s="609"/>
      <c r="X27" s="609"/>
      <c r="Y27" s="609"/>
      <c r="Z27" s="609"/>
      <c r="AA27" s="609"/>
      <c r="AB27" s="609"/>
      <c r="AC27" s="609"/>
      <c r="AD27" s="609"/>
      <c r="AE27" s="609"/>
      <c r="AF27" s="609"/>
      <c r="AG27" s="609"/>
      <c r="AH27" s="609"/>
      <c r="AI27" s="609"/>
      <c r="AJ27" s="609"/>
      <c r="AK27" s="609"/>
      <c r="AL27" s="609"/>
      <c r="AM27" s="609"/>
      <c r="AN27" s="609"/>
      <c r="AO27" s="609"/>
      <c r="AP27" s="609"/>
      <c r="AQ27" s="609"/>
      <c r="AR27" s="609"/>
      <c r="AS27" s="609"/>
      <c r="AT27" s="609"/>
      <c r="AU27" s="609"/>
      <c r="AV27" s="609"/>
      <c r="AW27" s="609"/>
      <c r="AX27" s="609"/>
      <c r="AY27" s="609"/>
      <c r="AZ27" s="609"/>
      <c r="BA27" s="609"/>
      <c r="BB27" s="609"/>
      <c r="BC27" s="609"/>
      <c r="BD27" s="609"/>
      <c r="BE27" s="609"/>
      <c r="BF27" s="609"/>
      <c r="BG27" s="609"/>
    </row>
    <row r="28" spans="1:59" s="62" customFormat="1" ht="15" customHeight="1" x14ac:dyDescent="0.2">
      <c r="A28" s="846"/>
      <c r="B28" s="821" t="s">
        <v>296</v>
      </c>
      <c r="C28" s="822"/>
      <c r="D28" s="822"/>
      <c r="E28" s="822"/>
      <c r="F28" s="150"/>
      <c r="G28" s="609"/>
      <c r="H28" s="609"/>
      <c r="I28" s="609"/>
      <c r="J28" s="609"/>
      <c r="K28" s="609"/>
      <c r="L28" s="609"/>
      <c r="M28" s="609"/>
      <c r="N28" s="609"/>
      <c r="O28" s="609"/>
      <c r="P28" s="609"/>
      <c r="Q28" s="609"/>
      <c r="R28" s="609"/>
      <c r="S28" s="609"/>
      <c r="T28" s="609"/>
      <c r="U28" s="609"/>
      <c r="V28" s="609"/>
      <c r="W28" s="609"/>
      <c r="X28" s="609"/>
      <c r="Y28" s="609"/>
      <c r="Z28" s="609"/>
      <c r="AA28" s="609"/>
      <c r="AB28" s="609"/>
      <c r="AC28" s="609"/>
      <c r="AD28" s="609"/>
      <c r="AE28" s="609"/>
      <c r="AF28" s="609"/>
      <c r="AG28" s="609"/>
      <c r="AH28" s="609"/>
      <c r="AI28" s="609"/>
      <c r="AJ28" s="609"/>
      <c r="AK28" s="609"/>
      <c r="AL28" s="609"/>
      <c r="AM28" s="609"/>
      <c r="AN28" s="609"/>
      <c r="AO28" s="609"/>
      <c r="AP28" s="609"/>
      <c r="AQ28" s="609"/>
      <c r="AR28" s="609"/>
      <c r="AS28" s="609"/>
      <c r="AT28" s="609"/>
      <c r="AU28" s="609"/>
      <c r="AV28" s="609"/>
      <c r="AW28" s="609"/>
      <c r="AX28" s="609"/>
      <c r="AY28" s="609"/>
      <c r="AZ28" s="609"/>
      <c r="BA28" s="609"/>
      <c r="BB28" s="609"/>
      <c r="BC28" s="609"/>
      <c r="BD28" s="609"/>
      <c r="BE28" s="609"/>
      <c r="BF28" s="609"/>
      <c r="BG28" s="609"/>
    </row>
    <row r="29" spans="1:59" s="62" customFormat="1" ht="18" customHeight="1" x14ac:dyDescent="0.2">
      <c r="A29" s="846"/>
      <c r="B29" s="531" t="s">
        <v>803</v>
      </c>
      <c r="C29" s="137" t="s">
        <v>758</v>
      </c>
      <c r="D29" s="137" t="s">
        <v>759</v>
      </c>
      <c r="E29" s="138" t="s">
        <v>760</v>
      </c>
      <c r="F29" s="149">
        <v>0</v>
      </c>
      <c r="G29" s="609"/>
      <c r="H29" s="609"/>
      <c r="I29" s="609"/>
      <c r="J29" s="609"/>
      <c r="K29" s="609"/>
      <c r="L29" s="609"/>
      <c r="M29" s="609"/>
      <c r="N29" s="609"/>
      <c r="O29" s="609"/>
      <c r="P29" s="609"/>
      <c r="Q29" s="609"/>
      <c r="R29" s="609"/>
      <c r="S29" s="609"/>
      <c r="T29" s="609"/>
      <c r="U29" s="609"/>
      <c r="V29" s="609"/>
      <c r="W29" s="609"/>
      <c r="X29" s="609"/>
      <c r="Y29" s="609"/>
      <c r="Z29" s="609"/>
      <c r="AA29" s="609"/>
      <c r="AB29" s="609"/>
      <c r="AC29" s="609"/>
      <c r="AD29" s="609"/>
      <c r="AE29" s="609"/>
      <c r="AF29" s="609"/>
      <c r="AG29" s="609"/>
      <c r="AH29" s="609"/>
      <c r="AI29" s="609"/>
      <c r="AJ29" s="609"/>
      <c r="AK29" s="609"/>
      <c r="AL29" s="609"/>
      <c r="AM29" s="609"/>
      <c r="AN29" s="609"/>
      <c r="AO29" s="609"/>
      <c r="AP29" s="609"/>
      <c r="AQ29" s="609"/>
      <c r="AR29" s="609"/>
      <c r="AS29" s="609"/>
      <c r="AT29" s="609"/>
      <c r="AU29" s="609"/>
      <c r="AV29" s="609"/>
      <c r="AW29" s="609"/>
      <c r="AX29" s="609"/>
      <c r="AY29" s="609"/>
      <c r="AZ29" s="609"/>
      <c r="BA29" s="609"/>
      <c r="BB29" s="609"/>
      <c r="BC29" s="609"/>
      <c r="BD29" s="609"/>
      <c r="BE29" s="609"/>
      <c r="BF29" s="609"/>
      <c r="BG29" s="609"/>
    </row>
    <row r="30" spans="1:59" s="62" customFormat="1" ht="18" customHeight="1" thickBot="1" x14ac:dyDescent="0.25">
      <c r="A30" s="846"/>
      <c r="B30" s="531" t="s">
        <v>804</v>
      </c>
      <c r="C30" s="137" t="s">
        <v>761</v>
      </c>
      <c r="D30" s="137" t="s">
        <v>795</v>
      </c>
      <c r="E30" s="138" t="s">
        <v>796</v>
      </c>
      <c r="F30" s="151">
        <v>0</v>
      </c>
      <c r="G30" s="609"/>
      <c r="H30" s="609"/>
      <c r="I30" s="609"/>
      <c r="J30" s="609"/>
      <c r="K30" s="609"/>
      <c r="L30" s="609"/>
      <c r="M30" s="609"/>
      <c r="N30" s="609"/>
      <c r="O30" s="609"/>
      <c r="P30" s="609"/>
      <c r="Q30" s="609"/>
      <c r="R30" s="609"/>
      <c r="S30" s="609"/>
      <c r="T30" s="609"/>
      <c r="U30" s="609"/>
      <c r="V30" s="609"/>
      <c r="W30" s="609"/>
      <c r="X30" s="609"/>
      <c r="Y30" s="609"/>
      <c r="Z30" s="609"/>
      <c r="AA30" s="609"/>
      <c r="AB30" s="609"/>
      <c r="AC30" s="609"/>
      <c r="AD30" s="609"/>
      <c r="AE30" s="609"/>
      <c r="AF30" s="609"/>
      <c r="AG30" s="609"/>
      <c r="AH30" s="609"/>
      <c r="AI30" s="609"/>
      <c r="AJ30" s="609"/>
      <c r="AK30" s="609"/>
      <c r="AL30" s="609"/>
      <c r="AM30" s="609"/>
      <c r="AN30" s="609"/>
      <c r="AO30" s="609"/>
      <c r="AP30" s="609"/>
      <c r="AQ30" s="609"/>
      <c r="AR30" s="609"/>
      <c r="AS30" s="609"/>
      <c r="AT30" s="609"/>
      <c r="AU30" s="609"/>
      <c r="AV30" s="609"/>
      <c r="AW30" s="609"/>
      <c r="AX30" s="609"/>
      <c r="AY30" s="609"/>
      <c r="AZ30" s="609"/>
      <c r="BA30" s="609"/>
      <c r="BB30" s="609"/>
      <c r="BC30" s="609"/>
      <c r="BD30" s="609"/>
      <c r="BE30" s="609"/>
      <c r="BF30" s="609"/>
      <c r="BG30" s="609"/>
    </row>
    <row r="31" spans="1:59" s="160" customFormat="1" ht="18" customHeight="1" thickBot="1" x14ac:dyDescent="0.25">
      <c r="A31" s="846"/>
      <c r="B31" s="834" t="s">
        <v>764</v>
      </c>
      <c r="C31" s="835"/>
      <c r="D31" s="835"/>
      <c r="E31" s="836"/>
      <c r="F31" s="545">
        <f>SUM(F26:F30)</f>
        <v>0</v>
      </c>
      <c r="G31" s="610"/>
      <c r="H31" s="610"/>
      <c r="I31" s="610"/>
      <c r="J31" s="610"/>
      <c r="K31" s="610"/>
      <c r="L31" s="610"/>
      <c r="M31" s="610"/>
      <c r="N31" s="610"/>
      <c r="O31" s="610"/>
      <c r="P31" s="610"/>
      <c r="Q31" s="610"/>
      <c r="R31" s="610"/>
      <c r="S31" s="610"/>
      <c r="T31" s="610"/>
      <c r="U31" s="610"/>
      <c r="V31" s="610"/>
      <c r="W31" s="610"/>
      <c r="X31" s="610"/>
      <c r="Y31" s="610"/>
      <c r="Z31" s="610"/>
      <c r="AA31" s="610"/>
      <c r="AB31" s="610"/>
      <c r="AC31" s="610"/>
      <c r="AD31" s="610"/>
      <c r="AE31" s="610"/>
      <c r="AF31" s="610"/>
      <c r="AG31" s="610"/>
      <c r="AH31" s="610"/>
      <c r="AI31" s="610"/>
      <c r="AJ31" s="610"/>
      <c r="AK31" s="610"/>
      <c r="AL31" s="610"/>
      <c r="AM31" s="610"/>
      <c r="AN31" s="610"/>
      <c r="AO31" s="610"/>
      <c r="AP31" s="610"/>
      <c r="AQ31" s="610"/>
      <c r="AR31" s="610"/>
      <c r="AS31" s="610"/>
      <c r="AT31" s="610"/>
      <c r="AU31" s="610"/>
      <c r="AV31" s="610"/>
      <c r="AW31" s="610"/>
      <c r="AX31" s="610"/>
      <c r="AY31" s="610"/>
      <c r="AZ31" s="610"/>
      <c r="BA31" s="610"/>
      <c r="BB31" s="610"/>
      <c r="BC31" s="610"/>
      <c r="BD31" s="610"/>
      <c r="BE31" s="610"/>
      <c r="BF31" s="610"/>
      <c r="BG31" s="610"/>
    </row>
    <row r="32" spans="1:59" s="161" customFormat="1" ht="21" customHeight="1" thickBot="1" x14ac:dyDescent="0.25">
      <c r="A32" s="847"/>
      <c r="B32" s="859"/>
      <c r="C32" s="860"/>
      <c r="D32" s="860"/>
      <c r="E32" s="614" t="s">
        <v>146</v>
      </c>
      <c r="F32" s="179">
        <f>F31/12</f>
        <v>0</v>
      </c>
      <c r="G32" s="612"/>
      <c r="H32" s="612"/>
      <c r="I32" s="612"/>
      <c r="J32" s="612"/>
      <c r="K32" s="612"/>
      <c r="L32" s="612"/>
      <c r="M32" s="612"/>
      <c r="N32" s="612"/>
      <c r="O32" s="612"/>
      <c r="P32" s="612"/>
      <c r="Q32" s="612"/>
      <c r="R32" s="612"/>
      <c r="S32" s="612"/>
      <c r="T32" s="612"/>
      <c r="U32" s="612"/>
      <c r="V32" s="612"/>
      <c r="W32" s="612"/>
      <c r="X32" s="612"/>
      <c r="Y32" s="612"/>
      <c r="Z32" s="612"/>
      <c r="AA32" s="612"/>
      <c r="AB32" s="612"/>
      <c r="AC32" s="612"/>
      <c r="AD32" s="612"/>
      <c r="AE32" s="612"/>
      <c r="AF32" s="612"/>
      <c r="AG32" s="612"/>
      <c r="AH32" s="612"/>
      <c r="AI32" s="612"/>
      <c r="AJ32" s="612"/>
      <c r="AK32" s="612"/>
      <c r="AL32" s="612"/>
      <c r="AM32" s="612"/>
      <c r="AN32" s="612"/>
      <c r="AO32" s="612"/>
      <c r="AP32" s="612"/>
      <c r="AQ32" s="612"/>
      <c r="AR32" s="612"/>
      <c r="AS32" s="612"/>
      <c r="AT32" s="612"/>
      <c r="AU32" s="612"/>
      <c r="AV32" s="612"/>
      <c r="AW32" s="612"/>
      <c r="AX32" s="612"/>
      <c r="AY32" s="612"/>
      <c r="AZ32" s="612"/>
      <c r="BA32" s="612"/>
      <c r="BB32" s="612"/>
      <c r="BC32" s="612"/>
      <c r="BD32" s="612"/>
      <c r="BE32" s="612"/>
      <c r="BF32" s="612"/>
      <c r="BG32" s="612"/>
    </row>
    <row r="33" spans="1:59" s="270" customFormat="1" ht="24" customHeight="1" thickBot="1" x14ac:dyDescent="0.3">
      <c r="A33" s="831" t="s">
        <v>810</v>
      </c>
      <c r="B33" s="826" t="s">
        <v>786</v>
      </c>
      <c r="C33" s="827"/>
      <c r="D33" s="827"/>
      <c r="E33" s="827"/>
      <c r="F33" s="549"/>
      <c r="G33" s="611"/>
      <c r="H33" s="611"/>
      <c r="I33" s="611"/>
      <c r="J33" s="611"/>
      <c r="K33" s="611"/>
      <c r="L33" s="611"/>
      <c r="M33" s="611"/>
      <c r="N33" s="611"/>
      <c r="O33" s="611"/>
      <c r="P33" s="611"/>
      <c r="Q33" s="611"/>
      <c r="R33" s="611"/>
      <c r="S33" s="611"/>
      <c r="T33" s="611"/>
      <c r="U33" s="611"/>
      <c r="V33" s="611"/>
      <c r="W33" s="611"/>
      <c r="X33" s="611"/>
      <c r="Y33" s="611"/>
      <c r="Z33" s="611"/>
      <c r="AA33" s="611"/>
      <c r="AB33" s="611"/>
      <c r="AC33" s="611"/>
      <c r="AD33" s="611"/>
      <c r="AE33" s="611"/>
      <c r="AF33" s="611"/>
      <c r="AG33" s="611"/>
      <c r="AH33" s="611"/>
      <c r="AI33" s="611"/>
      <c r="AJ33" s="611"/>
      <c r="AK33" s="611"/>
      <c r="AL33" s="611"/>
      <c r="AM33" s="611"/>
      <c r="AN33" s="611"/>
      <c r="AO33" s="611"/>
      <c r="AP33" s="611"/>
      <c r="AQ33" s="611"/>
      <c r="AR33" s="611"/>
      <c r="AS33" s="611"/>
      <c r="AT33" s="611"/>
      <c r="AU33" s="611"/>
      <c r="AV33" s="611"/>
      <c r="AW33" s="611"/>
      <c r="AX33" s="611"/>
      <c r="AY33" s="611"/>
      <c r="AZ33" s="611"/>
      <c r="BA33" s="611"/>
      <c r="BB33" s="611"/>
      <c r="BC33" s="611"/>
      <c r="BD33" s="611"/>
      <c r="BE33" s="611"/>
      <c r="BF33" s="611"/>
      <c r="BG33" s="611"/>
    </row>
    <row r="34" spans="1:59" s="62" customFormat="1" ht="30" customHeight="1" thickBot="1" x14ac:dyDescent="0.25">
      <c r="A34" s="832"/>
      <c r="B34" s="811" t="s">
        <v>148</v>
      </c>
      <c r="C34" s="812"/>
      <c r="D34" s="812"/>
      <c r="E34" s="812"/>
      <c r="F34" s="550"/>
      <c r="G34" s="609"/>
      <c r="H34" s="609"/>
      <c r="I34" s="609"/>
      <c r="J34" s="609"/>
      <c r="K34" s="609"/>
      <c r="L34" s="609"/>
      <c r="M34" s="609"/>
      <c r="N34" s="609"/>
      <c r="O34" s="609"/>
      <c r="P34" s="609"/>
      <c r="Q34" s="609"/>
      <c r="R34" s="609"/>
      <c r="S34" s="609"/>
      <c r="T34" s="609"/>
      <c r="U34" s="609"/>
      <c r="V34" s="609"/>
      <c r="W34" s="609"/>
      <c r="X34" s="609"/>
      <c r="Y34" s="609"/>
      <c r="Z34" s="609"/>
      <c r="AA34" s="609"/>
      <c r="AB34" s="609"/>
      <c r="AC34" s="609"/>
      <c r="AD34" s="609"/>
      <c r="AE34" s="609"/>
      <c r="AF34" s="609"/>
      <c r="AG34" s="609"/>
      <c r="AH34" s="609"/>
      <c r="AI34" s="609"/>
      <c r="AJ34" s="609"/>
      <c r="AK34" s="609"/>
      <c r="AL34" s="609"/>
      <c r="AM34" s="609"/>
      <c r="AN34" s="609"/>
      <c r="AO34" s="609"/>
      <c r="AP34" s="609"/>
      <c r="AQ34" s="609"/>
      <c r="AR34" s="609"/>
      <c r="AS34" s="609"/>
      <c r="AT34" s="609"/>
      <c r="AU34" s="609"/>
      <c r="AV34" s="609"/>
      <c r="AW34" s="609"/>
      <c r="AX34" s="609"/>
      <c r="AY34" s="609"/>
      <c r="AZ34" s="609"/>
      <c r="BA34" s="609"/>
      <c r="BB34" s="609"/>
      <c r="BC34" s="609"/>
      <c r="BD34" s="609"/>
      <c r="BE34" s="609"/>
      <c r="BF34" s="609"/>
      <c r="BG34" s="609"/>
    </row>
    <row r="35" spans="1:59" s="62" customFormat="1" ht="18" customHeight="1" x14ac:dyDescent="0.2">
      <c r="A35" s="832"/>
      <c r="B35" s="813" t="s">
        <v>3594</v>
      </c>
      <c r="C35" s="814"/>
      <c r="D35" s="814"/>
      <c r="E35" s="814"/>
      <c r="F35" s="542"/>
      <c r="G35" s="609"/>
      <c r="H35" s="609"/>
      <c r="I35" s="609"/>
      <c r="J35" s="609"/>
      <c r="K35" s="609"/>
      <c r="L35" s="609"/>
      <c r="M35" s="609"/>
      <c r="N35" s="609"/>
      <c r="O35" s="609"/>
      <c r="P35" s="609"/>
      <c r="Q35" s="609"/>
      <c r="R35" s="609"/>
      <c r="S35" s="609"/>
      <c r="T35" s="609"/>
      <c r="U35" s="609"/>
      <c r="V35" s="609"/>
      <c r="W35" s="609"/>
      <c r="X35" s="609"/>
      <c r="Y35" s="609"/>
      <c r="Z35" s="609"/>
      <c r="AA35" s="609"/>
      <c r="AB35" s="609"/>
      <c r="AC35" s="609"/>
      <c r="AD35" s="609"/>
      <c r="AE35" s="609"/>
      <c r="AF35" s="609"/>
      <c r="AG35" s="609"/>
      <c r="AH35" s="609"/>
      <c r="AI35" s="609"/>
      <c r="AJ35" s="609"/>
      <c r="AK35" s="609"/>
      <c r="AL35" s="609"/>
      <c r="AM35" s="609"/>
      <c r="AN35" s="609"/>
      <c r="AO35" s="609"/>
      <c r="AP35" s="609"/>
      <c r="AQ35" s="609"/>
      <c r="AR35" s="609"/>
      <c r="AS35" s="609"/>
      <c r="AT35" s="609"/>
      <c r="AU35" s="609"/>
      <c r="AV35" s="609"/>
      <c r="AW35" s="609"/>
      <c r="AX35" s="609"/>
      <c r="AY35" s="609"/>
      <c r="AZ35" s="609"/>
      <c r="BA35" s="609"/>
      <c r="BB35" s="609"/>
      <c r="BC35" s="609"/>
      <c r="BD35" s="609"/>
      <c r="BE35" s="609"/>
      <c r="BF35" s="609"/>
      <c r="BG35" s="609"/>
    </row>
    <row r="36" spans="1:59" s="62" customFormat="1" ht="18" customHeight="1" x14ac:dyDescent="0.2">
      <c r="A36" s="832"/>
      <c r="B36" s="803" t="s">
        <v>3595</v>
      </c>
      <c r="C36" s="804"/>
      <c r="D36" s="804"/>
      <c r="E36" s="804"/>
      <c r="F36" s="542"/>
      <c r="G36" s="609"/>
      <c r="H36" s="609"/>
      <c r="I36" s="609"/>
      <c r="J36" s="609"/>
      <c r="K36" s="609"/>
      <c r="L36" s="609"/>
      <c r="M36" s="609"/>
      <c r="N36" s="609"/>
      <c r="O36" s="609"/>
      <c r="P36" s="609"/>
      <c r="Q36" s="609"/>
      <c r="R36" s="609"/>
      <c r="S36" s="609"/>
      <c r="T36" s="609"/>
      <c r="U36" s="609"/>
      <c r="V36" s="609"/>
      <c r="W36" s="609"/>
      <c r="X36" s="609"/>
      <c r="Y36" s="609"/>
      <c r="Z36" s="609"/>
      <c r="AA36" s="609"/>
      <c r="AB36" s="609"/>
      <c r="AC36" s="609"/>
      <c r="AD36" s="609"/>
      <c r="AE36" s="609"/>
      <c r="AF36" s="609"/>
      <c r="AG36" s="609"/>
      <c r="AH36" s="609"/>
      <c r="AI36" s="609"/>
      <c r="AJ36" s="609"/>
      <c r="AK36" s="609"/>
      <c r="AL36" s="609"/>
      <c r="AM36" s="609"/>
      <c r="AN36" s="609"/>
      <c r="AO36" s="609"/>
      <c r="AP36" s="609"/>
      <c r="AQ36" s="609"/>
      <c r="AR36" s="609"/>
      <c r="AS36" s="609"/>
      <c r="AT36" s="609"/>
      <c r="AU36" s="609"/>
      <c r="AV36" s="609"/>
      <c r="AW36" s="609"/>
      <c r="AX36" s="609"/>
      <c r="AY36" s="609"/>
      <c r="AZ36" s="609"/>
      <c r="BA36" s="609"/>
      <c r="BB36" s="609"/>
      <c r="BC36" s="609"/>
      <c r="BD36" s="609"/>
      <c r="BE36" s="609"/>
      <c r="BF36" s="609"/>
      <c r="BG36" s="609"/>
    </row>
    <row r="37" spans="1:59" s="62" customFormat="1" ht="18" customHeight="1" x14ac:dyDescent="0.2">
      <c r="A37" s="832"/>
      <c r="B37" s="803" t="s">
        <v>3596</v>
      </c>
      <c r="C37" s="804"/>
      <c r="D37" s="804"/>
      <c r="E37" s="804"/>
      <c r="F37" s="542"/>
      <c r="G37" s="609"/>
      <c r="H37" s="609"/>
      <c r="I37" s="609"/>
      <c r="J37" s="609"/>
      <c r="K37" s="609"/>
      <c r="L37" s="609"/>
      <c r="M37" s="609"/>
      <c r="N37" s="609"/>
      <c r="O37" s="609"/>
      <c r="P37" s="609"/>
      <c r="Q37" s="609"/>
      <c r="R37" s="609"/>
      <c r="S37" s="609"/>
      <c r="T37" s="609"/>
      <c r="U37" s="609"/>
      <c r="V37" s="609"/>
      <c r="W37" s="609"/>
      <c r="X37" s="609"/>
      <c r="Y37" s="609"/>
      <c r="Z37" s="609"/>
      <c r="AA37" s="609"/>
      <c r="AB37" s="609"/>
      <c r="AC37" s="609"/>
      <c r="AD37" s="609"/>
      <c r="AE37" s="609"/>
      <c r="AF37" s="609"/>
      <c r="AG37" s="609"/>
      <c r="AH37" s="609"/>
      <c r="AI37" s="609"/>
      <c r="AJ37" s="609"/>
      <c r="AK37" s="609"/>
      <c r="AL37" s="609"/>
      <c r="AM37" s="609"/>
      <c r="AN37" s="609"/>
      <c r="AO37" s="609"/>
      <c r="AP37" s="609"/>
      <c r="AQ37" s="609"/>
      <c r="AR37" s="609"/>
      <c r="AS37" s="609"/>
      <c r="AT37" s="609"/>
      <c r="AU37" s="609"/>
      <c r="AV37" s="609"/>
      <c r="AW37" s="609"/>
      <c r="AX37" s="609"/>
      <c r="AY37" s="609"/>
      <c r="AZ37" s="609"/>
      <c r="BA37" s="609"/>
      <c r="BB37" s="609"/>
      <c r="BC37" s="609"/>
      <c r="BD37" s="609"/>
      <c r="BE37" s="609"/>
      <c r="BF37" s="609"/>
      <c r="BG37" s="609"/>
    </row>
    <row r="38" spans="1:59" s="62" customFormat="1" ht="18" customHeight="1" x14ac:dyDescent="0.2">
      <c r="A38" s="832"/>
      <c r="B38" s="803" t="s">
        <v>3597</v>
      </c>
      <c r="C38" s="804"/>
      <c r="D38" s="804"/>
      <c r="E38" s="804"/>
      <c r="F38" s="542"/>
      <c r="G38" s="609"/>
      <c r="H38" s="609"/>
      <c r="I38" s="609"/>
      <c r="J38" s="609"/>
      <c r="K38" s="609"/>
      <c r="L38" s="609"/>
      <c r="M38" s="609"/>
      <c r="N38" s="609"/>
      <c r="O38" s="609"/>
      <c r="P38" s="609"/>
      <c r="Q38" s="609"/>
      <c r="R38" s="609"/>
      <c r="S38" s="609"/>
      <c r="T38" s="609"/>
      <c r="U38" s="609"/>
      <c r="V38" s="609"/>
      <c r="W38" s="609"/>
      <c r="X38" s="609"/>
      <c r="Y38" s="609"/>
      <c r="Z38" s="609"/>
      <c r="AA38" s="609"/>
      <c r="AB38" s="609"/>
      <c r="AC38" s="609"/>
      <c r="AD38" s="609"/>
      <c r="AE38" s="609"/>
      <c r="AF38" s="609"/>
      <c r="AG38" s="609"/>
      <c r="AH38" s="609"/>
      <c r="AI38" s="609"/>
      <c r="AJ38" s="609"/>
      <c r="AK38" s="609"/>
      <c r="AL38" s="609"/>
      <c r="AM38" s="609"/>
      <c r="AN38" s="609"/>
      <c r="AO38" s="609"/>
      <c r="AP38" s="609"/>
      <c r="AQ38" s="609"/>
      <c r="AR38" s="609"/>
      <c r="AS38" s="609"/>
      <c r="AT38" s="609"/>
      <c r="AU38" s="609"/>
      <c r="AV38" s="609"/>
      <c r="AW38" s="609"/>
      <c r="AX38" s="609"/>
      <c r="AY38" s="609"/>
      <c r="AZ38" s="609"/>
      <c r="BA38" s="609"/>
      <c r="BB38" s="609"/>
      <c r="BC38" s="609"/>
      <c r="BD38" s="609"/>
      <c r="BE38" s="609"/>
      <c r="BF38" s="609"/>
      <c r="BG38" s="609"/>
    </row>
    <row r="39" spans="1:59" s="62" customFormat="1" ht="18" customHeight="1" thickBot="1" x14ac:dyDescent="0.25">
      <c r="A39" s="832"/>
      <c r="B39" s="803" t="s">
        <v>3598</v>
      </c>
      <c r="C39" s="804"/>
      <c r="D39" s="804"/>
      <c r="E39" s="804"/>
      <c r="F39" s="542"/>
      <c r="G39" s="609"/>
      <c r="H39" s="609"/>
      <c r="I39" s="609"/>
      <c r="J39" s="609"/>
      <c r="K39" s="609"/>
      <c r="L39" s="609"/>
      <c r="M39" s="609"/>
      <c r="N39" s="609"/>
      <c r="O39" s="609"/>
      <c r="P39" s="609"/>
      <c r="Q39" s="609"/>
      <c r="R39" s="609"/>
      <c r="S39" s="609"/>
      <c r="T39" s="609"/>
      <c r="U39" s="609"/>
      <c r="V39" s="609"/>
      <c r="W39" s="609"/>
      <c r="X39" s="609"/>
      <c r="Y39" s="609"/>
      <c r="Z39" s="609"/>
      <c r="AA39" s="609"/>
      <c r="AB39" s="609"/>
      <c r="AC39" s="609"/>
      <c r="AD39" s="609"/>
      <c r="AE39" s="609"/>
      <c r="AF39" s="609"/>
      <c r="AG39" s="609"/>
      <c r="AH39" s="609"/>
      <c r="AI39" s="609"/>
      <c r="AJ39" s="609"/>
      <c r="AK39" s="609"/>
      <c r="AL39" s="609"/>
      <c r="AM39" s="609"/>
      <c r="AN39" s="609"/>
      <c r="AO39" s="609"/>
      <c r="AP39" s="609"/>
      <c r="AQ39" s="609"/>
      <c r="AR39" s="609"/>
      <c r="AS39" s="609"/>
      <c r="AT39" s="609"/>
      <c r="AU39" s="609"/>
      <c r="AV39" s="609"/>
      <c r="AW39" s="609"/>
      <c r="AX39" s="609"/>
      <c r="AY39" s="609"/>
      <c r="AZ39" s="609"/>
      <c r="BA39" s="609"/>
      <c r="BB39" s="609"/>
      <c r="BC39" s="609"/>
      <c r="BD39" s="609"/>
      <c r="BE39" s="609"/>
      <c r="BF39" s="609"/>
      <c r="BG39" s="609"/>
    </row>
    <row r="40" spans="1:59" s="62" customFormat="1" ht="30" customHeight="1" thickBot="1" x14ac:dyDescent="0.25">
      <c r="A40" s="832"/>
      <c r="B40" s="815" t="s">
        <v>1109</v>
      </c>
      <c r="C40" s="812"/>
      <c r="D40" s="812"/>
      <c r="E40" s="812"/>
      <c r="F40" s="551"/>
      <c r="G40" s="609"/>
      <c r="H40" s="609"/>
      <c r="I40" s="609"/>
      <c r="J40" s="609"/>
      <c r="K40" s="609"/>
      <c r="L40" s="609"/>
      <c r="M40" s="609"/>
      <c r="N40" s="609"/>
      <c r="O40" s="609"/>
      <c r="P40" s="609"/>
      <c r="Q40" s="609"/>
      <c r="R40" s="609"/>
      <c r="S40" s="609"/>
      <c r="T40" s="609"/>
      <c r="U40" s="609"/>
      <c r="V40" s="609"/>
      <c r="W40" s="609"/>
      <c r="X40" s="609"/>
      <c r="Y40" s="609"/>
      <c r="Z40" s="609"/>
      <c r="AA40" s="609"/>
      <c r="AB40" s="609"/>
      <c r="AC40" s="609"/>
      <c r="AD40" s="609"/>
      <c r="AE40" s="609"/>
      <c r="AF40" s="609"/>
      <c r="AG40" s="609"/>
      <c r="AH40" s="609"/>
      <c r="AI40" s="609"/>
      <c r="AJ40" s="609"/>
      <c r="AK40" s="609"/>
      <c r="AL40" s="609"/>
      <c r="AM40" s="609"/>
      <c r="AN40" s="609"/>
      <c r="AO40" s="609"/>
      <c r="AP40" s="609"/>
      <c r="AQ40" s="609"/>
      <c r="AR40" s="609"/>
      <c r="AS40" s="609"/>
      <c r="AT40" s="609"/>
      <c r="AU40" s="609"/>
      <c r="AV40" s="609"/>
      <c r="AW40" s="609"/>
      <c r="AX40" s="609"/>
      <c r="AY40" s="609"/>
      <c r="AZ40" s="609"/>
      <c r="BA40" s="609"/>
      <c r="BB40" s="609"/>
      <c r="BC40" s="609"/>
      <c r="BD40" s="609"/>
      <c r="BE40" s="609"/>
      <c r="BF40" s="609"/>
      <c r="BG40" s="609"/>
    </row>
    <row r="41" spans="1:59" s="62" customFormat="1" ht="18" customHeight="1" thickBot="1" x14ac:dyDescent="0.25">
      <c r="A41" s="832"/>
      <c r="B41" s="141"/>
      <c r="C41" s="533" t="s">
        <v>792</v>
      </c>
      <c r="D41" s="535" t="s">
        <v>793</v>
      </c>
      <c r="E41" s="536" t="s">
        <v>794</v>
      </c>
      <c r="F41" s="543"/>
      <c r="G41" s="609"/>
      <c r="H41" s="609"/>
      <c r="I41" s="609"/>
      <c r="J41" s="609"/>
      <c r="K41" s="609"/>
      <c r="L41" s="609"/>
      <c r="M41" s="609"/>
      <c r="N41" s="609"/>
      <c r="O41" s="609"/>
      <c r="P41" s="609"/>
      <c r="Q41" s="609"/>
      <c r="R41" s="609"/>
      <c r="S41" s="609"/>
      <c r="T41" s="609"/>
      <c r="U41" s="609"/>
      <c r="V41" s="609"/>
      <c r="W41" s="609"/>
      <c r="X41" s="609"/>
      <c r="Y41" s="609"/>
      <c r="Z41" s="609"/>
      <c r="AA41" s="609"/>
      <c r="AB41" s="609"/>
      <c r="AC41" s="609"/>
      <c r="AD41" s="609"/>
      <c r="AE41" s="609"/>
      <c r="AF41" s="609"/>
      <c r="AG41" s="609"/>
      <c r="AH41" s="609"/>
      <c r="AI41" s="609"/>
      <c r="AJ41" s="609"/>
      <c r="AK41" s="609"/>
      <c r="AL41" s="609"/>
      <c r="AM41" s="609"/>
      <c r="AN41" s="609"/>
      <c r="AO41" s="609"/>
      <c r="AP41" s="609"/>
      <c r="AQ41" s="609"/>
      <c r="AR41" s="609"/>
      <c r="AS41" s="609"/>
      <c r="AT41" s="609"/>
      <c r="AU41" s="609"/>
      <c r="AV41" s="609"/>
      <c r="AW41" s="609"/>
      <c r="AX41" s="609"/>
      <c r="AY41" s="609"/>
      <c r="AZ41" s="609"/>
      <c r="BA41" s="609"/>
      <c r="BB41" s="609"/>
      <c r="BC41" s="609"/>
      <c r="BD41" s="609"/>
      <c r="BE41" s="609"/>
      <c r="BF41" s="609"/>
      <c r="BG41" s="609"/>
    </row>
    <row r="42" spans="1:59" s="62" customFormat="1" ht="15" customHeight="1" x14ac:dyDescent="0.2">
      <c r="A42" s="832"/>
      <c r="B42" s="531" t="s">
        <v>300</v>
      </c>
      <c r="C42" s="137" t="s">
        <v>292</v>
      </c>
      <c r="D42" s="137" t="s">
        <v>293</v>
      </c>
      <c r="E42" s="138" t="s">
        <v>294</v>
      </c>
      <c r="F42" s="148">
        <v>0</v>
      </c>
      <c r="G42" s="609"/>
      <c r="H42" s="609"/>
      <c r="I42" s="609"/>
      <c r="J42" s="609"/>
      <c r="K42" s="609"/>
      <c r="L42" s="609"/>
      <c r="M42" s="609"/>
      <c r="N42" s="609"/>
      <c r="O42" s="609"/>
      <c r="P42" s="609"/>
      <c r="Q42" s="609"/>
      <c r="R42" s="609"/>
      <c r="S42" s="609"/>
      <c r="T42" s="609"/>
      <c r="U42" s="609"/>
      <c r="V42" s="609"/>
      <c r="W42" s="609"/>
      <c r="X42" s="609"/>
      <c r="Y42" s="609"/>
      <c r="Z42" s="609"/>
      <c r="AA42" s="609"/>
      <c r="AB42" s="609"/>
      <c r="AC42" s="609"/>
      <c r="AD42" s="609"/>
      <c r="AE42" s="609"/>
      <c r="AF42" s="609"/>
      <c r="AG42" s="609"/>
      <c r="AH42" s="609"/>
      <c r="AI42" s="609"/>
      <c r="AJ42" s="609"/>
      <c r="AK42" s="609"/>
      <c r="AL42" s="609"/>
      <c r="AM42" s="609"/>
      <c r="AN42" s="609"/>
      <c r="AO42" s="609"/>
      <c r="AP42" s="609"/>
      <c r="AQ42" s="609"/>
      <c r="AR42" s="609"/>
      <c r="AS42" s="609"/>
      <c r="AT42" s="609"/>
      <c r="AU42" s="609"/>
      <c r="AV42" s="609"/>
      <c r="AW42" s="609"/>
      <c r="AX42" s="609"/>
      <c r="AY42" s="609"/>
      <c r="AZ42" s="609"/>
      <c r="BA42" s="609"/>
      <c r="BB42" s="609"/>
      <c r="BC42" s="609"/>
      <c r="BD42" s="609"/>
      <c r="BE42" s="609"/>
      <c r="BF42" s="609"/>
      <c r="BG42" s="609"/>
    </row>
    <row r="43" spans="1:59" s="62" customFormat="1" ht="18" customHeight="1" x14ac:dyDescent="0.2">
      <c r="A43" s="832"/>
      <c r="B43" s="531" t="s">
        <v>301</v>
      </c>
      <c r="C43" s="139" t="s">
        <v>798</v>
      </c>
      <c r="D43" s="139" t="s">
        <v>801</v>
      </c>
      <c r="E43" s="140" t="s">
        <v>800</v>
      </c>
      <c r="F43" s="149">
        <v>0</v>
      </c>
      <c r="G43" s="609"/>
      <c r="H43" s="609"/>
      <c r="I43" s="609"/>
      <c r="J43" s="609"/>
      <c r="K43" s="609"/>
      <c r="L43" s="609"/>
      <c r="M43" s="609"/>
      <c r="N43" s="609"/>
      <c r="O43" s="609"/>
      <c r="P43" s="609"/>
      <c r="Q43" s="609"/>
      <c r="R43" s="609"/>
      <c r="S43" s="609"/>
      <c r="T43" s="609"/>
      <c r="U43" s="609"/>
      <c r="V43" s="609"/>
      <c r="W43" s="609"/>
      <c r="X43" s="609"/>
      <c r="Y43" s="609"/>
      <c r="Z43" s="609"/>
      <c r="AA43" s="609"/>
      <c r="AB43" s="609"/>
      <c r="AC43" s="609"/>
      <c r="AD43" s="609"/>
      <c r="AE43" s="609"/>
      <c r="AF43" s="609"/>
      <c r="AG43" s="609"/>
      <c r="AH43" s="609"/>
      <c r="AI43" s="609"/>
      <c r="AJ43" s="609"/>
      <c r="AK43" s="609"/>
      <c r="AL43" s="609"/>
      <c r="AM43" s="609"/>
      <c r="AN43" s="609"/>
      <c r="AO43" s="609"/>
      <c r="AP43" s="609"/>
      <c r="AQ43" s="609"/>
      <c r="AR43" s="609"/>
      <c r="AS43" s="609"/>
      <c r="AT43" s="609"/>
      <c r="AU43" s="609"/>
      <c r="AV43" s="609"/>
      <c r="AW43" s="609"/>
      <c r="AX43" s="609"/>
      <c r="AY43" s="609"/>
      <c r="AZ43" s="609"/>
      <c r="BA43" s="609"/>
      <c r="BB43" s="609"/>
      <c r="BC43" s="609"/>
      <c r="BD43" s="609"/>
      <c r="BE43" s="609"/>
      <c r="BF43" s="609"/>
      <c r="BG43" s="609"/>
    </row>
    <row r="44" spans="1:59" s="272" customFormat="1" ht="15" customHeight="1" x14ac:dyDescent="0.2">
      <c r="A44" s="832"/>
      <c r="B44" s="821" t="s">
        <v>302</v>
      </c>
      <c r="C44" s="822"/>
      <c r="D44" s="822"/>
      <c r="E44" s="822"/>
      <c r="F44" s="551"/>
      <c r="G44" s="609"/>
      <c r="H44" s="609"/>
      <c r="I44" s="609"/>
      <c r="J44" s="609"/>
      <c r="K44" s="609"/>
      <c r="L44" s="609"/>
      <c r="M44" s="609"/>
      <c r="N44" s="609"/>
      <c r="O44" s="609"/>
      <c r="P44" s="609"/>
      <c r="Q44" s="609"/>
      <c r="R44" s="609"/>
      <c r="S44" s="609"/>
      <c r="T44" s="609"/>
      <c r="U44" s="609"/>
      <c r="V44" s="609"/>
      <c r="W44" s="609"/>
      <c r="X44" s="609"/>
      <c r="Y44" s="609"/>
      <c r="Z44" s="609"/>
      <c r="AA44" s="609"/>
      <c r="AB44" s="609"/>
      <c r="AC44" s="609"/>
      <c r="AD44" s="609"/>
      <c r="AE44" s="609"/>
      <c r="AF44" s="609"/>
      <c r="AG44" s="609"/>
      <c r="AH44" s="609"/>
      <c r="AI44" s="609"/>
      <c r="AJ44" s="609"/>
      <c r="AK44" s="609"/>
      <c r="AL44" s="609"/>
      <c r="AM44" s="609"/>
      <c r="AN44" s="609"/>
      <c r="AO44" s="609"/>
      <c r="AP44" s="609"/>
      <c r="AQ44" s="609"/>
      <c r="AR44" s="609"/>
      <c r="AS44" s="609"/>
      <c r="AT44" s="609"/>
      <c r="AU44" s="609"/>
      <c r="AV44" s="609"/>
      <c r="AW44" s="609"/>
      <c r="AX44" s="609"/>
      <c r="AY44" s="609"/>
      <c r="AZ44" s="609"/>
      <c r="BA44" s="609"/>
      <c r="BB44" s="609"/>
      <c r="BC44" s="609"/>
      <c r="BD44" s="609"/>
      <c r="BE44" s="609"/>
      <c r="BF44" s="609"/>
      <c r="BG44" s="609"/>
    </row>
    <row r="45" spans="1:59" s="62" customFormat="1" ht="18" customHeight="1" x14ac:dyDescent="0.2">
      <c r="A45" s="832"/>
      <c r="B45" s="531" t="s">
        <v>803</v>
      </c>
      <c r="C45" s="137" t="s">
        <v>765</v>
      </c>
      <c r="D45" s="137" t="s">
        <v>766</v>
      </c>
      <c r="E45" s="138" t="s">
        <v>767</v>
      </c>
      <c r="F45" s="149">
        <v>0</v>
      </c>
      <c r="G45" s="609"/>
      <c r="H45" s="609"/>
      <c r="I45" s="609"/>
      <c r="J45" s="609"/>
      <c r="K45" s="609"/>
      <c r="L45" s="609"/>
      <c r="M45" s="609"/>
      <c r="N45" s="609"/>
      <c r="O45" s="609"/>
      <c r="P45" s="609"/>
      <c r="Q45" s="609"/>
      <c r="R45" s="609"/>
      <c r="S45" s="609"/>
      <c r="T45" s="609"/>
      <c r="U45" s="609"/>
      <c r="V45" s="609"/>
      <c r="W45" s="609"/>
      <c r="X45" s="609"/>
      <c r="Y45" s="609"/>
      <c r="Z45" s="609"/>
      <c r="AA45" s="609"/>
      <c r="AB45" s="609"/>
      <c r="AC45" s="609"/>
      <c r="AD45" s="609"/>
      <c r="AE45" s="609"/>
      <c r="AF45" s="609"/>
      <c r="AG45" s="609"/>
      <c r="AH45" s="609"/>
      <c r="AI45" s="609"/>
      <c r="AJ45" s="609"/>
      <c r="AK45" s="609"/>
      <c r="AL45" s="609"/>
      <c r="AM45" s="609"/>
      <c r="AN45" s="609"/>
      <c r="AO45" s="609"/>
      <c r="AP45" s="609"/>
      <c r="AQ45" s="609"/>
      <c r="AR45" s="609"/>
      <c r="AS45" s="609"/>
      <c r="AT45" s="609"/>
      <c r="AU45" s="609"/>
      <c r="AV45" s="609"/>
      <c r="AW45" s="609"/>
      <c r="AX45" s="609"/>
      <c r="AY45" s="609"/>
      <c r="AZ45" s="609"/>
      <c r="BA45" s="609"/>
      <c r="BB45" s="609"/>
      <c r="BC45" s="609"/>
      <c r="BD45" s="609"/>
      <c r="BE45" s="609"/>
      <c r="BF45" s="609"/>
      <c r="BG45" s="609"/>
    </row>
    <row r="46" spans="1:59" s="62" customFormat="1" ht="18" customHeight="1" thickBot="1" x14ac:dyDescent="0.25">
      <c r="A46" s="832"/>
      <c r="B46" s="531" t="s">
        <v>802</v>
      </c>
      <c r="C46" s="137" t="s">
        <v>761</v>
      </c>
      <c r="D46" s="137" t="s">
        <v>795</v>
      </c>
      <c r="E46" s="138" t="s">
        <v>796</v>
      </c>
      <c r="F46" s="151">
        <v>0</v>
      </c>
      <c r="G46" s="609"/>
      <c r="H46" s="609"/>
      <c r="I46" s="609"/>
      <c r="J46" s="609"/>
      <c r="K46" s="609"/>
      <c r="L46" s="609"/>
      <c r="M46" s="609"/>
      <c r="N46" s="609"/>
      <c r="O46" s="609"/>
      <c r="P46" s="609"/>
      <c r="Q46" s="609"/>
      <c r="R46" s="609"/>
      <c r="S46" s="609"/>
      <c r="T46" s="609"/>
      <c r="U46" s="609"/>
      <c r="V46" s="609"/>
      <c r="W46" s="609"/>
      <c r="X46" s="609"/>
      <c r="Y46" s="609"/>
      <c r="Z46" s="609"/>
      <c r="AA46" s="609"/>
      <c r="AB46" s="609"/>
      <c r="AC46" s="609"/>
      <c r="AD46" s="609"/>
      <c r="AE46" s="609"/>
      <c r="AF46" s="609"/>
      <c r="AG46" s="609"/>
      <c r="AH46" s="609"/>
      <c r="AI46" s="609"/>
      <c r="AJ46" s="609"/>
      <c r="AK46" s="609"/>
      <c r="AL46" s="609"/>
      <c r="AM46" s="609"/>
      <c r="AN46" s="609"/>
      <c r="AO46" s="609"/>
      <c r="AP46" s="609"/>
      <c r="AQ46" s="609"/>
      <c r="AR46" s="609"/>
      <c r="AS46" s="609"/>
      <c r="AT46" s="609"/>
      <c r="AU46" s="609"/>
      <c r="AV46" s="609"/>
      <c r="AW46" s="609"/>
      <c r="AX46" s="609"/>
      <c r="AY46" s="609"/>
      <c r="AZ46" s="609"/>
      <c r="BA46" s="609"/>
      <c r="BB46" s="609"/>
      <c r="BC46" s="609"/>
      <c r="BD46" s="609"/>
      <c r="BE46" s="609"/>
      <c r="BF46" s="609"/>
      <c r="BG46" s="609"/>
    </row>
    <row r="47" spans="1:59" s="160" customFormat="1" ht="18" customHeight="1" thickBot="1" x14ac:dyDescent="0.25">
      <c r="A47" s="832"/>
      <c r="B47" s="834" t="s">
        <v>764</v>
      </c>
      <c r="C47" s="835"/>
      <c r="D47" s="835"/>
      <c r="E47" s="836"/>
      <c r="F47" s="545">
        <f>SUM(F42:F46)</f>
        <v>0</v>
      </c>
      <c r="G47" s="610"/>
      <c r="H47" s="610"/>
      <c r="I47" s="610"/>
      <c r="J47" s="610"/>
      <c r="K47" s="610"/>
      <c r="L47" s="610"/>
      <c r="M47" s="610"/>
      <c r="N47" s="610"/>
      <c r="O47" s="610"/>
      <c r="P47" s="610"/>
      <c r="Q47" s="610"/>
      <c r="R47" s="610"/>
      <c r="S47" s="610"/>
      <c r="T47" s="610"/>
      <c r="U47" s="610"/>
      <c r="V47" s="610"/>
      <c r="W47" s="610"/>
      <c r="X47" s="610"/>
      <c r="Y47" s="610"/>
      <c r="Z47" s="610"/>
      <c r="AA47" s="610"/>
      <c r="AB47" s="610"/>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0"/>
      <c r="AY47" s="610"/>
      <c r="AZ47" s="610"/>
      <c r="BA47" s="610"/>
      <c r="BB47" s="610"/>
      <c r="BC47" s="610"/>
      <c r="BD47" s="610"/>
      <c r="BE47" s="610"/>
      <c r="BF47" s="610"/>
      <c r="BG47" s="610"/>
    </row>
    <row r="48" spans="1:59" s="160" customFormat="1" ht="21" customHeight="1" thickBot="1" x14ac:dyDescent="0.25">
      <c r="A48" s="833"/>
      <c r="B48" s="799"/>
      <c r="C48" s="800"/>
      <c r="D48" s="800"/>
      <c r="E48" s="614" t="s">
        <v>146</v>
      </c>
      <c r="F48" s="179">
        <f>F47/12</f>
        <v>0</v>
      </c>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610"/>
      <c r="BE48" s="610"/>
      <c r="BF48" s="610"/>
      <c r="BG48" s="610"/>
    </row>
    <row r="49" spans="1:59" s="270" customFormat="1" ht="24" customHeight="1" thickBot="1" x14ac:dyDescent="0.3">
      <c r="A49" s="805" t="s">
        <v>781</v>
      </c>
      <c r="B49" s="809" t="s">
        <v>787</v>
      </c>
      <c r="C49" s="810"/>
      <c r="D49" s="810"/>
      <c r="E49" s="810"/>
      <c r="F49" s="546"/>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1"/>
      <c r="AZ49" s="611"/>
      <c r="BA49" s="611"/>
      <c r="BB49" s="611"/>
      <c r="BC49" s="611"/>
      <c r="BD49" s="611"/>
      <c r="BE49" s="611"/>
      <c r="BF49" s="611"/>
      <c r="BG49" s="611"/>
    </row>
    <row r="50" spans="1:59" s="62" customFormat="1" ht="30" customHeight="1" thickBot="1" x14ac:dyDescent="0.25">
      <c r="A50" s="806"/>
      <c r="B50" s="811" t="s">
        <v>149</v>
      </c>
      <c r="C50" s="812"/>
      <c r="D50" s="812"/>
      <c r="E50" s="812"/>
      <c r="F50" s="550"/>
      <c r="G50" s="609"/>
      <c r="H50" s="609"/>
      <c r="I50" s="609"/>
      <c r="J50" s="609"/>
      <c r="K50" s="609"/>
      <c r="L50" s="609"/>
      <c r="M50" s="609"/>
      <c r="N50" s="609"/>
      <c r="O50" s="609"/>
      <c r="P50" s="609"/>
      <c r="Q50" s="609"/>
      <c r="R50" s="609"/>
      <c r="S50" s="609"/>
      <c r="T50" s="609"/>
      <c r="U50" s="609"/>
      <c r="V50" s="609"/>
      <c r="W50" s="609"/>
      <c r="X50" s="609"/>
      <c r="Y50" s="609"/>
      <c r="Z50" s="609"/>
      <c r="AA50" s="609"/>
      <c r="AB50" s="609"/>
      <c r="AC50" s="609"/>
      <c r="AD50" s="609"/>
      <c r="AE50" s="609"/>
      <c r="AF50" s="609"/>
      <c r="AG50" s="609"/>
      <c r="AH50" s="609"/>
      <c r="AI50" s="609"/>
      <c r="AJ50" s="609"/>
      <c r="AK50" s="609"/>
      <c r="AL50" s="609"/>
      <c r="AM50" s="609"/>
      <c r="AN50" s="609"/>
      <c r="AO50" s="609"/>
      <c r="AP50" s="609"/>
      <c r="AQ50" s="609"/>
      <c r="AR50" s="609"/>
      <c r="AS50" s="609"/>
      <c r="AT50" s="609"/>
      <c r="AU50" s="609"/>
      <c r="AV50" s="609"/>
      <c r="AW50" s="609"/>
      <c r="AX50" s="609"/>
      <c r="AY50" s="609"/>
      <c r="AZ50" s="609"/>
      <c r="BA50" s="609"/>
      <c r="BB50" s="609"/>
      <c r="BC50" s="609"/>
      <c r="BD50" s="609"/>
      <c r="BE50" s="609"/>
      <c r="BF50" s="609"/>
      <c r="BG50" s="609"/>
    </row>
    <row r="51" spans="1:59" s="62" customFormat="1" ht="18" customHeight="1" x14ac:dyDescent="0.2">
      <c r="A51" s="806"/>
      <c r="B51" s="837" t="s">
        <v>3599</v>
      </c>
      <c r="C51" s="838"/>
      <c r="D51" s="838"/>
      <c r="E51" s="839"/>
      <c r="F51" s="542"/>
      <c r="G51" s="609"/>
      <c r="H51" s="609"/>
      <c r="I51" s="609"/>
      <c r="J51" s="609"/>
      <c r="K51" s="609"/>
      <c r="L51" s="609"/>
      <c r="M51" s="609"/>
      <c r="N51" s="609"/>
      <c r="O51" s="609"/>
      <c r="P51" s="609"/>
      <c r="Q51" s="609"/>
      <c r="R51" s="609"/>
      <c r="S51" s="609"/>
      <c r="T51" s="609"/>
      <c r="U51" s="609"/>
      <c r="V51" s="609"/>
      <c r="W51" s="609"/>
      <c r="X51" s="609"/>
      <c r="Y51" s="609"/>
      <c r="Z51" s="609"/>
      <c r="AA51" s="609"/>
      <c r="AB51" s="609"/>
      <c r="AC51" s="609"/>
      <c r="AD51" s="609"/>
      <c r="AE51" s="609"/>
      <c r="AF51" s="609"/>
      <c r="AG51" s="609"/>
      <c r="AH51" s="609"/>
      <c r="AI51" s="609"/>
      <c r="AJ51" s="609"/>
      <c r="AK51" s="609"/>
      <c r="AL51" s="609"/>
      <c r="AM51" s="609"/>
      <c r="AN51" s="609"/>
      <c r="AO51" s="609"/>
      <c r="AP51" s="609"/>
      <c r="AQ51" s="609"/>
      <c r="AR51" s="609"/>
      <c r="AS51" s="609"/>
      <c r="AT51" s="609"/>
      <c r="AU51" s="609"/>
      <c r="AV51" s="609"/>
      <c r="AW51" s="609"/>
      <c r="AX51" s="609"/>
      <c r="AY51" s="609"/>
      <c r="AZ51" s="609"/>
      <c r="BA51" s="609"/>
      <c r="BB51" s="609"/>
      <c r="BC51" s="609"/>
      <c r="BD51" s="609"/>
      <c r="BE51" s="609"/>
      <c r="BF51" s="609"/>
      <c r="BG51" s="609"/>
    </row>
    <row r="52" spans="1:59" s="62" customFormat="1" ht="18" customHeight="1" x14ac:dyDescent="0.2">
      <c r="A52" s="806"/>
      <c r="B52" s="803" t="s">
        <v>3600</v>
      </c>
      <c r="C52" s="804"/>
      <c r="D52" s="804"/>
      <c r="E52" s="804"/>
      <c r="F52" s="542"/>
      <c r="G52" s="609"/>
      <c r="H52" s="609"/>
      <c r="I52" s="609"/>
      <c r="J52" s="609"/>
      <c r="K52" s="609"/>
      <c r="L52" s="609"/>
      <c r="M52" s="609"/>
      <c r="N52" s="609"/>
      <c r="O52" s="609"/>
      <c r="P52" s="609"/>
      <c r="Q52" s="609"/>
      <c r="R52" s="609"/>
      <c r="S52" s="609"/>
      <c r="T52" s="609"/>
      <c r="U52" s="609"/>
      <c r="V52" s="609"/>
      <c r="W52" s="609"/>
      <c r="X52" s="609"/>
      <c r="Y52" s="609"/>
      <c r="Z52" s="609"/>
      <c r="AA52" s="609"/>
      <c r="AB52" s="609"/>
      <c r="AC52" s="609"/>
      <c r="AD52" s="609"/>
      <c r="AE52" s="609"/>
      <c r="AF52" s="609"/>
      <c r="AG52" s="609"/>
      <c r="AH52" s="609"/>
      <c r="AI52" s="609"/>
      <c r="AJ52" s="609"/>
      <c r="AK52" s="609"/>
      <c r="AL52" s="609"/>
      <c r="AM52" s="609"/>
      <c r="AN52" s="609"/>
      <c r="AO52" s="609"/>
      <c r="AP52" s="609"/>
      <c r="AQ52" s="609"/>
      <c r="AR52" s="609"/>
      <c r="AS52" s="609"/>
      <c r="AT52" s="609"/>
      <c r="AU52" s="609"/>
      <c r="AV52" s="609"/>
      <c r="AW52" s="609"/>
      <c r="AX52" s="609"/>
      <c r="AY52" s="609"/>
      <c r="AZ52" s="609"/>
      <c r="BA52" s="609"/>
      <c r="BB52" s="609"/>
      <c r="BC52" s="609"/>
      <c r="BD52" s="609"/>
      <c r="BE52" s="609"/>
      <c r="BF52" s="609"/>
      <c r="BG52" s="609"/>
    </row>
    <row r="53" spans="1:59" s="62" customFormat="1" ht="18" customHeight="1" x14ac:dyDescent="0.2">
      <c r="A53" s="806"/>
      <c r="B53" s="803" t="s">
        <v>3601</v>
      </c>
      <c r="C53" s="804"/>
      <c r="D53" s="804"/>
      <c r="E53" s="804"/>
      <c r="F53" s="542"/>
      <c r="G53" s="609"/>
      <c r="H53" s="609"/>
      <c r="I53" s="609"/>
      <c r="J53" s="609"/>
      <c r="K53" s="609"/>
      <c r="L53" s="609"/>
      <c r="M53" s="609"/>
      <c r="N53" s="609"/>
      <c r="O53" s="609"/>
      <c r="P53" s="609"/>
      <c r="Q53" s="609"/>
      <c r="R53" s="609"/>
      <c r="S53" s="609"/>
      <c r="T53" s="609"/>
      <c r="U53" s="609"/>
      <c r="V53" s="609"/>
      <c r="W53" s="609"/>
      <c r="X53" s="609"/>
      <c r="Y53" s="609"/>
      <c r="Z53" s="609"/>
      <c r="AA53" s="609"/>
      <c r="AB53" s="609"/>
      <c r="AC53" s="609"/>
      <c r="AD53" s="609"/>
      <c r="AE53" s="609"/>
      <c r="AF53" s="609"/>
      <c r="AG53" s="609"/>
      <c r="AH53" s="609"/>
      <c r="AI53" s="609"/>
      <c r="AJ53" s="609"/>
      <c r="AK53" s="609"/>
      <c r="AL53" s="609"/>
      <c r="AM53" s="609"/>
      <c r="AN53" s="609"/>
      <c r="AO53" s="609"/>
      <c r="AP53" s="609"/>
      <c r="AQ53" s="609"/>
      <c r="AR53" s="609"/>
      <c r="AS53" s="609"/>
      <c r="AT53" s="609"/>
      <c r="AU53" s="609"/>
      <c r="AV53" s="609"/>
      <c r="AW53" s="609"/>
      <c r="AX53" s="609"/>
      <c r="AY53" s="609"/>
      <c r="AZ53" s="609"/>
      <c r="BA53" s="609"/>
      <c r="BB53" s="609"/>
      <c r="BC53" s="609"/>
      <c r="BD53" s="609"/>
      <c r="BE53" s="609"/>
      <c r="BF53" s="609"/>
      <c r="BG53" s="609"/>
    </row>
    <row r="54" spans="1:59" s="62" customFormat="1" ht="18" customHeight="1" thickBot="1" x14ac:dyDescent="0.25">
      <c r="A54" s="806"/>
      <c r="B54" s="803" t="s">
        <v>3602</v>
      </c>
      <c r="C54" s="804"/>
      <c r="D54" s="804"/>
      <c r="E54" s="804"/>
      <c r="F54" s="542"/>
      <c r="G54" s="609"/>
      <c r="H54" s="609"/>
      <c r="I54" s="609"/>
      <c r="J54" s="609"/>
      <c r="K54" s="609"/>
      <c r="L54" s="609"/>
      <c r="M54" s="609"/>
      <c r="N54" s="609"/>
      <c r="O54" s="609"/>
      <c r="P54" s="609"/>
      <c r="Q54" s="609"/>
      <c r="R54" s="609"/>
      <c r="S54" s="609"/>
      <c r="T54" s="609"/>
      <c r="U54" s="609"/>
      <c r="V54" s="609"/>
      <c r="W54" s="609"/>
      <c r="X54" s="609"/>
      <c r="Y54" s="609"/>
      <c r="Z54" s="609"/>
      <c r="AA54" s="609"/>
      <c r="AB54" s="609"/>
      <c r="AC54" s="609"/>
      <c r="AD54" s="609"/>
      <c r="AE54" s="609"/>
      <c r="AF54" s="609"/>
      <c r="AG54" s="609"/>
      <c r="AH54" s="609"/>
      <c r="AI54" s="609"/>
      <c r="AJ54" s="609"/>
      <c r="AK54" s="609"/>
      <c r="AL54" s="609"/>
      <c r="AM54" s="609"/>
      <c r="AN54" s="609"/>
      <c r="AO54" s="609"/>
      <c r="AP54" s="609"/>
      <c r="AQ54" s="609"/>
      <c r="AR54" s="609"/>
      <c r="AS54" s="609"/>
      <c r="AT54" s="609"/>
      <c r="AU54" s="609"/>
      <c r="AV54" s="609"/>
      <c r="AW54" s="609"/>
      <c r="AX54" s="609"/>
      <c r="AY54" s="609"/>
      <c r="AZ54" s="609"/>
      <c r="BA54" s="609"/>
      <c r="BB54" s="609"/>
      <c r="BC54" s="609"/>
      <c r="BD54" s="609"/>
      <c r="BE54" s="609"/>
      <c r="BF54" s="609"/>
      <c r="BG54" s="609"/>
    </row>
    <row r="55" spans="1:59" s="62" customFormat="1" ht="30" customHeight="1" thickBot="1" x14ac:dyDescent="0.25">
      <c r="A55" s="806"/>
      <c r="B55" s="815" t="s">
        <v>1109</v>
      </c>
      <c r="C55" s="812"/>
      <c r="D55" s="812"/>
      <c r="E55" s="812"/>
      <c r="F55" s="551"/>
      <c r="G55" s="609"/>
      <c r="H55" s="609"/>
      <c r="I55" s="609"/>
      <c r="J55" s="609"/>
      <c r="K55" s="609"/>
      <c r="L55" s="609"/>
      <c r="M55" s="609"/>
      <c r="N55" s="609"/>
      <c r="O55" s="609"/>
      <c r="P55" s="609"/>
      <c r="Q55" s="609"/>
      <c r="R55" s="609"/>
      <c r="S55" s="609"/>
      <c r="T55" s="609"/>
      <c r="U55" s="609"/>
      <c r="V55" s="609"/>
      <c r="W55" s="609"/>
      <c r="X55" s="609"/>
      <c r="Y55" s="609"/>
      <c r="Z55" s="609"/>
      <c r="AA55" s="609"/>
      <c r="AB55" s="609"/>
      <c r="AC55" s="609"/>
      <c r="AD55" s="609"/>
      <c r="AE55" s="609"/>
      <c r="AF55" s="609"/>
      <c r="AG55" s="609"/>
      <c r="AH55" s="609"/>
      <c r="AI55" s="609"/>
      <c r="AJ55" s="609"/>
      <c r="AK55" s="609"/>
      <c r="AL55" s="609"/>
      <c r="AM55" s="609"/>
      <c r="AN55" s="609"/>
      <c r="AO55" s="609"/>
      <c r="AP55" s="609"/>
      <c r="AQ55" s="609"/>
      <c r="AR55" s="609"/>
      <c r="AS55" s="609"/>
      <c r="AT55" s="609"/>
      <c r="AU55" s="609"/>
      <c r="AV55" s="609"/>
      <c r="AW55" s="609"/>
      <c r="AX55" s="609"/>
      <c r="AY55" s="609"/>
      <c r="AZ55" s="609"/>
      <c r="BA55" s="609"/>
      <c r="BB55" s="609"/>
      <c r="BC55" s="609"/>
      <c r="BD55" s="609"/>
      <c r="BE55" s="609"/>
      <c r="BF55" s="609"/>
      <c r="BG55" s="609"/>
    </row>
    <row r="56" spans="1:59" s="62" customFormat="1" ht="18" customHeight="1" thickBot="1" x14ac:dyDescent="0.25">
      <c r="A56" s="806"/>
      <c r="B56" s="141"/>
      <c r="C56" s="533" t="s">
        <v>792</v>
      </c>
      <c r="D56" s="535" t="s">
        <v>791</v>
      </c>
      <c r="E56" s="536" t="s">
        <v>794</v>
      </c>
      <c r="F56" s="543"/>
      <c r="G56" s="609"/>
      <c r="H56" s="609"/>
      <c r="I56" s="609"/>
      <c r="J56" s="609"/>
      <c r="K56" s="609"/>
      <c r="L56" s="609"/>
      <c r="M56" s="609"/>
      <c r="N56" s="609"/>
      <c r="O56" s="609"/>
      <c r="P56" s="609"/>
      <c r="Q56" s="609"/>
      <c r="R56" s="609"/>
      <c r="S56" s="609"/>
      <c r="T56" s="609"/>
      <c r="U56" s="609"/>
      <c r="V56" s="609"/>
      <c r="W56" s="609"/>
      <c r="X56" s="609"/>
      <c r="Y56" s="609"/>
      <c r="Z56" s="609"/>
      <c r="AA56" s="609"/>
      <c r="AB56" s="609"/>
      <c r="AC56" s="609"/>
      <c r="AD56" s="609"/>
      <c r="AE56" s="609"/>
      <c r="AF56" s="609"/>
      <c r="AG56" s="609"/>
      <c r="AH56" s="609"/>
      <c r="AI56" s="609"/>
      <c r="AJ56" s="609"/>
      <c r="AK56" s="609"/>
      <c r="AL56" s="609"/>
      <c r="AM56" s="609"/>
      <c r="AN56" s="609"/>
      <c r="AO56" s="609"/>
      <c r="AP56" s="609"/>
      <c r="AQ56" s="609"/>
      <c r="AR56" s="609"/>
      <c r="AS56" s="609"/>
      <c r="AT56" s="609"/>
      <c r="AU56" s="609"/>
      <c r="AV56" s="609"/>
      <c r="AW56" s="609"/>
      <c r="AX56" s="609"/>
      <c r="AY56" s="609"/>
      <c r="AZ56" s="609"/>
      <c r="BA56" s="609"/>
      <c r="BB56" s="609"/>
      <c r="BC56" s="609"/>
      <c r="BD56" s="609"/>
      <c r="BE56" s="609"/>
      <c r="BF56" s="609"/>
      <c r="BG56" s="609"/>
    </row>
    <row r="57" spans="1:59" s="62" customFormat="1" ht="18" customHeight="1" x14ac:dyDescent="0.2">
      <c r="A57" s="806"/>
      <c r="B57" s="531" t="s">
        <v>300</v>
      </c>
      <c r="C57" s="137" t="s">
        <v>297</v>
      </c>
      <c r="D57" s="137" t="s">
        <v>298</v>
      </c>
      <c r="E57" s="138" t="s">
        <v>299</v>
      </c>
      <c r="F57" s="148">
        <v>0</v>
      </c>
      <c r="G57" s="609"/>
      <c r="H57" s="609"/>
      <c r="I57" s="609"/>
      <c r="J57" s="609"/>
      <c r="K57" s="609"/>
      <c r="L57" s="609"/>
      <c r="M57" s="609"/>
      <c r="N57" s="609"/>
      <c r="O57" s="609"/>
      <c r="P57" s="609"/>
      <c r="Q57" s="609"/>
      <c r="R57" s="609"/>
      <c r="S57" s="609"/>
      <c r="T57" s="609"/>
      <c r="U57" s="609"/>
      <c r="V57" s="609"/>
      <c r="W57" s="609"/>
      <c r="X57" s="609"/>
      <c r="Y57" s="609"/>
      <c r="Z57" s="609"/>
      <c r="AA57" s="609"/>
      <c r="AB57" s="609"/>
      <c r="AC57" s="609"/>
      <c r="AD57" s="609"/>
      <c r="AE57" s="609"/>
      <c r="AF57" s="609"/>
      <c r="AG57" s="609"/>
      <c r="AH57" s="609"/>
      <c r="AI57" s="609"/>
      <c r="AJ57" s="609"/>
      <c r="AK57" s="609"/>
      <c r="AL57" s="609"/>
      <c r="AM57" s="609"/>
      <c r="AN57" s="609"/>
      <c r="AO57" s="609"/>
      <c r="AP57" s="609"/>
      <c r="AQ57" s="609"/>
      <c r="AR57" s="609"/>
      <c r="AS57" s="609"/>
      <c r="AT57" s="609"/>
      <c r="AU57" s="609"/>
      <c r="AV57" s="609"/>
      <c r="AW57" s="609"/>
      <c r="AX57" s="609"/>
      <c r="AY57" s="609"/>
      <c r="AZ57" s="609"/>
      <c r="BA57" s="609"/>
      <c r="BB57" s="609"/>
      <c r="BC57" s="609"/>
      <c r="BD57" s="609"/>
      <c r="BE57" s="609"/>
      <c r="BF57" s="609"/>
      <c r="BG57" s="609"/>
    </row>
    <row r="58" spans="1:59" s="62" customFormat="1" ht="18" customHeight="1" x14ac:dyDescent="0.2">
      <c r="A58" s="806"/>
      <c r="B58" s="531" t="s">
        <v>301</v>
      </c>
      <c r="C58" s="139" t="s">
        <v>798</v>
      </c>
      <c r="D58" s="139" t="s">
        <v>801</v>
      </c>
      <c r="E58" s="140" t="s">
        <v>800</v>
      </c>
      <c r="F58" s="149">
        <v>0</v>
      </c>
      <c r="G58" s="609"/>
      <c r="H58" s="609"/>
      <c r="I58" s="609"/>
      <c r="J58" s="609"/>
      <c r="K58" s="609"/>
      <c r="L58" s="609"/>
      <c r="M58" s="609"/>
      <c r="N58" s="609"/>
      <c r="O58" s="609"/>
      <c r="P58" s="609"/>
      <c r="Q58" s="609"/>
      <c r="R58" s="609"/>
      <c r="S58" s="609"/>
      <c r="T58" s="609"/>
      <c r="U58" s="609"/>
      <c r="V58" s="609"/>
      <c r="W58" s="609"/>
      <c r="X58" s="609"/>
      <c r="Y58" s="609"/>
      <c r="Z58" s="609"/>
      <c r="AA58" s="609"/>
      <c r="AB58" s="609"/>
      <c r="AC58" s="609"/>
      <c r="AD58" s="609"/>
      <c r="AE58" s="609"/>
      <c r="AF58" s="609"/>
      <c r="AG58" s="609"/>
      <c r="AH58" s="609"/>
      <c r="AI58" s="609"/>
      <c r="AJ58" s="609"/>
      <c r="AK58" s="609"/>
      <c r="AL58" s="609"/>
      <c r="AM58" s="609"/>
      <c r="AN58" s="609"/>
      <c r="AO58" s="609"/>
      <c r="AP58" s="609"/>
      <c r="AQ58" s="609"/>
      <c r="AR58" s="609"/>
      <c r="AS58" s="609"/>
      <c r="AT58" s="609"/>
      <c r="AU58" s="609"/>
      <c r="AV58" s="609"/>
      <c r="AW58" s="609"/>
      <c r="AX58" s="609"/>
      <c r="AY58" s="609"/>
      <c r="AZ58" s="609"/>
      <c r="BA58" s="609"/>
      <c r="BB58" s="609"/>
      <c r="BC58" s="609"/>
      <c r="BD58" s="609"/>
      <c r="BE58" s="609"/>
      <c r="BF58" s="609"/>
      <c r="BG58" s="609"/>
    </row>
    <row r="59" spans="1:59" s="272" customFormat="1" ht="15" customHeight="1" x14ac:dyDescent="0.2">
      <c r="A59" s="806"/>
      <c r="B59" s="821" t="s">
        <v>302</v>
      </c>
      <c r="C59" s="822"/>
      <c r="D59" s="822"/>
      <c r="E59" s="822"/>
      <c r="F59" s="551"/>
      <c r="G59" s="609"/>
      <c r="H59" s="609"/>
      <c r="I59" s="609"/>
      <c r="J59" s="609"/>
      <c r="K59" s="609"/>
      <c r="L59" s="609"/>
      <c r="M59" s="609"/>
      <c r="N59" s="609"/>
      <c r="O59" s="609"/>
      <c r="P59" s="609"/>
      <c r="Q59" s="609"/>
      <c r="R59" s="609"/>
      <c r="S59" s="609"/>
      <c r="T59" s="609"/>
      <c r="U59" s="609"/>
      <c r="V59" s="609"/>
      <c r="W59" s="609"/>
      <c r="X59" s="609"/>
      <c r="Y59" s="609"/>
      <c r="Z59" s="609"/>
      <c r="AA59" s="609"/>
      <c r="AB59" s="609"/>
      <c r="AC59" s="609"/>
      <c r="AD59" s="609"/>
      <c r="AE59" s="609"/>
      <c r="AF59" s="609"/>
      <c r="AG59" s="609"/>
      <c r="AH59" s="609"/>
      <c r="AI59" s="609"/>
      <c r="AJ59" s="609"/>
      <c r="AK59" s="609"/>
      <c r="AL59" s="609"/>
      <c r="AM59" s="609"/>
      <c r="AN59" s="609"/>
      <c r="AO59" s="609"/>
      <c r="AP59" s="609"/>
      <c r="AQ59" s="609"/>
      <c r="AR59" s="609"/>
      <c r="AS59" s="609"/>
      <c r="AT59" s="609"/>
      <c r="AU59" s="609"/>
      <c r="AV59" s="609"/>
      <c r="AW59" s="609"/>
      <c r="AX59" s="609"/>
      <c r="AY59" s="609"/>
      <c r="AZ59" s="609"/>
      <c r="BA59" s="609"/>
      <c r="BB59" s="609"/>
      <c r="BC59" s="609"/>
      <c r="BD59" s="609"/>
      <c r="BE59" s="609"/>
      <c r="BF59" s="609"/>
      <c r="BG59" s="609"/>
    </row>
    <row r="60" spans="1:59" s="62" customFormat="1" ht="18" customHeight="1" x14ac:dyDescent="0.2">
      <c r="A60" s="806"/>
      <c r="B60" s="531" t="s">
        <v>803</v>
      </c>
      <c r="C60" s="137" t="s">
        <v>765</v>
      </c>
      <c r="D60" s="137" t="s">
        <v>766</v>
      </c>
      <c r="E60" s="138" t="s">
        <v>767</v>
      </c>
      <c r="F60" s="149">
        <v>0</v>
      </c>
      <c r="G60" s="609"/>
      <c r="H60" s="609"/>
      <c r="I60" s="609"/>
      <c r="J60" s="609"/>
      <c r="K60" s="609"/>
      <c r="L60" s="609"/>
      <c r="M60" s="609"/>
      <c r="N60" s="609"/>
      <c r="O60" s="609"/>
      <c r="P60" s="609"/>
      <c r="Q60" s="609"/>
      <c r="R60" s="609"/>
      <c r="S60" s="609"/>
      <c r="T60" s="609"/>
      <c r="U60" s="609"/>
      <c r="V60" s="609"/>
      <c r="W60" s="609"/>
      <c r="X60" s="609"/>
      <c r="Y60" s="609"/>
      <c r="Z60" s="609"/>
      <c r="AA60" s="609"/>
      <c r="AB60" s="609"/>
      <c r="AC60" s="609"/>
      <c r="AD60" s="609"/>
      <c r="AE60" s="609"/>
      <c r="AF60" s="609"/>
      <c r="AG60" s="609"/>
      <c r="AH60" s="609"/>
      <c r="AI60" s="609"/>
      <c r="AJ60" s="609"/>
      <c r="AK60" s="609"/>
      <c r="AL60" s="609"/>
      <c r="AM60" s="609"/>
      <c r="AN60" s="609"/>
      <c r="AO60" s="609"/>
      <c r="AP60" s="609"/>
      <c r="AQ60" s="609"/>
      <c r="AR60" s="609"/>
      <c r="AS60" s="609"/>
      <c r="AT60" s="609"/>
      <c r="AU60" s="609"/>
      <c r="AV60" s="609"/>
      <c r="AW60" s="609"/>
      <c r="AX60" s="609"/>
      <c r="AY60" s="609"/>
      <c r="AZ60" s="609"/>
      <c r="BA60" s="609"/>
      <c r="BB60" s="609"/>
      <c r="BC60" s="609"/>
      <c r="BD60" s="609"/>
      <c r="BE60" s="609"/>
      <c r="BF60" s="609"/>
      <c r="BG60" s="609"/>
    </row>
    <row r="61" spans="1:59" s="62" customFormat="1" ht="18" customHeight="1" thickBot="1" x14ac:dyDescent="0.25">
      <c r="A61" s="806"/>
      <c r="B61" s="531" t="s">
        <v>802</v>
      </c>
      <c r="C61" s="137" t="s">
        <v>761</v>
      </c>
      <c r="D61" s="137" t="s">
        <v>762</v>
      </c>
      <c r="E61" s="138" t="s">
        <v>763</v>
      </c>
      <c r="F61" s="151">
        <v>0</v>
      </c>
      <c r="G61" s="609"/>
      <c r="H61" s="609"/>
      <c r="I61" s="609"/>
      <c r="J61" s="609"/>
      <c r="K61" s="609"/>
      <c r="L61" s="609"/>
      <c r="M61" s="609"/>
      <c r="N61" s="609"/>
      <c r="O61" s="609"/>
      <c r="P61" s="609"/>
      <c r="Q61" s="609"/>
      <c r="R61" s="609"/>
      <c r="S61" s="609"/>
      <c r="T61" s="609"/>
      <c r="U61" s="609"/>
      <c r="V61" s="609"/>
      <c r="W61" s="609"/>
      <c r="X61" s="609"/>
      <c r="Y61" s="609"/>
      <c r="Z61" s="609"/>
      <c r="AA61" s="609"/>
      <c r="AB61" s="609"/>
      <c r="AC61" s="609"/>
      <c r="AD61" s="609"/>
      <c r="AE61" s="609"/>
      <c r="AF61" s="609"/>
      <c r="AG61" s="609"/>
      <c r="AH61" s="609"/>
      <c r="AI61" s="609"/>
      <c r="AJ61" s="609"/>
      <c r="AK61" s="609"/>
      <c r="AL61" s="609"/>
      <c r="AM61" s="609"/>
      <c r="AN61" s="609"/>
      <c r="AO61" s="609"/>
      <c r="AP61" s="609"/>
      <c r="AQ61" s="609"/>
      <c r="AR61" s="609"/>
      <c r="AS61" s="609"/>
      <c r="AT61" s="609"/>
      <c r="AU61" s="609"/>
      <c r="AV61" s="609"/>
      <c r="AW61" s="609"/>
      <c r="AX61" s="609"/>
      <c r="AY61" s="609"/>
      <c r="AZ61" s="609"/>
      <c r="BA61" s="609"/>
      <c r="BB61" s="609"/>
      <c r="BC61" s="609"/>
      <c r="BD61" s="609"/>
      <c r="BE61" s="609"/>
      <c r="BF61" s="609"/>
      <c r="BG61" s="609"/>
    </row>
    <row r="62" spans="1:59" s="62" customFormat="1" ht="18" customHeight="1" thickBot="1" x14ac:dyDescent="0.25">
      <c r="A62" s="806"/>
      <c r="B62" s="796" t="s">
        <v>764</v>
      </c>
      <c r="C62" s="797"/>
      <c r="D62" s="797"/>
      <c r="E62" s="798"/>
      <c r="F62" s="545">
        <f>SUM(F57:F61)</f>
        <v>0</v>
      </c>
      <c r="G62" s="609"/>
      <c r="H62" s="609"/>
      <c r="I62" s="609"/>
      <c r="J62" s="609"/>
      <c r="K62" s="609"/>
      <c r="L62" s="609"/>
      <c r="M62" s="609"/>
      <c r="N62" s="609"/>
      <c r="O62" s="609"/>
      <c r="P62" s="609"/>
      <c r="Q62" s="609"/>
      <c r="R62" s="609"/>
      <c r="S62" s="609"/>
      <c r="T62" s="609"/>
      <c r="U62" s="609"/>
      <c r="V62" s="609"/>
      <c r="W62" s="609"/>
      <c r="X62" s="609"/>
      <c r="Y62" s="609"/>
      <c r="Z62" s="609"/>
      <c r="AA62" s="609"/>
      <c r="AB62" s="609"/>
      <c r="AC62" s="609"/>
      <c r="AD62" s="609"/>
      <c r="AE62" s="609"/>
      <c r="AF62" s="609"/>
      <c r="AG62" s="609"/>
      <c r="AH62" s="609"/>
      <c r="AI62" s="609"/>
      <c r="AJ62" s="609"/>
      <c r="AK62" s="609"/>
      <c r="AL62" s="609"/>
      <c r="AM62" s="609"/>
      <c r="AN62" s="609"/>
      <c r="AO62" s="609"/>
      <c r="AP62" s="609"/>
      <c r="AQ62" s="609"/>
      <c r="AR62" s="609"/>
      <c r="AS62" s="609"/>
      <c r="AT62" s="609"/>
      <c r="AU62" s="609"/>
      <c r="AV62" s="609"/>
      <c r="AW62" s="609"/>
      <c r="AX62" s="609"/>
      <c r="AY62" s="609"/>
      <c r="AZ62" s="609"/>
      <c r="BA62" s="609"/>
      <c r="BB62" s="609"/>
      <c r="BC62" s="609"/>
      <c r="BD62" s="609"/>
      <c r="BE62" s="609"/>
      <c r="BF62" s="609"/>
      <c r="BG62" s="609"/>
    </row>
    <row r="63" spans="1:59" s="160" customFormat="1" ht="21" customHeight="1" thickBot="1" x14ac:dyDescent="0.25">
      <c r="A63" s="819"/>
      <c r="B63" s="799"/>
      <c r="C63" s="800"/>
      <c r="D63" s="800"/>
      <c r="E63" s="614" t="s">
        <v>146</v>
      </c>
      <c r="F63" s="179">
        <f>F62/12</f>
        <v>0</v>
      </c>
      <c r="G63" s="610"/>
      <c r="H63" s="610"/>
      <c r="I63" s="610"/>
      <c r="J63" s="610"/>
      <c r="K63" s="610"/>
      <c r="L63" s="610"/>
      <c r="M63" s="610"/>
      <c r="N63" s="610"/>
      <c r="O63" s="610"/>
      <c r="P63" s="610"/>
      <c r="Q63" s="610"/>
      <c r="R63" s="610"/>
      <c r="S63" s="610"/>
      <c r="T63" s="610"/>
      <c r="U63" s="610"/>
      <c r="V63" s="610"/>
      <c r="W63" s="610"/>
      <c r="X63" s="610"/>
      <c r="Y63" s="610"/>
      <c r="Z63" s="610"/>
      <c r="AA63" s="610"/>
      <c r="AB63" s="610"/>
      <c r="AC63" s="610"/>
      <c r="AD63" s="610"/>
      <c r="AE63" s="610"/>
      <c r="AF63" s="610"/>
      <c r="AG63" s="610"/>
      <c r="AH63" s="610"/>
      <c r="AI63" s="610"/>
      <c r="AJ63" s="610"/>
      <c r="AK63" s="610"/>
      <c r="AL63" s="610"/>
      <c r="AM63" s="610"/>
      <c r="AN63" s="610"/>
      <c r="AO63" s="610"/>
      <c r="AP63" s="610"/>
      <c r="AQ63" s="610"/>
      <c r="AR63" s="610"/>
      <c r="AS63" s="610"/>
      <c r="AT63" s="610"/>
      <c r="AU63" s="610"/>
      <c r="AV63" s="610"/>
      <c r="AW63" s="610"/>
      <c r="AX63" s="610"/>
      <c r="AY63" s="610"/>
      <c r="AZ63" s="610"/>
      <c r="BA63" s="610"/>
      <c r="BB63" s="610"/>
      <c r="BC63" s="610"/>
      <c r="BD63" s="610"/>
      <c r="BE63" s="610"/>
      <c r="BF63" s="610"/>
      <c r="BG63" s="610"/>
    </row>
    <row r="64" spans="1:59" s="270" customFormat="1" ht="24" customHeight="1" thickBot="1" x14ac:dyDescent="0.3">
      <c r="A64" s="805" t="s">
        <v>751</v>
      </c>
      <c r="B64" s="826" t="s">
        <v>447</v>
      </c>
      <c r="C64" s="827"/>
      <c r="D64" s="827"/>
      <c r="E64" s="827"/>
      <c r="F64" s="549"/>
      <c r="G64" s="611"/>
      <c r="H64" s="611"/>
      <c r="I64" s="611"/>
      <c r="J64" s="611"/>
      <c r="K64" s="611"/>
      <c r="L64" s="611"/>
      <c r="M64" s="611"/>
      <c r="N64" s="611"/>
      <c r="O64" s="611"/>
      <c r="P64" s="611"/>
      <c r="Q64" s="611"/>
      <c r="R64" s="611"/>
      <c r="S64" s="611"/>
      <c r="T64" s="611"/>
      <c r="U64" s="611"/>
      <c r="V64" s="611"/>
      <c r="W64" s="611"/>
      <c r="X64" s="611"/>
      <c r="Y64" s="611"/>
      <c r="Z64" s="611"/>
      <c r="AA64" s="611"/>
      <c r="AB64" s="611"/>
      <c r="AC64" s="611"/>
      <c r="AD64" s="611"/>
      <c r="AE64" s="611"/>
      <c r="AF64" s="611"/>
      <c r="AG64" s="611"/>
      <c r="AH64" s="611"/>
      <c r="AI64" s="611"/>
      <c r="AJ64" s="611"/>
      <c r="AK64" s="611"/>
      <c r="AL64" s="611"/>
      <c r="AM64" s="611"/>
      <c r="AN64" s="611"/>
      <c r="AO64" s="611"/>
      <c r="AP64" s="611"/>
      <c r="AQ64" s="611"/>
      <c r="AR64" s="611"/>
      <c r="AS64" s="611"/>
      <c r="AT64" s="611"/>
      <c r="AU64" s="611"/>
      <c r="AV64" s="611"/>
      <c r="AW64" s="611"/>
      <c r="AX64" s="611"/>
      <c r="AY64" s="611"/>
      <c r="AZ64" s="611"/>
      <c r="BA64" s="611"/>
      <c r="BB64" s="611"/>
      <c r="BC64" s="611"/>
      <c r="BD64" s="611"/>
      <c r="BE64" s="611"/>
      <c r="BF64" s="611"/>
      <c r="BG64" s="611"/>
    </row>
    <row r="65" spans="1:59" s="62" customFormat="1" ht="30" customHeight="1" thickBot="1" x14ac:dyDescent="0.25">
      <c r="A65" s="806"/>
      <c r="B65" s="811" t="s">
        <v>150</v>
      </c>
      <c r="C65" s="828"/>
      <c r="D65" s="828"/>
      <c r="E65" s="828"/>
      <c r="F65" s="550"/>
      <c r="G65" s="609"/>
      <c r="H65" s="609"/>
      <c r="I65" s="609"/>
      <c r="J65" s="609"/>
      <c r="K65" s="609"/>
      <c r="L65" s="609"/>
      <c r="M65" s="609"/>
      <c r="N65" s="609"/>
      <c r="O65" s="609"/>
      <c r="P65" s="609"/>
      <c r="Q65" s="609"/>
      <c r="R65" s="609"/>
      <c r="S65" s="609"/>
      <c r="T65" s="609"/>
      <c r="U65" s="609"/>
      <c r="V65" s="609"/>
      <c r="W65" s="609"/>
      <c r="X65" s="609"/>
      <c r="Y65" s="609"/>
      <c r="Z65" s="609"/>
      <c r="AA65" s="609"/>
      <c r="AB65" s="609"/>
      <c r="AC65" s="609"/>
      <c r="AD65" s="609"/>
      <c r="AE65" s="609"/>
      <c r="AF65" s="609"/>
      <c r="AG65" s="609"/>
      <c r="AH65" s="609"/>
      <c r="AI65" s="609"/>
      <c r="AJ65" s="609"/>
      <c r="AK65" s="609"/>
      <c r="AL65" s="609"/>
      <c r="AM65" s="609"/>
      <c r="AN65" s="609"/>
      <c r="AO65" s="609"/>
      <c r="AP65" s="609"/>
      <c r="AQ65" s="609"/>
      <c r="AR65" s="609"/>
      <c r="AS65" s="609"/>
      <c r="AT65" s="609"/>
      <c r="AU65" s="609"/>
      <c r="AV65" s="609"/>
      <c r="AW65" s="609"/>
      <c r="AX65" s="609"/>
      <c r="AY65" s="609"/>
      <c r="AZ65" s="609"/>
      <c r="BA65" s="609"/>
      <c r="BB65" s="609"/>
      <c r="BC65" s="609"/>
      <c r="BD65" s="609"/>
      <c r="BE65" s="609"/>
      <c r="BF65" s="609"/>
      <c r="BG65" s="609"/>
    </row>
    <row r="66" spans="1:59" s="62" customFormat="1" ht="18" customHeight="1" x14ac:dyDescent="0.2">
      <c r="A66" s="806"/>
      <c r="B66" s="813" t="s">
        <v>3603</v>
      </c>
      <c r="C66" s="814"/>
      <c r="D66" s="814"/>
      <c r="E66" s="814"/>
      <c r="F66" s="542"/>
      <c r="G66" s="609"/>
      <c r="H66" s="609"/>
      <c r="I66" s="609"/>
      <c r="J66" s="609"/>
      <c r="K66" s="609"/>
      <c r="L66" s="609"/>
      <c r="M66" s="609"/>
      <c r="N66" s="609"/>
      <c r="O66" s="609"/>
      <c r="P66" s="609"/>
      <c r="Q66" s="609"/>
      <c r="R66" s="609"/>
      <c r="S66" s="609"/>
      <c r="T66" s="609"/>
      <c r="U66" s="609"/>
      <c r="V66" s="609"/>
      <c r="W66" s="609"/>
      <c r="X66" s="609"/>
      <c r="Y66" s="609"/>
      <c r="Z66" s="609"/>
      <c r="AA66" s="609"/>
      <c r="AB66" s="609"/>
      <c r="AC66" s="609"/>
      <c r="AD66" s="609"/>
      <c r="AE66" s="609"/>
      <c r="AF66" s="609"/>
      <c r="AG66" s="609"/>
      <c r="AH66" s="609"/>
      <c r="AI66" s="609"/>
      <c r="AJ66" s="609"/>
      <c r="AK66" s="609"/>
      <c r="AL66" s="609"/>
      <c r="AM66" s="609"/>
      <c r="AN66" s="609"/>
      <c r="AO66" s="609"/>
      <c r="AP66" s="609"/>
      <c r="AQ66" s="609"/>
      <c r="AR66" s="609"/>
      <c r="AS66" s="609"/>
      <c r="AT66" s="609"/>
      <c r="AU66" s="609"/>
      <c r="AV66" s="609"/>
      <c r="AW66" s="609"/>
      <c r="AX66" s="609"/>
      <c r="AY66" s="609"/>
      <c r="AZ66" s="609"/>
      <c r="BA66" s="609"/>
      <c r="BB66" s="609"/>
      <c r="BC66" s="609"/>
      <c r="BD66" s="609"/>
      <c r="BE66" s="609"/>
      <c r="BF66" s="609"/>
      <c r="BG66" s="609"/>
    </row>
    <row r="67" spans="1:59" s="62" customFormat="1" ht="18" customHeight="1" x14ac:dyDescent="0.2">
      <c r="A67" s="806"/>
      <c r="B67" s="829" t="s">
        <v>3604</v>
      </c>
      <c r="C67" s="830"/>
      <c r="D67" s="830"/>
      <c r="E67" s="830"/>
      <c r="F67" s="542"/>
      <c r="G67" s="609"/>
      <c r="H67" s="609"/>
      <c r="I67" s="609"/>
      <c r="J67" s="609"/>
      <c r="K67" s="609"/>
      <c r="L67" s="609"/>
      <c r="M67" s="609"/>
      <c r="N67" s="609"/>
      <c r="O67" s="609"/>
      <c r="P67" s="609"/>
      <c r="Q67" s="609"/>
      <c r="R67" s="609"/>
      <c r="S67" s="609"/>
      <c r="T67" s="609"/>
      <c r="U67" s="609"/>
      <c r="V67" s="609"/>
      <c r="W67" s="609"/>
      <c r="X67" s="609"/>
      <c r="Y67" s="609"/>
      <c r="Z67" s="609"/>
      <c r="AA67" s="609"/>
      <c r="AB67" s="609"/>
      <c r="AC67" s="609"/>
      <c r="AD67" s="609"/>
      <c r="AE67" s="609"/>
      <c r="AF67" s="609"/>
      <c r="AG67" s="609"/>
      <c r="AH67" s="609"/>
      <c r="AI67" s="609"/>
      <c r="AJ67" s="609"/>
      <c r="AK67" s="609"/>
      <c r="AL67" s="609"/>
      <c r="AM67" s="609"/>
      <c r="AN67" s="609"/>
      <c r="AO67" s="609"/>
      <c r="AP67" s="609"/>
      <c r="AQ67" s="609"/>
      <c r="AR67" s="609"/>
      <c r="AS67" s="609"/>
      <c r="AT67" s="609"/>
      <c r="AU67" s="609"/>
      <c r="AV67" s="609"/>
      <c r="AW67" s="609"/>
      <c r="AX67" s="609"/>
      <c r="AY67" s="609"/>
      <c r="AZ67" s="609"/>
      <c r="BA67" s="609"/>
      <c r="BB67" s="609"/>
      <c r="BC67" s="609"/>
      <c r="BD67" s="609"/>
      <c r="BE67" s="609"/>
      <c r="BF67" s="609"/>
      <c r="BG67" s="609"/>
    </row>
    <row r="68" spans="1:59" s="62" customFormat="1" ht="18" customHeight="1" x14ac:dyDescent="0.2">
      <c r="A68" s="806"/>
      <c r="B68" s="803" t="s">
        <v>3605</v>
      </c>
      <c r="C68" s="804"/>
      <c r="D68" s="804"/>
      <c r="E68" s="804"/>
      <c r="F68" s="542"/>
      <c r="G68" s="609"/>
      <c r="H68" s="609"/>
      <c r="I68" s="609"/>
      <c r="J68" s="609"/>
      <c r="K68" s="609"/>
      <c r="L68" s="609"/>
      <c r="M68" s="609"/>
      <c r="N68" s="609"/>
      <c r="O68" s="609"/>
      <c r="P68" s="609"/>
      <c r="Q68" s="609"/>
      <c r="R68" s="609"/>
      <c r="S68" s="609"/>
      <c r="T68" s="609"/>
      <c r="U68" s="609"/>
      <c r="V68" s="609"/>
      <c r="W68" s="609"/>
      <c r="X68" s="609"/>
      <c r="Y68" s="609"/>
      <c r="Z68" s="609"/>
      <c r="AA68" s="609"/>
      <c r="AB68" s="609"/>
      <c r="AC68" s="609"/>
      <c r="AD68" s="609"/>
      <c r="AE68" s="609"/>
      <c r="AF68" s="609"/>
      <c r="AG68" s="609"/>
      <c r="AH68" s="609"/>
      <c r="AI68" s="609"/>
      <c r="AJ68" s="609"/>
      <c r="AK68" s="609"/>
      <c r="AL68" s="609"/>
      <c r="AM68" s="609"/>
      <c r="AN68" s="609"/>
      <c r="AO68" s="609"/>
      <c r="AP68" s="609"/>
      <c r="AQ68" s="609"/>
      <c r="AR68" s="609"/>
      <c r="AS68" s="609"/>
      <c r="AT68" s="609"/>
      <c r="AU68" s="609"/>
      <c r="AV68" s="609"/>
      <c r="AW68" s="609"/>
      <c r="AX68" s="609"/>
      <c r="AY68" s="609"/>
      <c r="AZ68" s="609"/>
      <c r="BA68" s="609"/>
      <c r="BB68" s="609"/>
      <c r="BC68" s="609"/>
      <c r="BD68" s="609"/>
      <c r="BE68" s="609"/>
      <c r="BF68" s="609"/>
      <c r="BG68" s="609"/>
    </row>
    <row r="69" spans="1:59" s="62" customFormat="1" ht="18" customHeight="1" thickBot="1" x14ac:dyDescent="0.25">
      <c r="A69" s="806"/>
      <c r="B69" s="803" t="s">
        <v>3606</v>
      </c>
      <c r="C69" s="804"/>
      <c r="D69" s="804"/>
      <c r="E69" s="804"/>
      <c r="F69" s="542"/>
      <c r="G69" s="609"/>
      <c r="H69" s="609"/>
      <c r="I69" s="609"/>
      <c r="J69" s="609"/>
      <c r="K69" s="609"/>
      <c r="L69" s="609"/>
      <c r="M69" s="609"/>
      <c r="N69" s="609"/>
      <c r="O69" s="609"/>
      <c r="P69" s="609"/>
      <c r="Q69" s="609"/>
      <c r="R69" s="609"/>
      <c r="S69" s="609"/>
      <c r="T69" s="609"/>
      <c r="U69" s="609"/>
      <c r="V69" s="609"/>
      <c r="W69" s="609"/>
      <c r="X69" s="609"/>
      <c r="Y69" s="609"/>
      <c r="Z69" s="609"/>
      <c r="AA69" s="609"/>
      <c r="AB69" s="609"/>
      <c r="AC69" s="609"/>
      <c r="AD69" s="609"/>
      <c r="AE69" s="609"/>
      <c r="AF69" s="609"/>
      <c r="AG69" s="609"/>
      <c r="AH69" s="609"/>
      <c r="AI69" s="609"/>
      <c r="AJ69" s="609"/>
      <c r="AK69" s="609"/>
      <c r="AL69" s="609"/>
      <c r="AM69" s="609"/>
      <c r="AN69" s="609"/>
      <c r="AO69" s="609"/>
      <c r="AP69" s="609"/>
      <c r="AQ69" s="609"/>
      <c r="AR69" s="609"/>
      <c r="AS69" s="609"/>
      <c r="AT69" s="609"/>
      <c r="AU69" s="609"/>
      <c r="AV69" s="609"/>
      <c r="AW69" s="609"/>
      <c r="AX69" s="609"/>
      <c r="AY69" s="609"/>
      <c r="AZ69" s="609"/>
      <c r="BA69" s="609"/>
      <c r="BB69" s="609"/>
      <c r="BC69" s="609"/>
      <c r="BD69" s="609"/>
      <c r="BE69" s="609"/>
      <c r="BF69" s="609"/>
      <c r="BG69" s="609"/>
    </row>
    <row r="70" spans="1:59" s="62" customFormat="1" ht="30" customHeight="1" thickBot="1" x14ac:dyDescent="0.25">
      <c r="A70" s="806"/>
      <c r="B70" s="815" t="s">
        <v>1109</v>
      </c>
      <c r="C70" s="812"/>
      <c r="D70" s="812"/>
      <c r="E70" s="812"/>
      <c r="F70" s="551"/>
      <c r="G70" s="609"/>
      <c r="H70" s="609"/>
      <c r="I70" s="609"/>
      <c r="J70" s="609"/>
      <c r="K70" s="609"/>
      <c r="L70" s="609"/>
      <c r="M70" s="609"/>
      <c r="N70" s="609"/>
      <c r="O70" s="609"/>
      <c r="P70" s="609"/>
      <c r="Q70" s="609"/>
      <c r="R70" s="609"/>
      <c r="S70" s="609"/>
      <c r="T70" s="609"/>
      <c r="U70" s="609"/>
      <c r="V70" s="609"/>
      <c r="W70" s="609"/>
      <c r="X70" s="609"/>
      <c r="Y70" s="609"/>
      <c r="Z70" s="609"/>
      <c r="AA70" s="609"/>
      <c r="AB70" s="609"/>
      <c r="AC70" s="609"/>
      <c r="AD70" s="609"/>
      <c r="AE70" s="609"/>
      <c r="AF70" s="609"/>
      <c r="AG70" s="609"/>
      <c r="AH70" s="609"/>
      <c r="AI70" s="609"/>
      <c r="AJ70" s="609"/>
      <c r="AK70" s="609"/>
      <c r="AL70" s="609"/>
      <c r="AM70" s="609"/>
      <c r="AN70" s="609"/>
      <c r="AO70" s="609"/>
      <c r="AP70" s="609"/>
      <c r="AQ70" s="609"/>
      <c r="AR70" s="609"/>
      <c r="AS70" s="609"/>
      <c r="AT70" s="609"/>
      <c r="AU70" s="609"/>
      <c r="AV70" s="609"/>
      <c r="AW70" s="609"/>
      <c r="AX70" s="609"/>
      <c r="AY70" s="609"/>
      <c r="AZ70" s="609"/>
      <c r="BA70" s="609"/>
      <c r="BB70" s="609"/>
      <c r="BC70" s="609"/>
      <c r="BD70" s="609"/>
      <c r="BE70" s="609"/>
      <c r="BF70" s="609"/>
      <c r="BG70" s="609"/>
    </row>
    <row r="71" spans="1:59" s="62" customFormat="1" ht="18" customHeight="1" thickBot="1" x14ac:dyDescent="0.25">
      <c r="A71" s="806"/>
      <c r="B71" s="141"/>
      <c r="C71" s="533" t="s">
        <v>790</v>
      </c>
      <c r="D71" s="535" t="s">
        <v>793</v>
      </c>
      <c r="E71" s="536" t="s">
        <v>794</v>
      </c>
      <c r="F71" s="543"/>
      <c r="G71" s="609"/>
      <c r="H71" s="609"/>
      <c r="I71" s="609"/>
      <c r="J71" s="609"/>
      <c r="K71" s="609"/>
      <c r="L71" s="609"/>
      <c r="M71" s="609"/>
      <c r="N71" s="609"/>
      <c r="O71" s="609"/>
      <c r="P71" s="609"/>
      <c r="Q71" s="609"/>
      <c r="R71" s="609"/>
      <c r="S71" s="609"/>
      <c r="T71" s="609"/>
      <c r="U71" s="609"/>
      <c r="V71" s="609"/>
      <c r="W71" s="609"/>
      <c r="X71" s="609"/>
      <c r="Y71" s="609"/>
      <c r="Z71" s="609"/>
      <c r="AA71" s="609"/>
      <c r="AB71" s="609"/>
      <c r="AC71" s="609"/>
      <c r="AD71" s="609"/>
      <c r="AE71" s="609"/>
      <c r="AF71" s="609"/>
      <c r="AG71" s="609"/>
      <c r="AH71" s="609"/>
      <c r="AI71" s="609"/>
      <c r="AJ71" s="609"/>
      <c r="AK71" s="609"/>
      <c r="AL71" s="609"/>
      <c r="AM71" s="609"/>
      <c r="AN71" s="609"/>
      <c r="AO71" s="609"/>
      <c r="AP71" s="609"/>
      <c r="AQ71" s="609"/>
      <c r="AR71" s="609"/>
      <c r="AS71" s="609"/>
      <c r="AT71" s="609"/>
      <c r="AU71" s="609"/>
      <c r="AV71" s="609"/>
      <c r="AW71" s="609"/>
      <c r="AX71" s="609"/>
      <c r="AY71" s="609"/>
      <c r="AZ71" s="609"/>
      <c r="BA71" s="609"/>
      <c r="BB71" s="609"/>
      <c r="BC71" s="609"/>
      <c r="BD71" s="609"/>
      <c r="BE71" s="609"/>
      <c r="BF71" s="609"/>
      <c r="BG71" s="609"/>
    </row>
    <row r="72" spans="1:59" s="62" customFormat="1" ht="18" customHeight="1" x14ac:dyDescent="0.2">
      <c r="A72" s="806"/>
      <c r="B72" s="531" t="s">
        <v>303</v>
      </c>
      <c r="C72" s="137" t="s">
        <v>304</v>
      </c>
      <c r="D72" s="137" t="s">
        <v>305</v>
      </c>
      <c r="E72" s="537" t="s">
        <v>306</v>
      </c>
      <c r="F72" s="148">
        <v>0</v>
      </c>
      <c r="G72" s="609"/>
      <c r="H72" s="609"/>
      <c r="I72" s="609"/>
      <c r="J72" s="609"/>
      <c r="K72" s="609"/>
      <c r="L72" s="609"/>
      <c r="M72" s="609"/>
      <c r="N72" s="609"/>
      <c r="O72" s="609"/>
      <c r="P72" s="609"/>
      <c r="Q72" s="609"/>
      <c r="R72" s="609"/>
      <c r="S72" s="609"/>
      <c r="T72" s="609"/>
      <c r="U72" s="609"/>
      <c r="V72" s="609"/>
      <c r="W72" s="609"/>
      <c r="X72" s="609"/>
      <c r="Y72" s="609"/>
      <c r="Z72" s="609"/>
      <c r="AA72" s="609"/>
      <c r="AB72" s="609"/>
      <c r="AC72" s="609"/>
      <c r="AD72" s="609"/>
      <c r="AE72" s="609"/>
      <c r="AF72" s="609"/>
      <c r="AG72" s="609"/>
      <c r="AH72" s="609"/>
      <c r="AI72" s="609"/>
      <c r="AJ72" s="609"/>
      <c r="AK72" s="609"/>
      <c r="AL72" s="609"/>
      <c r="AM72" s="609"/>
      <c r="AN72" s="609"/>
      <c r="AO72" s="609"/>
      <c r="AP72" s="609"/>
      <c r="AQ72" s="609"/>
      <c r="AR72" s="609"/>
      <c r="AS72" s="609"/>
      <c r="AT72" s="609"/>
      <c r="AU72" s="609"/>
      <c r="AV72" s="609"/>
      <c r="AW72" s="609"/>
      <c r="AX72" s="609"/>
      <c r="AY72" s="609"/>
      <c r="AZ72" s="609"/>
      <c r="BA72" s="609"/>
      <c r="BB72" s="609"/>
      <c r="BC72" s="609"/>
      <c r="BD72" s="609"/>
      <c r="BE72" s="609"/>
      <c r="BF72" s="609"/>
      <c r="BG72" s="609"/>
    </row>
    <row r="73" spans="1:59" s="62" customFormat="1" ht="18" customHeight="1" x14ac:dyDescent="0.2">
      <c r="A73" s="806"/>
      <c r="B73" s="531" t="s">
        <v>443</v>
      </c>
      <c r="C73" s="139" t="s">
        <v>798</v>
      </c>
      <c r="D73" s="139" t="s">
        <v>799</v>
      </c>
      <c r="E73" s="140" t="s">
        <v>800</v>
      </c>
      <c r="F73" s="149">
        <v>0</v>
      </c>
      <c r="G73" s="609"/>
      <c r="H73" s="609"/>
      <c r="I73" s="609"/>
      <c r="J73" s="609"/>
      <c r="K73" s="609"/>
      <c r="L73" s="609"/>
      <c r="M73" s="609"/>
      <c r="N73" s="609"/>
      <c r="O73" s="609"/>
      <c r="P73" s="609"/>
      <c r="Q73" s="609"/>
      <c r="R73" s="609"/>
      <c r="S73" s="609"/>
      <c r="T73" s="609"/>
      <c r="U73" s="609"/>
      <c r="V73" s="609"/>
      <c r="W73" s="609"/>
      <c r="X73" s="609"/>
      <c r="Y73" s="609"/>
      <c r="Z73" s="609"/>
      <c r="AA73" s="609"/>
      <c r="AB73" s="609"/>
      <c r="AC73" s="609"/>
      <c r="AD73" s="609"/>
      <c r="AE73" s="609"/>
      <c r="AF73" s="609"/>
      <c r="AG73" s="609"/>
      <c r="AH73" s="609"/>
      <c r="AI73" s="609"/>
      <c r="AJ73" s="609"/>
      <c r="AK73" s="609"/>
      <c r="AL73" s="609"/>
      <c r="AM73" s="609"/>
      <c r="AN73" s="609"/>
      <c r="AO73" s="609"/>
      <c r="AP73" s="609"/>
      <c r="AQ73" s="609"/>
      <c r="AR73" s="609"/>
      <c r="AS73" s="609"/>
      <c r="AT73" s="609"/>
      <c r="AU73" s="609"/>
      <c r="AV73" s="609"/>
      <c r="AW73" s="609"/>
      <c r="AX73" s="609"/>
      <c r="AY73" s="609"/>
      <c r="AZ73" s="609"/>
      <c r="BA73" s="609"/>
      <c r="BB73" s="609"/>
      <c r="BC73" s="609"/>
      <c r="BD73" s="609"/>
      <c r="BE73" s="609"/>
      <c r="BF73" s="609"/>
      <c r="BG73" s="609"/>
    </row>
    <row r="74" spans="1:59" s="62" customFormat="1" ht="15" customHeight="1" x14ac:dyDescent="0.2">
      <c r="A74" s="806"/>
      <c r="B74" s="821" t="s">
        <v>307</v>
      </c>
      <c r="C74" s="822"/>
      <c r="D74" s="822"/>
      <c r="E74" s="822"/>
      <c r="F74" s="150"/>
      <c r="G74" s="609"/>
      <c r="H74" s="609"/>
      <c r="I74" s="609"/>
      <c r="J74" s="609"/>
      <c r="K74" s="609"/>
      <c r="L74" s="609"/>
      <c r="M74" s="609"/>
      <c r="N74" s="609"/>
      <c r="O74" s="609"/>
      <c r="P74" s="609"/>
      <c r="Q74" s="609"/>
      <c r="R74" s="609"/>
      <c r="S74" s="609"/>
      <c r="T74" s="609"/>
      <c r="U74" s="609"/>
      <c r="V74" s="609"/>
      <c r="W74" s="609"/>
      <c r="X74" s="609"/>
      <c r="Y74" s="609"/>
      <c r="Z74" s="609"/>
      <c r="AA74" s="609"/>
      <c r="AB74" s="609"/>
      <c r="AC74" s="609"/>
      <c r="AD74" s="609"/>
      <c r="AE74" s="609"/>
      <c r="AF74" s="609"/>
      <c r="AG74" s="609"/>
      <c r="AH74" s="609"/>
      <c r="AI74" s="609"/>
      <c r="AJ74" s="609"/>
      <c r="AK74" s="609"/>
      <c r="AL74" s="609"/>
      <c r="AM74" s="609"/>
      <c r="AN74" s="609"/>
      <c r="AO74" s="609"/>
      <c r="AP74" s="609"/>
      <c r="AQ74" s="609"/>
      <c r="AR74" s="609"/>
      <c r="AS74" s="609"/>
      <c r="AT74" s="609"/>
      <c r="AU74" s="609"/>
      <c r="AV74" s="609"/>
      <c r="AW74" s="609"/>
      <c r="AX74" s="609"/>
      <c r="AY74" s="609"/>
      <c r="AZ74" s="609"/>
      <c r="BA74" s="609"/>
      <c r="BB74" s="609"/>
      <c r="BC74" s="609"/>
      <c r="BD74" s="609"/>
      <c r="BE74" s="609"/>
      <c r="BF74" s="609"/>
      <c r="BG74" s="609"/>
    </row>
    <row r="75" spans="1:59" s="62" customFormat="1" ht="18" customHeight="1" x14ac:dyDescent="0.2">
      <c r="A75" s="806"/>
      <c r="B75" s="531" t="s">
        <v>440</v>
      </c>
      <c r="C75" s="137" t="s">
        <v>846</v>
      </c>
      <c r="D75" s="137" t="s">
        <v>847</v>
      </c>
      <c r="E75" s="138" t="s">
        <v>848</v>
      </c>
      <c r="F75" s="149">
        <v>0</v>
      </c>
      <c r="G75" s="609"/>
      <c r="H75" s="609"/>
      <c r="I75" s="609"/>
      <c r="J75" s="609"/>
      <c r="K75" s="609"/>
      <c r="L75" s="609"/>
      <c r="M75" s="609"/>
      <c r="N75" s="609"/>
      <c r="O75" s="609"/>
      <c r="P75" s="609"/>
      <c r="Q75" s="609"/>
      <c r="R75" s="609"/>
      <c r="S75" s="609"/>
      <c r="T75" s="609"/>
      <c r="U75" s="609"/>
      <c r="V75" s="609"/>
      <c r="W75" s="609"/>
      <c r="X75" s="609"/>
      <c r="Y75" s="609"/>
      <c r="Z75" s="609"/>
      <c r="AA75" s="609"/>
      <c r="AB75" s="609"/>
      <c r="AC75" s="609"/>
      <c r="AD75" s="609"/>
      <c r="AE75" s="609"/>
      <c r="AF75" s="609"/>
      <c r="AG75" s="609"/>
      <c r="AH75" s="609"/>
      <c r="AI75" s="609"/>
      <c r="AJ75" s="609"/>
      <c r="AK75" s="609"/>
      <c r="AL75" s="609"/>
      <c r="AM75" s="609"/>
      <c r="AN75" s="609"/>
      <c r="AO75" s="609"/>
      <c r="AP75" s="609"/>
      <c r="AQ75" s="609"/>
      <c r="AR75" s="609"/>
      <c r="AS75" s="609"/>
      <c r="AT75" s="609"/>
      <c r="AU75" s="609"/>
      <c r="AV75" s="609"/>
      <c r="AW75" s="609"/>
      <c r="AX75" s="609"/>
      <c r="AY75" s="609"/>
      <c r="AZ75" s="609"/>
      <c r="BA75" s="609"/>
      <c r="BB75" s="609"/>
      <c r="BC75" s="609"/>
      <c r="BD75" s="609"/>
      <c r="BE75" s="609"/>
      <c r="BF75" s="609"/>
      <c r="BG75" s="609"/>
    </row>
    <row r="76" spans="1:59" s="62" customFormat="1" ht="18" customHeight="1" thickBot="1" x14ac:dyDescent="0.25">
      <c r="A76" s="806"/>
      <c r="B76" s="531" t="s">
        <v>441</v>
      </c>
      <c r="C76" s="137" t="s">
        <v>768</v>
      </c>
      <c r="D76" s="137" t="s">
        <v>849</v>
      </c>
      <c r="E76" s="138" t="s">
        <v>827</v>
      </c>
      <c r="F76" s="151">
        <v>0</v>
      </c>
      <c r="G76" s="609"/>
      <c r="H76" s="609"/>
      <c r="I76" s="609"/>
      <c r="J76" s="609"/>
      <c r="K76" s="609"/>
      <c r="L76" s="609"/>
      <c r="M76" s="609"/>
      <c r="N76" s="609"/>
      <c r="O76" s="609"/>
      <c r="P76" s="609"/>
      <c r="Q76" s="609"/>
      <c r="R76" s="609"/>
      <c r="S76" s="609"/>
      <c r="T76" s="609"/>
      <c r="U76" s="609"/>
      <c r="V76" s="609"/>
      <c r="W76" s="609"/>
      <c r="X76" s="609"/>
      <c r="Y76" s="609"/>
      <c r="Z76" s="609"/>
      <c r="AA76" s="609"/>
      <c r="AB76" s="609"/>
      <c r="AC76" s="609"/>
      <c r="AD76" s="609"/>
      <c r="AE76" s="609"/>
      <c r="AF76" s="609"/>
      <c r="AG76" s="609"/>
      <c r="AH76" s="609"/>
      <c r="AI76" s="609"/>
      <c r="AJ76" s="609"/>
      <c r="AK76" s="609"/>
      <c r="AL76" s="609"/>
      <c r="AM76" s="609"/>
      <c r="AN76" s="609"/>
      <c r="AO76" s="609"/>
      <c r="AP76" s="609"/>
      <c r="AQ76" s="609"/>
      <c r="AR76" s="609"/>
      <c r="AS76" s="609"/>
      <c r="AT76" s="609"/>
      <c r="AU76" s="609"/>
      <c r="AV76" s="609"/>
      <c r="AW76" s="609"/>
      <c r="AX76" s="609"/>
      <c r="AY76" s="609"/>
      <c r="AZ76" s="609"/>
      <c r="BA76" s="609"/>
      <c r="BB76" s="609"/>
      <c r="BC76" s="609"/>
      <c r="BD76" s="609"/>
      <c r="BE76" s="609"/>
      <c r="BF76" s="609"/>
      <c r="BG76" s="609"/>
    </row>
    <row r="77" spans="1:59" s="62" customFormat="1" ht="18" customHeight="1" thickBot="1" x14ac:dyDescent="0.25">
      <c r="A77" s="806"/>
      <c r="B77" s="796" t="s">
        <v>764</v>
      </c>
      <c r="C77" s="797"/>
      <c r="D77" s="797"/>
      <c r="E77" s="798"/>
      <c r="F77" s="545">
        <f>SUM(F72:F76)</f>
        <v>0</v>
      </c>
      <c r="G77" s="609"/>
      <c r="H77" s="609"/>
      <c r="I77" s="609"/>
      <c r="J77" s="609"/>
      <c r="K77" s="609"/>
      <c r="L77" s="609"/>
      <c r="M77" s="609"/>
      <c r="N77" s="609"/>
      <c r="O77" s="609"/>
      <c r="P77" s="609"/>
      <c r="Q77" s="609"/>
      <c r="R77" s="609"/>
      <c r="S77" s="609"/>
      <c r="T77" s="609"/>
      <c r="U77" s="609"/>
      <c r="V77" s="609"/>
      <c r="W77" s="609"/>
      <c r="X77" s="609"/>
      <c r="Y77" s="609"/>
      <c r="Z77" s="609"/>
      <c r="AA77" s="609"/>
      <c r="AB77" s="609"/>
      <c r="AC77" s="609"/>
      <c r="AD77" s="609"/>
      <c r="AE77" s="609"/>
      <c r="AF77" s="609"/>
      <c r="AG77" s="609"/>
      <c r="AH77" s="609"/>
      <c r="AI77" s="609"/>
      <c r="AJ77" s="609"/>
      <c r="AK77" s="609"/>
      <c r="AL77" s="609"/>
      <c r="AM77" s="609"/>
      <c r="AN77" s="609"/>
      <c r="AO77" s="609"/>
      <c r="AP77" s="609"/>
      <c r="AQ77" s="609"/>
      <c r="AR77" s="609"/>
      <c r="AS77" s="609"/>
      <c r="AT77" s="609"/>
      <c r="AU77" s="609"/>
      <c r="AV77" s="609"/>
      <c r="AW77" s="609"/>
      <c r="AX77" s="609"/>
      <c r="AY77" s="609"/>
      <c r="AZ77" s="609"/>
      <c r="BA77" s="609"/>
      <c r="BB77" s="609"/>
      <c r="BC77" s="609"/>
      <c r="BD77" s="609"/>
      <c r="BE77" s="609"/>
      <c r="BF77" s="609"/>
      <c r="BG77" s="609"/>
    </row>
    <row r="78" spans="1:59" s="160" customFormat="1" ht="21" customHeight="1" thickBot="1" x14ac:dyDescent="0.25">
      <c r="A78" s="819"/>
      <c r="B78" s="799"/>
      <c r="C78" s="800"/>
      <c r="D78" s="800"/>
      <c r="E78" s="614" t="s">
        <v>146</v>
      </c>
      <c r="F78" s="179">
        <f>F77/12</f>
        <v>0</v>
      </c>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610"/>
      <c r="AK78" s="610"/>
      <c r="AL78" s="610"/>
      <c r="AM78" s="610"/>
      <c r="AN78" s="610"/>
      <c r="AO78" s="610"/>
      <c r="AP78" s="610"/>
      <c r="AQ78" s="610"/>
      <c r="AR78" s="610"/>
      <c r="AS78" s="610"/>
      <c r="AT78" s="610"/>
      <c r="AU78" s="610"/>
      <c r="AV78" s="610"/>
      <c r="AW78" s="610"/>
      <c r="AX78" s="610"/>
      <c r="AY78" s="610"/>
      <c r="AZ78" s="610"/>
      <c r="BA78" s="610"/>
      <c r="BB78" s="610"/>
      <c r="BC78" s="610"/>
      <c r="BD78" s="610"/>
      <c r="BE78" s="610"/>
      <c r="BF78" s="610"/>
      <c r="BG78" s="610"/>
    </row>
    <row r="79" spans="1:59" s="270" customFormat="1" ht="24" customHeight="1" thickBot="1" x14ac:dyDescent="0.3">
      <c r="A79" s="823" t="s">
        <v>852</v>
      </c>
      <c r="B79" s="809" t="s">
        <v>151</v>
      </c>
      <c r="C79" s="820"/>
      <c r="D79" s="820"/>
      <c r="E79" s="820"/>
      <c r="F79" s="552"/>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611"/>
      <c r="AK79" s="611"/>
      <c r="AL79" s="611"/>
      <c r="AM79" s="611"/>
      <c r="AN79" s="611"/>
      <c r="AO79" s="611"/>
      <c r="AP79" s="611"/>
      <c r="AQ79" s="611"/>
      <c r="AR79" s="611"/>
      <c r="AS79" s="611"/>
      <c r="AT79" s="611"/>
      <c r="AU79" s="611"/>
      <c r="AV79" s="611"/>
      <c r="AW79" s="611"/>
      <c r="AX79" s="611"/>
      <c r="AY79" s="611"/>
      <c r="AZ79" s="611"/>
      <c r="BA79" s="611"/>
      <c r="BB79" s="611"/>
      <c r="BC79" s="611"/>
      <c r="BD79" s="611"/>
      <c r="BE79" s="611"/>
      <c r="BF79" s="611"/>
      <c r="BG79" s="611"/>
    </row>
    <row r="80" spans="1:59" s="62" customFormat="1" ht="21" customHeight="1" thickBot="1" x14ac:dyDescent="0.25">
      <c r="A80" s="824"/>
      <c r="B80" s="811" t="s">
        <v>152</v>
      </c>
      <c r="C80" s="812"/>
      <c r="D80" s="812"/>
      <c r="E80" s="812"/>
      <c r="F80" s="550"/>
      <c r="G80" s="609"/>
      <c r="H80" s="609"/>
      <c r="I80" s="609"/>
      <c r="J80" s="609"/>
      <c r="K80" s="609"/>
      <c r="L80" s="609"/>
      <c r="M80" s="609"/>
      <c r="N80" s="609"/>
      <c r="O80" s="609"/>
      <c r="P80" s="609"/>
      <c r="Q80" s="609"/>
      <c r="R80" s="609"/>
      <c r="S80" s="609"/>
      <c r="T80" s="609"/>
      <c r="U80" s="609"/>
      <c r="V80" s="609"/>
      <c r="W80" s="609"/>
      <c r="X80" s="609"/>
      <c r="Y80" s="609"/>
      <c r="Z80" s="609"/>
      <c r="AA80" s="609"/>
      <c r="AB80" s="609"/>
      <c r="AC80" s="609"/>
      <c r="AD80" s="609"/>
      <c r="AE80" s="609"/>
      <c r="AF80" s="609"/>
      <c r="AG80" s="609"/>
      <c r="AH80" s="609"/>
      <c r="AI80" s="609"/>
      <c r="AJ80" s="609"/>
      <c r="AK80" s="609"/>
      <c r="AL80" s="609"/>
      <c r="AM80" s="609"/>
      <c r="AN80" s="609"/>
      <c r="AO80" s="609"/>
      <c r="AP80" s="609"/>
      <c r="AQ80" s="609"/>
      <c r="AR80" s="609"/>
      <c r="AS80" s="609"/>
      <c r="AT80" s="609"/>
      <c r="AU80" s="609"/>
      <c r="AV80" s="609"/>
      <c r="AW80" s="609"/>
      <c r="AX80" s="609"/>
      <c r="AY80" s="609"/>
      <c r="AZ80" s="609"/>
      <c r="BA80" s="609"/>
      <c r="BB80" s="609"/>
      <c r="BC80" s="609"/>
      <c r="BD80" s="609"/>
      <c r="BE80" s="609"/>
      <c r="BF80" s="609"/>
      <c r="BG80" s="609"/>
    </row>
    <row r="81" spans="1:59" s="62" customFormat="1" ht="18" customHeight="1" x14ac:dyDescent="0.2">
      <c r="A81" s="824"/>
      <c r="B81" s="813" t="s">
        <v>3607</v>
      </c>
      <c r="C81" s="814"/>
      <c r="D81" s="814"/>
      <c r="E81" s="814"/>
      <c r="F81" s="542"/>
      <c r="G81" s="609"/>
      <c r="H81" s="609"/>
      <c r="I81" s="609"/>
      <c r="J81" s="609"/>
      <c r="K81" s="609"/>
      <c r="L81" s="609"/>
      <c r="M81" s="609"/>
      <c r="N81" s="609"/>
      <c r="O81" s="609"/>
      <c r="P81" s="609"/>
      <c r="Q81" s="609"/>
      <c r="R81" s="609"/>
      <c r="S81" s="609"/>
      <c r="T81" s="609"/>
      <c r="U81" s="609"/>
      <c r="V81" s="609"/>
      <c r="W81" s="609"/>
      <c r="X81" s="609"/>
      <c r="Y81" s="609"/>
      <c r="Z81" s="609"/>
      <c r="AA81" s="609"/>
      <c r="AB81" s="609"/>
      <c r="AC81" s="609"/>
      <c r="AD81" s="609"/>
      <c r="AE81" s="609"/>
      <c r="AF81" s="609"/>
      <c r="AG81" s="609"/>
      <c r="AH81" s="609"/>
      <c r="AI81" s="609"/>
      <c r="AJ81" s="609"/>
      <c r="AK81" s="609"/>
      <c r="AL81" s="609"/>
      <c r="AM81" s="609"/>
      <c r="AN81" s="609"/>
      <c r="AO81" s="609"/>
      <c r="AP81" s="609"/>
      <c r="AQ81" s="609"/>
      <c r="AR81" s="609"/>
      <c r="AS81" s="609"/>
      <c r="AT81" s="609"/>
      <c r="AU81" s="609"/>
      <c r="AV81" s="609"/>
      <c r="AW81" s="609"/>
      <c r="AX81" s="609"/>
      <c r="AY81" s="609"/>
      <c r="AZ81" s="609"/>
      <c r="BA81" s="609"/>
      <c r="BB81" s="609"/>
      <c r="BC81" s="609"/>
      <c r="BD81" s="609"/>
      <c r="BE81" s="609"/>
      <c r="BF81" s="609"/>
      <c r="BG81" s="609"/>
    </row>
    <row r="82" spans="1:59" s="62" customFormat="1" ht="18" customHeight="1" x14ac:dyDescent="0.2">
      <c r="A82" s="824"/>
      <c r="B82" s="803" t="s">
        <v>3608</v>
      </c>
      <c r="C82" s="804"/>
      <c r="D82" s="804"/>
      <c r="E82" s="804"/>
      <c r="F82" s="542"/>
      <c r="G82" s="609"/>
      <c r="H82" s="609"/>
      <c r="I82" s="609"/>
      <c r="J82" s="609"/>
      <c r="K82" s="609"/>
      <c r="L82" s="609"/>
      <c r="M82" s="609"/>
      <c r="N82" s="609"/>
      <c r="O82" s="609"/>
      <c r="P82" s="609"/>
      <c r="Q82" s="609"/>
      <c r="R82" s="609"/>
      <c r="S82" s="609"/>
      <c r="T82" s="609"/>
      <c r="U82" s="609"/>
      <c r="V82" s="609"/>
      <c r="W82" s="609"/>
      <c r="X82" s="609"/>
      <c r="Y82" s="609"/>
      <c r="Z82" s="609"/>
      <c r="AA82" s="609"/>
      <c r="AB82" s="609"/>
      <c r="AC82" s="609"/>
      <c r="AD82" s="609"/>
      <c r="AE82" s="609"/>
      <c r="AF82" s="609"/>
      <c r="AG82" s="609"/>
      <c r="AH82" s="609"/>
      <c r="AI82" s="609"/>
      <c r="AJ82" s="609"/>
      <c r="AK82" s="609"/>
      <c r="AL82" s="609"/>
      <c r="AM82" s="609"/>
      <c r="AN82" s="609"/>
      <c r="AO82" s="609"/>
      <c r="AP82" s="609"/>
      <c r="AQ82" s="609"/>
      <c r="AR82" s="609"/>
      <c r="AS82" s="609"/>
      <c r="AT82" s="609"/>
      <c r="AU82" s="609"/>
      <c r="AV82" s="609"/>
      <c r="AW82" s="609"/>
      <c r="AX82" s="609"/>
      <c r="AY82" s="609"/>
      <c r="AZ82" s="609"/>
      <c r="BA82" s="609"/>
      <c r="BB82" s="609"/>
      <c r="BC82" s="609"/>
      <c r="BD82" s="609"/>
      <c r="BE82" s="609"/>
      <c r="BF82" s="609"/>
      <c r="BG82" s="609"/>
    </row>
    <row r="83" spans="1:59" s="62" customFormat="1" ht="18" customHeight="1" x14ac:dyDescent="0.2">
      <c r="A83" s="824"/>
      <c r="B83" s="803" t="s">
        <v>3609</v>
      </c>
      <c r="C83" s="804"/>
      <c r="D83" s="804"/>
      <c r="E83" s="804"/>
      <c r="F83" s="542"/>
      <c r="G83" s="609"/>
      <c r="H83" s="609"/>
      <c r="I83" s="609"/>
      <c r="J83" s="609"/>
      <c r="K83" s="609"/>
      <c r="L83" s="609"/>
      <c r="M83" s="609"/>
      <c r="N83" s="609"/>
      <c r="O83" s="609"/>
      <c r="P83" s="609"/>
      <c r="Q83" s="609"/>
      <c r="R83" s="609"/>
      <c r="S83" s="609"/>
      <c r="T83" s="609"/>
      <c r="U83" s="609"/>
      <c r="V83" s="609"/>
      <c r="W83" s="609"/>
      <c r="X83" s="609"/>
      <c r="Y83" s="609"/>
      <c r="Z83" s="609"/>
      <c r="AA83" s="609"/>
      <c r="AB83" s="609"/>
      <c r="AC83" s="609"/>
      <c r="AD83" s="609"/>
      <c r="AE83" s="609"/>
      <c r="AF83" s="609"/>
      <c r="AG83" s="609"/>
      <c r="AH83" s="609"/>
      <c r="AI83" s="609"/>
      <c r="AJ83" s="609"/>
      <c r="AK83" s="609"/>
      <c r="AL83" s="609"/>
      <c r="AM83" s="609"/>
      <c r="AN83" s="609"/>
      <c r="AO83" s="609"/>
      <c r="AP83" s="609"/>
      <c r="AQ83" s="609"/>
      <c r="AR83" s="609"/>
      <c r="AS83" s="609"/>
      <c r="AT83" s="609"/>
      <c r="AU83" s="609"/>
      <c r="AV83" s="609"/>
      <c r="AW83" s="609"/>
      <c r="AX83" s="609"/>
      <c r="AY83" s="609"/>
      <c r="AZ83" s="609"/>
      <c r="BA83" s="609"/>
      <c r="BB83" s="609"/>
      <c r="BC83" s="609"/>
      <c r="BD83" s="609"/>
      <c r="BE83" s="609"/>
      <c r="BF83" s="609"/>
      <c r="BG83" s="609"/>
    </row>
    <row r="84" spans="1:59" s="62" customFormat="1" ht="18" customHeight="1" thickBot="1" x14ac:dyDescent="0.25">
      <c r="A84" s="824"/>
      <c r="B84" s="803" t="s">
        <v>3610</v>
      </c>
      <c r="C84" s="804"/>
      <c r="D84" s="804"/>
      <c r="E84" s="804"/>
      <c r="F84" s="542"/>
      <c r="G84" s="609"/>
      <c r="H84" s="609"/>
      <c r="I84" s="609"/>
      <c r="J84" s="609"/>
      <c r="K84" s="609"/>
      <c r="L84" s="609"/>
      <c r="M84" s="609"/>
      <c r="N84" s="609"/>
      <c r="O84" s="609"/>
      <c r="P84" s="609"/>
      <c r="Q84" s="609"/>
      <c r="R84" s="609"/>
      <c r="S84" s="609"/>
      <c r="T84" s="609"/>
      <c r="U84" s="609"/>
      <c r="V84" s="609"/>
      <c r="W84" s="609"/>
      <c r="X84" s="609"/>
      <c r="Y84" s="609"/>
      <c r="Z84" s="609"/>
      <c r="AA84" s="609"/>
      <c r="AB84" s="609"/>
      <c r="AC84" s="609"/>
      <c r="AD84" s="609"/>
      <c r="AE84" s="609"/>
      <c r="AF84" s="609"/>
      <c r="AG84" s="609"/>
      <c r="AH84" s="609"/>
      <c r="AI84" s="609"/>
      <c r="AJ84" s="609"/>
      <c r="AK84" s="609"/>
      <c r="AL84" s="609"/>
      <c r="AM84" s="609"/>
      <c r="AN84" s="609"/>
      <c r="AO84" s="609"/>
      <c r="AP84" s="609"/>
      <c r="AQ84" s="609"/>
      <c r="AR84" s="609"/>
      <c r="AS84" s="609"/>
      <c r="AT84" s="609"/>
      <c r="AU84" s="609"/>
      <c r="AV84" s="609"/>
      <c r="AW84" s="609"/>
      <c r="AX84" s="609"/>
      <c r="AY84" s="609"/>
      <c r="AZ84" s="609"/>
      <c r="BA84" s="609"/>
      <c r="BB84" s="609"/>
      <c r="BC84" s="609"/>
      <c r="BD84" s="609"/>
      <c r="BE84" s="609"/>
      <c r="BF84" s="609"/>
      <c r="BG84" s="609"/>
    </row>
    <row r="85" spans="1:59" s="62" customFormat="1" ht="30" customHeight="1" thickBot="1" x14ac:dyDescent="0.25">
      <c r="A85" s="824"/>
      <c r="B85" s="815" t="s">
        <v>1109</v>
      </c>
      <c r="C85" s="812"/>
      <c r="D85" s="812"/>
      <c r="E85" s="812"/>
      <c r="F85" s="551"/>
      <c r="G85" s="609"/>
      <c r="H85" s="609"/>
      <c r="I85" s="609"/>
      <c r="J85" s="609"/>
      <c r="K85" s="609"/>
      <c r="L85" s="609"/>
      <c r="M85" s="609"/>
      <c r="N85" s="609"/>
      <c r="O85" s="609"/>
      <c r="P85" s="609"/>
      <c r="Q85" s="609"/>
      <c r="R85" s="609"/>
      <c r="S85" s="609"/>
      <c r="T85" s="609"/>
      <c r="U85" s="609"/>
      <c r="V85" s="609"/>
      <c r="W85" s="609"/>
      <c r="X85" s="609"/>
      <c r="Y85" s="609"/>
      <c r="Z85" s="609"/>
      <c r="AA85" s="609"/>
      <c r="AB85" s="609"/>
      <c r="AC85" s="609"/>
      <c r="AD85" s="609"/>
      <c r="AE85" s="609"/>
      <c r="AF85" s="609"/>
      <c r="AG85" s="609"/>
      <c r="AH85" s="609"/>
      <c r="AI85" s="609"/>
      <c r="AJ85" s="609"/>
      <c r="AK85" s="609"/>
      <c r="AL85" s="609"/>
      <c r="AM85" s="609"/>
      <c r="AN85" s="609"/>
      <c r="AO85" s="609"/>
      <c r="AP85" s="609"/>
      <c r="AQ85" s="609"/>
      <c r="AR85" s="609"/>
      <c r="AS85" s="609"/>
      <c r="AT85" s="609"/>
      <c r="AU85" s="609"/>
      <c r="AV85" s="609"/>
      <c r="AW85" s="609"/>
      <c r="AX85" s="609"/>
      <c r="AY85" s="609"/>
      <c r="AZ85" s="609"/>
      <c r="BA85" s="609"/>
      <c r="BB85" s="609"/>
      <c r="BC85" s="609"/>
      <c r="BD85" s="609"/>
      <c r="BE85" s="609"/>
      <c r="BF85" s="609"/>
      <c r="BG85" s="609"/>
    </row>
    <row r="86" spans="1:59" s="143" customFormat="1" ht="18" customHeight="1" thickBot="1" x14ac:dyDescent="0.25">
      <c r="A86" s="824"/>
      <c r="B86" s="142"/>
      <c r="C86" s="533" t="s">
        <v>792</v>
      </c>
      <c r="D86" s="535" t="s">
        <v>793</v>
      </c>
      <c r="E86" s="536" t="s">
        <v>794</v>
      </c>
      <c r="F86" s="543"/>
      <c r="G86" s="613"/>
      <c r="H86" s="613"/>
      <c r="I86" s="613"/>
      <c r="J86" s="613"/>
      <c r="K86" s="613"/>
      <c r="L86" s="613"/>
      <c r="M86" s="613"/>
      <c r="N86" s="613"/>
      <c r="O86" s="613"/>
      <c r="P86" s="613"/>
      <c r="Q86" s="613"/>
      <c r="R86" s="613"/>
      <c r="S86" s="613"/>
      <c r="T86" s="613"/>
      <c r="U86" s="613"/>
      <c r="V86" s="613"/>
      <c r="W86" s="613"/>
      <c r="X86" s="613"/>
      <c r="Y86" s="613"/>
      <c r="Z86" s="613"/>
      <c r="AA86" s="613"/>
      <c r="AB86" s="613"/>
      <c r="AC86" s="613"/>
      <c r="AD86" s="613"/>
      <c r="AE86" s="613"/>
      <c r="AF86" s="613"/>
      <c r="AG86" s="613"/>
      <c r="AH86" s="613"/>
      <c r="AI86" s="613"/>
      <c r="AJ86" s="613"/>
      <c r="AK86" s="613"/>
      <c r="AL86" s="613"/>
      <c r="AM86" s="613"/>
      <c r="AN86" s="613"/>
      <c r="AO86" s="613"/>
      <c r="AP86" s="613"/>
      <c r="AQ86" s="613"/>
      <c r="AR86" s="613"/>
      <c r="AS86" s="613"/>
      <c r="AT86" s="613"/>
      <c r="AU86" s="613"/>
      <c r="AV86" s="613"/>
      <c r="AW86" s="613"/>
      <c r="AX86" s="613"/>
      <c r="AY86" s="613"/>
      <c r="AZ86" s="613"/>
      <c r="BA86" s="613"/>
      <c r="BB86" s="613"/>
      <c r="BC86" s="613"/>
      <c r="BD86" s="613"/>
      <c r="BE86" s="613"/>
      <c r="BF86" s="613"/>
      <c r="BG86" s="613"/>
    </row>
    <row r="87" spans="1:59" s="143" customFormat="1" ht="29.25" customHeight="1" x14ac:dyDescent="0.2">
      <c r="A87" s="824"/>
      <c r="B87" s="531" t="s">
        <v>828</v>
      </c>
      <c r="C87" s="137" t="s">
        <v>522</v>
      </c>
      <c r="D87" s="137" t="s">
        <v>1027</v>
      </c>
      <c r="E87" s="138" t="s">
        <v>1028</v>
      </c>
      <c r="F87" s="148">
        <v>0</v>
      </c>
      <c r="G87" s="613"/>
      <c r="H87" s="613"/>
      <c r="I87" s="613"/>
      <c r="J87" s="613"/>
      <c r="K87" s="613"/>
      <c r="L87" s="613"/>
      <c r="M87" s="613"/>
      <c r="N87" s="613"/>
      <c r="O87" s="613"/>
      <c r="P87" s="613"/>
      <c r="Q87" s="613"/>
      <c r="R87" s="613"/>
      <c r="S87" s="613"/>
      <c r="T87" s="613"/>
      <c r="U87" s="613"/>
      <c r="V87" s="613"/>
      <c r="W87" s="613"/>
      <c r="X87" s="613"/>
      <c r="Y87" s="613"/>
      <c r="Z87" s="613"/>
      <c r="AA87" s="613"/>
      <c r="AB87" s="613"/>
      <c r="AC87" s="613"/>
      <c r="AD87" s="613"/>
      <c r="AE87" s="613"/>
      <c r="AF87" s="613"/>
      <c r="AG87" s="613"/>
      <c r="AH87" s="613"/>
      <c r="AI87" s="613"/>
      <c r="AJ87" s="613"/>
      <c r="AK87" s="613"/>
      <c r="AL87" s="613"/>
      <c r="AM87" s="613"/>
      <c r="AN87" s="613"/>
      <c r="AO87" s="613"/>
      <c r="AP87" s="613"/>
      <c r="AQ87" s="613"/>
      <c r="AR87" s="613"/>
      <c r="AS87" s="613"/>
      <c r="AT87" s="613"/>
      <c r="AU87" s="613"/>
      <c r="AV87" s="613"/>
      <c r="AW87" s="613"/>
      <c r="AX87" s="613"/>
      <c r="AY87" s="613"/>
      <c r="AZ87" s="613"/>
      <c r="BA87" s="613"/>
      <c r="BB87" s="613"/>
      <c r="BC87" s="613"/>
      <c r="BD87" s="613"/>
      <c r="BE87" s="613"/>
      <c r="BF87" s="613"/>
      <c r="BG87" s="613"/>
    </row>
    <row r="88" spans="1:59" s="143" customFormat="1" ht="18" customHeight="1" x14ac:dyDescent="0.2">
      <c r="A88" s="824"/>
      <c r="B88" s="531" t="s">
        <v>829</v>
      </c>
      <c r="C88" s="137" t="s">
        <v>524</v>
      </c>
      <c r="D88" s="137" t="s">
        <v>523</v>
      </c>
      <c r="E88" s="138" t="s">
        <v>525</v>
      </c>
      <c r="F88" s="149">
        <v>0</v>
      </c>
      <c r="G88" s="613"/>
      <c r="H88" s="613"/>
      <c r="I88" s="613"/>
      <c r="J88" s="613"/>
      <c r="K88" s="613"/>
      <c r="L88" s="613"/>
      <c r="M88" s="613"/>
      <c r="N88" s="613"/>
      <c r="O88" s="613"/>
      <c r="P88" s="613"/>
      <c r="Q88" s="613"/>
      <c r="R88" s="613"/>
      <c r="S88" s="613"/>
      <c r="T88" s="613"/>
      <c r="U88" s="613"/>
      <c r="V88" s="613"/>
      <c r="W88" s="613"/>
      <c r="X88" s="613"/>
      <c r="Y88" s="613"/>
      <c r="Z88" s="613"/>
      <c r="AA88" s="613"/>
      <c r="AB88" s="613"/>
      <c r="AC88" s="613"/>
      <c r="AD88" s="613"/>
      <c r="AE88" s="613"/>
      <c r="AF88" s="613"/>
      <c r="AG88" s="613"/>
      <c r="AH88" s="613"/>
      <c r="AI88" s="613"/>
      <c r="AJ88" s="613"/>
      <c r="AK88" s="613"/>
      <c r="AL88" s="613"/>
      <c r="AM88" s="613"/>
      <c r="AN88" s="613"/>
      <c r="AO88" s="613"/>
      <c r="AP88" s="613"/>
      <c r="AQ88" s="613"/>
      <c r="AR88" s="613"/>
      <c r="AS88" s="613"/>
      <c r="AT88" s="613"/>
      <c r="AU88" s="613"/>
      <c r="AV88" s="613"/>
      <c r="AW88" s="613"/>
      <c r="AX88" s="613"/>
      <c r="AY88" s="613"/>
      <c r="AZ88" s="613"/>
      <c r="BA88" s="613"/>
      <c r="BB88" s="613"/>
      <c r="BC88" s="613"/>
      <c r="BD88" s="613"/>
      <c r="BE88" s="613"/>
      <c r="BF88" s="613"/>
      <c r="BG88" s="613"/>
    </row>
    <row r="89" spans="1:59" s="143" customFormat="1" ht="18" customHeight="1" thickBot="1" x14ac:dyDescent="0.25">
      <c r="A89" s="824"/>
      <c r="B89" s="531" t="s">
        <v>830</v>
      </c>
      <c r="C89" s="139" t="s">
        <v>831</v>
      </c>
      <c r="D89" s="139" t="s">
        <v>832</v>
      </c>
      <c r="E89" s="140" t="s">
        <v>308</v>
      </c>
      <c r="F89" s="151">
        <v>0</v>
      </c>
      <c r="G89" s="613"/>
      <c r="H89" s="613"/>
      <c r="I89" s="613"/>
      <c r="J89" s="613"/>
      <c r="K89" s="613"/>
      <c r="L89" s="613"/>
      <c r="M89" s="613"/>
      <c r="N89" s="613"/>
      <c r="O89" s="613"/>
      <c r="P89" s="613"/>
      <c r="Q89" s="613"/>
      <c r="R89" s="613"/>
      <c r="S89" s="613"/>
      <c r="T89" s="613"/>
      <c r="U89" s="613"/>
      <c r="V89" s="613"/>
      <c r="W89" s="613"/>
      <c r="X89" s="613"/>
      <c r="Y89" s="613"/>
      <c r="Z89" s="613"/>
      <c r="AA89" s="613"/>
      <c r="AB89" s="613"/>
      <c r="AC89" s="613"/>
      <c r="AD89" s="613"/>
      <c r="AE89" s="613"/>
      <c r="AF89" s="613"/>
      <c r="AG89" s="613"/>
      <c r="AH89" s="613"/>
      <c r="AI89" s="613"/>
      <c r="AJ89" s="613"/>
      <c r="AK89" s="613"/>
      <c r="AL89" s="613"/>
      <c r="AM89" s="613"/>
      <c r="AN89" s="613"/>
      <c r="AO89" s="613"/>
      <c r="AP89" s="613"/>
      <c r="AQ89" s="613"/>
      <c r="AR89" s="613"/>
      <c r="AS89" s="613"/>
      <c r="AT89" s="613"/>
      <c r="AU89" s="613"/>
      <c r="AV89" s="613"/>
      <c r="AW89" s="613"/>
      <c r="AX89" s="613"/>
      <c r="AY89" s="613"/>
      <c r="AZ89" s="613"/>
      <c r="BA89" s="613"/>
      <c r="BB89" s="613"/>
      <c r="BC89" s="613"/>
      <c r="BD89" s="613"/>
      <c r="BE89" s="613"/>
      <c r="BF89" s="613"/>
      <c r="BG89" s="613"/>
    </row>
    <row r="90" spans="1:59" s="143" customFormat="1" ht="18" customHeight="1" thickBot="1" x14ac:dyDescent="0.25">
      <c r="A90" s="824"/>
      <c r="B90" s="796" t="s">
        <v>764</v>
      </c>
      <c r="C90" s="797"/>
      <c r="D90" s="797"/>
      <c r="E90" s="798"/>
      <c r="F90" s="545">
        <f>SUM(F87:F89)</f>
        <v>0</v>
      </c>
      <c r="G90" s="613"/>
      <c r="H90" s="613"/>
      <c r="I90" s="613"/>
      <c r="J90" s="613"/>
      <c r="K90" s="613"/>
      <c r="L90" s="613"/>
      <c r="M90" s="613"/>
      <c r="N90" s="613"/>
      <c r="O90" s="613"/>
      <c r="P90" s="613"/>
      <c r="Q90" s="613"/>
      <c r="R90" s="613"/>
      <c r="S90" s="613"/>
      <c r="T90" s="613"/>
      <c r="U90" s="613"/>
      <c r="V90" s="613"/>
      <c r="W90" s="613"/>
      <c r="X90" s="613"/>
      <c r="Y90" s="613"/>
      <c r="Z90" s="613"/>
      <c r="AA90" s="613"/>
      <c r="AB90" s="613"/>
      <c r="AC90" s="613"/>
      <c r="AD90" s="613"/>
      <c r="AE90" s="613"/>
      <c r="AF90" s="613"/>
      <c r="AG90" s="613"/>
      <c r="AH90" s="613"/>
      <c r="AI90" s="613"/>
      <c r="AJ90" s="613"/>
      <c r="AK90" s="613"/>
      <c r="AL90" s="613"/>
      <c r="AM90" s="613"/>
      <c r="AN90" s="613"/>
      <c r="AO90" s="613"/>
      <c r="AP90" s="613"/>
      <c r="AQ90" s="613"/>
      <c r="AR90" s="613"/>
      <c r="AS90" s="613"/>
      <c r="AT90" s="613"/>
      <c r="AU90" s="613"/>
      <c r="AV90" s="613"/>
      <c r="AW90" s="613"/>
      <c r="AX90" s="613"/>
      <c r="AY90" s="613"/>
      <c r="AZ90" s="613"/>
      <c r="BA90" s="613"/>
      <c r="BB90" s="613"/>
      <c r="BC90" s="613"/>
      <c r="BD90" s="613"/>
      <c r="BE90" s="613"/>
      <c r="BF90" s="613"/>
      <c r="BG90" s="613"/>
    </row>
    <row r="91" spans="1:59" s="160" customFormat="1" ht="21" customHeight="1" thickBot="1" x14ac:dyDescent="0.25">
      <c r="A91" s="825"/>
      <c r="B91" s="799"/>
      <c r="C91" s="800"/>
      <c r="D91" s="800"/>
      <c r="E91" s="614" t="s">
        <v>146</v>
      </c>
      <c r="F91" s="179">
        <f>F90/9</f>
        <v>0</v>
      </c>
      <c r="G91" s="610"/>
      <c r="H91" s="610"/>
      <c r="I91" s="610"/>
      <c r="J91" s="610"/>
      <c r="K91" s="610"/>
      <c r="L91" s="610"/>
      <c r="M91" s="610"/>
      <c r="N91" s="610"/>
      <c r="O91" s="610"/>
      <c r="P91" s="610"/>
      <c r="Q91" s="610"/>
      <c r="R91" s="610"/>
      <c r="S91" s="610"/>
      <c r="T91" s="610"/>
      <c r="U91" s="610"/>
      <c r="V91" s="610"/>
      <c r="W91" s="610"/>
      <c r="X91" s="610"/>
      <c r="Y91" s="610"/>
      <c r="Z91" s="610"/>
      <c r="AA91" s="610"/>
      <c r="AB91" s="610"/>
      <c r="AC91" s="610"/>
      <c r="AD91" s="610"/>
      <c r="AE91" s="610"/>
      <c r="AF91" s="610"/>
      <c r="AG91" s="610"/>
      <c r="AH91" s="610"/>
      <c r="AI91" s="610"/>
      <c r="AJ91" s="610"/>
      <c r="AK91" s="610"/>
      <c r="AL91" s="610"/>
      <c r="AM91" s="610"/>
      <c r="AN91" s="610"/>
      <c r="AO91" s="610"/>
      <c r="AP91" s="610"/>
      <c r="AQ91" s="610"/>
      <c r="AR91" s="610"/>
      <c r="AS91" s="610"/>
      <c r="AT91" s="610"/>
      <c r="AU91" s="610"/>
      <c r="AV91" s="610"/>
      <c r="AW91" s="610"/>
      <c r="AX91" s="610"/>
      <c r="AY91" s="610"/>
      <c r="AZ91" s="610"/>
      <c r="BA91" s="610"/>
      <c r="BB91" s="610"/>
      <c r="BC91" s="610"/>
      <c r="BD91" s="610"/>
      <c r="BE91" s="610"/>
      <c r="BF91" s="610"/>
      <c r="BG91" s="610"/>
    </row>
    <row r="92" spans="1:59" s="270" customFormat="1" ht="24" customHeight="1" thickBot="1" x14ac:dyDescent="0.3">
      <c r="A92" s="805" t="s">
        <v>853</v>
      </c>
      <c r="B92" s="809" t="s">
        <v>309</v>
      </c>
      <c r="C92" s="820"/>
      <c r="D92" s="820"/>
      <c r="E92" s="820"/>
      <c r="F92" s="553"/>
      <c r="G92" s="611"/>
      <c r="H92" s="611"/>
      <c r="I92" s="611"/>
      <c r="J92" s="611"/>
      <c r="K92" s="611"/>
      <c r="L92" s="611"/>
      <c r="M92" s="611"/>
      <c r="N92" s="611"/>
      <c r="O92" s="611"/>
      <c r="P92" s="611"/>
      <c r="Q92" s="611"/>
      <c r="R92" s="611"/>
      <c r="S92" s="611"/>
      <c r="T92" s="611"/>
      <c r="U92" s="611"/>
      <c r="V92" s="611"/>
      <c r="W92" s="611"/>
      <c r="X92" s="611"/>
      <c r="Y92" s="611"/>
      <c r="Z92" s="611"/>
      <c r="AA92" s="611"/>
      <c r="AB92" s="611"/>
      <c r="AC92" s="611"/>
      <c r="AD92" s="611"/>
      <c r="AE92" s="611"/>
      <c r="AF92" s="611"/>
      <c r="AG92" s="611"/>
      <c r="AH92" s="611"/>
      <c r="AI92" s="611"/>
      <c r="AJ92" s="611"/>
      <c r="AK92" s="611"/>
      <c r="AL92" s="611"/>
      <c r="AM92" s="611"/>
      <c r="AN92" s="611"/>
      <c r="AO92" s="611"/>
      <c r="AP92" s="611"/>
      <c r="AQ92" s="611"/>
      <c r="AR92" s="611"/>
      <c r="AS92" s="611"/>
      <c r="AT92" s="611"/>
      <c r="AU92" s="611"/>
      <c r="AV92" s="611"/>
      <c r="AW92" s="611"/>
      <c r="AX92" s="611"/>
      <c r="AY92" s="611"/>
      <c r="AZ92" s="611"/>
      <c r="BA92" s="611"/>
      <c r="BB92" s="611"/>
      <c r="BC92" s="611"/>
      <c r="BD92" s="611"/>
      <c r="BE92" s="611"/>
      <c r="BF92" s="611"/>
      <c r="BG92" s="611"/>
    </row>
    <row r="93" spans="1:59" s="62" customFormat="1" ht="21" customHeight="1" thickBot="1" x14ac:dyDescent="0.25">
      <c r="A93" s="806"/>
      <c r="B93" s="811" t="s">
        <v>153</v>
      </c>
      <c r="C93" s="812"/>
      <c r="D93" s="812"/>
      <c r="E93" s="812"/>
      <c r="F93" s="550"/>
      <c r="G93" s="609"/>
      <c r="H93" s="609"/>
      <c r="I93" s="609"/>
      <c r="J93" s="609"/>
      <c r="K93" s="609"/>
      <c r="L93" s="609"/>
      <c r="M93" s="609"/>
      <c r="N93" s="609"/>
      <c r="O93" s="609"/>
      <c r="P93" s="609"/>
      <c r="Q93" s="609"/>
      <c r="R93" s="609"/>
      <c r="S93" s="609"/>
      <c r="T93" s="609"/>
      <c r="U93" s="609"/>
      <c r="V93" s="609"/>
      <c r="W93" s="609"/>
      <c r="X93" s="609"/>
      <c r="Y93" s="609"/>
      <c r="Z93" s="609"/>
      <c r="AA93" s="609"/>
      <c r="AB93" s="609"/>
      <c r="AC93" s="609"/>
      <c r="AD93" s="609"/>
      <c r="AE93" s="609"/>
      <c r="AF93" s="609"/>
      <c r="AG93" s="609"/>
      <c r="AH93" s="609"/>
      <c r="AI93" s="609"/>
      <c r="AJ93" s="609"/>
      <c r="AK93" s="609"/>
      <c r="AL93" s="609"/>
      <c r="AM93" s="609"/>
      <c r="AN93" s="609"/>
      <c r="AO93" s="609"/>
      <c r="AP93" s="609"/>
      <c r="AQ93" s="609"/>
      <c r="AR93" s="609"/>
      <c r="AS93" s="609"/>
      <c r="AT93" s="609"/>
      <c r="AU93" s="609"/>
      <c r="AV93" s="609"/>
      <c r="AW93" s="609"/>
      <c r="AX93" s="609"/>
      <c r="AY93" s="609"/>
      <c r="AZ93" s="609"/>
      <c r="BA93" s="609"/>
      <c r="BB93" s="609"/>
      <c r="BC93" s="609"/>
      <c r="BD93" s="609"/>
      <c r="BE93" s="609"/>
      <c r="BF93" s="609"/>
      <c r="BG93" s="609"/>
    </row>
    <row r="94" spans="1:59" s="62" customFormat="1" ht="18" customHeight="1" x14ac:dyDescent="0.2">
      <c r="A94" s="806"/>
      <c r="B94" s="813" t="s">
        <v>3611</v>
      </c>
      <c r="C94" s="814"/>
      <c r="D94" s="814"/>
      <c r="E94" s="814"/>
      <c r="F94" s="542"/>
      <c r="G94" s="609"/>
      <c r="H94" s="609"/>
      <c r="I94" s="609"/>
      <c r="J94" s="609"/>
      <c r="K94" s="609"/>
      <c r="L94" s="609"/>
      <c r="M94" s="609"/>
      <c r="N94" s="609"/>
      <c r="O94" s="609"/>
      <c r="P94" s="609"/>
      <c r="Q94" s="609"/>
      <c r="R94" s="609"/>
      <c r="S94" s="609"/>
      <c r="T94" s="609"/>
      <c r="U94" s="609"/>
      <c r="V94" s="609"/>
      <c r="W94" s="609"/>
      <c r="X94" s="609"/>
      <c r="Y94" s="609"/>
      <c r="Z94" s="609"/>
      <c r="AA94" s="609"/>
      <c r="AB94" s="609"/>
      <c r="AC94" s="609"/>
      <c r="AD94" s="609"/>
      <c r="AE94" s="609"/>
      <c r="AF94" s="609"/>
      <c r="AG94" s="609"/>
      <c r="AH94" s="609"/>
      <c r="AI94" s="609"/>
      <c r="AJ94" s="609"/>
      <c r="AK94" s="609"/>
      <c r="AL94" s="609"/>
      <c r="AM94" s="609"/>
      <c r="AN94" s="609"/>
      <c r="AO94" s="609"/>
      <c r="AP94" s="609"/>
      <c r="AQ94" s="609"/>
      <c r="AR94" s="609"/>
      <c r="AS94" s="609"/>
      <c r="AT94" s="609"/>
      <c r="AU94" s="609"/>
      <c r="AV94" s="609"/>
      <c r="AW94" s="609"/>
      <c r="AX94" s="609"/>
      <c r="AY94" s="609"/>
      <c r="AZ94" s="609"/>
      <c r="BA94" s="609"/>
      <c r="BB94" s="609"/>
      <c r="BC94" s="609"/>
      <c r="BD94" s="609"/>
      <c r="BE94" s="609"/>
      <c r="BF94" s="609"/>
      <c r="BG94" s="609"/>
    </row>
    <row r="95" spans="1:59" s="62" customFormat="1" ht="18" customHeight="1" x14ac:dyDescent="0.2">
      <c r="A95" s="806"/>
      <c r="B95" s="803" t="s">
        <v>3612</v>
      </c>
      <c r="C95" s="804"/>
      <c r="D95" s="804"/>
      <c r="E95" s="804"/>
      <c r="F95" s="542"/>
      <c r="G95" s="609"/>
      <c r="H95" s="609"/>
      <c r="I95" s="609"/>
      <c r="J95" s="609"/>
      <c r="K95" s="609"/>
      <c r="L95" s="609"/>
      <c r="M95" s="609"/>
      <c r="N95" s="609"/>
      <c r="O95" s="609"/>
      <c r="P95" s="609"/>
      <c r="Q95" s="609"/>
      <c r="R95" s="609"/>
      <c r="S95" s="609"/>
      <c r="T95" s="609"/>
      <c r="U95" s="609"/>
      <c r="V95" s="609"/>
      <c r="W95" s="609"/>
      <c r="X95" s="609"/>
      <c r="Y95" s="609"/>
      <c r="Z95" s="609"/>
      <c r="AA95" s="609"/>
      <c r="AB95" s="609"/>
      <c r="AC95" s="609"/>
      <c r="AD95" s="609"/>
      <c r="AE95" s="609"/>
      <c r="AF95" s="609"/>
      <c r="AG95" s="609"/>
      <c r="AH95" s="609"/>
      <c r="AI95" s="609"/>
      <c r="AJ95" s="609"/>
      <c r="AK95" s="609"/>
      <c r="AL95" s="609"/>
      <c r="AM95" s="609"/>
      <c r="AN95" s="609"/>
      <c r="AO95" s="609"/>
      <c r="AP95" s="609"/>
      <c r="AQ95" s="609"/>
      <c r="AR95" s="609"/>
      <c r="AS95" s="609"/>
      <c r="AT95" s="609"/>
      <c r="AU95" s="609"/>
      <c r="AV95" s="609"/>
      <c r="AW95" s="609"/>
      <c r="AX95" s="609"/>
      <c r="AY95" s="609"/>
      <c r="AZ95" s="609"/>
      <c r="BA95" s="609"/>
      <c r="BB95" s="609"/>
      <c r="BC95" s="609"/>
      <c r="BD95" s="609"/>
      <c r="BE95" s="609"/>
      <c r="BF95" s="609"/>
      <c r="BG95" s="609"/>
    </row>
    <row r="96" spans="1:59" s="62" customFormat="1" ht="18" customHeight="1" x14ac:dyDescent="0.2">
      <c r="A96" s="806"/>
      <c r="B96" s="803" t="s">
        <v>3613</v>
      </c>
      <c r="C96" s="804"/>
      <c r="D96" s="804"/>
      <c r="E96" s="804"/>
      <c r="F96" s="542"/>
      <c r="G96" s="609"/>
      <c r="H96" s="609"/>
      <c r="I96" s="609"/>
      <c r="J96" s="609"/>
      <c r="K96" s="609"/>
      <c r="L96" s="609"/>
      <c r="M96" s="609"/>
      <c r="N96" s="609"/>
      <c r="O96" s="609"/>
      <c r="P96" s="609"/>
      <c r="Q96" s="609"/>
      <c r="R96" s="609"/>
      <c r="S96" s="609"/>
      <c r="T96" s="609"/>
      <c r="U96" s="609"/>
      <c r="V96" s="609"/>
      <c r="W96" s="609"/>
      <c r="X96" s="609"/>
      <c r="Y96" s="609"/>
      <c r="Z96" s="609"/>
      <c r="AA96" s="609"/>
      <c r="AB96" s="609"/>
      <c r="AC96" s="609"/>
      <c r="AD96" s="609"/>
      <c r="AE96" s="609"/>
      <c r="AF96" s="609"/>
      <c r="AG96" s="609"/>
      <c r="AH96" s="609"/>
      <c r="AI96" s="609"/>
      <c r="AJ96" s="609"/>
      <c r="AK96" s="609"/>
      <c r="AL96" s="609"/>
      <c r="AM96" s="609"/>
      <c r="AN96" s="609"/>
      <c r="AO96" s="609"/>
      <c r="AP96" s="609"/>
      <c r="AQ96" s="609"/>
      <c r="AR96" s="609"/>
      <c r="AS96" s="609"/>
      <c r="AT96" s="609"/>
      <c r="AU96" s="609"/>
      <c r="AV96" s="609"/>
      <c r="AW96" s="609"/>
      <c r="AX96" s="609"/>
      <c r="AY96" s="609"/>
      <c r="AZ96" s="609"/>
      <c r="BA96" s="609"/>
      <c r="BB96" s="609"/>
      <c r="BC96" s="609"/>
      <c r="BD96" s="609"/>
      <c r="BE96" s="609"/>
      <c r="BF96" s="609"/>
      <c r="BG96" s="609"/>
    </row>
    <row r="97" spans="1:59" s="62" customFormat="1" ht="18" customHeight="1" thickBot="1" x14ac:dyDescent="0.25">
      <c r="A97" s="806"/>
      <c r="B97" s="803" t="s">
        <v>3614</v>
      </c>
      <c r="C97" s="804"/>
      <c r="D97" s="804"/>
      <c r="E97" s="804"/>
      <c r="F97" s="542"/>
      <c r="G97" s="609"/>
      <c r="H97" s="609"/>
      <c r="I97" s="609"/>
      <c r="J97" s="609"/>
      <c r="K97" s="609"/>
      <c r="L97" s="609"/>
      <c r="M97" s="609"/>
      <c r="N97" s="609"/>
      <c r="O97" s="609"/>
      <c r="P97" s="609"/>
      <c r="Q97" s="609"/>
      <c r="R97" s="609"/>
      <c r="S97" s="609"/>
      <c r="T97" s="609"/>
      <c r="U97" s="609"/>
      <c r="V97" s="609"/>
      <c r="W97" s="609"/>
      <c r="X97" s="609"/>
      <c r="Y97" s="609"/>
      <c r="Z97" s="609"/>
      <c r="AA97" s="609"/>
      <c r="AB97" s="609"/>
      <c r="AC97" s="609"/>
      <c r="AD97" s="609"/>
      <c r="AE97" s="609"/>
      <c r="AF97" s="609"/>
      <c r="AG97" s="609"/>
      <c r="AH97" s="609"/>
      <c r="AI97" s="609"/>
      <c r="AJ97" s="609"/>
      <c r="AK97" s="609"/>
      <c r="AL97" s="609"/>
      <c r="AM97" s="609"/>
      <c r="AN97" s="609"/>
      <c r="AO97" s="609"/>
      <c r="AP97" s="609"/>
      <c r="AQ97" s="609"/>
      <c r="AR97" s="609"/>
      <c r="AS97" s="609"/>
      <c r="AT97" s="609"/>
      <c r="AU97" s="609"/>
      <c r="AV97" s="609"/>
      <c r="AW97" s="609"/>
      <c r="AX97" s="609"/>
      <c r="AY97" s="609"/>
      <c r="AZ97" s="609"/>
      <c r="BA97" s="609"/>
      <c r="BB97" s="609"/>
      <c r="BC97" s="609"/>
      <c r="BD97" s="609"/>
      <c r="BE97" s="609"/>
      <c r="BF97" s="609"/>
      <c r="BG97" s="609"/>
    </row>
    <row r="98" spans="1:59" s="62" customFormat="1" ht="30" customHeight="1" thickBot="1" x14ac:dyDescent="0.25">
      <c r="A98" s="806"/>
      <c r="B98" s="815" t="s">
        <v>1109</v>
      </c>
      <c r="C98" s="812"/>
      <c r="D98" s="812"/>
      <c r="E98" s="812"/>
      <c r="F98" s="551"/>
      <c r="G98" s="609"/>
      <c r="H98" s="609"/>
      <c r="I98" s="609"/>
      <c r="J98" s="609"/>
      <c r="K98" s="609"/>
      <c r="L98" s="609"/>
      <c r="M98" s="609"/>
      <c r="N98" s="609"/>
      <c r="O98" s="609"/>
      <c r="P98" s="609"/>
      <c r="Q98" s="609"/>
      <c r="R98" s="609"/>
      <c r="S98" s="609"/>
      <c r="T98" s="609"/>
      <c r="U98" s="609"/>
      <c r="V98" s="609"/>
      <c r="W98" s="609"/>
      <c r="X98" s="609"/>
      <c r="Y98" s="609"/>
      <c r="Z98" s="609"/>
      <c r="AA98" s="609"/>
      <c r="AB98" s="609"/>
      <c r="AC98" s="609"/>
      <c r="AD98" s="609"/>
      <c r="AE98" s="609"/>
      <c r="AF98" s="609"/>
      <c r="AG98" s="609"/>
      <c r="AH98" s="609"/>
      <c r="AI98" s="609"/>
      <c r="AJ98" s="609"/>
      <c r="AK98" s="609"/>
      <c r="AL98" s="609"/>
      <c r="AM98" s="609"/>
      <c r="AN98" s="609"/>
      <c r="AO98" s="609"/>
      <c r="AP98" s="609"/>
      <c r="AQ98" s="609"/>
      <c r="AR98" s="609"/>
      <c r="AS98" s="609"/>
      <c r="AT98" s="609"/>
      <c r="AU98" s="609"/>
      <c r="AV98" s="609"/>
      <c r="AW98" s="609"/>
      <c r="AX98" s="609"/>
      <c r="AY98" s="609"/>
      <c r="AZ98" s="609"/>
      <c r="BA98" s="609"/>
      <c r="BB98" s="609"/>
      <c r="BC98" s="609"/>
      <c r="BD98" s="609"/>
      <c r="BE98" s="609"/>
      <c r="BF98" s="609"/>
      <c r="BG98" s="609"/>
    </row>
    <row r="99" spans="1:59" s="62" customFormat="1" ht="18" customHeight="1" thickBot="1" x14ac:dyDescent="0.25">
      <c r="A99" s="806"/>
      <c r="B99" s="142"/>
      <c r="C99" s="533" t="s">
        <v>792</v>
      </c>
      <c r="D99" s="535" t="s">
        <v>793</v>
      </c>
      <c r="E99" s="536" t="s">
        <v>794</v>
      </c>
      <c r="F99" s="544"/>
      <c r="G99" s="609"/>
      <c r="H99" s="609"/>
      <c r="I99" s="609"/>
      <c r="J99" s="609"/>
      <c r="K99" s="609"/>
      <c r="L99" s="609"/>
      <c r="M99" s="609"/>
      <c r="N99" s="609"/>
      <c r="O99" s="609"/>
      <c r="P99" s="609"/>
      <c r="Q99" s="609"/>
      <c r="R99" s="609"/>
      <c r="S99" s="609"/>
      <c r="T99" s="609"/>
      <c r="U99" s="609"/>
      <c r="V99" s="609"/>
      <c r="W99" s="609"/>
      <c r="X99" s="609"/>
      <c r="Y99" s="609"/>
      <c r="Z99" s="609"/>
      <c r="AA99" s="609"/>
      <c r="AB99" s="609"/>
      <c r="AC99" s="609"/>
      <c r="AD99" s="609"/>
      <c r="AE99" s="609"/>
      <c r="AF99" s="609"/>
      <c r="AG99" s="609"/>
      <c r="AH99" s="609"/>
      <c r="AI99" s="609"/>
      <c r="AJ99" s="609"/>
      <c r="AK99" s="609"/>
      <c r="AL99" s="609"/>
      <c r="AM99" s="609"/>
      <c r="AN99" s="609"/>
      <c r="AO99" s="609"/>
      <c r="AP99" s="609"/>
      <c r="AQ99" s="609"/>
      <c r="AR99" s="609"/>
      <c r="AS99" s="609"/>
      <c r="AT99" s="609"/>
      <c r="AU99" s="609"/>
      <c r="AV99" s="609"/>
      <c r="AW99" s="609"/>
      <c r="AX99" s="609"/>
      <c r="AY99" s="609"/>
      <c r="AZ99" s="609"/>
      <c r="BA99" s="609"/>
      <c r="BB99" s="609"/>
      <c r="BC99" s="609"/>
      <c r="BD99" s="609"/>
      <c r="BE99" s="609"/>
      <c r="BF99" s="609"/>
      <c r="BG99" s="609"/>
    </row>
    <row r="100" spans="1:59" s="62" customFormat="1" ht="27" customHeight="1" x14ac:dyDescent="0.2">
      <c r="A100" s="806"/>
      <c r="B100" s="531" t="s">
        <v>310</v>
      </c>
      <c r="C100" s="137" t="s">
        <v>311</v>
      </c>
      <c r="D100" s="137" t="s">
        <v>312</v>
      </c>
      <c r="E100" s="537" t="s">
        <v>313</v>
      </c>
      <c r="F100" s="148">
        <v>0</v>
      </c>
      <c r="G100" s="609"/>
      <c r="H100" s="609"/>
      <c r="I100" s="609"/>
      <c r="J100" s="609"/>
      <c r="K100" s="609"/>
      <c r="L100" s="609"/>
      <c r="M100" s="609"/>
      <c r="N100" s="609"/>
      <c r="O100" s="609"/>
      <c r="P100" s="609"/>
      <c r="Q100" s="609"/>
      <c r="R100" s="609"/>
      <c r="S100" s="609"/>
      <c r="T100" s="609"/>
      <c r="U100" s="609"/>
      <c r="V100" s="609"/>
      <c r="W100" s="609"/>
      <c r="X100" s="609"/>
      <c r="Y100" s="609"/>
      <c r="Z100" s="609"/>
      <c r="AA100" s="609"/>
      <c r="AB100" s="609"/>
      <c r="AC100" s="609"/>
      <c r="AD100" s="609"/>
      <c r="AE100" s="609"/>
      <c r="AF100" s="609"/>
      <c r="AG100" s="609"/>
      <c r="AH100" s="609"/>
      <c r="AI100" s="609"/>
      <c r="AJ100" s="609"/>
      <c r="AK100" s="609"/>
      <c r="AL100" s="609"/>
      <c r="AM100" s="609"/>
      <c r="AN100" s="609"/>
      <c r="AO100" s="609"/>
      <c r="AP100" s="609"/>
      <c r="AQ100" s="609"/>
      <c r="AR100" s="609"/>
      <c r="AS100" s="609"/>
      <c r="AT100" s="609"/>
      <c r="AU100" s="609"/>
      <c r="AV100" s="609"/>
      <c r="AW100" s="609"/>
      <c r="AX100" s="609"/>
      <c r="AY100" s="609"/>
      <c r="AZ100" s="609"/>
      <c r="BA100" s="609"/>
      <c r="BB100" s="609"/>
      <c r="BC100" s="609"/>
      <c r="BD100" s="609"/>
      <c r="BE100" s="609"/>
      <c r="BF100" s="609"/>
      <c r="BG100" s="609"/>
    </row>
    <row r="101" spans="1:59" s="62" customFormat="1" ht="18" customHeight="1" x14ac:dyDescent="0.2">
      <c r="A101" s="806"/>
      <c r="B101" s="531" t="s">
        <v>829</v>
      </c>
      <c r="C101" s="137" t="s">
        <v>524</v>
      </c>
      <c r="D101" s="137" t="s">
        <v>523</v>
      </c>
      <c r="E101" s="138" t="s">
        <v>525</v>
      </c>
      <c r="F101" s="149">
        <v>0</v>
      </c>
      <c r="G101" s="609"/>
      <c r="H101" s="609"/>
      <c r="I101" s="609"/>
      <c r="J101" s="609"/>
      <c r="K101" s="609"/>
      <c r="L101" s="609"/>
      <c r="M101" s="609"/>
      <c r="N101" s="609"/>
      <c r="O101" s="609"/>
      <c r="P101" s="609"/>
      <c r="Q101" s="609"/>
      <c r="R101" s="609"/>
      <c r="S101" s="609"/>
      <c r="T101" s="609"/>
      <c r="U101" s="609"/>
      <c r="V101" s="609"/>
      <c r="W101" s="609"/>
      <c r="X101" s="609"/>
      <c r="Y101" s="609"/>
      <c r="Z101" s="609"/>
      <c r="AA101" s="609"/>
      <c r="AB101" s="609"/>
      <c r="AC101" s="609"/>
      <c r="AD101" s="609"/>
      <c r="AE101" s="609"/>
      <c r="AF101" s="609"/>
      <c r="AG101" s="609"/>
      <c r="AH101" s="609"/>
      <c r="AI101" s="609"/>
      <c r="AJ101" s="609"/>
      <c r="AK101" s="609"/>
      <c r="AL101" s="609"/>
      <c r="AM101" s="609"/>
      <c r="AN101" s="609"/>
      <c r="AO101" s="609"/>
      <c r="AP101" s="609"/>
      <c r="AQ101" s="609"/>
      <c r="AR101" s="609"/>
      <c r="AS101" s="609"/>
      <c r="AT101" s="609"/>
      <c r="AU101" s="609"/>
      <c r="AV101" s="609"/>
      <c r="AW101" s="609"/>
      <c r="AX101" s="609"/>
      <c r="AY101" s="609"/>
      <c r="AZ101" s="609"/>
      <c r="BA101" s="609"/>
      <c r="BB101" s="609"/>
      <c r="BC101" s="609"/>
      <c r="BD101" s="609"/>
      <c r="BE101" s="609"/>
      <c r="BF101" s="609"/>
      <c r="BG101" s="609"/>
    </row>
    <row r="102" spans="1:59" s="62" customFormat="1" ht="18" customHeight="1" thickBot="1" x14ac:dyDescent="0.25">
      <c r="A102" s="806"/>
      <c r="B102" s="531" t="s">
        <v>830</v>
      </c>
      <c r="C102" s="139" t="s">
        <v>831</v>
      </c>
      <c r="D102" s="139" t="s">
        <v>832</v>
      </c>
      <c r="E102" s="140" t="s">
        <v>308</v>
      </c>
      <c r="F102" s="151">
        <v>0</v>
      </c>
      <c r="G102" s="609"/>
      <c r="H102" s="609"/>
      <c r="I102" s="609"/>
      <c r="J102" s="609"/>
      <c r="K102" s="609"/>
      <c r="L102" s="609"/>
      <c r="M102" s="609"/>
      <c r="N102" s="609"/>
      <c r="O102" s="609"/>
      <c r="P102" s="609"/>
      <c r="Q102" s="609"/>
      <c r="R102" s="609"/>
      <c r="S102" s="609"/>
      <c r="T102" s="609"/>
      <c r="U102" s="609"/>
      <c r="V102" s="609"/>
      <c r="W102" s="609"/>
      <c r="X102" s="609"/>
      <c r="Y102" s="609"/>
      <c r="Z102" s="609"/>
      <c r="AA102" s="609"/>
      <c r="AB102" s="609"/>
      <c r="AC102" s="609"/>
      <c r="AD102" s="609"/>
      <c r="AE102" s="609"/>
      <c r="AF102" s="609"/>
      <c r="AG102" s="609"/>
      <c r="AH102" s="609"/>
      <c r="AI102" s="609"/>
      <c r="AJ102" s="609"/>
      <c r="AK102" s="609"/>
      <c r="AL102" s="609"/>
      <c r="AM102" s="609"/>
      <c r="AN102" s="609"/>
      <c r="AO102" s="609"/>
      <c r="AP102" s="609"/>
      <c r="AQ102" s="609"/>
      <c r="AR102" s="609"/>
      <c r="AS102" s="609"/>
      <c r="AT102" s="609"/>
      <c r="AU102" s="609"/>
      <c r="AV102" s="609"/>
      <c r="AW102" s="609"/>
      <c r="AX102" s="609"/>
      <c r="AY102" s="609"/>
      <c r="AZ102" s="609"/>
      <c r="BA102" s="609"/>
      <c r="BB102" s="609"/>
      <c r="BC102" s="609"/>
      <c r="BD102" s="609"/>
      <c r="BE102" s="609"/>
      <c r="BF102" s="609"/>
      <c r="BG102" s="609"/>
    </row>
    <row r="103" spans="1:59" s="62" customFormat="1" ht="18" customHeight="1" thickBot="1" x14ac:dyDescent="0.25">
      <c r="A103" s="806"/>
      <c r="B103" s="796" t="s">
        <v>764</v>
      </c>
      <c r="C103" s="797"/>
      <c r="D103" s="797"/>
      <c r="E103" s="798"/>
      <c r="F103" s="545">
        <f>SUM(F100:F102)</f>
        <v>0</v>
      </c>
      <c r="G103" s="609"/>
      <c r="H103" s="609"/>
      <c r="I103" s="609"/>
      <c r="J103" s="609"/>
      <c r="K103" s="609"/>
      <c r="L103" s="609"/>
      <c r="M103" s="609"/>
      <c r="N103" s="609"/>
      <c r="O103" s="609"/>
      <c r="P103" s="609"/>
      <c r="Q103" s="609"/>
      <c r="R103" s="609"/>
      <c r="S103" s="609"/>
      <c r="T103" s="609"/>
      <c r="U103" s="609"/>
      <c r="V103" s="609"/>
      <c r="W103" s="609"/>
      <c r="X103" s="609"/>
      <c r="Y103" s="609"/>
      <c r="Z103" s="609"/>
      <c r="AA103" s="609"/>
      <c r="AB103" s="609"/>
      <c r="AC103" s="609"/>
      <c r="AD103" s="609"/>
      <c r="AE103" s="609"/>
      <c r="AF103" s="609"/>
      <c r="AG103" s="609"/>
      <c r="AH103" s="609"/>
      <c r="AI103" s="609"/>
      <c r="AJ103" s="609"/>
      <c r="AK103" s="609"/>
      <c r="AL103" s="609"/>
      <c r="AM103" s="609"/>
      <c r="AN103" s="609"/>
      <c r="AO103" s="609"/>
      <c r="AP103" s="609"/>
      <c r="AQ103" s="609"/>
      <c r="AR103" s="609"/>
      <c r="AS103" s="609"/>
      <c r="AT103" s="609"/>
      <c r="AU103" s="609"/>
      <c r="AV103" s="609"/>
      <c r="AW103" s="609"/>
      <c r="AX103" s="609"/>
      <c r="AY103" s="609"/>
      <c r="AZ103" s="609"/>
      <c r="BA103" s="609"/>
      <c r="BB103" s="609"/>
      <c r="BC103" s="609"/>
      <c r="BD103" s="609"/>
      <c r="BE103" s="609"/>
      <c r="BF103" s="609"/>
      <c r="BG103" s="609"/>
    </row>
    <row r="104" spans="1:59" s="160" customFormat="1" ht="21" customHeight="1" thickBot="1" x14ac:dyDescent="0.25">
      <c r="A104" s="819"/>
      <c r="B104" s="799"/>
      <c r="C104" s="800"/>
      <c r="D104" s="800"/>
      <c r="E104" s="614" t="s">
        <v>146</v>
      </c>
      <c r="F104" s="179">
        <f>F103/9</f>
        <v>0</v>
      </c>
      <c r="G104" s="610"/>
      <c r="H104" s="610"/>
      <c r="I104" s="610"/>
      <c r="J104" s="610"/>
      <c r="K104" s="610"/>
      <c r="L104" s="610"/>
      <c r="M104" s="610"/>
      <c r="N104" s="610"/>
      <c r="O104" s="610"/>
      <c r="P104" s="610"/>
      <c r="Q104" s="610"/>
      <c r="R104" s="610"/>
      <c r="S104" s="610"/>
      <c r="T104" s="610"/>
      <c r="U104" s="610"/>
      <c r="V104" s="610"/>
      <c r="W104" s="610"/>
      <c r="X104" s="610"/>
      <c r="Y104" s="610"/>
      <c r="Z104" s="610"/>
      <c r="AA104" s="610"/>
      <c r="AB104" s="610"/>
      <c r="AC104" s="610"/>
      <c r="AD104" s="610"/>
      <c r="AE104" s="610"/>
      <c r="AF104" s="610"/>
      <c r="AG104" s="610"/>
      <c r="AH104" s="610"/>
      <c r="AI104" s="610"/>
      <c r="AJ104" s="610"/>
      <c r="AK104" s="610"/>
      <c r="AL104" s="610"/>
      <c r="AM104" s="610"/>
      <c r="AN104" s="610"/>
      <c r="AO104" s="610"/>
      <c r="AP104" s="610"/>
      <c r="AQ104" s="610"/>
      <c r="AR104" s="610"/>
      <c r="AS104" s="610"/>
      <c r="AT104" s="610"/>
      <c r="AU104" s="610"/>
      <c r="AV104" s="610"/>
      <c r="AW104" s="610"/>
      <c r="AX104" s="610"/>
      <c r="AY104" s="610"/>
      <c r="AZ104" s="610"/>
      <c r="BA104" s="610"/>
      <c r="BB104" s="610"/>
      <c r="BC104" s="610"/>
      <c r="BD104" s="610"/>
      <c r="BE104" s="610"/>
      <c r="BF104" s="610"/>
      <c r="BG104" s="610"/>
    </row>
    <row r="105" spans="1:59" s="270" customFormat="1" ht="24" customHeight="1" thickBot="1" x14ac:dyDescent="0.25">
      <c r="A105" s="805" t="s">
        <v>757</v>
      </c>
      <c r="B105" s="809" t="s">
        <v>154</v>
      </c>
      <c r="C105" s="810"/>
      <c r="D105" s="810"/>
      <c r="E105" s="810"/>
      <c r="F105" s="553"/>
      <c r="G105" s="611"/>
      <c r="H105" s="611"/>
      <c r="I105" s="611"/>
      <c r="J105" s="611"/>
      <c r="K105" s="611"/>
      <c r="L105" s="611"/>
      <c r="M105" s="611"/>
      <c r="N105" s="611"/>
      <c r="O105" s="611"/>
      <c r="P105" s="611"/>
      <c r="Q105" s="611"/>
      <c r="R105" s="611"/>
      <c r="S105" s="611"/>
      <c r="T105" s="611"/>
      <c r="U105" s="611"/>
      <c r="V105" s="611"/>
      <c r="W105" s="611"/>
      <c r="X105" s="611"/>
      <c r="Y105" s="611"/>
      <c r="Z105" s="611"/>
      <c r="AA105" s="611"/>
      <c r="AB105" s="611"/>
      <c r="AC105" s="611"/>
      <c r="AD105" s="611"/>
      <c r="AE105" s="611"/>
      <c r="AF105" s="611"/>
      <c r="AG105" s="611"/>
      <c r="AH105" s="611"/>
      <c r="AI105" s="611"/>
      <c r="AJ105" s="611"/>
      <c r="AK105" s="611"/>
      <c r="AL105" s="611"/>
      <c r="AM105" s="611"/>
      <c r="AN105" s="611"/>
      <c r="AO105" s="611"/>
      <c r="AP105" s="611"/>
      <c r="AQ105" s="611"/>
      <c r="AR105" s="611"/>
      <c r="AS105" s="611"/>
      <c r="AT105" s="611"/>
      <c r="AU105" s="611"/>
      <c r="AV105" s="611"/>
      <c r="AW105" s="611"/>
      <c r="AX105" s="611"/>
      <c r="AY105" s="611"/>
      <c r="AZ105" s="611"/>
      <c r="BA105" s="611"/>
      <c r="BB105" s="611"/>
      <c r="BC105" s="611"/>
      <c r="BD105" s="611"/>
      <c r="BE105" s="611"/>
      <c r="BF105" s="611"/>
      <c r="BG105" s="611"/>
    </row>
    <row r="106" spans="1:59" s="62" customFormat="1" ht="21" customHeight="1" thickBot="1" x14ac:dyDescent="0.25">
      <c r="A106" s="806"/>
      <c r="B106" s="811" t="s">
        <v>155</v>
      </c>
      <c r="C106" s="812"/>
      <c r="D106" s="812"/>
      <c r="E106" s="812"/>
      <c r="F106" s="550"/>
      <c r="G106" s="609"/>
      <c r="H106" s="609"/>
      <c r="I106" s="609"/>
      <c r="J106" s="609"/>
      <c r="K106" s="609"/>
      <c r="L106" s="609"/>
      <c r="M106" s="609"/>
      <c r="N106" s="609"/>
      <c r="O106" s="609"/>
      <c r="P106" s="609"/>
      <c r="Q106" s="609"/>
      <c r="R106" s="609"/>
      <c r="S106" s="609"/>
      <c r="T106" s="609"/>
      <c r="U106" s="609"/>
      <c r="V106" s="609"/>
      <c r="W106" s="609"/>
      <c r="X106" s="609"/>
      <c r="Y106" s="609"/>
      <c r="Z106" s="609"/>
      <c r="AA106" s="609"/>
      <c r="AB106" s="609"/>
      <c r="AC106" s="609"/>
      <c r="AD106" s="609"/>
      <c r="AE106" s="609"/>
      <c r="AF106" s="609"/>
      <c r="AG106" s="609"/>
      <c r="AH106" s="609"/>
      <c r="AI106" s="609"/>
      <c r="AJ106" s="609"/>
      <c r="AK106" s="609"/>
      <c r="AL106" s="609"/>
      <c r="AM106" s="609"/>
      <c r="AN106" s="609"/>
      <c r="AO106" s="609"/>
      <c r="AP106" s="609"/>
      <c r="AQ106" s="609"/>
      <c r="AR106" s="609"/>
      <c r="AS106" s="609"/>
      <c r="AT106" s="609"/>
      <c r="AU106" s="609"/>
      <c r="AV106" s="609"/>
      <c r="AW106" s="609"/>
      <c r="AX106" s="609"/>
      <c r="AY106" s="609"/>
      <c r="AZ106" s="609"/>
      <c r="BA106" s="609"/>
      <c r="BB106" s="609"/>
      <c r="BC106" s="609"/>
      <c r="BD106" s="609"/>
      <c r="BE106" s="609"/>
      <c r="BF106" s="609"/>
      <c r="BG106" s="609"/>
    </row>
    <row r="107" spans="1:59" s="62" customFormat="1" ht="18" customHeight="1" x14ac:dyDescent="0.2">
      <c r="A107" s="807"/>
      <c r="B107" s="813" t="s">
        <v>3615</v>
      </c>
      <c r="C107" s="814"/>
      <c r="D107" s="814"/>
      <c r="E107" s="814"/>
      <c r="F107" s="542"/>
      <c r="G107" s="609"/>
      <c r="H107" s="609"/>
      <c r="I107" s="609"/>
      <c r="J107" s="609"/>
      <c r="K107" s="609"/>
      <c r="L107" s="609"/>
      <c r="M107" s="609"/>
      <c r="N107" s="609"/>
      <c r="O107" s="609"/>
      <c r="P107" s="609"/>
      <c r="Q107" s="609"/>
      <c r="R107" s="609"/>
      <c r="S107" s="609"/>
      <c r="T107" s="609"/>
      <c r="U107" s="609"/>
      <c r="V107" s="609"/>
      <c r="W107" s="609"/>
      <c r="X107" s="609"/>
      <c r="Y107" s="609"/>
      <c r="Z107" s="609"/>
      <c r="AA107" s="609"/>
      <c r="AB107" s="609"/>
      <c r="AC107" s="609"/>
      <c r="AD107" s="609"/>
      <c r="AE107" s="609"/>
      <c r="AF107" s="609"/>
      <c r="AG107" s="609"/>
      <c r="AH107" s="609"/>
      <c r="AI107" s="609"/>
      <c r="AJ107" s="609"/>
      <c r="AK107" s="609"/>
      <c r="AL107" s="609"/>
      <c r="AM107" s="609"/>
      <c r="AN107" s="609"/>
      <c r="AO107" s="609"/>
      <c r="AP107" s="609"/>
      <c r="AQ107" s="609"/>
      <c r="AR107" s="609"/>
      <c r="AS107" s="609"/>
      <c r="AT107" s="609"/>
      <c r="AU107" s="609"/>
      <c r="AV107" s="609"/>
      <c r="AW107" s="609"/>
      <c r="AX107" s="609"/>
      <c r="AY107" s="609"/>
      <c r="AZ107" s="609"/>
      <c r="BA107" s="609"/>
      <c r="BB107" s="609"/>
      <c r="BC107" s="609"/>
      <c r="BD107" s="609"/>
      <c r="BE107" s="609"/>
      <c r="BF107" s="609"/>
      <c r="BG107" s="609"/>
    </row>
    <row r="108" spans="1:59" s="62" customFormat="1" ht="18" customHeight="1" x14ac:dyDescent="0.2">
      <c r="A108" s="807"/>
      <c r="B108" s="803" t="s">
        <v>3616</v>
      </c>
      <c r="C108" s="804"/>
      <c r="D108" s="804"/>
      <c r="E108" s="804"/>
      <c r="F108" s="542"/>
      <c r="G108" s="609"/>
      <c r="H108" s="609"/>
      <c r="I108" s="609"/>
      <c r="J108" s="609"/>
      <c r="K108" s="609"/>
      <c r="L108" s="609"/>
      <c r="M108" s="609"/>
      <c r="N108" s="609"/>
      <c r="O108" s="609"/>
      <c r="P108" s="609"/>
      <c r="Q108" s="609"/>
      <c r="R108" s="609"/>
      <c r="S108" s="609"/>
      <c r="T108" s="609"/>
      <c r="U108" s="609"/>
      <c r="V108" s="609"/>
      <c r="W108" s="609"/>
      <c r="X108" s="609"/>
      <c r="Y108" s="609"/>
      <c r="Z108" s="609"/>
      <c r="AA108" s="609"/>
      <c r="AB108" s="609"/>
      <c r="AC108" s="609"/>
      <c r="AD108" s="609"/>
      <c r="AE108" s="609"/>
      <c r="AF108" s="609"/>
      <c r="AG108" s="609"/>
      <c r="AH108" s="609"/>
      <c r="AI108" s="609"/>
      <c r="AJ108" s="609"/>
      <c r="AK108" s="609"/>
      <c r="AL108" s="609"/>
      <c r="AM108" s="609"/>
      <c r="AN108" s="609"/>
      <c r="AO108" s="609"/>
      <c r="AP108" s="609"/>
      <c r="AQ108" s="609"/>
      <c r="AR108" s="609"/>
      <c r="AS108" s="609"/>
      <c r="AT108" s="609"/>
      <c r="AU108" s="609"/>
      <c r="AV108" s="609"/>
      <c r="AW108" s="609"/>
      <c r="AX108" s="609"/>
      <c r="AY108" s="609"/>
      <c r="AZ108" s="609"/>
      <c r="BA108" s="609"/>
      <c r="BB108" s="609"/>
      <c r="BC108" s="609"/>
      <c r="BD108" s="609"/>
      <c r="BE108" s="609"/>
      <c r="BF108" s="609"/>
      <c r="BG108" s="609"/>
    </row>
    <row r="109" spans="1:59" s="62" customFormat="1" ht="18" customHeight="1" x14ac:dyDescent="0.2">
      <c r="A109" s="807"/>
      <c r="B109" s="803" t="s">
        <v>3617</v>
      </c>
      <c r="C109" s="804"/>
      <c r="D109" s="804"/>
      <c r="E109" s="804"/>
      <c r="F109" s="542"/>
      <c r="G109" s="609"/>
      <c r="H109" s="609"/>
      <c r="I109" s="609"/>
      <c r="J109" s="609"/>
      <c r="K109" s="609"/>
      <c r="L109" s="609"/>
      <c r="M109" s="609"/>
      <c r="N109" s="609"/>
      <c r="O109" s="609"/>
      <c r="P109" s="609"/>
      <c r="Q109" s="609"/>
      <c r="R109" s="609"/>
      <c r="S109" s="609"/>
      <c r="T109" s="609"/>
      <c r="U109" s="609"/>
      <c r="V109" s="609"/>
      <c r="W109" s="609"/>
      <c r="X109" s="609"/>
      <c r="Y109" s="609"/>
      <c r="Z109" s="609"/>
      <c r="AA109" s="609"/>
      <c r="AB109" s="609"/>
      <c r="AC109" s="609"/>
      <c r="AD109" s="609"/>
      <c r="AE109" s="609"/>
      <c r="AF109" s="609"/>
      <c r="AG109" s="609"/>
      <c r="AH109" s="609"/>
      <c r="AI109" s="609"/>
      <c r="AJ109" s="609"/>
      <c r="AK109" s="609"/>
      <c r="AL109" s="609"/>
      <c r="AM109" s="609"/>
      <c r="AN109" s="609"/>
      <c r="AO109" s="609"/>
      <c r="AP109" s="609"/>
      <c r="AQ109" s="609"/>
      <c r="AR109" s="609"/>
      <c r="AS109" s="609"/>
      <c r="AT109" s="609"/>
      <c r="AU109" s="609"/>
      <c r="AV109" s="609"/>
      <c r="AW109" s="609"/>
      <c r="AX109" s="609"/>
      <c r="AY109" s="609"/>
      <c r="AZ109" s="609"/>
      <c r="BA109" s="609"/>
      <c r="BB109" s="609"/>
      <c r="BC109" s="609"/>
      <c r="BD109" s="609"/>
      <c r="BE109" s="609"/>
      <c r="BF109" s="609"/>
      <c r="BG109" s="609"/>
    </row>
    <row r="110" spans="1:59" s="62" customFormat="1" ht="18" customHeight="1" x14ac:dyDescent="0.2">
      <c r="A110" s="807"/>
      <c r="B110" s="803" t="s">
        <v>3618</v>
      </c>
      <c r="C110" s="804"/>
      <c r="D110" s="804"/>
      <c r="E110" s="804"/>
      <c r="F110" s="542"/>
      <c r="G110" s="609"/>
      <c r="H110" s="609"/>
      <c r="I110" s="609"/>
      <c r="J110" s="609"/>
      <c r="K110" s="609"/>
      <c r="L110" s="609"/>
      <c r="M110" s="609"/>
      <c r="N110" s="609"/>
      <c r="O110" s="609"/>
      <c r="P110" s="609"/>
      <c r="Q110" s="609"/>
      <c r="R110" s="609"/>
      <c r="S110" s="609"/>
      <c r="T110" s="609"/>
      <c r="U110" s="609"/>
      <c r="V110" s="609"/>
      <c r="W110" s="609"/>
      <c r="X110" s="609"/>
      <c r="Y110" s="609"/>
      <c r="Z110" s="609"/>
      <c r="AA110" s="609"/>
      <c r="AB110" s="609"/>
      <c r="AC110" s="609"/>
      <c r="AD110" s="609"/>
      <c r="AE110" s="609"/>
      <c r="AF110" s="609"/>
      <c r="AG110" s="609"/>
      <c r="AH110" s="609"/>
      <c r="AI110" s="609"/>
      <c r="AJ110" s="609"/>
      <c r="AK110" s="609"/>
      <c r="AL110" s="609"/>
      <c r="AM110" s="609"/>
      <c r="AN110" s="609"/>
      <c r="AO110" s="609"/>
      <c r="AP110" s="609"/>
      <c r="AQ110" s="609"/>
      <c r="AR110" s="609"/>
      <c r="AS110" s="609"/>
      <c r="AT110" s="609"/>
      <c r="AU110" s="609"/>
      <c r="AV110" s="609"/>
      <c r="AW110" s="609"/>
      <c r="AX110" s="609"/>
      <c r="AY110" s="609"/>
      <c r="AZ110" s="609"/>
      <c r="BA110" s="609"/>
      <c r="BB110" s="609"/>
      <c r="BC110" s="609"/>
      <c r="BD110" s="609"/>
      <c r="BE110" s="609"/>
      <c r="BF110" s="609"/>
      <c r="BG110" s="609"/>
    </row>
    <row r="111" spans="1:59" s="62" customFormat="1" ht="18" customHeight="1" x14ac:dyDescent="0.2">
      <c r="A111" s="807"/>
      <c r="B111" s="803" t="s">
        <v>3619</v>
      </c>
      <c r="C111" s="804"/>
      <c r="D111" s="804"/>
      <c r="E111" s="804"/>
      <c r="F111" s="542"/>
      <c r="G111" s="609"/>
      <c r="H111" s="609"/>
      <c r="I111" s="609"/>
      <c r="J111" s="609"/>
      <c r="K111" s="609"/>
      <c r="L111" s="609"/>
      <c r="M111" s="609"/>
      <c r="N111" s="609"/>
      <c r="O111" s="609"/>
      <c r="P111" s="609"/>
      <c r="Q111" s="609"/>
      <c r="R111" s="609"/>
      <c r="S111" s="609"/>
      <c r="T111" s="609"/>
      <c r="U111" s="609"/>
      <c r="V111" s="609"/>
      <c r="W111" s="609"/>
      <c r="X111" s="609"/>
      <c r="Y111" s="609"/>
      <c r="Z111" s="609"/>
      <c r="AA111" s="609"/>
      <c r="AB111" s="609"/>
      <c r="AC111" s="609"/>
      <c r="AD111" s="609"/>
      <c r="AE111" s="609"/>
      <c r="AF111" s="609"/>
      <c r="AG111" s="609"/>
      <c r="AH111" s="609"/>
      <c r="AI111" s="609"/>
      <c r="AJ111" s="609"/>
      <c r="AK111" s="609"/>
      <c r="AL111" s="609"/>
      <c r="AM111" s="609"/>
      <c r="AN111" s="609"/>
      <c r="AO111" s="609"/>
      <c r="AP111" s="609"/>
      <c r="AQ111" s="609"/>
      <c r="AR111" s="609"/>
      <c r="AS111" s="609"/>
      <c r="AT111" s="609"/>
      <c r="AU111" s="609"/>
      <c r="AV111" s="609"/>
      <c r="AW111" s="609"/>
      <c r="AX111" s="609"/>
      <c r="AY111" s="609"/>
      <c r="AZ111" s="609"/>
      <c r="BA111" s="609"/>
      <c r="BB111" s="609"/>
      <c r="BC111" s="609"/>
      <c r="BD111" s="609"/>
      <c r="BE111" s="609"/>
      <c r="BF111" s="609"/>
      <c r="BG111" s="609"/>
    </row>
    <row r="112" spans="1:59" s="62" customFormat="1" ht="18" customHeight="1" x14ac:dyDescent="0.2">
      <c r="A112" s="807"/>
      <c r="B112" s="803" t="s">
        <v>3620</v>
      </c>
      <c r="C112" s="804"/>
      <c r="D112" s="804"/>
      <c r="E112" s="804"/>
      <c r="F112" s="542"/>
      <c r="G112" s="609"/>
      <c r="H112" s="609"/>
      <c r="I112" s="609"/>
      <c r="J112" s="609"/>
      <c r="K112" s="609"/>
      <c r="L112" s="609"/>
      <c r="M112" s="609"/>
      <c r="N112" s="609"/>
      <c r="O112" s="609"/>
      <c r="P112" s="609"/>
      <c r="Q112" s="609"/>
      <c r="R112" s="609"/>
      <c r="S112" s="609"/>
      <c r="T112" s="609"/>
      <c r="U112" s="609"/>
      <c r="V112" s="609"/>
      <c r="W112" s="609"/>
      <c r="X112" s="609"/>
      <c r="Y112" s="609"/>
      <c r="Z112" s="609"/>
      <c r="AA112" s="609"/>
      <c r="AB112" s="609"/>
      <c r="AC112" s="609"/>
      <c r="AD112" s="609"/>
      <c r="AE112" s="609"/>
      <c r="AF112" s="609"/>
      <c r="AG112" s="609"/>
      <c r="AH112" s="609"/>
      <c r="AI112" s="609"/>
      <c r="AJ112" s="609"/>
      <c r="AK112" s="609"/>
      <c r="AL112" s="609"/>
      <c r="AM112" s="609"/>
      <c r="AN112" s="609"/>
      <c r="AO112" s="609"/>
      <c r="AP112" s="609"/>
      <c r="AQ112" s="609"/>
      <c r="AR112" s="609"/>
      <c r="AS112" s="609"/>
      <c r="AT112" s="609"/>
      <c r="AU112" s="609"/>
      <c r="AV112" s="609"/>
      <c r="AW112" s="609"/>
      <c r="AX112" s="609"/>
      <c r="AY112" s="609"/>
      <c r="AZ112" s="609"/>
      <c r="BA112" s="609"/>
      <c r="BB112" s="609"/>
      <c r="BC112" s="609"/>
      <c r="BD112" s="609"/>
      <c r="BE112" s="609"/>
      <c r="BF112" s="609"/>
      <c r="BG112" s="609"/>
    </row>
    <row r="113" spans="1:59" s="62" customFormat="1" ht="18" customHeight="1" x14ac:dyDescent="0.2">
      <c r="A113" s="807"/>
      <c r="B113" s="803" t="s">
        <v>3621</v>
      </c>
      <c r="C113" s="804"/>
      <c r="D113" s="804"/>
      <c r="E113" s="804"/>
      <c r="F113" s="542"/>
      <c r="G113" s="609"/>
      <c r="H113" s="609"/>
      <c r="I113" s="609"/>
      <c r="J113" s="609"/>
      <c r="K113" s="609"/>
      <c r="L113" s="609"/>
      <c r="M113" s="609"/>
      <c r="N113" s="609"/>
      <c r="O113" s="609"/>
      <c r="P113" s="609"/>
      <c r="Q113" s="609"/>
      <c r="R113" s="609"/>
      <c r="S113" s="609"/>
      <c r="T113" s="609"/>
      <c r="U113" s="609"/>
      <c r="V113" s="609"/>
      <c r="W113" s="609"/>
      <c r="X113" s="609"/>
      <c r="Y113" s="609"/>
      <c r="Z113" s="609"/>
      <c r="AA113" s="609"/>
      <c r="AB113" s="609"/>
      <c r="AC113" s="609"/>
      <c r="AD113" s="609"/>
      <c r="AE113" s="609"/>
      <c r="AF113" s="609"/>
      <c r="AG113" s="609"/>
      <c r="AH113" s="609"/>
      <c r="AI113" s="609"/>
      <c r="AJ113" s="609"/>
      <c r="AK113" s="609"/>
      <c r="AL113" s="609"/>
      <c r="AM113" s="609"/>
      <c r="AN113" s="609"/>
      <c r="AO113" s="609"/>
      <c r="AP113" s="609"/>
      <c r="AQ113" s="609"/>
      <c r="AR113" s="609"/>
      <c r="AS113" s="609"/>
      <c r="AT113" s="609"/>
      <c r="AU113" s="609"/>
      <c r="AV113" s="609"/>
      <c r="AW113" s="609"/>
      <c r="AX113" s="609"/>
      <c r="AY113" s="609"/>
      <c r="AZ113" s="609"/>
      <c r="BA113" s="609"/>
      <c r="BB113" s="609"/>
      <c r="BC113" s="609"/>
      <c r="BD113" s="609"/>
      <c r="BE113" s="609"/>
      <c r="BF113" s="609"/>
      <c r="BG113" s="609"/>
    </row>
    <row r="114" spans="1:59" s="62" customFormat="1" ht="18" customHeight="1" thickBot="1" x14ac:dyDescent="0.25">
      <c r="A114" s="807"/>
      <c r="B114" s="803" t="s">
        <v>3622</v>
      </c>
      <c r="C114" s="804"/>
      <c r="D114" s="804"/>
      <c r="E114" s="804"/>
      <c r="F114" s="542"/>
      <c r="G114" s="609"/>
      <c r="H114" s="609"/>
      <c r="I114" s="609"/>
      <c r="J114" s="609"/>
      <c r="K114" s="609"/>
      <c r="L114" s="609"/>
      <c r="M114" s="609"/>
      <c r="N114" s="609"/>
      <c r="O114" s="609"/>
      <c r="P114" s="609"/>
      <c r="Q114" s="609"/>
      <c r="R114" s="609"/>
      <c r="S114" s="609"/>
      <c r="T114" s="609"/>
      <c r="U114" s="609"/>
      <c r="V114" s="609"/>
      <c r="W114" s="609"/>
      <c r="X114" s="609"/>
      <c r="Y114" s="609"/>
      <c r="Z114" s="609"/>
      <c r="AA114" s="609"/>
      <c r="AB114" s="609"/>
      <c r="AC114" s="609"/>
      <c r="AD114" s="609"/>
      <c r="AE114" s="609"/>
      <c r="AF114" s="609"/>
      <c r="AG114" s="609"/>
      <c r="AH114" s="609"/>
      <c r="AI114" s="609"/>
      <c r="AJ114" s="609"/>
      <c r="AK114" s="609"/>
      <c r="AL114" s="609"/>
      <c r="AM114" s="609"/>
      <c r="AN114" s="609"/>
      <c r="AO114" s="609"/>
      <c r="AP114" s="609"/>
      <c r="AQ114" s="609"/>
      <c r="AR114" s="609"/>
      <c r="AS114" s="609"/>
      <c r="AT114" s="609"/>
      <c r="AU114" s="609"/>
      <c r="AV114" s="609"/>
      <c r="AW114" s="609"/>
      <c r="AX114" s="609"/>
      <c r="AY114" s="609"/>
      <c r="AZ114" s="609"/>
      <c r="BA114" s="609"/>
      <c r="BB114" s="609"/>
      <c r="BC114" s="609"/>
      <c r="BD114" s="609"/>
      <c r="BE114" s="609"/>
      <c r="BF114" s="609"/>
      <c r="BG114" s="609"/>
    </row>
    <row r="115" spans="1:59" s="62" customFormat="1" ht="30" customHeight="1" thickBot="1" x14ac:dyDescent="0.25">
      <c r="A115" s="806"/>
      <c r="B115" s="815" t="s">
        <v>1109</v>
      </c>
      <c r="C115" s="812"/>
      <c r="D115" s="812"/>
      <c r="E115" s="812"/>
      <c r="F115" s="551"/>
      <c r="G115" s="609"/>
      <c r="H115" s="609"/>
      <c r="I115" s="609"/>
      <c r="J115" s="609"/>
      <c r="K115" s="609"/>
      <c r="L115" s="609"/>
      <c r="M115" s="609"/>
      <c r="N115" s="609"/>
      <c r="O115" s="609"/>
      <c r="P115" s="609"/>
      <c r="Q115" s="609"/>
      <c r="R115" s="609"/>
      <c r="S115" s="609"/>
      <c r="T115" s="609"/>
      <c r="U115" s="609"/>
      <c r="V115" s="609"/>
      <c r="W115" s="609"/>
      <c r="X115" s="609"/>
      <c r="Y115" s="609"/>
      <c r="Z115" s="609"/>
      <c r="AA115" s="609"/>
      <c r="AB115" s="609"/>
      <c r="AC115" s="609"/>
      <c r="AD115" s="609"/>
      <c r="AE115" s="609"/>
      <c r="AF115" s="609"/>
      <c r="AG115" s="609"/>
      <c r="AH115" s="609"/>
      <c r="AI115" s="609"/>
      <c r="AJ115" s="609"/>
      <c r="AK115" s="609"/>
      <c r="AL115" s="609"/>
      <c r="AM115" s="609"/>
      <c r="AN115" s="609"/>
      <c r="AO115" s="609"/>
      <c r="AP115" s="609"/>
      <c r="AQ115" s="609"/>
      <c r="AR115" s="609"/>
      <c r="AS115" s="609"/>
      <c r="AT115" s="609"/>
      <c r="AU115" s="609"/>
      <c r="AV115" s="609"/>
      <c r="AW115" s="609"/>
      <c r="AX115" s="609"/>
      <c r="AY115" s="609"/>
      <c r="AZ115" s="609"/>
      <c r="BA115" s="609"/>
      <c r="BB115" s="609"/>
      <c r="BC115" s="609"/>
      <c r="BD115" s="609"/>
      <c r="BE115" s="609"/>
      <c r="BF115" s="609"/>
      <c r="BG115" s="609"/>
    </row>
    <row r="116" spans="1:59" s="62" customFormat="1" ht="18" customHeight="1" thickBot="1" x14ac:dyDescent="0.25">
      <c r="A116" s="807"/>
      <c r="B116" s="63"/>
      <c r="C116" s="533" t="s">
        <v>792</v>
      </c>
      <c r="D116" s="535" t="s">
        <v>793</v>
      </c>
      <c r="E116" s="536" t="s">
        <v>794</v>
      </c>
      <c r="F116" s="543"/>
      <c r="G116" s="609"/>
      <c r="H116" s="609"/>
      <c r="I116" s="609"/>
      <c r="J116" s="609"/>
      <c r="K116" s="609"/>
      <c r="L116" s="609"/>
      <c r="M116" s="609"/>
      <c r="N116" s="609"/>
      <c r="O116" s="609"/>
      <c r="P116" s="609"/>
      <c r="Q116" s="609"/>
      <c r="R116" s="609"/>
      <c r="S116" s="609"/>
      <c r="T116" s="609"/>
      <c r="U116" s="609"/>
      <c r="V116" s="609"/>
      <c r="W116" s="609"/>
      <c r="X116" s="609"/>
      <c r="Y116" s="609"/>
      <c r="Z116" s="609"/>
      <c r="AA116" s="609"/>
      <c r="AB116" s="609"/>
      <c r="AC116" s="609"/>
      <c r="AD116" s="609"/>
      <c r="AE116" s="609"/>
      <c r="AF116" s="609"/>
      <c r="AG116" s="609"/>
      <c r="AH116" s="609"/>
      <c r="AI116" s="609"/>
      <c r="AJ116" s="609"/>
      <c r="AK116" s="609"/>
      <c r="AL116" s="609"/>
      <c r="AM116" s="609"/>
      <c r="AN116" s="609"/>
      <c r="AO116" s="609"/>
      <c r="AP116" s="609"/>
      <c r="AQ116" s="609"/>
      <c r="AR116" s="609"/>
      <c r="AS116" s="609"/>
      <c r="AT116" s="609"/>
      <c r="AU116" s="609"/>
      <c r="AV116" s="609"/>
      <c r="AW116" s="609"/>
      <c r="AX116" s="609"/>
      <c r="AY116" s="609"/>
      <c r="AZ116" s="609"/>
      <c r="BA116" s="609"/>
      <c r="BB116" s="609"/>
      <c r="BC116" s="609"/>
      <c r="BD116" s="609"/>
      <c r="BE116" s="609"/>
      <c r="BF116" s="609"/>
      <c r="BG116" s="609"/>
    </row>
    <row r="117" spans="1:59" s="62" customFormat="1" ht="27" customHeight="1" x14ac:dyDescent="0.2">
      <c r="A117" s="807"/>
      <c r="B117" s="525" t="s">
        <v>833</v>
      </c>
      <c r="C117" s="137" t="s">
        <v>454</v>
      </c>
      <c r="D117" s="137" t="s">
        <v>455</v>
      </c>
      <c r="E117" s="537" t="s">
        <v>456</v>
      </c>
      <c r="F117" s="148">
        <v>0</v>
      </c>
      <c r="G117" s="609"/>
      <c r="H117" s="609"/>
      <c r="I117" s="609"/>
      <c r="J117" s="609"/>
      <c r="K117" s="609"/>
      <c r="L117" s="609"/>
      <c r="M117" s="609"/>
      <c r="N117" s="609"/>
      <c r="O117" s="609"/>
      <c r="P117" s="609"/>
      <c r="Q117" s="609"/>
      <c r="R117" s="609"/>
      <c r="S117" s="609"/>
      <c r="T117" s="609"/>
      <c r="U117" s="609"/>
      <c r="V117" s="609"/>
      <c r="W117" s="609"/>
      <c r="X117" s="609"/>
      <c r="Y117" s="609"/>
      <c r="Z117" s="609"/>
      <c r="AA117" s="609"/>
      <c r="AB117" s="609"/>
      <c r="AC117" s="609"/>
      <c r="AD117" s="609"/>
      <c r="AE117" s="609"/>
      <c r="AF117" s="609"/>
      <c r="AG117" s="609"/>
      <c r="AH117" s="609"/>
      <c r="AI117" s="609"/>
      <c r="AJ117" s="609"/>
      <c r="AK117" s="609"/>
      <c r="AL117" s="609"/>
      <c r="AM117" s="609"/>
      <c r="AN117" s="609"/>
      <c r="AO117" s="609"/>
      <c r="AP117" s="609"/>
      <c r="AQ117" s="609"/>
      <c r="AR117" s="609"/>
      <c r="AS117" s="609"/>
      <c r="AT117" s="609"/>
      <c r="AU117" s="609"/>
      <c r="AV117" s="609"/>
      <c r="AW117" s="609"/>
      <c r="AX117" s="609"/>
      <c r="AY117" s="609"/>
      <c r="AZ117" s="609"/>
      <c r="BA117" s="609"/>
      <c r="BB117" s="609"/>
      <c r="BC117" s="609"/>
      <c r="BD117" s="609"/>
      <c r="BE117" s="609"/>
      <c r="BF117" s="609"/>
      <c r="BG117" s="609"/>
    </row>
    <row r="118" spans="1:59" s="62" customFormat="1" ht="18" customHeight="1" x14ac:dyDescent="0.2">
      <c r="A118" s="807"/>
      <c r="B118" s="525" t="s">
        <v>834</v>
      </c>
      <c r="C118" s="137" t="s">
        <v>835</v>
      </c>
      <c r="D118" s="137" t="s">
        <v>836</v>
      </c>
      <c r="E118" s="138" t="s">
        <v>837</v>
      </c>
      <c r="F118" s="149">
        <v>0</v>
      </c>
      <c r="G118" s="609"/>
      <c r="H118" s="609"/>
      <c r="I118" s="609"/>
      <c r="J118" s="609"/>
      <c r="K118" s="609"/>
      <c r="L118" s="609"/>
      <c r="M118" s="609"/>
      <c r="N118" s="609"/>
      <c r="O118" s="609"/>
      <c r="P118" s="609"/>
      <c r="Q118" s="609"/>
      <c r="R118" s="609"/>
      <c r="S118" s="609"/>
      <c r="T118" s="609"/>
      <c r="U118" s="609"/>
      <c r="V118" s="609"/>
      <c r="W118" s="609"/>
      <c r="X118" s="609"/>
      <c r="Y118" s="609"/>
      <c r="Z118" s="609"/>
      <c r="AA118" s="609"/>
      <c r="AB118" s="609"/>
      <c r="AC118" s="609"/>
      <c r="AD118" s="609"/>
      <c r="AE118" s="609"/>
      <c r="AF118" s="609"/>
      <c r="AG118" s="609"/>
      <c r="AH118" s="609"/>
      <c r="AI118" s="609"/>
      <c r="AJ118" s="609"/>
      <c r="AK118" s="609"/>
      <c r="AL118" s="609"/>
      <c r="AM118" s="609"/>
      <c r="AN118" s="609"/>
      <c r="AO118" s="609"/>
      <c r="AP118" s="609"/>
      <c r="AQ118" s="609"/>
      <c r="AR118" s="609"/>
      <c r="AS118" s="609"/>
      <c r="AT118" s="609"/>
      <c r="AU118" s="609"/>
      <c r="AV118" s="609"/>
      <c r="AW118" s="609"/>
      <c r="AX118" s="609"/>
      <c r="AY118" s="609"/>
      <c r="AZ118" s="609"/>
      <c r="BA118" s="609"/>
      <c r="BB118" s="609"/>
      <c r="BC118" s="609"/>
      <c r="BD118" s="609"/>
      <c r="BE118" s="609"/>
      <c r="BF118" s="609"/>
      <c r="BG118" s="609"/>
    </row>
    <row r="119" spans="1:59" s="62" customFormat="1" ht="18" customHeight="1" x14ac:dyDescent="0.2">
      <c r="A119" s="807"/>
      <c r="B119" s="525" t="s">
        <v>314</v>
      </c>
      <c r="C119" s="137" t="s">
        <v>524</v>
      </c>
      <c r="D119" s="137" t="s">
        <v>523</v>
      </c>
      <c r="E119" s="138" t="s">
        <v>525</v>
      </c>
      <c r="F119" s="152">
        <v>0</v>
      </c>
      <c r="G119" s="609"/>
      <c r="H119" s="609"/>
      <c r="I119" s="609"/>
      <c r="J119" s="609"/>
      <c r="K119" s="609"/>
      <c r="L119" s="609"/>
      <c r="M119" s="609"/>
      <c r="N119" s="609"/>
      <c r="O119" s="609"/>
      <c r="P119" s="609"/>
      <c r="Q119" s="609"/>
      <c r="R119" s="609"/>
      <c r="S119" s="609"/>
      <c r="T119" s="609"/>
      <c r="U119" s="609"/>
      <c r="V119" s="609"/>
      <c r="W119" s="609"/>
      <c r="X119" s="609"/>
      <c r="Y119" s="609"/>
      <c r="Z119" s="609"/>
      <c r="AA119" s="609"/>
      <c r="AB119" s="609"/>
      <c r="AC119" s="609"/>
      <c r="AD119" s="609"/>
      <c r="AE119" s="609"/>
      <c r="AF119" s="609"/>
      <c r="AG119" s="609"/>
      <c r="AH119" s="609"/>
      <c r="AI119" s="609"/>
      <c r="AJ119" s="609"/>
      <c r="AK119" s="609"/>
      <c r="AL119" s="609"/>
      <c r="AM119" s="609"/>
      <c r="AN119" s="609"/>
      <c r="AO119" s="609"/>
      <c r="AP119" s="609"/>
      <c r="AQ119" s="609"/>
      <c r="AR119" s="609"/>
      <c r="AS119" s="609"/>
      <c r="AT119" s="609"/>
      <c r="AU119" s="609"/>
      <c r="AV119" s="609"/>
      <c r="AW119" s="609"/>
      <c r="AX119" s="609"/>
      <c r="AY119" s="609"/>
      <c r="AZ119" s="609"/>
      <c r="BA119" s="609"/>
      <c r="BB119" s="609"/>
      <c r="BC119" s="609"/>
      <c r="BD119" s="609"/>
      <c r="BE119" s="609"/>
      <c r="BF119" s="609"/>
      <c r="BG119" s="609"/>
    </row>
    <row r="120" spans="1:59" s="62" customFormat="1" ht="18" customHeight="1" thickBot="1" x14ac:dyDescent="0.25">
      <c r="A120" s="807"/>
      <c r="B120" s="532" t="s">
        <v>838</v>
      </c>
      <c r="C120" s="144" t="s">
        <v>775</v>
      </c>
      <c r="D120" s="144" t="s">
        <v>776</v>
      </c>
      <c r="E120" s="140" t="s">
        <v>308</v>
      </c>
      <c r="F120" s="151">
        <v>0</v>
      </c>
      <c r="G120" s="609"/>
      <c r="H120" s="609"/>
      <c r="I120" s="609"/>
      <c r="J120" s="609"/>
      <c r="K120" s="609"/>
      <c r="L120" s="609"/>
      <c r="M120" s="609"/>
      <c r="N120" s="609"/>
      <c r="O120" s="609"/>
      <c r="P120" s="609"/>
      <c r="Q120" s="609"/>
      <c r="R120" s="609"/>
      <c r="S120" s="609"/>
      <c r="T120" s="609"/>
      <c r="U120" s="609"/>
      <c r="V120" s="609"/>
      <c r="W120" s="609"/>
      <c r="X120" s="609"/>
      <c r="Y120" s="609"/>
      <c r="Z120" s="609"/>
      <c r="AA120" s="609"/>
      <c r="AB120" s="609"/>
      <c r="AC120" s="609"/>
      <c r="AD120" s="609"/>
      <c r="AE120" s="609"/>
      <c r="AF120" s="609"/>
      <c r="AG120" s="609"/>
      <c r="AH120" s="609"/>
      <c r="AI120" s="609"/>
      <c r="AJ120" s="609"/>
      <c r="AK120" s="609"/>
      <c r="AL120" s="609"/>
      <c r="AM120" s="609"/>
      <c r="AN120" s="609"/>
      <c r="AO120" s="609"/>
      <c r="AP120" s="609"/>
      <c r="AQ120" s="609"/>
      <c r="AR120" s="609"/>
      <c r="AS120" s="609"/>
      <c r="AT120" s="609"/>
      <c r="AU120" s="609"/>
      <c r="AV120" s="609"/>
      <c r="AW120" s="609"/>
      <c r="AX120" s="609"/>
      <c r="AY120" s="609"/>
      <c r="AZ120" s="609"/>
      <c r="BA120" s="609"/>
      <c r="BB120" s="609"/>
      <c r="BC120" s="609"/>
      <c r="BD120" s="609"/>
      <c r="BE120" s="609"/>
      <c r="BF120" s="609"/>
      <c r="BG120" s="609"/>
    </row>
    <row r="121" spans="1:59" s="62" customFormat="1" ht="27" customHeight="1" thickBot="1" x14ac:dyDescent="0.25">
      <c r="A121" s="806"/>
      <c r="B121" s="816" t="s">
        <v>315</v>
      </c>
      <c r="C121" s="817"/>
      <c r="D121" s="818"/>
      <c r="E121" s="538" t="s">
        <v>764</v>
      </c>
      <c r="F121" s="545">
        <f>SUM(F117:F120)</f>
        <v>0</v>
      </c>
      <c r="G121" s="609"/>
      <c r="H121" s="609"/>
      <c r="I121" s="609"/>
      <c r="J121" s="609"/>
      <c r="K121" s="609"/>
      <c r="L121" s="609"/>
      <c r="M121" s="609"/>
      <c r="N121" s="609"/>
      <c r="O121" s="609"/>
      <c r="P121" s="609"/>
      <c r="Q121" s="609"/>
      <c r="R121" s="609"/>
      <c r="S121" s="609"/>
      <c r="T121" s="609"/>
      <c r="U121" s="609"/>
      <c r="V121" s="609"/>
      <c r="W121" s="609"/>
      <c r="X121" s="609"/>
      <c r="Y121" s="609"/>
      <c r="Z121" s="609"/>
      <c r="AA121" s="609"/>
      <c r="AB121" s="609"/>
      <c r="AC121" s="609"/>
      <c r="AD121" s="609"/>
      <c r="AE121" s="609"/>
      <c r="AF121" s="609"/>
      <c r="AG121" s="609"/>
      <c r="AH121" s="609"/>
      <c r="AI121" s="609"/>
      <c r="AJ121" s="609"/>
      <c r="AK121" s="609"/>
      <c r="AL121" s="609"/>
      <c r="AM121" s="609"/>
      <c r="AN121" s="609"/>
      <c r="AO121" s="609"/>
      <c r="AP121" s="609"/>
      <c r="AQ121" s="609"/>
      <c r="AR121" s="609"/>
      <c r="AS121" s="609"/>
      <c r="AT121" s="609"/>
      <c r="AU121" s="609"/>
      <c r="AV121" s="609"/>
      <c r="AW121" s="609"/>
      <c r="AX121" s="609"/>
      <c r="AY121" s="609"/>
      <c r="AZ121" s="609"/>
      <c r="BA121" s="609"/>
      <c r="BB121" s="609"/>
      <c r="BC121" s="609"/>
      <c r="BD121" s="609"/>
      <c r="BE121" s="609"/>
      <c r="BF121" s="609"/>
      <c r="BG121" s="609"/>
    </row>
    <row r="122" spans="1:59" s="160" customFormat="1" ht="21" customHeight="1" thickBot="1" x14ac:dyDescent="0.25">
      <c r="A122" s="808"/>
      <c r="B122" s="799"/>
      <c r="C122" s="800"/>
      <c r="D122" s="800"/>
      <c r="E122" s="614" t="s">
        <v>146</v>
      </c>
      <c r="F122" s="179">
        <f>F120/12</f>
        <v>0</v>
      </c>
      <c r="G122" s="610"/>
      <c r="H122" s="610"/>
      <c r="I122" s="610"/>
      <c r="J122" s="610"/>
      <c r="K122" s="610"/>
      <c r="L122" s="610"/>
      <c r="M122" s="610"/>
      <c r="N122" s="610"/>
      <c r="O122" s="610"/>
      <c r="P122" s="610"/>
      <c r="Q122" s="610"/>
      <c r="R122" s="610"/>
      <c r="S122" s="610"/>
      <c r="T122" s="610"/>
      <c r="U122" s="610"/>
      <c r="V122" s="610"/>
      <c r="W122" s="610"/>
      <c r="X122" s="610"/>
      <c r="Y122" s="610"/>
      <c r="Z122" s="610"/>
      <c r="AA122" s="610"/>
      <c r="AB122" s="610"/>
      <c r="AC122" s="610"/>
      <c r="AD122" s="610"/>
      <c r="AE122" s="610"/>
      <c r="AF122" s="610"/>
      <c r="AG122" s="610"/>
      <c r="AH122" s="610"/>
      <c r="AI122" s="610"/>
      <c r="AJ122" s="610"/>
      <c r="AK122" s="610"/>
      <c r="AL122" s="610"/>
      <c r="AM122" s="610"/>
      <c r="AN122" s="610"/>
      <c r="AO122" s="610"/>
      <c r="AP122" s="610"/>
      <c r="AQ122" s="610"/>
      <c r="AR122" s="610"/>
      <c r="AS122" s="610"/>
      <c r="AT122" s="610"/>
      <c r="AU122" s="610"/>
      <c r="AV122" s="610"/>
      <c r="AW122" s="610"/>
      <c r="AX122" s="610"/>
      <c r="AY122" s="610"/>
      <c r="AZ122" s="610"/>
      <c r="BA122" s="610"/>
      <c r="BB122" s="610"/>
      <c r="BC122" s="610"/>
      <c r="BD122" s="610"/>
      <c r="BE122" s="610"/>
      <c r="BF122" s="610"/>
      <c r="BG122" s="610"/>
    </row>
    <row r="123" spans="1:59" s="270" customFormat="1" ht="24" customHeight="1" thickBot="1" x14ac:dyDescent="0.25">
      <c r="A123" s="805" t="s">
        <v>789</v>
      </c>
      <c r="B123" s="809" t="s">
        <v>808</v>
      </c>
      <c r="C123" s="810"/>
      <c r="D123" s="810"/>
      <c r="E123" s="810"/>
      <c r="F123" s="553"/>
      <c r="G123" s="611"/>
      <c r="H123" s="611"/>
      <c r="I123" s="611"/>
      <c r="J123" s="611"/>
      <c r="K123" s="611"/>
      <c r="L123" s="611"/>
      <c r="M123" s="611"/>
      <c r="N123" s="611"/>
      <c r="O123" s="611"/>
      <c r="P123" s="611"/>
      <c r="Q123" s="611"/>
      <c r="R123" s="611"/>
      <c r="S123" s="611"/>
      <c r="T123" s="611"/>
      <c r="U123" s="611"/>
      <c r="V123" s="611"/>
      <c r="W123" s="611"/>
      <c r="X123" s="611"/>
      <c r="Y123" s="611"/>
      <c r="Z123" s="611"/>
      <c r="AA123" s="611"/>
      <c r="AB123" s="611"/>
      <c r="AC123" s="611"/>
      <c r="AD123" s="611"/>
      <c r="AE123" s="611"/>
      <c r="AF123" s="611"/>
      <c r="AG123" s="611"/>
      <c r="AH123" s="611"/>
      <c r="AI123" s="611"/>
      <c r="AJ123" s="611"/>
      <c r="AK123" s="611"/>
      <c r="AL123" s="611"/>
      <c r="AM123" s="611"/>
      <c r="AN123" s="611"/>
      <c r="AO123" s="611"/>
      <c r="AP123" s="611"/>
      <c r="AQ123" s="611"/>
      <c r="AR123" s="611"/>
      <c r="AS123" s="611"/>
      <c r="AT123" s="611"/>
      <c r="AU123" s="611"/>
      <c r="AV123" s="611"/>
      <c r="AW123" s="611"/>
      <c r="AX123" s="611"/>
      <c r="AY123" s="611"/>
      <c r="AZ123" s="611"/>
      <c r="BA123" s="611"/>
      <c r="BB123" s="611"/>
      <c r="BC123" s="611"/>
      <c r="BD123" s="611"/>
      <c r="BE123" s="611"/>
      <c r="BF123" s="611"/>
      <c r="BG123" s="611"/>
    </row>
    <row r="124" spans="1:59" s="62" customFormat="1" ht="30" customHeight="1" thickBot="1" x14ac:dyDescent="0.25">
      <c r="A124" s="806"/>
      <c r="B124" s="811" t="s">
        <v>3623</v>
      </c>
      <c r="C124" s="812"/>
      <c r="D124" s="812"/>
      <c r="E124" s="812"/>
      <c r="F124" s="550"/>
      <c r="G124" s="609"/>
      <c r="H124" s="609"/>
      <c r="I124" s="609"/>
      <c r="J124" s="609"/>
      <c r="K124" s="609"/>
      <c r="L124" s="609"/>
      <c r="M124" s="609"/>
      <c r="N124" s="609"/>
      <c r="O124" s="609"/>
      <c r="P124" s="609"/>
      <c r="Q124" s="609"/>
      <c r="R124" s="609"/>
      <c r="S124" s="609"/>
      <c r="T124" s="609"/>
      <c r="U124" s="609"/>
      <c r="V124" s="609"/>
      <c r="W124" s="609"/>
      <c r="X124" s="609"/>
      <c r="Y124" s="609"/>
      <c r="Z124" s="609"/>
      <c r="AA124" s="609"/>
      <c r="AB124" s="609"/>
      <c r="AC124" s="609"/>
      <c r="AD124" s="609"/>
      <c r="AE124" s="609"/>
      <c r="AF124" s="609"/>
      <c r="AG124" s="609"/>
      <c r="AH124" s="609"/>
      <c r="AI124" s="609"/>
      <c r="AJ124" s="609"/>
      <c r="AK124" s="609"/>
      <c r="AL124" s="609"/>
      <c r="AM124" s="609"/>
      <c r="AN124" s="609"/>
      <c r="AO124" s="609"/>
      <c r="AP124" s="609"/>
      <c r="AQ124" s="609"/>
      <c r="AR124" s="609"/>
      <c r="AS124" s="609"/>
      <c r="AT124" s="609"/>
      <c r="AU124" s="609"/>
      <c r="AV124" s="609"/>
      <c r="AW124" s="609"/>
      <c r="AX124" s="609"/>
      <c r="AY124" s="609"/>
      <c r="AZ124" s="609"/>
      <c r="BA124" s="609"/>
      <c r="BB124" s="609"/>
      <c r="BC124" s="609"/>
      <c r="BD124" s="609"/>
      <c r="BE124" s="609"/>
      <c r="BF124" s="609"/>
      <c r="BG124" s="609"/>
    </row>
    <row r="125" spans="1:59" s="62" customFormat="1" ht="18" customHeight="1" x14ac:dyDescent="0.2">
      <c r="A125" s="806"/>
      <c r="B125" s="813" t="s">
        <v>3624</v>
      </c>
      <c r="C125" s="814"/>
      <c r="D125" s="814"/>
      <c r="E125" s="814"/>
      <c r="F125" s="542"/>
      <c r="G125" s="609"/>
      <c r="H125" s="609"/>
      <c r="I125" s="609"/>
      <c r="J125" s="609"/>
      <c r="K125" s="609"/>
      <c r="L125" s="609"/>
      <c r="M125" s="609"/>
      <c r="N125" s="609"/>
      <c r="O125" s="609"/>
      <c r="P125" s="609"/>
      <c r="Q125" s="609"/>
      <c r="R125" s="609"/>
      <c r="S125" s="609"/>
      <c r="T125" s="609"/>
      <c r="U125" s="609"/>
      <c r="V125" s="609"/>
      <c r="W125" s="609"/>
      <c r="X125" s="609"/>
      <c r="Y125" s="609"/>
      <c r="Z125" s="609"/>
      <c r="AA125" s="609"/>
      <c r="AB125" s="609"/>
      <c r="AC125" s="609"/>
      <c r="AD125" s="609"/>
      <c r="AE125" s="609"/>
      <c r="AF125" s="609"/>
      <c r="AG125" s="609"/>
      <c r="AH125" s="609"/>
      <c r="AI125" s="609"/>
      <c r="AJ125" s="609"/>
      <c r="AK125" s="609"/>
      <c r="AL125" s="609"/>
      <c r="AM125" s="609"/>
      <c r="AN125" s="609"/>
      <c r="AO125" s="609"/>
      <c r="AP125" s="609"/>
      <c r="AQ125" s="609"/>
      <c r="AR125" s="609"/>
      <c r="AS125" s="609"/>
      <c r="AT125" s="609"/>
      <c r="AU125" s="609"/>
      <c r="AV125" s="609"/>
      <c r="AW125" s="609"/>
      <c r="AX125" s="609"/>
      <c r="AY125" s="609"/>
      <c r="AZ125" s="609"/>
      <c r="BA125" s="609"/>
      <c r="BB125" s="609"/>
      <c r="BC125" s="609"/>
      <c r="BD125" s="609"/>
      <c r="BE125" s="609"/>
      <c r="BF125" s="609"/>
      <c r="BG125" s="609"/>
    </row>
    <row r="126" spans="1:59" s="62" customFormat="1" ht="18" customHeight="1" x14ac:dyDescent="0.2">
      <c r="A126" s="806"/>
      <c r="B126" s="803" t="s">
        <v>3625</v>
      </c>
      <c r="C126" s="804"/>
      <c r="D126" s="804"/>
      <c r="E126" s="804"/>
      <c r="F126" s="542"/>
      <c r="G126" s="609"/>
      <c r="H126" s="609"/>
      <c r="I126" s="609"/>
      <c r="J126" s="609"/>
      <c r="K126" s="609"/>
      <c r="L126" s="609"/>
      <c r="M126" s="609"/>
      <c r="N126" s="609"/>
      <c r="O126" s="609"/>
      <c r="P126" s="609"/>
      <c r="Q126" s="609"/>
      <c r="R126" s="609"/>
      <c r="S126" s="609"/>
      <c r="T126" s="609"/>
      <c r="U126" s="609"/>
      <c r="V126" s="609"/>
      <c r="W126" s="609"/>
      <c r="X126" s="609"/>
      <c r="Y126" s="609"/>
      <c r="Z126" s="609"/>
      <c r="AA126" s="609"/>
      <c r="AB126" s="609"/>
      <c r="AC126" s="609"/>
      <c r="AD126" s="609"/>
      <c r="AE126" s="609"/>
      <c r="AF126" s="609"/>
      <c r="AG126" s="609"/>
      <c r="AH126" s="609"/>
      <c r="AI126" s="609"/>
      <c r="AJ126" s="609"/>
      <c r="AK126" s="609"/>
      <c r="AL126" s="609"/>
      <c r="AM126" s="609"/>
      <c r="AN126" s="609"/>
      <c r="AO126" s="609"/>
      <c r="AP126" s="609"/>
      <c r="AQ126" s="609"/>
      <c r="AR126" s="609"/>
      <c r="AS126" s="609"/>
      <c r="AT126" s="609"/>
      <c r="AU126" s="609"/>
      <c r="AV126" s="609"/>
      <c r="AW126" s="609"/>
      <c r="AX126" s="609"/>
      <c r="AY126" s="609"/>
      <c r="AZ126" s="609"/>
      <c r="BA126" s="609"/>
      <c r="BB126" s="609"/>
      <c r="BC126" s="609"/>
      <c r="BD126" s="609"/>
      <c r="BE126" s="609"/>
      <c r="BF126" s="609"/>
      <c r="BG126" s="609"/>
    </row>
    <row r="127" spans="1:59" s="62" customFormat="1" ht="18" customHeight="1" x14ac:dyDescent="0.2">
      <c r="A127" s="806"/>
      <c r="B127" s="803" t="s">
        <v>3626</v>
      </c>
      <c r="C127" s="804"/>
      <c r="D127" s="804"/>
      <c r="E127" s="804"/>
      <c r="F127" s="542"/>
      <c r="G127" s="609"/>
      <c r="H127" s="609"/>
      <c r="I127" s="609"/>
      <c r="J127" s="609"/>
      <c r="K127" s="609"/>
      <c r="L127" s="609"/>
      <c r="M127" s="609"/>
      <c r="N127" s="609"/>
      <c r="O127" s="609"/>
      <c r="P127" s="609"/>
      <c r="Q127" s="609"/>
      <c r="R127" s="609"/>
      <c r="S127" s="609"/>
      <c r="T127" s="609"/>
      <c r="U127" s="609"/>
      <c r="V127" s="609"/>
      <c r="W127" s="609"/>
      <c r="X127" s="609"/>
      <c r="Y127" s="609"/>
      <c r="Z127" s="609"/>
      <c r="AA127" s="609"/>
      <c r="AB127" s="609"/>
      <c r="AC127" s="609"/>
      <c r="AD127" s="609"/>
      <c r="AE127" s="609"/>
      <c r="AF127" s="609"/>
      <c r="AG127" s="609"/>
      <c r="AH127" s="609"/>
      <c r="AI127" s="609"/>
      <c r="AJ127" s="609"/>
      <c r="AK127" s="609"/>
      <c r="AL127" s="609"/>
      <c r="AM127" s="609"/>
      <c r="AN127" s="609"/>
      <c r="AO127" s="609"/>
      <c r="AP127" s="609"/>
      <c r="AQ127" s="609"/>
      <c r="AR127" s="609"/>
      <c r="AS127" s="609"/>
      <c r="AT127" s="609"/>
      <c r="AU127" s="609"/>
      <c r="AV127" s="609"/>
      <c r="AW127" s="609"/>
      <c r="AX127" s="609"/>
      <c r="AY127" s="609"/>
      <c r="AZ127" s="609"/>
      <c r="BA127" s="609"/>
      <c r="BB127" s="609"/>
      <c r="BC127" s="609"/>
      <c r="BD127" s="609"/>
      <c r="BE127" s="609"/>
      <c r="BF127" s="609"/>
      <c r="BG127" s="609"/>
    </row>
    <row r="128" spans="1:59" s="62" customFormat="1" ht="18" customHeight="1" x14ac:dyDescent="0.2">
      <c r="A128" s="806"/>
      <c r="B128" s="803" t="s">
        <v>3627</v>
      </c>
      <c r="C128" s="804"/>
      <c r="D128" s="804"/>
      <c r="E128" s="804"/>
      <c r="F128" s="542"/>
      <c r="G128" s="609"/>
      <c r="H128" s="609"/>
      <c r="I128" s="609"/>
      <c r="J128" s="609"/>
      <c r="K128" s="609"/>
      <c r="L128" s="609"/>
      <c r="M128" s="609"/>
      <c r="N128" s="609"/>
      <c r="O128" s="609"/>
      <c r="P128" s="609"/>
      <c r="Q128" s="609"/>
      <c r="R128" s="609"/>
      <c r="S128" s="609"/>
      <c r="T128" s="609"/>
      <c r="U128" s="609"/>
      <c r="V128" s="609"/>
      <c r="W128" s="609"/>
      <c r="X128" s="609"/>
      <c r="Y128" s="609"/>
      <c r="Z128" s="609"/>
      <c r="AA128" s="609"/>
      <c r="AB128" s="609"/>
      <c r="AC128" s="609"/>
      <c r="AD128" s="609"/>
      <c r="AE128" s="609"/>
      <c r="AF128" s="609"/>
      <c r="AG128" s="609"/>
      <c r="AH128" s="609"/>
      <c r="AI128" s="609"/>
      <c r="AJ128" s="609"/>
      <c r="AK128" s="609"/>
      <c r="AL128" s="609"/>
      <c r="AM128" s="609"/>
      <c r="AN128" s="609"/>
      <c r="AO128" s="609"/>
      <c r="AP128" s="609"/>
      <c r="AQ128" s="609"/>
      <c r="AR128" s="609"/>
      <c r="AS128" s="609"/>
      <c r="AT128" s="609"/>
      <c r="AU128" s="609"/>
      <c r="AV128" s="609"/>
      <c r="AW128" s="609"/>
      <c r="AX128" s="609"/>
      <c r="AY128" s="609"/>
      <c r="AZ128" s="609"/>
      <c r="BA128" s="609"/>
      <c r="BB128" s="609"/>
      <c r="BC128" s="609"/>
      <c r="BD128" s="609"/>
      <c r="BE128" s="609"/>
      <c r="BF128" s="609"/>
      <c r="BG128" s="609"/>
    </row>
    <row r="129" spans="1:59" s="62" customFormat="1" ht="18" customHeight="1" x14ac:dyDescent="0.2">
      <c r="A129" s="806"/>
      <c r="B129" s="803" t="s">
        <v>3628</v>
      </c>
      <c r="C129" s="804"/>
      <c r="D129" s="804"/>
      <c r="E129" s="804"/>
      <c r="F129" s="542"/>
      <c r="G129" s="609"/>
      <c r="H129" s="609"/>
      <c r="I129" s="609"/>
      <c r="J129" s="609"/>
      <c r="K129" s="609"/>
      <c r="L129" s="609"/>
      <c r="M129" s="609"/>
      <c r="N129" s="609"/>
      <c r="O129" s="609"/>
      <c r="P129" s="609"/>
      <c r="Q129" s="609"/>
      <c r="R129" s="609"/>
      <c r="S129" s="609"/>
      <c r="T129" s="609"/>
      <c r="U129" s="609"/>
      <c r="V129" s="609"/>
      <c r="W129" s="609"/>
      <c r="X129" s="609"/>
      <c r="Y129" s="609"/>
      <c r="Z129" s="609"/>
      <c r="AA129" s="609"/>
      <c r="AB129" s="609"/>
      <c r="AC129" s="609"/>
      <c r="AD129" s="609"/>
      <c r="AE129" s="609"/>
      <c r="AF129" s="609"/>
      <c r="AG129" s="609"/>
      <c r="AH129" s="609"/>
      <c r="AI129" s="609"/>
      <c r="AJ129" s="609"/>
      <c r="AK129" s="609"/>
      <c r="AL129" s="609"/>
      <c r="AM129" s="609"/>
      <c r="AN129" s="609"/>
      <c r="AO129" s="609"/>
      <c r="AP129" s="609"/>
      <c r="AQ129" s="609"/>
      <c r="AR129" s="609"/>
      <c r="AS129" s="609"/>
      <c r="AT129" s="609"/>
      <c r="AU129" s="609"/>
      <c r="AV129" s="609"/>
      <c r="AW129" s="609"/>
      <c r="AX129" s="609"/>
      <c r="AY129" s="609"/>
      <c r="AZ129" s="609"/>
      <c r="BA129" s="609"/>
      <c r="BB129" s="609"/>
      <c r="BC129" s="609"/>
      <c r="BD129" s="609"/>
      <c r="BE129" s="609"/>
      <c r="BF129" s="609"/>
      <c r="BG129" s="609"/>
    </row>
    <row r="130" spans="1:59" s="62" customFormat="1" ht="18" customHeight="1" x14ac:dyDescent="0.2">
      <c r="A130" s="806"/>
      <c r="B130" s="801" t="s">
        <v>3629</v>
      </c>
      <c r="C130" s="802"/>
      <c r="D130" s="802"/>
      <c r="E130" s="802"/>
      <c r="F130" s="542"/>
      <c r="G130" s="609"/>
      <c r="H130" s="609"/>
      <c r="I130" s="609"/>
      <c r="J130" s="609"/>
      <c r="K130" s="609"/>
      <c r="L130" s="609"/>
      <c r="M130" s="609"/>
      <c r="N130" s="609"/>
      <c r="O130" s="609"/>
      <c r="P130" s="609"/>
      <c r="Q130" s="609"/>
      <c r="R130" s="609"/>
      <c r="S130" s="609"/>
      <c r="T130" s="609"/>
      <c r="U130" s="609"/>
      <c r="V130" s="609"/>
      <c r="W130" s="609"/>
      <c r="X130" s="609"/>
      <c r="Y130" s="609"/>
      <c r="Z130" s="609"/>
      <c r="AA130" s="609"/>
      <c r="AB130" s="609"/>
      <c r="AC130" s="609"/>
      <c r="AD130" s="609"/>
      <c r="AE130" s="609"/>
      <c r="AF130" s="609"/>
      <c r="AG130" s="609"/>
      <c r="AH130" s="609"/>
      <c r="AI130" s="609"/>
      <c r="AJ130" s="609"/>
      <c r="AK130" s="609"/>
      <c r="AL130" s="609"/>
      <c r="AM130" s="609"/>
      <c r="AN130" s="609"/>
      <c r="AO130" s="609"/>
      <c r="AP130" s="609"/>
      <c r="AQ130" s="609"/>
      <c r="AR130" s="609"/>
      <c r="AS130" s="609"/>
      <c r="AT130" s="609"/>
      <c r="AU130" s="609"/>
      <c r="AV130" s="609"/>
      <c r="AW130" s="609"/>
      <c r="AX130" s="609"/>
      <c r="AY130" s="609"/>
      <c r="AZ130" s="609"/>
      <c r="BA130" s="609"/>
      <c r="BB130" s="609"/>
      <c r="BC130" s="609"/>
      <c r="BD130" s="609"/>
      <c r="BE130" s="609"/>
      <c r="BF130" s="609"/>
      <c r="BG130" s="609"/>
    </row>
    <row r="131" spans="1:59" s="62" customFormat="1" ht="18" customHeight="1" x14ac:dyDescent="0.2">
      <c r="A131" s="806"/>
      <c r="B131" s="803" t="s">
        <v>3630</v>
      </c>
      <c r="C131" s="804"/>
      <c r="D131" s="804"/>
      <c r="E131" s="804"/>
      <c r="F131" s="542"/>
      <c r="G131" s="609"/>
      <c r="H131" s="609"/>
      <c r="I131" s="609"/>
      <c r="J131" s="609"/>
      <c r="K131" s="609"/>
      <c r="L131" s="609"/>
      <c r="M131" s="609"/>
      <c r="N131" s="609"/>
      <c r="O131" s="609"/>
      <c r="P131" s="609"/>
      <c r="Q131" s="609"/>
      <c r="R131" s="609"/>
      <c r="S131" s="609"/>
      <c r="T131" s="609"/>
      <c r="U131" s="609"/>
      <c r="V131" s="609"/>
      <c r="W131" s="609"/>
      <c r="X131" s="609"/>
      <c r="Y131" s="609"/>
      <c r="Z131" s="609"/>
      <c r="AA131" s="609"/>
      <c r="AB131" s="609"/>
      <c r="AC131" s="609"/>
      <c r="AD131" s="609"/>
      <c r="AE131" s="609"/>
      <c r="AF131" s="609"/>
      <c r="AG131" s="609"/>
      <c r="AH131" s="609"/>
      <c r="AI131" s="609"/>
      <c r="AJ131" s="609"/>
      <c r="AK131" s="609"/>
      <c r="AL131" s="609"/>
      <c r="AM131" s="609"/>
      <c r="AN131" s="609"/>
      <c r="AO131" s="609"/>
      <c r="AP131" s="609"/>
      <c r="AQ131" s="609"/>
      <c r="AR131" s="609"/>
      <c r="AS131" s="609"/>
      <c r="AT131" s="609"/>
      <c r="AU131" s="609"/>
      <c r="AV131" s="609"/>
      <c r="AW131" s="609"/>
      <c r="AX131" s="609"/>
      <c r="AY131" s="609"/>
      <c r="AZ131" s="609"/>
      <c r="BA131" s="609"/>
      <c r="BB131" s="609"/>
      <c r="BC131" s="609"/>
      <c r="BD131" s="609"/>
      <c r="BE131" s="609"/>
      <c r="BF131" s="609"/>
      <c r="BG131" s="609"/>
    </row>
    <row r="132" spans="1:59" s="62" customFormat="1" ht="18" customHeight="1" thickBot="1" x14ac:dyDescent="0.25">
      <c r="A132" s="806"/>
      <c r="B132" s="803" t="s">
        <v>3631</v>
      </c>
      <c r="C132" s="804"/>
      <c r="D132" s="804"/>
      <c r="E132" s="804"/>
      <c r="F132" s="542"/>
      <c r="G132" s="609"/>
      <c r="H132" s="609"/>
      <c r="I132" s="609"/>
      <c r="J132" s="609"/>
      <c r="K132" s="609"/>
      <c r="L132" s="609"/>
      <c r="M132" s="609"/>
      <c r="N132" s="609"/>
      <c r="O132" s="609"/>
      <c r="P132" s="609"/>
      <c r="Q132" s="609"/>
      <c r="R132" s="609"/>
      <c r="S132" s="609"/>
      <c r="T132" s="609"/>
      <c r="U132" s="609"/>
      <c r="V132" s="609"/>
      <c r="W132" s="609"/>
      <c r="X132" s="609"/>
      <c r="Y132" s="609"/>
      <c r="Z132" s="609"/>
      <c r="AA132" s="609"/>
      <c r="AB132" s="609"/>
      <c r="AC132" s="609"/>
      <c r="AD132" s="609"/>
      <c r="AE132" s="609"/>
      <c r="AF132" s="609"/>
      <c r="AG132" s="609"/>
      <c r="AH132" s="609"/>
      <c r="AI132" s="609"/>
      <c r="AJ132" s="609"/>
      <c r="AK132" s="609"/>
      <c r="AL132" s="609"/>
      <c r="AM132" s="609"/>
      <c r="AN132" s="609"/>
      <c r="AO132" s="609"/>
      <c r="AP132" s="609"/>
      <c r="AQ132" s="609"/>
      <c r="AR132" s="609"/>
      <c r="AS132" s="609"/>
      <c r="AT132" s="609"/>
      <c r="AU132" s="609"/>
      <c r="AV132" s="609"/>
      <c r="AW132" s="609"/>
      <c r="AX132" s="609"/>
      <c r="AY132" s="609"/>
      <c r="AZ132" s="609"/>
      <c r="BA132" s="609"/>
      <c r="BB132" s="609"/>
      <c r="BC132" s="609"/>
      <c r="BD132" s="609"/>
      <c r="BE132" s="609"/>
      <c r="BF132" s="609"/>
      <c r="BG132" s="609"/>
    </row>
    <row r="133" spans="1:59" s="62" customFormat="1" ht="30" customHeight="1" thickBot="1" x14ac:dyDescent="0.25">
      <c r="A133" s="806"/>
      <c r="B133" s="815" t="s">
        <v>1109</v>
      </c>
      <c r="C133" s="812"/>
      <c r="D133" s="812"/>
      <c r="E133" s="812"/>
      <c r="F133" s="551"/>
      <c r="G133" s="609"/>
      <c r="H133" s="609"/>
      <c r="I133" s="609"/>
      <c r="J133" s="609"/>
      <c r="K133" s="609"/>
      <c r="L133" s="609"/>
      <c r="M133" s="609"/>
      <c r="N133" s="609"/>
      <c r="O133" s="609"/>
      <c r="P133" s="609"/>
      <c r="Q133" s="609"/>
      <c r="R133" s="609"/>
      <c r="S133" s="609"/>
      <c r="T133" s="609"/>
      <c r="U133" s="609"/>
      <c r="V133" s="609"/>
      <c r="W133" s="609"/>
      <c r="X133" s="609"/>
      <c r="Y133" s="609"/>
      <c r="Z133" s="609"/>
      <c r="AA133" s="609"/>
      <c r="AB133" s="609"/>
      <c r="AC133" s="609"/>
      <c r="AD133" s="609"/>
      <c r="AE133" s="609"/>
      <c r="AF133" s="609"/>
      <c r="AG133" s="609"/>
      <c r="AH133" s="609"/>
      <c r="AI133" s="609"/>
      <c r="AJ133" s="609"/>
      <c r="AK133" s="609"/>
      <c r="AL133" s="609"/>
      <c r="AM133" s="609"/>
      <c r="AN133" s="609"/>
      <c r="AO133" s="609"/>
      <c r="AP133" s="609"/>
      <c r="AQ133" s="609"/>
      <c r="AR133" s="609"/>
      <c r="AS133" s="609"/>
      <c r="AT133" s="609"/>
      <c r="AU133" s="609"/>
      <c r="AV133" s="609"/>
      <c r="AW133" s="609"/>
      <c r="AX133" s="609"/>
      <c r="AY133" s="609"/>
      <c r="AZ133" s="609"/>
      <c r="BA133" s="609"/>
      <c r="BB133" s="609"/>
      <c r="BC133" s="609"/>
      <c r="BD133" s="609"/>
      <c r="BE133" s="609"/>
      <c r="BF133" s="609"/>
      <c r="BG133" s="609"/>
    </row>
    <row r="134" spans="1:59" s="62" customFormat="1" ht="21" customHeight="1" thickBot="1" x14ac:dyDescent="0.25">
      <c r="A134" s="806"/>
      <c r="B134" s="145"/>
      <c r="C134" s="533" t="s">
        <v>792</v>
      </c>
      <c r="D134" s="534" t="s">
        <v>793</v>
      </c>
      <c r="E134" s="539" t="s">
        <v>794</v>
      </c>
      <c r="F134" s="543"/>
      <c r="G134" s="609"/>
      <c r="H134" s="609"/>
      <c r="I134" s="609"/>
      <c r="J134" s="609"/>
      <c r="K134" s="609"/>
      <c r="L134" s="609"/>
      <c r="M134" s="609"/>
      <c r="N134" s="609"/>
      <c r="O134" s="609"/>
      <c r="P134" s="609"/>
      <c r="Q134" s="609"/>
      <c r="R134" s="609"/>
      <c r="S134" s="609"/>
      <c r="T134" s="609"/>
      <c r="U134" s="609"/>
      <c r="V134" s="609"/>
      <c r="W134" s="609"/>
      <c r="X134" s="609"/>
      <c r="Y134" s="609"/>
      <c r="Z134" s="609"/>
      <c r="AA134" s="609"/>
      <c r="AB134" s="609"/>
      <c r="AC134" s="609"/>
      <c r="AD134" s="609"/>
      <c r="AE134" s="609"/>
      <c r="AF134" s="609"/>
      <c r="AG134" s="609"/>
      <c r="AH134" s="609"/>
      <c r="AI134" s="609"/>
      <c r="AJ134" s="609"/>
      <c r="AK134" s="609"/>
      <c r="AL134" s="609"/>
      <c r="AM134" s="609"/>
      <c r="AN134" s="609"/>
      <c r="AO134" s="609"/>
      <c r="AP134" s="609"/>
      <c r="AQ134" s="609"/>
      <c r="AR134" s="609"/>
      <c r="AS134" s="609"/>
      <c r="AT134" s="609"/>
      <c r="AU134" s="609"/>
      <c r="AV134" s="609"/>
      <c r="AW134" s="609"/>
      <c r="AX134" s="609"/>
      <c r="AY134" s="609"/>
      <c r="AZ134" s="609"/>
      <c r="BA134" s="609"/>
      <c r="BB134" s="609"/>
      <c r="BC134" s="609"/>
      <c r="BD134" s="609"/>
      <c r="BE134" s="609"/>
      <c r="BF134" s="609"/>
      <c r="BG134" s="609"/>
    </row>
    <row r="135" spans="1:59" s="62" customFormat="1" ht="18" customHeight="1" x14ac:dyDescent="0.2">
      <c r="A135" s="806"/>
      <c r="B135" s="531" t="s">
        <v>807</v>
      </c>
      <c r="C135" s="146" t="s">
        <v>292</v>
      </c>
      <c r="D135" s="137" t="s">
        <v>293</v>
      </c>
      <c r="E135" s="537" t="s">
        <v>294</v>
      </c>
      <c r="F135" s="149">
        <v>0</v>
      </c>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09"/>
      <c r="AY135" s="609"/>
      <c r="AZ135" s="609"/>
      <c r="BA135" s="609"/>
      <c r="BB135" s="609"/>
      <c r="BC135" s="609"/>
      <c r="BD135" s="609"/>
      <c r="BE135" s="609"/>
      <c r="BF135" s="609"/>
      <c r="BG135" s="609"/>
    </row>
    <row r="136" spans="1:59" s="62" customFormat="1" ht="18" customHeight="1" x14ac:dyDescent="0.2">
      <c r="A136" s="806"/>
      <c r="B136" s="531" t="s">
        <v>316</v>
      </c>
      <c r="C136" s="146" t="s">
        <v>835</v>
      </c>
      <c r="D136" s="137" t="s">
        <v>836</v>
      </c>
      <c r="E136" s="138" t="s">
        <v>837</v>
      </c>
      <c r="F136" s="149">
        <v>0</v>
      </c>
      <c r="G136" s="609"/>
      <c r="H136" s="609"/>
      <c r="I136" s="609"/>
      <c r="J136" s="609"/>
      <c r="K136" s="609"/>
      <c r="L136" s="609"/>
      <c r="M136" s="609"/>
      <c r="N136" s="609"/>
      <c r="O136" s="609"/>
      <c r="P136" s="609"/>
      <c r="Q136" s="609"/>
      <c r="R136" s="609"/>
      <c r="S136" s="609"/>
      <c r="T136" s="609"/>
      <c r="U136" s="609"/>
      <c r="V136" s="609"/>
      <c r="W136" s="609"/>
      <c r="X136" s="609"/>
      <c r="Y136" s="609"/>
      <c r="Z136" s="609"/>
      <c r="AA136" s="609"/>
      <c r="AB136" s="609"/>
      <c r="AC136" s="609"/>
      <c r="AD136" s="609"/>
      <c r="AE136" s="609"/>
      <c r="AF136" s="609"/>
      <c r="AG136" s="609"/>
      <c r="AH136" s="609"/>
      <c r="AI136" s="609"/>
      <c r="AJ136" s="609"/>
      <c r="AK136" s="609"/>
      <c r="AL136" s="609"/>
      <c r="AM136" s="609"/>
      <c r="AN136" s="609"/>
      <c r="AO136" s="609"/>
      <c r="AP136" s="609"/>
      <c r="AQ136" s="609"/>
      <c r="AR136" s="609"/>
      <c r="AS136" s="609"/>
      <c r="AT136" s="609"/>
      <c r="AU136" s="609"/>
      <c r="AV136" s="609"/>
      <c r="AW136" s="609"/>
      <c r="AX136" s="609"/>
      <c r="AY136" s="609"/>
      <c r="AZ136" s="609"/>
      <c r="BA136" s="609"/>
      <c r="BB136" s="609"/>
      <c r="BC136" s="609"/>
      <c r="BD136" s="609"/>
      <c r="BE136" s="609"/>
      <c r="BF136" s="609"/>
      <c r="BG136" s="609"/>
    </row>
    <row r="137" spans="1:59" s="62" customFormat="1" ht="18" customHeight="1" x14ac:dyDescent="0.2">
      <c r="A137" s="806"/>
      <c r="B137" s="531" t="s">
        <v>850</v>
      </c>
      <c r="C137" s="146" t="s">
        <v>777</v>
      </c>
      <c r="D137" s="137" t="s">
        <v>778</v>
      </c>
      <c r="E137" s="138" t="s">
        <v>779</v>
      </c>
      <c r="F137" s="149">
        <v>0</v>
      </c>
      <c r="G137" s="609"/>
      <c r="H137" s="609"/>
      <c r="I137" s="609"/>
      <c r="J137" s="609"/>
      <c r="K137" s="609"/>
      <c r="L137" s="609"/>
      <c r="M137" s="609"/>
      <c r="N137" s="609"/>
      <c r="O137" s="609"/>
      <c r="P137" s="609"/>
      <c r="Q137" s="609"/>
      <c r="R137" s="609"/>
      <c r="S137" s="609"/>
      <c r="T137" s="609"/>
      <c r="U137" s="609"/>
      <c r="V137" s="609"/>
      <c r="W137" s="609"/>
      <c r="X137" s="609"/>
      <c r="Y137" s="609"/>
      <c r="Z137" s="609"/>
      <c r="AA137" s="609"/>
      <c r="AB137" s="609"/>
      <c r="AC137" s="609"/>
      <c r="AD137" s="609"/>
      <c r="AE137" s="609"/>
      <c r="AF137" s="609"/>
      <c r="AG137" s="609"/>
      <c r="AH137" s="609"/>
      <c r="AI137" s="609"/>
      <c r="AJ137" s="609"/>
      <c r="AK137" s="609"/>
      <c r="AL137" s="609"/>
      <c r="AM137" s="609"/>
      <c r="AN137" s="609"/>
      <c r="AO137" s="609"/>
      <c r="AP137" s="609"/>
      <c r="AQ137" s="609"/>
      <c r="AR137" s="609"/>
      <c r="AS137" s="609"/>
      <c r="AT137" s="609"/>
      <c r="AU137" s="609"/>
      <c r="AV137" s="609"/>
      <c r="AW137" s="609"/>
      <c r="AX137" s="609"/>
      <c r="AY137" s="609"/>
      <c r="AZ137" s="609"/>
      <c r="BA137" s="609"/>
      <c r="BB137" s="609"/>
      <c r="BC137" s="609"/>
      <c r="BD137" s="609"/>
      <c r="BE137" s="609"/>
      <c r="BF137" s="609"/>
      <c r="BG137" s="609"/>
    </row>
    <row r="138" spans="1:59" s="62" customFormat="1" ht="18" customHeight="1" x14ac:dyDescent="0.2">
      <c r="A138" s="806"/>
      <c r="B138" s="531" t="s">
        <v>851</v>
      </c>
      <c r="C138" s="146" t="s">
        <v>524</v>
      </c>
      <c r="D138" s="137" t="s">
        <v>523</v>
      </c>
      <c r="E138" s="540" t="s">
        <v>1026</v>
      </c>
      <c r="F138" s="149">
        <v>0</v>
      </c>
      <c r="G138" s="609"/>
      <c r="H138" s="609"/>
      <c r="I138" s="609"/>
      <c r="J138" s="609"/>
      <c r="K138" s="609"/>
      <c r="L138" s="609"/>
      <c r="M138" s="609"/>
      <c r="N138" s="609"/>
      <c r="O138" s="609"/>
      <c r="P138" s="609"/>
      <c r="Q138" s="609"/>
      <c r="R138" s="609"/>
      <c r="S138" s="609"/>
      <c r="T138" s="609"/>
      <c r="U138" s="609"/>
      <c r="V138" s="609"/>
      <c r="W138" s="609"/>
      <c r="X138" s="609"/>
      <c r="Y138" s="609"/>
      <c r="Z138" s="609"/>
      <c r="AA138" s="609"/>
      <c r="AB138" s="609"/>
      <c r="AC138" s="609"/>
      <c r="AD138" s="609"/>
      <c r="AE138" s="609"/>
      <c r="AF138" s="609"/>
      <c r="AG138" s="609"/>
      <c r="AH138" s="609"/>
      <c r="AI138" s="609"/>
      <c r="AJ138" s="609"/>
      <c r="AK138" s="609"/>
      <c r="AL138" s="609"/>
      <c r="AM138" s="609"/>
      <c r="AN138" s="609"/>
      <c r="AO138" s="609"/>
      <c r="AP138" s="609"/>
      <c r="AQ138" s="609"/>
      <c r="AR138" s="609"/>
      <c r="AS138" s="609"/>
      <c r="AT138" s="609"/>
      <c r="AU138" s="609"/>
      <c r="AV138" s="609"/>
      <c r="AW138" s="609"/>
      <c r="AX138" s="609"/>
      <c r="AY138" s="609"/>
      <c r="AZ138" s="609"/>
      <c r="BA138" s="609"/>
      <c r="BB138" s="609"/>
      <c r="BC138" s="609"/>
      <c r="BD138" s="609"/>
      <c r="BE138" s="609"/>
      <c r="BF138" s="609"/>
      <c r="BG138" s="609"/>
    </row>
    <row r="139" spans="1:59" s="62" customFormat="1" ht="18" customHeight="1" thickBot="1" x14ac:dyDescent="0.25">
      <c r="A139" s="806"/>
      <c r="B139" s="796"/>
      <c r="C139" s="797"/>
      <c r="D139" s="797"/>
      <c r="E139" s="798"/>
      <c r="F139" s="545">
        <f>SUM(F135:F138)</f>
        <v>0</v>
      </c>
      <c r="G139" s="609"/>
      <c r="H139" s="609"/>
      <c r="I139" s="609"/>
      <c r="J139" s="609"/>
      <c r="K139" s="609"/>
      <c r="L139" s="609"/>
      <c r="M139" s="609"/>
      <c r="N139" s="609"/>
      <c r="O139" s="609"/>
      <c r="P139" s="609"/>
      <c r="Q139" s="609"/>
      <c r="R139" s="609"/>
      <c r="S139" s="609"/>
      <c r="T139" s="609"/>
      <c r="U139" s="609"/>
      <c r="V139" s="609"/>
      <c r="W139" s="609"/>
      <c r="X139" s="609"/>
      <c r="Y139" s="609"/>
      <c r="Z139" s="609"/>
      <c r="AA139" s="609"/>
      <c r="AB139" s="609"/>
      <c r="AC139" s="609"/>
      <c r="AD139" s="609"/>
      <c r="AE139" s="609"/>
      <c r="AF139" s="609"/>
      <c r="AG139" s="609"/>
      <c r="AH139" s="609"/>
      <c r="AI139" s="609"/>
      <c r="AJ139" s="609"/>
      <c r="AK139" s="609"/>
      <c r="AL139" s="609"/>
      <c r="AM139" s="609"/>
      <c r="AN139" s="609"/>
      <c r="AO139" s="609"/>
      <c r="AP139" s="609"/>
      <c r="AQ139" s="609"/>
      <c r="AR139" s="609"/>
      <c r="AS139" s="609"/>
      <c r="AT139" s="609"/>
      <c r="AU139" s="609"/>
      <c r="AV139" s="609"/>
      <c r="AW139" s="609"/>
      <c r="AX139" s="609"/>
      <c r="AY139" s="609"/>
      <c r="AZ139" s="609"/>
      <c r="BA139" s="609"/>
      <c r="BB139" s="609"/>
      <c r="BC139" s="609"/>
      <c r="BD139" s="609"/>
      <c r="BE139" s="609"/>
      <c r="BF139" s="609"/>
      <c r="BG139" s="609"/>
    </row>
    <row r="140" spans="1:59" s="160" customFormat="1" ht="21" customHeight="1" thickBot="1" x14ac:dyDescent="0.25">
      <c r="A140" s="819"/>
      <c r="B140" s="799"/>
      <c r="C140" s="800"/>
      <c r="D140" s="800"/>
      <c r="E140" s="614" t="s">
        <v>146</v>
      </c>
      <c r="F140" s="179">
        <f>F138/12</f>
        <v>0</v>
      </c>
      <c r="G140" s="610"/>
      <c r="H140" s="610"/>
      <c r="I140" s="610"/>
      <c r="J140" s="610"/>
      <c r="K140" s="610"/>
      <c r="L140" s="610"/>
      <c r="M140" s="610"/>
      <c r="N140" s="610"/>
      <c r="O140" s="610"/>
      <c r="P140" s="610"/>
      <c r="Q140" s="610"/>
      <c r="R140" s="610"/>
      <c r="S140" s="610"/>
      <c r="T140" s="610"/>
      <c r="U140" s="610"/>
      <c r="V140" s="610"/>
      <c r="W140" s="610"/>
      <c r="X140" s="610"/>
      <c r="Y140" s="610"/>
      <c r="Z140" s="610"/>
      <c r="AA140" s="610"/>
      <c r="AB140" s="610"/>
      <c r="AC140" s="610"/>
      <c r="AD140" s="610"/>
      <c r="AE140" s="610"/>
      <c r="AF140" s="610"/>
      <c r="AG140" s="610"/>
      <c r="AH140" s="610"/>
      <c r="AI140" s="610"/>
      <c r="AJ140" s="610"/>
      <c r="AK140" s="610"/>
      <c r="AL140" s="610"/>
      <c r="AM140" s="610"/>
      <c r="AN140" s="610"/>
      <c r="AO140" s="610"/>
      <c r="AP140" s="610"/>
      <c r="AQ140" s="610"/>
      <c r="AR140" s="610"/>
      <c r="AS140" s="610"/>
      <c r="AT140" s="610"/>
      <c r="AU140" s="610"/>
      <c r="AV140" s="610"/>
      <c r="AW140" s="610"/>
      <c r="AX140" s="610"/>
      <c r="AY140" s="610"/>
      <c r="AZ140" s="610"/>
      <c r="BA140" s="610"/>
      <c r="BB140" s="610"/>
      <c r="BC140" s="610"/>
      <c r="BD140" s="610"/>
      <c r="BE140" s="610"/>
      <c r="BF140" s="610"/>
      <c r="BG140" s="610"/>
    </row>
    <row r="141" spans="1:59" hidden="1" x14ac:dyDescent="0.2"/>
    <row r="142" spans="1:59" s="154" customFormat="1" x14ac:dyDescent="0.2">
      <c r="A142" s="153"/>
      <c r="F142" s="156"/>
    </row>
    <row r="143" spans="1:59" s="155" customFormat="1" x14ac:dyDescent="0.2">
      <c r="A143" s="157"/>
      <c r="F143" s="158"/>
    </row>
    <row r="144" spans="1:59" s="155" customFormat="1" x14ac:dyDescent="0.2">
      <c r="A144" s="157"/>
      <c r="F144" s="158"/>
    </row>
    <row r="145" spans="1:6" s="155" customFormat="1" x14ac:dyDescent="0.2">
      <c r="A145" s="157"/>
      <c r="F145" s="158"/>
    </row>
    <row r="146" spans="1:6" s="155" customFormat="1" x14ac:dyDescent="0.2">
      <c r="A146" s="157"/>
      <c r="F146" s="158"/>
    </row>
    <row r="147" spans="1:6" s="155" customFormat="1" x14ac:dyDescent="0.2">
      <c r="A147" s="157"/>
      <c r="F147" s="158"/>
    </row>
    <row r="148" spans="1:6" s="155" customFormat="1" x14ac:dyDescent="0.2">
      <c r="A148" s="157"/>
      <c r="F148" s="158"/>
    </row>
    <row r="149" spans="1:6" s="155" customFormat="1" x14ac:dyDescent="0.2">
      <c r="A149" s="157"/>
      <c r="F149" s="158"/>
    </row>
    <row r="150" spans="1:6" s="155" customFormat="1" x14ac:dyDescent="0.2">
      <c r="A150" s="157"/>
      <c r="F150" s="158"/>
    </row>
    <row r="151" spans="1:6" s="155" customFormat="1" x14ac:dyDescent="0.2">
      <c r="A151" s="157"/>
      <c r="F151" s="158"/>
    </row>
    <row r="152" spans="1:6" s="155" customFormat="1" x14ac:dyDescent="0.2">
      <c r="A152" s="157"/>
      <c r="F152" s="158"/>
    </row>
    <row r="153" spans="1:6" s="155" customFormat="1" x14ac:dyDescent="0.2">
      <c r="A153" s="157"/>
      <c r="F153" s="158"/>
    </row>
    <row r="154" spans="1:6" s="155" customFormat="1" x14ac:dyDescent="0.2">
      <c r="A154" s="157"/>
      <c r="F154" s="158"/>
    </row>
    <row r="155" spans="1:6" s="155" customFormat="1" x14ac:dyDescent="0.2">
      <c r="A155" s="157"/>
      <c r="F155" s="158"/>
    </row>
    <row r="156" spans="1:6" s="155" customFormat="1" x14ac:dyDescent="0.2">
      <c r="A156" s="157"/>
      <c r="F156" s="158"/>
    </row>
    <row r="157" spans="1:6" s="155" customFormat="1" x14ac:dyDescent="0.2">
      <c r="A157" s="157"/>
      <c r="F157" s="158"/>
    </row>
    <row r="158" spans="1:6" s="155" customFormat="1" x14ac:dyDescent="0.2">
      <c r="A158" s="157"/>
      <c r="F158" s="158"/>
    </row>
    <row r="159" spans="1:6" s="155" customFormat="1" x14ac:dyDescent="0.2">
      <c r="A159" s="157"/>
      <c r="F159" s="158"/>
    </row>
    <row r="160" spans="1:6" s="155" customFormat="1" x14ac:dyDescent="0.2">
      <c r="A160" s="157"/>
      <c r="F160" s="158"/>
    </row>
    <row r="161" spans="1:6" s="155" customFormat="1" x14ac:dyDescent="0.2">
      <c r="A161" s="157"/>
      <c r="F161" s="158"/>
    </row>
    <row r="162" spans="1:6" s="155" customFormat="1" x14ac:dyDescent="0.2">
      <c r="A162" s="157"/>
      <c r="F162" s="158"/>
    </row>
    <row r="163" spans="1:6" s="155" customFormat="1" x14ac:dyDescent="0.2">
      <c r="A163" s="157"/>
      <c r="F163" s="158"/>
    </row>
    <row r="164" spans="1:6" s="155" customFormat="1" x14ac:dyDescent="0.2">
      <c r="A164" s="157"/>
      <c r="F164" s="158"/>
    </row>
    <row r="165" spans="1:6" s="155" customFormat="1" x14ac:dyDescent="0.2">
      <c r="A165" s="157"/>
      <c r="F165" s="158"/>
    </row>
    <row r="166" spans="1:6" s="155" customFormat="1" x14ac:dyDescent="0.2">
      <c r="A166" s="157"/>
      <c r="F166" s="158"/>
    </row>
    <row r="167" spans="1:6" s="155" customFormat="1" x14ac:dyDescent="0.2">
      <c r="A167" s="157"/>
      <c r="F167" s="158"/>
    </row>
    <row r="168" spans="1:6" s="155" customFormat="1" x14ac:dyDescent="0.2">
      <c r="A168" s="157"/>
      <c r="F168" s="158"/>
    </row>
    <row r="169" spans="1:6" s="155" customFormat="1" x14ac:dyDescent="0.2">
      <c r="A169" s="157"/>
      <c r="F169" s="158"/>
    </row>
    <row r="170" spans="1:6" s="155" customFormat="1" x14ac:dyDescent="0.2">
      <c r="A170" s="157"/>
      <c r="F170" s="158"/>
    </row>
    <row r="171" spans="1:6" s="155" customFormat="1" x14ac:dyDescent="0.2">
      <c r="A171" s="157"/>
      <c r="F171" s="158"/>
    </row>
    <row r="172" spans="1:6" s="155" customFormat="1" x14ac:dyDescent="0.2">
      <c r="A172" s="157"/>
      <c r="F172" s="158"/>
    </row>
    <row r="173" spans="1:6" s="155" customFormat="1" x14ac:dyDescent="0.2">
      <c r="A173" s="157"/>
      <c r="F173" s="158"/>
    </row>
    <row r="174" spans="1:6" s="155" customFormat="1" x14ac:dyDescent="0.2">
      <c r="A174" s="157"/>
      <c r="F174" s="158"/>
    </row>
    <row r="175" spans="1:6" s="155" customFormat="1" x14ac:dyDescent="0.2">
      <c r="A175" s="157"/>
      <c r="F175" s="158"/>
    </row>
    <row r="176" spans="1:6" s="155" customFormat="1" x14ac:dyDescent="0.2">
      <c r="A176" s="157"/>
      <c r="F176" s="158"/>
    </row>
    <row r="177" spans="1:6" s="155" customFormat="1" x14ac:dyDescent="0.2">
      <c r="A177" s="157"/>
      <c r="F177" s="158"/>
    </row>
    <row r="178" spans="1:6" s="155" customFormat="1" x14ac:dyDescent="0.2">
      <c r="A178" s="157"/>
      <c r="F178" s="158"/>
    </row>
    <row r="179" spans="1:6" s="155" customFormat="1" x14ac:dyDescent="0.2">
      <c r="A179" s="157"/>
      <c r="F179" s="158"/>
    </row>
    <row r="180" spans="1:6" s="155" customFormat="1" x14ac:dyDescent="0.2">
      <c r="A180" s="157"/>
      <c r="F180" s="158"/>
    </row>
    <row r="181" spans="1:6" s="155" customFormat="1" x14ac:dyDescent="0.2">
      <c r="A181" s="157"/>
      <c r="F181" s="158"/>
    </row>
    <row r="182" spans="1:6" s="155" customFormat="1" x14ac:dyDescent="0.2">
      <c r="A182" s="157"/>
      <c r="F182" s="158"/>
    </row>
    <row r="183" spans="1:6" s="155" customFormat="1" x14ac:dyDescent="0.2">
      <c r="A183" s="157"/>
      <c r="F183" s="158"/>
    </row>
    <row r="184" spans="1:6" s="155" customFormat="1" x14ac:dyDescent="0.2">
      <c r="A184" s="157"/>
      <c r="F184" s="158"/>
    </row>
    <row r="185" spans="1:6" s="155" customFormat="1" x14ac:dyDescent="0.2">
      <c r="A185" s="157"/>
      <c r="F185" s="158"/>
    </row>
    <row r="186" spans="1:6" s="155" customFormat="1" x14ac:dyDescent="0.2">
      <c r="A186" s="157"/>
      <c r="F186" s="158"/>
    </row>
    <row r="187" spans="1:6" s="155" customFormat="1" x14ac:dyDescent="0.2">
      <c r="A187" s="157"/>
      <c r="F187" s="158"/>
    </row>
    <row r="188" spans="1:6" s="155" customFormat="1" x14ac:dyDescent="0.2">
      <c r="A188" s="157"/>
      <c r="F188" s="158"/>
    </row>
    <row r="189" spans="1:6" s="155" customFormat="1" x14ac:dyDescent="0.2">
      <c r="A189" s="157"/>
      <c r="F189" s="158"/>
    </row>
    <row r="190" spans="1:6" s="155" customFormat="1" x14ac:dyDescent="0.2">
      <c r="A190" s="157"/>
      <c r="F190" s="158"/>
    </row>
    <row r="191" spans="1:6" s="155" customFormat="1" x14ac:dyDescent="0.2">
      <c r="A191" s="157"/>
      <c r="F191" s="158"/>
    </row>
    <row r="192" spans="1:6" s="155" customFormat="1" x14ac:dyDescent="0.2">
      <c r="A192" s="157"/>
      <c r="F192" s="158"/>
    </row>
    <row r="193" spans="1:6" s="155" customFormat="1" x14ac:dyDescent="0.2">
      <c r="A193" s="157"/>
      <c r="F193" s="158"/>
    </row>
    <row r="194" spans="1:6" s="155" customFormat="1" x14ac:dyDescent="0.2">
      <c r="A194" s="157"/>
      <c r="F194" s="158"/>
    </row>
    <row r="195" spans="1:6" s="155" customFormat="1" x14ac:dyDescent="0.2">
      <c r="A195" s="157"/>
      <c r="F195" s="158"/>
    </row>
    <row r="196" spans="1:6" s="155" customFormat="1" x14ac:dyDescent="0.2">
      <c r="A196" s="157"/>
      <c r="F196" s="158"/>
    </row>
    <row r="197" spans="1:6" s="155" customFormat="1" x14ac:dyDescent="0.2">
      <c r="A197" s="157"/>
      <c r="F197" s="158"/>
    </row>
    <row r="198" spans="1:6" s="155" customFormat="1" x14ac:dyDescent="0.2">
      <c r="A198" s="157"/>
      <c r="F198" s="158"/>
    </row>
    <row r="199" spans="1:6" s="155" customFormat="1" x14ac:dyDescent="0.2">
      <c r="A199" s="157"/>
      <c r="F199" s="158"/>
    </row>
    <row r="200" spans="1:6" s="155" customFormat="1" x14ac:dyDescent="0.2">
      <c r="A200" s="157"/>
      <c r="F200" s="158"/>
    </row>
    <row r="201" spans="1:6" s="155" customFormat="1" x14ac:dyDescent="0.2">
      <c r="A201" s="157"/>
      <c r="F201" s="158"/>
    </row>
    <row r="202" spans="1:6" s="155" customFormat="1" x14ac:dyDescent="0.2">
      <c r="A202" s="157"/>
      <c r="F202" s="158"/>
    </row>
    <row r="203" spans="1:6" s="155" customFormat="1" x14ac:dyDescent="0.2">
      <c r="A203" s="157"/>
      <c r="F203" s="158"/>
    </row>
    <row r="204" spans="1:6" s="155" customFormat="1" x14ac:dyDescent="0.2">
      <c r="A204" s="157"/>
      <c r="F204" s="158"/>
    </row>
    <row r="205" spans="1:6" s="155" customFormat="1" x14ac:dyDescent="0.2">
      <c r="A205" s="157"/>
      <c r="F205" s="158"/>
    </row>
    <row r="206" spans="1:6" s="155" customFormat="1" x14ac:dyDescent="0.2">
      <c r="A206" s="157"/>
      <c r="F206" s="158"/>
    </row>
    <row r="207" spans="1:6" s="155" customFormat="1" x14ac:dyDescent="0.2">
      <c r="A207" s="157"/>
      <c r="F207" s="158"/>
    </row>
    <row r="208" spans="1:6" s="155" customFormat="1" x14ac:dyDescent="0.2">
      <c r="A208" s="157"/>
      <c r="F208" s="158"/>
    </row>
    <row r="209" spans="1:6" s="155" customFormat="1" x14ac:dyDescent="0.2">
      <c r="A209" s="157"/>
      <c r="F209" s="158"/>
    </row>
    <row r="210" spans="1:6" s="155" customFormat="1" x14ac:dyDescent="0.2">
      <c r="A210" s="157"/>
      <c r="F210" s="158"/>
    </row>
    <row r="211" spans="1:6" s="155" customFormat="1" x14ac:dyDescent="0.2">
      <c r="A211" s="157"/>
      <c r="F211" s="158"/>
    </row>
    <row r="212" spans="1:6" s="155" customFormat="1" x14ac:dyDescent="0.2">
      <c r="A212" s="157"/>
      <c r="F212" s="158"/>
    </row>
    <row r="213" spans="1:6" s="155" customFormat="1" x14ac:dyDescent="0.2">
      <c r="A213" s="157"/>
      <c r="F213" s="158"/>
    </row>
    <row r="214" spans="1:6" s="155" customFormat="1" x14ac:dyDescent="0.2">
      <c r="A214" s="157"/>
      <c r="F214" s="158"/>
    </row>
    <row r="215" spans="1:6" s="155" customFormat="1" x14ac:dyDescent="0.2">
      <c r="A215" s="157"/>
      <c r="F215" s="158"/>
    </row>
    <row r="216" spans="1:6" s="155" customFormat="1" x14ac:dyDescent="0.2">
      <c r="A216" s="157"/>
      <c r="F216" s="158"/>
    </row>
    <row r="217" spans="1:6" s="155" customFormat="1" x14ac:dyDescent="0.2">
      <c r="A217" s="157"/>
      <c r="F217" s="158"/>
    </row>
    <row r="218" spans="1:6" s="155" customFormat="1" x14ac:dyDescent="0.2">
      <c r="A218" s="157"/>
      <c r="F218" s="158"/>
    </row>
    <row r="219" spans="1:6" s="155" customFormat="1" x14ac:dyDescent="0.2">
      <c r="A219" s="157"/>
      <c r="F219" s="158"/>
    </row>
    <row r="220" spans="1:6" s="155" customFormat="1" x14ac:dyDescent="0.2">
      <c r="A220" s="157"/>
      <c r="F220" s="158"/>
    </row>
    <row r="221" spans="1:6" s="155" customFormat="1" x14ac:dyDescent="0.2">
      <c r="A221" s="157"/>
      <c r="F221" s="158"/>
    </row>
    <row r="222" spans="1:6" s="155" customFormat="1" x14ac:dyDescent="0.2">
      <c r="A222" s="157"/>
      <c r="F222" s="158"/>
    </row>
    <row r="223" spans="1:6" s="155" customFormat="1" x14ac:dyDescent="0.2">
      <c r="A223" s="157"/>
      <c r="F223" s="158"/>
    </row>
    <row r="224" spans="1:6" s="155" customFormat="1" x14ac:dyDescent="0.2">
      <c r="A224" s="157"/>
      <c r="F224" s="158"/>
    </row>
    <row r="225" spans="1:6" s="155" customFormat="1" x14ac:dyDescent="0.2">
      <c r="A225" s="157"/>
      <c r="F225" s="158"/>
    </row>
    <row r="226" spans="1:6" s="155" customFormat="1" x14ac:dyDescent="0.2">
      <c r="A226" s="157"/>
      <c r="F226" s="158"/>
    </row>
    <row r="227" spans="1:6" s="155" customFormat="1" x14ac:dyDescent="0.2">
      <c r="A227" s="157"/>
      <c r="F227" s="158"/>
    </row>
    <row r="228" spans="1:6" s="155" customFormat="1" x14ac:dyDescent="0.2">
      <c r="A228" s="157"/>
      <c r="F228" s="158"/>
    </row>
    <row r="229" spans="1:6" s="155" customFormat="1" x14ac:dyDescent="0.2">
      <c r="A229" s="157"/>
      <c r="F229" s="158"/>
    </row>
    <row r="230" spans="1:6" s="155" customFormat="1" x14ac:dyDescent="0.2">
      <c r="A230" s="157"/>
      <c r="F230" s="158"/>
    </row>
    <row r="231" spans="1:6" s="155" customFormat="1" x14ac:dyDescent="0.2">
      <c r="A231" s="157"/>
      <c r="F231" s="158"/>
    </row>
    <row r="232" spans="1:6" s="155" customFormat="1" x14ac:dyDescent="0.2">
      <c r="A232" s="157"/>
      <c r="F232" s="158"/>
    </row>
    <row r="233" spans="1:6" s="155" customFormat="1" x14ac:dyDescent="0.2">
      <c r="A233" s="157"/>
      <c r="F233" s="158"/>
    </row>
    <row r="234" spans="1:6" s="155" customFormat="1" x14ac:dyDescent="0.2">
      <c r="A234" s="157"/>
      <c r="F234" s="158"/>
    </row>
    <row r="235" spans="1:6" s="155" customFormat="1" x14ac:dyDescent="0.2">
      <c r="A235" s="157"/>
      <c r="F235" s="158"/>
    </row>
    <row r="236" spans="1:6" s="155" customFormat="1" x14ac:dyDescent="0.2">
      <c r="A236" s="157"/>
      <c r="F236" s="158"/>
    </row>
    <row r="237" spans="1:6" s="155" customFormat="1" x14ac:dyDescent="0.2">
      <c r="A237" s="157"/>
      <c r="F237" s="158"/>
    </row>
    <row r="238" spans="1:6" s="155" customFormat="1" x14ac:dyDescent="0.2">
      <c r="A238" s="157"/>
      <c r="F238" s="158"/>
    </row>
    <row r="239" spans="1:6" s="155" customFormat="1" x14ac:dyDescent="0.2">
      <c r="A239" s="157"/>
      <c r="F239" s="158"/>
    </row>
    <row r="240" spans="1:6" s="155" customFormat="1" x14ac:dyDescent="0.2">
      <c r="A240" s="157"/>
      <c r="F240" s="158"/>
    </row>
    <row r="241" spans="1:6" s="155" customFormat="1" x14ac:dyDescent="0.2">
      <c r="A241" s="157"/>
      <c r="F241" s="158"/>
    </row>
    <row r="242" spans="1:6" s="155" customFormat="1" x14ac:dyDescent="0.2">
      <c r="A242" s="157"/>
      <c r="F242" s="158"/>
    </row>
    <row r="243" spans="1:6" s="155" customFormat="1" x14ac:dyDescent="0.2">
      <c r="A243" s="157"/>
      <c r="F243" s="158"/>
    </row>
    <row r="244" spans="1:6" s="155" customFormat="1" x14ac:dyDescent="0.2">
      <c r="A244" s="157"/>
      <c r="F244" s="158"/>
    </row>
    <row r="245" spans="1:6" s="155" customFormat="1" x14ac:dyDescent="0.2">
      <c r="A245" s="157"/>
      <c r="F245" s="158"/>
    </row>
    <row r="246" spans="1:6" s="155" customFormat="1" x14ac:dyDescent="0.2">
      <c r="A246" s="157"/>
      <c r="F246" s="158"/>
    </row>
    <row r="247" spans="1:6" s="155" customFormat="1" x14ac:dyDescent="0.2">
      <c r="A247" s="157"/>
      <c r="F247" s="158"/>
    </row>
    <row r="248" spans="1:6" s="155" customFormat="1" x14ac:dyDescent="0.2">
      <c r="A248" s="157"/>
      <c r="F248" s="158"/>
    </row>
    <row r="249" spans="1:6" s="155" customFormat="1" x14ac:dyDescent="0.2">
      <c r="A249" s="157"/>
      <c r="F249" s="158"/>
    </row>
    <row r="250" spans="1:6" s="155" customFormat="1" x14ac:dyDescent="0.2">
      <c r="A250" s="157"/>
      <c r="F250" s="158"/>
    </row>
    <row r="251" spans="1:6" s="155" customFormat="1" x14ac:dyDescent="0.2">
      <c r="A251" s="157"/>
      <c r="F251" s="158"/>
    </row>
    <row r="252" spans="1:6" s="155" customFormat="1" x14ac:dyDescent="0.2">
      <c r="A252" s="157"/>
      <c r="F252" s="158"/>
    </row>
    <row r="253" spans="1:6" s="155" customFormat="1" x14ac:dyDescent="0.2">
      <c r="A253" s="157"/>
      <c r="F253" s="158"/>
    </row>
    <row r="254" spans="1:6" s="155" customFormat="1" x14ac:dyDescent="0.2">
      <c r="A254" s="157"/>
      <c r="F254" s="158"/>
    </row>
    <row r="255" spans="1:6" s="155" customFormat="1" x14ac:dyDescent="0.2">
      <c r="A255" s="157"/>
      <c r="F255" s="158"/>
    </row>
    <row r="256" spans="1:6" s="155" customFormat="1" x14ac:dyDescent="0.2">
      <c r="A256" s="157"/>
      <c r="F256" s="158"/>
    </row>
    <row r="257" spans="1:6" s="155" customFormat="1" x14ac:dyDescent="0.2">
      <c r="A257" s="157"/>
      <c r="F257" s="158"/>
    </row>
    <row r="258" spans="1:6" s="155" customFormat="1" x14ac:dyDescent="0.2">
      <c r="A258" s="157"/>
      <c r="F258" s="158"/>
    </row>
    <row r="259" spans="1:6" s="155" customFormat="1" x14ac:dyDescent="0.2">
      <c r="A259" s="157"/>
      <c r="F259" s="158"/>
    </row>
    <row r="260" spans="1:6" s="155" customFormat="1" x14ac:dyDescent="0.2">
      <c r="A260" s="157"/>
      <c r="F260" s="158"/>
    </row>
    <row r="261" spans="1:6" s="155" customFormat="1" x14ac:dyDescent="0.2">
      <c r="A261" s="157"/>
      <c r="F261" s="158"/>
    </row>
    <row r="262" spans="1:6" s="155" customFormat="1" x14ac:dyDescent="0.2">
      <c r="A262" s="157"/>
      <c r="F262" s="158"/>
    </row>
    <row r="263" spans="1:6" s="155" customFormat="1" x14ac:dyDescent="0.2">
      <c r="A263" s="157"/>
      <c r="F263" s="158"/>
    </row>
    <row r="264" spans="1:6" s="155" customFormat="1" x14ac:dyDescent="0.2">
      <c r="A264" s="157"/>
      <c r="F264" s="158"/>
    </row>
    <row r="265" spans="1:6" s="155" customFormat="1" x14ac:dyDescent="0.2">
      <c r="A265" s="157"/>
      <c r="F265" s="158"/>
    </row>
    <row r="266" spans="1:6" s="155" customFormat="1" x14ac:dyDescent="0.2">
      <c r="A266" s="157"/>
      <c r="F266" s="158"/>
    </row>
    <row r="267" spans="1:6" s="155" customFormat="1" x14ac:dyDescent="0.2">
      <c r="A267" s="157"/>
      <c r="F267" s="158"/>
    </row>
    <row r="268" spans="1:6" s="155" customFormat="1" x14ac:dyDescent="0.2">
      <c r="A268" s="157"/>
      <c r="F268" s="158"/>
    </row>
    <row r="269" spans="1:6" s="155" customFormat="1" x14ac:dyDescent="0.2">
      <c r="A269" s="157"/>
      <c r="F269" s="158"/>
    </row>
    <row r="270" spans="1:6" s="155" customFormat="1" x14ac:dyDescent="0.2">
      <c r="A270" s="157"/>
      <c r="F270" s="158"/>
    </row>
    <row r="271" spans="1:6" s="155" customFormat="1" x14ac:dyDescent="0.2">
      <c r="A271" s="157"/>
      <c r="F271" s="158"/>
    </row>
    <row r="272" spans="1:6" s="155" customFormat="1" x14ac:dyDescent="0.2">
      <c r="A272" s="157"/>
      <c r="F272" s="158"/>
    </row>
    <row r="273" spans="1:6" s="155" customFormat="1" x14ac:dyDescent="0.2">
      <c r="A273" s="157"/>
      <c r="F273" s="158"/>
    </row>
    <row r="274" spans="1:6" s="155" customFormat="1" x14ac:dyDescent="0.2">
      <c r="A274" s="157"/>
      <c r="F274" s="158"/>
    </row>
    <row r="275" spans="1:6" s="155" customFormat="1" x14ac:dyDescent="0.2">
      <c r="A275" s="157"/>
      <c r="F275" s="158"/>
    </row>
    <row r="276" spans="1:6" s="155" customFormat="1" x14ac:dyDescent="0.2">
      <c r="A276" s="157"/>
      <c r="F276" s="158"/>
    </row>
    <row r="277" spans="1:6" s="155" customFormat="1" x14ac:dyDescent="0.2">
      <c r="A277" s="157"/>
      <c r="F277" s="158"/>
    </row>
    <row r="278" spans="1:6" s="155" customFormat="1" x14ac:dyDescent="0.2">
      <c r="A278" s="157"/>
      <c r="F278" s="158"/>
    </row>
    <row r="279" spans="1:6" s="155" customFormat="1" x14ac:dyDescent="0.2">
      <c r="A279" s="157"/>
      <c r="F279" s="158"/>
    </row>
    <row r="280" spans="1:6" s="155" customFormat="1" x14ac:dyDescent="0.2">
      <c r="A280" s="157"/>
      <c r="F280" s="158"/>
    </row>
    <row r="281" spans="1:6" s="155" customFormat="1" x14ac:dyDescent="0.2">
      <c r="A281" s="157"/>
      <c r="F281" s="158"/>
    </row>
    <row r="282" spans="1:6" s="155" customFormat="1" x14ac:dyDescent="0.2">
      <c r="A282" s="157"/>
      <c r="F282" s="158"/>
    </row>
    <row r="283" spans="1:6" s="155" customFormat="1" x14ac:dyDescent="0.2">
      <c r="A283" s="157"/>
      <c r="F283" s="158"/>
    </row>
    <row r="284" spans="1:6" s="155" customFormat="1" x14ac:dyDescent="0.2">
      <c r="A284" s="157"/>
      <c r="F284" s="158"/>
    </row>
    <row r="285" spans="1:6" s="155" customFormat="1" x14ac:dyDescent="0.2">
      <c r="A285" s="157"/>
      <c r="F285" s="158"/>
    </row>
    <row r="286" spans="1:6" s="155" customFormat="1" x14ac:dyDescent="0.2">
      <c r="A286" s="157"/>
      <c r="F286" s="158"/>
    </row>
    <row r="287" spans="1:6" s="155" customFormat="1" x14ac:dyDescent="0.2">
      <c r="A287" s="157"/>
      <c r="F287" s="158"/>
    </row>
    <row r="288" spans="1:6" s="155" customFormat="1" x14ac:dyDescent="0.2">
      <c r="A288" s="157"/>
      <c r="F288" s="158"/>
    </row>
    <row r="289" spans="1:6" s="155" customFormat="1" x14ac:dyDescent="0.2">
      <c r="A289" s="157"/>
      <c r="F289" s="158"/>
    </row>
    <row r="290" spans="1:6" s="155" customFormat="1" x14ac:dyDescent="0.2">
      <c r="A290" s="157"/>
      <c r="F290" s="158"/>
    </row>
    <row r="291" spans="1:6" s="155" customFormat="1" x14ac:dyDescent="0.2">
      <c r="A291" s="157"/>
      <c r="F291" s="158"/>
    </row>
    <row r="292" spans="1:6" s="155" customFormat="1" x14ac:dyDescent="0.2">
      <c r="A292" s="157"/>
      <c r="F292" s="158"/>
    </row>
    <row r="293" spans="1:6" s="155" customFormat="1" x14ac:dyDescent="0.2">
      <c r="A293" s="157"/>
      <c r="F293" s="158"/>
    </row>
    <row r="294" spans="1:6" s="155" customFormat="1" x14ac:dyDescent="0.2">
      <c r="A294" s="157"/>
      <c r="F294" s="158"/>
    </row>
    <row r="295" spans="1:6" s="155" customFormat="1" x14ac:dyDescent="0.2">
      <c r="A295" s="157"/>
      <c r="F295" s="158"/>
    </row>
    <row r="296" spans="1:6" s="155" customFormat="1" x14ac:dyDescent="0.2">
      <c r="A296" s="157"/>
      <c r="F296" s="158"/>
    </row>
    <row r="297" spans="1:6" s="155" customFormat="1" x14ac:dyDescent="0.2">
      <c r="A297" s="157"/>
      <c r="F297" s="158"/>
    </row>
    <row r="298" spans="1:6" s="155" customFormat="1" x14ac:dyDescent="0.2">
      <c r="A298" s="157"/>
      <c r="F298" s="158"/>
    </row>
    <row r="299" spans="1:6" s="155" customFormat="1" x14ac:dyDescent="0.2">
      <c r="A299" s="157"/>
      <c r="F299" s="158"/>
    </row>
    <row r="300" spans="1:6" s="155" customFormat="1" x14ac:dyDescent="0.2">
      <c r="A300" s="157"/>
      <c r="F300" s="158"/>
    </row>
    <row r="301" spans="1:6" s="155" customFormat="1" x14ac:dyDescent="0.2">
      <c r="A301" s="157"/>
      <c r="F301" s="158"/>
    </row>
    <row r="302" spans="1:6" s="155" customFormat="1" x14ac:dyDescent="0.2">
      <c r="A302" s="157"/>
      <c r="F302" s="158"/>
    </row>
    <row r="303" spans="1:6" s="155" customFormat="1" x14ac:dyDescent="0.2">
      <c r="A303" s="157"/>
      <c r="F303" s="158"/>
    </row>
    <row r="304" spans="1:6" s="155" customFormat="1" x14ac:dyDescent="0.2">
      <c r="A304" s="157"/>
      <c r="F304" s="158"/>
    </row>
    <row r="305" spans="1:6" s="155" customFormat="1" x14ac:dyDescent="0.2">
      <c r="A305" s="157"/>
      <c r="F305" s="158"/>
    </row>
    <row r="306" spans="1:6" s="155" customFormat="1" x14ac:dyDescent="0.2">
      <c r="A306" s="157"/>
      <c r="F306" s="158"/>
    </row>
    <row r="307" spans="1:6" s="155" customFormat="1" x14ac:dyDescent="0.2">
      <c r="A307" s="157"/>
      <c r="F307" s="158"/>
    </row>
    <row r="308" spans="1:6" s="155" customFormat="1" x14ac:dyDescent="0.2">
      <c r="A308" s="157"/>
      <c r="F308" s="158"/>
    </row>
    <row r="309" spans="1:6" s="155" customFormat="1" x14ac:dyDescent="0.2">
      <c r="A309" s="157"/>
      <c r="F309" s="158"/>
    </row>
    <row r="310" spans="1:6" s="155" customFormat="1" x14ac:dyDescent="0.2">
      <c r="A310" s="157"/>
      <c r="F310" s="158"/>
    </row>
    <row r="311" spans="1:6" s="155" customFormat="1" x14ac:dyDescent="0.2">
      <c r="A311" s="157"/>
      <c r="F311" s="158"/>
    </row>
    <row r="312" spans="1:6" s="155" customFormat="1" x14ac:dyDescent="0.2">
      <c r="A312" s="157"/>
      <c r="F312" s="158"/>
    </row>
    <row r="313" spans="1:6" s="155" customFormat="1" x14ac:dyDescent="0.2">
      <c r="A313" s="157"/>
      <c r="F313" s="158"/>
    </row>
    <row r="314" spans="1:6" s="155" customFormat="1" x14ac:dyDescent="0.2">
      <c r="A314" s="157"/>
      <c r="F314" s="158"/>
    </row>
    <row r="315" spans="1:6" s="155" customFormat="1" x14ac:dyDescent="0.2">
      <c r="A315" s="157"/>
      <c r="F315" s="158"/>
    </row>
    <row r="316" spans="1:6" s="155" customFormat="1" x14ac:dyDescent="0.2">
      <c r="A316" s="157"/>
      <c r="F316" s="158"/>
    </row>
    <row r="317" spans="1:6" s="155" customFormat="1" x14ac:dyDescent="0.2">
      <c r="A317" s="157"/>
      <c r="F317" s="158"/>
    </row>
    <row r="318" spans="1:6" s="155" customFormat="1" x14ac:dyDescent="0.2">
      <c r="A318" s="157"/>
      <c r="F318" s="158"/>
    </row>
    <row r="319" spans="1:6" s="155" customFormat="1" x14ac:dyDescent="0.2">
      <c r="A319" s="157"/>
      <c r="F319" s="158"/>
    </row>
    <row r="320" spans="1:6" s="155" customFormat="1" x14ac:dyDescent="0.2">
      <c r="A320" s="157"/>
      <c r="F320" s="158"/>
    </row>
    <row r="321" spans="1:6" s="155" customFormat="1" x14ac:dyDescent="0.2">
      <c r="A321" s="157"/>
      <c r="F321" s="158"/>
    </row>
    <row r="322" spans="1:6" s="155" customFormat="1" x14ac:dyDescent="0.2">
      <c r="A322" s="157"/>
      <c r="F322" s="158"/>
    </row>
    <row r="323" spans="1:6" s="155" customFormat="1" x14ac:dyDescent="0.2">
      <c r="A323" s="157"/>
      <c r="F323" s="158"/>
    </row>
    <row r="324" spans="1:6" s="155" customFormat="1" x14ac:dyDescent="0.2">
      <c r="A324" s="157"/>
      <c r="F324" s="158"/>
    </row>
    <row r="325" spans="1:6" s="155" customFormat="1" x14ac:dyDescent="0.2">
      <c r="A325" s="157"/>
      <c r="F325" s="158"/>
    </row>
    <row r="326" spans="1:6" s="155" customFormat="1" x14ac:dyDescent="0.2">
      <c r="A326" s="157"/>
      <c r="F326" s="158"/>
    </row>
    <row r="327" spans="1:6" s="155" customFormat="1" x14ac:dyDescent="0.2">
      <c r="A327" s="157"/>
      <c r="F327" s="158"/>
    </row>
    <row r="328" spans="1:6" s="155" customFormat="1" x14ac:dyDescent="0.2">
      <c r="A328" s="157"/>
      <c r="F328" s="158"/>
    </row>
    <row r="329" spans="1:6" s="155" customFormat="1" x14ac:dyDescent="0.2">
      <c r="A329" s="157"/>
      <c r="F329" s="158"/>
    </row>
    <row r="330" spans="1:6" s="155" customFormat="1" x14ac:dyDescent="0.2">
      <c r="A330" s="157"/>
      <c r="F330" s="158"/>
    </row>
    <row r="331" spans="1:6" s="155" customFormat="1" x14ac:dyDescent="0.2">
      <c r="A331" s="157"/>
      <c r="F331" s="158"/>
    </row>
    <row r="332" spans="1:6" s="155" customFormat="1" x14ac:dyDescent="0.2">
      <c r="A332" s="157"/>
      <c r="F332" s="158"/>
    </row>
    <row r="333" spans="1:6" s="155" customFormat="1" x14ac:dyDescent="0.2">
      <c r="A333" s="157"/>
      <c r="F333" s="158"/>
    </row>
    <row r="334" spans="1:6" s="155" customFormat="1" x14ac:dyDescent="0.2">
      <c r="A334" s="157"/>
      <c r="F334" s="158"/>
    </row>
    <row r="335" spans="1:6" s="155" customFormat="1" x14ac:dyDescent="0.2">
      <c r="A335" s="157"/>
      <c r="F335" s="158"/>
    </row>
    <row r="336" spans="1:6" s="155" customFormat="1" x14ac:dyDescent="0.2">
      <c r="A336" s="157"/>
      <c r="F336" s="158"/>
    </row>
    <row r="337" spans="1:6" s="155" customFormat="1" x14ac:dyDescent="0.2">
      <c r="A337" s="157"/>
      <c r="F337" s="158"/>
    </row>
    <row r="338" spans="1:6" s="155" customFormat="1" x14ac:dyDescent="0.2">
      <c r="A338" s="157"/>
      <c r="F338" s="158"/>
    </row>
    <row r="339" spans="1:6" s="155" customFormat="1" x14ac:dyDescent="0.2">
      <c r="A339" s="157"/>
      <c r="F339" s="158"/>
    </row>
    <row r="340" spans="1:6" s="155" customFormat="1" x14ac:dyDescent="0.2">
      <c r="A340" s="157"/>
      <c r="F340" s="158"/>
    </row>
    <row r="341" spans="1:6" s="155" customFormat="1" x14ac:dyDescent="0.2">
      <c r="A341" s="157"/>
      <c r="F341" s="158"/>
    </row>
    <row r="342" spans="1:6" s="155" customFormat="1" x14ac:dyDescent="0.2">
      <c r="A342" s="157"/>
      <c r="F342" s="158"/>
    </row>
    <row r="343" spans="1:6" s="155" customFormat="1" x14ac:dyDescent="0.2">
      <c r="A343" s="157"/>
      <c r="F343" s="158"/>
    </row>
    <row r="344" spans="1:6" s="155" customFormat="1" x14ac:dyDescent="0.2">
      <c r="A344" s="157"/>
      <c r="F344" s="158"/>
    </row>
    <row r="345" spans="1:6" s="155" customFormat="1" x14ac:dyDescent="0.2">
      <c r="A345" s="157"/>
      <c r="F345" s="158"/>
    </row>
    <row r="346" spans="1:6" s="155" customFormat="1" x14ac:dyDescent="0.2">
      <c r="A346" s="157"/>
      <c r="F346" s="158"/>
    </row>
    <row r="347" spans="1:6" s="155" customFormat="1" x14ac:dyDescent="0.2">
      <c r="A347" s="157"/>
      <c r="F347" s="158"/>
    </row>
    <row r="348" spans="1:6" s="155" customFormat="1" x14ac:dyDescent="0.2">
      <c r="A348" s="157"/>
      <c r="F348" s="158"/>
    </row>
    <row r="349" spans="1:6" s="155" customFormat="1" x14ac:dyDescent="0.2">
      <c r="A349" s="157"/>
      <c r="F349" s="158"/>
    </row>
    <row r="350" spans="1:6" s="155" customFormat="1" x14ac:dyDescent="0.2">
      <c r="A350" s="157"/>
      <c r="F350" s="158"/>
    </row>
    <row r="351" spans="1:6" s="155" customFormat="1" x14ac:dyDescent="0.2">
      <c r="A351" s="157"/>
      <c r="F351" s="158"/>
    </row>
    <row r="352" spans="1:6" s="155" customFormat="1" x14ac:dyDescent="0.2">
      <c r="A352" s="157"/>
      <c r="F352" s="158"/>
    </row>
    <row r="353" spans="1:6" s="155" customFormat="1" x14ac:dyDescent="0.2">
      <c r="A353" s="157"/>
      <c r="F353" s="158"/>
    </row>
    <row r="354" spans="1:6" s="155" customFormat="1" x14ac:dyDescent="0.2">
      <c r="A354" s="157"/>
      <c r="F354" s="158"/>
    </row>
    <row r="355" spans="1:6" s="155" customFormat="1" x14ac:dyDescent="0.2">
      <c r="A355" s="157"/>
      <c r="F355" s="158"/>
    </row>
    <row r="356" spans="1:6" s="155" customFormat="1" x14ac:dyDescent="0.2">
      <c r="A356" s="157"/>
      <c r="F356" s="158"/>
    </row>
    <row r="357" spans="1:6" s="155" customFormat="1" x14ac:dyDescent="0.2">
      <c r="A357" s="157"/>
      <c r="F357" s="158"/>
    </row>
    <row r="358" spans="1:6" s="155" customFormat="1" x14ac:dyDescent="0.2">
      <c r="A358" s="157"/>
      <c r="F358" s="158"/>
    </row>
    <row r="359" spans="1:6" s="155" customFormat="1" x14ac:dyDescent="0.2">
      <c r="A359" s="157"/>
      <c r="F359" s="158"/>
    </row>
    <row r="360" spans="1:6" s="155" customFormat="1" x14ac:dyDescent="0.2">
      <c r="A360" s="157"/>
      <c r="F360" s="158"/>
    </row>
    <row r="361" spans="1:6" s="155" customFormat="1" x14ac:dyDescent="0.2">
      <c r="A361" s="157"/>
      <c r="F361" s="158"/>
    </row>
    <row r="362" spans="1:6" s="155" customFormat="1" x14ac:dyDescent="0.2">
      <c r="A362" s="157"/>
      <c r="F362" s="158"/>
    </row>
    <row r="363" spans="1:6" s="155" customFormat="1" x14ac:dyDescent="0.2">
      <c r="A363" s="157"/>
      <c r="F363" s="158"/>
    </row>
    <row r="364" spans="1:6" s="155" customFormat="1" x14ac:dyDescent="0.2">
      <c r="A364" s="157"/>
      <c r="F364" s="158"/>
    </row>
    <row r="365" spans="1:6" s="155" customFormat="1" x14ac:dyDescent="0.2">
      <c r="A365" s="157"/>
      <c r="F365" s="158"/>
    </row>
    <row r="366" spans="1:6" s="155" customFormat="1" x14ac:dyDescent="0.2">
      <c r="A366" s="157"/>
      <c r="F366" s="158"/>
    </row>
    <row r="367" spans="1:6" s="155" customFormat="1" x14ac:dyDescent="0.2">
      <c r="A367" s="157"/>
      <c r="F367" s="158"/>
    </row>
    <row r="368" spans="1:6" s="155" customFormat="1" x14ac:dyDescent="0.2">
      <c r="A368" s="157"/>
      <c r="F368" s="158"/>
    </row>
    <row r="369" spans="1:6" s="155" customFormat="1" x14ac:dyDescent="0.2">
      <c r="A369" s="157"/>
      <c r="F369" s="158"/>
    </row>
    <row r="370" spans="1:6" s="155" customFormat="1" x14ac:dyDescent="0.2">
      <c r="A370" s="157"/>
      <c r="F370" s="158"/>
    </row>
    <row r="371" spans="1:6" s="155" customFormat="1" x14ac:dyDescent="0.2">
      <c r="A371" s="157"/>
      <c r="F371" s="158"/>
    </row>
    <row r="372" spans="1:6" s="155" customFormat="1" x14ac:dyDescent="0.2">
      <c r="A372" s="157"/>
      <c r="F372" s="158"/>
    </row>
    <row r="373" spans="1:6" s="155" customFormat="1" x14ac:dyDescent="0.2">
      <c r="A373" s="157"/>
      <c r="F373" s="158"/>
    </row>
    <row r="374" spans="1:6" s="155" customFormat="1" x14ac:dyDescent="0.2">
      <c r="A374" s="157"/>
      <c r="F374" s="158"/>
    </row>
    <row r="375" spans="1:6" s="155" customFormat="1" x14ac:dyDescent="0.2">
      <c r="A375" s="157"/>
      <c r="F375" s="158"/>
    </row>
    <row r="376" spans="1:6" s="155" customFormat="1" x14ac:dyDescent="0.2">
      <c r="A376" s="157"/>
      <c r="F376" s="158"/>
    </row>
    <row r="377" spans="1:6" s="155" customFormat="1" x14ac:dyDescent="0.2">
      <c r="A377" s="157"/>
      <c r="F377" s="158"/>
    </row>
    <row r="378" spans="1:6" s="155" customFormat="1" x14ac:dyDescent="0.2">
      <c r="A378" s="157"/>
      <c r="F378" s="158"/>
    </row>
    <row r="379" spans="1:6" s="155" customFormat="1" x14ac:dyDescent="0.2">
      <c r="A379" s="157"/>
      <c r="F379" s="158"/>
    </row>
    <row r="380" spans="1:6" s="155" customFormat="1" x14ac:dyDescent="0.2">
      <c r="A380" s="157"/>
      <c r="F380" s="158"/>
    </row>
    <row r="381" spans="1:6" s="155" customFormat="1" x14ac:dyDescent="0.2">
      <c r="A381" s="157"/>
      <c r="F381" s="158"/>
    </row>
    <row r="382" spans="1:6" s="155" customFormat="1" x14ac:dyDescent="0.2">
      <c r="A382" s="157"/>
      <c r="F382" s="158"/>
    </row>
    <row r="383" spans="1:6" s="155" customFormat="1" x14ac:dyDescent="0.2">
      <c r="A383" s="157"/>
      <c r="F383" s="158"/>
    </row>
    <row r="384" spans="1:6" s="155" customFormat="1" x14ac:dyDescent="0.2">
      <c r="A384" s="157"/>
      <c r="F384" s="158"/>
    </row>
    <row r="385" spans="1:6" s="155" customFormat="1" x14ac:dyDescent="0.2">
      <c r="A385" s="157"/>
      <c r="F385" s="158"/>
    </row>
    <row r="386" spans="1:6" s="155" customFormat="1" x14ac:dyDescent="0.2">
      <c r="A386" s="157"/>
      <c r="F386" s="158"/>
    </row>
    <row r="387" spans="1:6" s="155" customFormat="1" x14ac:dyDescent="0.2">
      <c r="A387" s="157"/>
      <c r="F387" s="158"/>
    </row>
    <row r="388" spans="1:6" s="155" customFormat="1" x14ac:dyDescent="0.2">
      <c r="A388" s="157"/>
      <c r="F388" s="158"/>
    </row>
    <row r="389" spans="1:6" s="155" customFormat="1" x14ac:dyDescent="0.2">
      <c r="A389" s="157"/>
      <c r="F389" s="158"/>
    </row>
    <row r="390" spans="1:6" s="155" customFormat="1" x14ac:dyDescent="0.2">
      <c r="A390" s="157"/>
      <c r="F390" s="158"/>
    </row>
    <row r="391" spans="1:6" s="155" customFormat="1" x14ac:dyDescent="0.2">
      <c r="A391" s="157"/>
      <c r="F391" s="158"/>
    </row>
    <row r="392" spans="1:6" s="155" customFormat="1" x14ac:dyDescent="0.2">
      <c r="A392" s="157"/>
      <c r="F392" s="158"/>
    </row>
    <row r="393" spans="1:6" s="155" customFormat="1" x14ac:dyDescent="0.2">
      <c r="A393" s="157"/>
      <c r="F393" s="158"/>
    </row>
    <row r="394" spans="1:6" s="155" customFormat="1" x14ac:dyDescent="0.2">
      <c r="A394" s="157"/>
      <c r="F394" s="158"/>
    </row>
    <row r="395" spans="1:6" s="155" customFormat="1" x14ac:dyDescent="0.2">
      <c r="A395" s="157"/>
      <c r="F395" s="158"/>
    </row>
    <row r="396" spans="1:6" s="155" customFormat="1" x14ac:dyDescent="0.2">
      <c r="A396" s="157"/>
      <c r="F396" s="158"/>
    </row>
    <row r="397" spans="1:6" s="155" customFormat="1" x14ac:dyDescent="0.2">
      <c r="A397" s="157"/>
      <c r="F397" s="158"/>
    </row>
    <row r="398" spans="1:6" s="155" customFormat="1" x14ac:dyDescent="0.2">
      <c r="A398" s="157"/>
      <c r="F398" s="158"/>
    </row>
    <row r="399" spans="1:6" s="155" customFormat="1" x14ac:dyDescent="0.2">
      <c r="A399" s="157"/>
      <c r="F399" s="158"/>
    </row>
    <row r="400" spans="1:6" s="155" customFormat="1" x14ac:dyDescent="0.2">
      <c r="A400" s="157"/>
      <c r="F400" s="158"/>
    </row>
    <row r="401" spans="1:6" s="155" customFormat="1" x14ac:dyDescent="0.2">
      <c r="A401" s="157"/>
      <c r="F401" s="158"/>
    </row>
    <row r="402" spans="1:6" s="155" customFormat="1" x14ac:dyDescent="0.2">
      <c r="A402" s="157"/>
      <c r="F402" s="158"/>
    </row>
    <row r="403" spans="1:6" s="155" customFormat="1" x14ac:dyDescent="0.2">
      <c r="A403" s="157"/>
      <c r="F403" s="158"/>
    </row>
    <row r="404" spans="1:6" s="155" customFormat="1" x14ac:dyDescent="0.2">
      <c r="A404" s="157"/>
      <c r="F404" s="158"/>
    </row>
    <row r="405" spans="1:6" s="155" customFormat="1" x14ac:dyDescent="0.2">
      <c r="A405" s="157"/>
      <c r="F405" s="158"/>
    </row>
    <row r="406" spans="1:6" s="155" customFormat="1" x14ac:dyDescent="0.2">
      <c r="A406" s="157"/>
      <c r="F406" s="158"/>
    </row>
    <row r="407" spans="1:6" s="155" customFormat="1" x14ac:dyDescent="0.2">
      <c r="A407" s="157"/>
      <c r="F407" s="158"/>
    </row>
    <row r="408" spans="1:6" s="155" customFormat="1" x14ac:dyDescent="0.2">
      <c r="A408" s="157"/>
      <c r="F408" s="158"/>
    </row>
    <row r="409" spans="1:6" s="155" customFormat="1" x14ac:dyDescent="0.2">
      <c r="A409" s="157"/>
      <c r="F409" s="158"/>
    </row>
    <row r="410" spans="1:6" s="155" customFormat="1" x14ac:dyDescent="0.2">
      <c r="A410" s="157"/>
      <c r="F410" s="158"/>
    </row>
    <row r="411" spans="1:6" s="155" customFormat="1" x14ac:dyDescent="0.2">
      <c r="A411" s="157"/>
      <c r="F411" s="158"/>
    </row>
    <row r="412" spans="1:6" s="155" customFormat="1" x14ac:dyDescent="0.2">
      <c r="A412" s="157"/>
      <c r="F412" s="158"/>
    </row>
    <row r="413" spans="1:6" s="155" customFormat="1" x14ac:dyDescent="0.2">
      <c r="A413" s="157"/>
      <c r="F413" s="158"/>
    </row>
    <row r="414" spans="1:6" s="155" customFormat="1" x14ac:dyDescent="0.2">
      <c r="A414" s="157"/>
      <c r="F414" s="158"/>
    </row>
    <row r="415" spans="1:6" s="155" customFormat="1" x14ac:dyDescent="0.2">
      <c r="A415" s="157"/>
      <c r="F415" s="158"/>
    </row>
    <row r="416" spans="1:6" s="155" customFormat="1" x14ac:dyDescent="0.2">
      <c r="A416" s="157"/>
      <c r="F416" s="158"/>
    </row>
    <row r="417" spans="1:6" s="155" customFormat="1" x14ac:dyDescent="0.2">
      <c r="A417" s="157"/>
      <c r="F417" s="158"/>
    </row>
    <row r="418" spans="1:6" s="155" customFormat="1" x14ac:dyDescent="0.2">
      <c r="A418" s="157"/>
      <c r="F418" s="158"/>
    </row>
    <row r="419" spans="1:6" s="155" customFormat="1" x14ac:dyDescent="0.2">
      <c r="A419" s="157"/>
      <c r="F419" s="158"/>
    </row>
    <row r="420" spans="1:6" s="155" customFormat="1" x14ac:dyDescent="0.2">
      <c r="A420" s="157"/>
      <c r="F420" s="158"/>
    </row>
    <row r="421" spans="1:6" s="155" customFormat="1" x14ac:dyDescent="0.2">
      <c r="A421" s="157"/>
      <c r="F421" s="158"/>
    </row>
    <row r="422" spans="1:6" s="155" customFormat="1" x14ac:dyDescent="0.2">
      <c r="A422" s="157"/>
      <c r="F422" s="158"/>
    </row>
    <row r="423" spans="1:6" s="155" customFormat="1" x14ac:dyDescent="0.2">
      <c r="A423" s="157"/>
      <c r="F423" s="158"/>
    </row>
    <row r="424" spans="1:6" s="155" customFormat="1" x14ac:dyDescent="0.2">
      <c r="A424" s="157"/>
      <c r="F424" s="158"/>
    </row>
    <row r="425" spans="1:6" s="155" customFormat="1" x14ac:dyDescent="0.2">
      <c r="A425" s="157"/>
      <c r="F425" s="158"/>
    </row>
    <row r="426" spans="1:6" s="155" customFormat="1" x14ac:dyDescent="0.2">
      <c r="A426" s="157"/>
      <c r="F426" s="158"/>
    </row>
    <row r="427" spans="1:6" s="155" customFormat="1" x14ac:dyDescent="0.2">
      <c r="A427" s="157"/>
      <c r="F427" s="158"/>
    </row>
    <row r="428" spans="1:6" s="155" customFormat="1" x14ac:dyDescent="0.2">
      <c r="A428" s="157"/>
      <c r="F428" s="158"/>
    </row>
    <row r="429" spans="1:6" s="155" customFormat="1" x14ac:dyDescent="0.2">
      <c r="A429" s="157"/>
      <c r="F429" s="158"/>
    </row>
    <row r="430" spans="1:6" s="155" customFormat="1" x14ac:dyDescent="0.2">
      <c r="A430" s="157"/>
      <c r="F430" s="158"/>
    </row>
    <row r="431" spans="1:6" s="155" customFormat="1" x14ac:dyDescent="0.2">
      <c r="A431" s="157"/>
      <c r="F431" s="158"/>
    </row>
    <row r="432" spans="1:6" s="155" customFormat="1" x14ac:dyDescent="0.2">
      <c r="A432" s="157"/>
      <c r="F432" s="158"/>
    </row>
    <row r="433" spans="1:6" s="155" customFormat="1" x14ac:dyDescent="0.2">
      <c r="A433" s="157"/>
      <c r="F433" s="158"/>
    </row>
    <row r="434" spans="1:6" s="155" customFormat="1" x14ac:dyDescent="0.2">
      <c r="A434" s="157"/>
      <c r="F434" s="158"/>
    </row>
    <row r="435" spans="1:6" s="155" customFormat="1" x14ac:dyDescent="0.2">
      <c r="A435" s="157"/>
      <c r="F435" s="158"/>
    </row>
    <row r="436" spans="1:6" s="155" customFormat="1" x14ac:dyDescent="0.2">
      <c r="A436" s="157"/>
      <c r="F436" s="158"/>
    </row>
    <row r="437" spans="1:6" s="155" customFormat="1" x14ac:dyDescent="0.2">
      <c r="A437" s="157"/>
      <c r="F437" s="158"/>
    </row>
    <row r="438" spans="1:6" s="155" customFormat="1" x14ac:dyDescent="0.2">
      <c r="A438" s="157"/>
      <c r="F438" s="158"/>
    </row>
    <row r="439" spans="1:6" s="155" customFormat="1" x14ac:dyDescent="0.2">
      <c r="A439" s="157"/>
      <c r="F439" s="158"/>
    </row>
    <row r="440" spans="1:6" s="155" customFormat="1" x14ac:dyDescent="0.2">
      <c r="A440" s="157"/>
      <c r="F440" s="158"/>
    </row>
    <row r="441" spans="1:6" s="155" customFormat="1" x14ac:dyDescent="0.2">
      <c r="A441" s="157"/>
      <c r="F441" s="158"/>
    </row>
    <row r="442" spans="1:6" s="155" customFormat="1" x14ac:dyDescent="0.2">
      <c r="A442" s="157"/>
      <c r="F442" s="158"/>
    </row>
    <row r="443" spans="1:6" s="155" customFormat="1" x14ac:dyDescent="0.2">
      <c r="A443" s="157"/>
      <c r="F443" s="158"/>
    </row>
    <row r="444" spans="1:6" s="155" customFormat="1" x14ac:dyDescent="0.2">
      <c r="A444" s="157"/>
      <c r="F444" s="158"/>
    </row>
    <row r="445" spans="1:6" s="155" customFormat="1" x14ac:dyDescent="0.2">
      <c r="A445" s="157"/>
      <c r="F445" s="158"/>
    </row>
    <row r="446" spans="1:6" s="155" customFormat="1" x14ac:dyDescent="0.2">
      <c r="A446" s="157"/>
      <c r="F446" s="158"/>
    </row>
    <row r="447" spans="1:6" s="155" customFormat="1" x14ac:dyDescent="0.2">
      <c r="A447" s="157"/>
      <c r="F447" s="158"/>
    </row>
    <row r="448" spans="1:6" s="155" customFormat="1" x14ac:dyDescent="0.2">
      <c r="A448" s="157"/>
      <c r="F448" s="158"/>
    </row>
    <row r="449" spans="1:6" s="155" customFormat="1" x14ac:dyDescent="0.2">
      <c r="A449" s="157"/>
      <c r="F449" s="158"/>
    </row>
    <row r="450" spans="1:6" s="155" customFormat="1" x14ac:dyDescent="0.2">
      <c r="A450" s="157"/>
      <c r="F450" s="158"/>
    </row>
    <row r="451" spans="1:6" s="155" customFormat="1" x14ac:dyDescent="0.2">
      <c r="A451" s="157"/>
      <c r="F451" s="158"/>
    </row>
    <row r="452" spans="1:6" s="155" customFormat="1" x14ac:dyDescent="0.2">
      <c r="A452" s="157"/>
      <c r="F452" s="158"/>
    </row>
    <row r="453" spans="1:6" s="155" customFormat="1" x14ac:dyDescent="0.2">
      <c r="A453" s="157"/>
      <c r="F453" s="158"/>
    </row>
    <row r="454" spans="1:6" s="155" customFormat="1" x14ac:dyDescent="0.2">
      <c r="A454" s="157"/>
      <c r="F454" s="158"/>
    </row>
    <row r="455" spans="1:6" s="155" customFormat="1" x14ac:dyDescent="0.2">
      <c r="A455" s="157"/>
      <c r="F455" s="158"/>
    </row>
    <row r="456" spans="1:6" s="155" customFormat="1" x14ac:dyDescent="0.2">
      <c r="A456" s="157"/>
      <c r="F456" s="158"/>
    </row>
    <row r="457" spans="1:6" s="155" customFormat="1" x14ac:dyDescent="0.2">
      <c r="A457" s="157"/>
      <c r="F457" s="158"/>
    </row>
    <row r="458" spans="1:6" s="155" customFormat="1" x14ac:dyDescent="0.2">
      <c r="A458" s="157"/>
      <c r="F458" s="158"/>
    </row>
    <row r="459" spans="1:6" s="155" customFormat="1" x14ac:dyDescent="0.2">
      <c r="A459" s="157"/>
      <c r="F459" s="158"/>
    </row>
    <row r="460" spans="1:6" s="155" customFormat="1" x14ac:dyDescent="0.2">
      <c r="A460" s="157"/>
      <c r="F460" s="158"/>
    </row>
    <row r="461" spans="1:6" s="155" customFormat="1" x14ac:dyDescent="0.2">
      <c r="A461" s="157"/>
      <c r="F461" s="158"/>
    </row>
    <row r="462" spans="1:6" s="155" customFormat="1" x14ac:dyDescent="0.2">
      <c r="A462" s="157"/>
      <c r="F462" s="158"/>
    </row>
    <row r="463" spans="1:6" s="155" customFormat="1" x14ac:dyDescent="0.2">
      <c r="A463" s="157"/>
      <c r="F463" s="158"/>
    </row>
    <row r="464" spans="1:6" s="155" customFormat="1" x14ac:dyDescent="0.2">
      <c r="A464" s="157"/>
      <c r="F464" s="158"/>
    </row>
    <row r="465" spans="1:6" s="155" customFormat="1" x14ac:dyDescent="0.2">
      <c r="A465" s="157"/>
      <c r="F465" s="158"/>
    </row>
    <row r="466" spans="1:6" s="155" customFormat="1" x14ac:dyDescent="0.2">
      <c r="A466" s="157"/>
      <c r="F466" s="158"/>
    </row>
    <row r="467" spans="1:6" s="155" customFormat="1" x14ac:dyDescent="0.2">
      <c r="A467" s="157"/>
      <c r="F467" s="158"/>
    </row>
    <row r="468" spans="1:6" s="155" customFormat="1" x14ac:dyDescent="0.2">
      <c r="A468" s="157"/>
      <c r="F468" s="158"/>
    </row>
    <row r="469" spans="1:6" s="155" customFormat="1" x14ac:dyDescent="0.2">
      <c r="A469" s="157"/>
      <c r="F469" s="158"/>
    </row>
    <row r="470" spans="1:6" s="155" customFormat="1" x14ac:dyDescent="0.2">
      <c r="A470" s="157"/>
      <c r="F470" s="158"/>
    </row>
    <row r="471" spans="1:6" s="155" customFormat="1" x14ac:dyDescent="0.2">
      <c r="A471" s="157"/>
      <c r="F471" s="158"/>
    </row>
    <row r="472" spans="1:6" s="155" customFormat="1" x14ac:dyDescent="0.2">
      <c r="A472" s="157"/>
      <c r="F472" s="158"/>
    </row>
    <row r="473" spans="1:6" s="155" customFormat="1" x14ac:dyDescent="0.2">
      <c r="A473" s="157"/>
      <c r="F473" s="158"/>
    </row>
    <row r="474" spans="1:6" s="155" customFormat="1" x14ac:dyDescent="0.2">
      <c r="A474" s="157"/>
      <c r="F474" s="158"/>
    </row>
    <row r="475" spans="1:6" s="155" customFormat="1" x14ac:dyDescent="0.2">
      <c r="A475" s="157"/>
      <c r="F475" s="158"/>
    </row>
    <row r="476" spans="1:6" s="155" customFormat="1" x14ac:dyDescent="0.2">
      <c r="A476" s="157"/>
      <c r="F476" s="158"/>
    </row>
    <row r="477" spans="1:6" s="155" customFormat="1" x14ac:dyDescent="0.2">
      <c r="A477" s="157"/>
      <c r="F477" s="158"/>
    </row>
    <row r="478" spans="1:6" s="155" customFormat="1" x14ac:dyDescent="0.2">
      <c r="A478" s="157"/>
      <c r="F478" s="158"/>
    </row>
    <row r="479" spans="1:6" s="155" customFormat="1" x14ac:dyDescent="0.2">
      <c r="A479" s="157"/>
      <c r="F479" s="158"/>
    </row>
    <row r="480" spans="1:6" s="155" customFormat="1" x14ac:dyDescent="0.2">
      <c r="A480" s="157"/>
      <c r="F480" s="158"/>
    </row>
    <row r="481" spans="1:6" s="155" customFormat="1" x14ac:dyDescent="0.2">
      <c r="A481" s="157"/>
      <c r="F481" s="158"/>
    </row>
    <row r="482" spans="1:6" s="155" customFormat="1" x14ac:dyDescent="0.2">
      <c r="A482" s="157"/>
      <c r="F482" s="158"/>
    </row>
    <row r="483" spans="1:6" s="155" customFormat="1" x14ac:dyDescent="0.2">
      <c r="A483" s="157"/>
      <c r="F483" s="158"/>
    </row>
    <row r="484" spans="1:6" s="155" customFormat="1" x14ac:dyDescent="0.2">
      <c r="A484" s="157"/>
      <c r="F484" s="158"/>
    </row>
    <row r="485" spans="1:6" s="155" customFormat="1" x14ac:dyDescent="0.2">
      <c r="A485" s="157"/>
      <c r="F485" s="158"/>
    </row>
    <row r="486" spans="1:6" s="155" customFormat="1" x14ac:dyDescent="0.2">
      <c r="A486" s="157"/>
      <c r="F486" s="158"/>
    </row>
    <row r="487" spans="1:6" s="155" customFormat="1" x14ac:dyDescent="0.2">
      <c r="A487" s="157"/>
      <c r="F487" s="158"/>
    </row>
    <row r="488" spans="1:6" s="155" customFormat="1" x14ac:dyDescent="0.2">
      <c r="A488" s="157"/>
      <c r="F488" s="158"/>
    </row>
    <row r="489" spans="1:6" s="155" customFormat="1" x14ac:dyDescent="0.2">
      <c r="A489" s="157"/>
      <c r="F489" s="158"/>
    </row>
    <row r="490" spans="1:6" s="155" customFormat="1" x14ac:dyDescent="0.2">
      <c r="A490" s="157"/>
      <c r="F490" s="158"/>
    </row>
    <row r="491" spans="1:6" s="155" customFormat="1" x14ac:dyDescent="0.2">
      <c r="A491" s="157"/>
      <c r="F491" s="158"/>
    </row>
    <row r="492" spans="1:6" s="155" customFormat="1" x14ac:dyDescent="0.2">
      <c r="A492" s="157"/>
      <c r="F492" s="158"/>
    </row>
    <row r="493" spans="1:6" s="155" customFormat="1" x14ac:dyDescent="0.2">
      <c r="A493" s="157"/>
      <c r="F493" s="158"/>
    </row>
    <row r="494" spans="1:6" s="155" customFormat="1" x14ac:dyDescent="0.2">
      <c r="A494" s="157"/>
      <c r="F494" s="158"/>
    </row>
    <row r="495" spans="1:6" s="155" customFormat="1" x14ac:dyDescent="0.2">
      <c r="A495" s="157"/>
      <c r="F495" s="158"/>
    </row>
    <row r="496" spans="1:6" s="155" customFormat="1" x14ac:dyDescent="0.2">
      <c r="A496" s="157"/>
      <c r="F496" s="158"/>
    </row>
    <row r="497" spans="1:6" s="155" customFormat="1" x14ac:dyDescent="0.2">
      <c r="A497" s="157"/>
      <c r="F497" s="158"/>
    </row>
    <row r="498" spans="1:6" s="155" customFormat="1" x14ac:dyDescent="0.2">
      <c r="A498" s="157"/>
      <c r="F498" s="158"/>
    </row>
    <row r="499" spans="1:6" s="155" customFormat="1" x14ac:dyDescent="0.2">
      <c r="A499" s="157"/>
      <c r="F499" s="158"/>
    </row>
    <row r="500" spans="1:6" s="155" customFormat="1" x14ac:dyDescent="0.2">
      <c r="A500" s="157"/>
      <c r="F500" s="158"/>
    </row>
    <row r="501" spans="1:6" s="155" customFormat="1" x14ac:dyDescent="0.2">
      <c r="A501" s="157"/>
      <c r="F501" s="158"/>
    </row>
    <row r="502" spans="1:6" s="155" customFormat="1" x14ac:dyDescent="0.2">
      <c r="A502" s="157"/>
      <c r="F502" s="158"/>
    </row>
    <row r="503" spans="1:6" s="155" customFormat="1" x14ac:dyDescent="0.2">
      <c r="A503" s="157"/>
      <c r="F503" s="158"/>
    </row>
    <row r="504" spans="1:6" s="155" customFormat="1" x14ac:dyDescent="0.2">
      <c r="A504" s="157"/>
      <c r="F504" s="158"/>
    </row>
    <row r="505" spans="1:6" s="155" customFormat="1" x14ac:dyDescent="0.2">
      <c r="A505" s="157"/>
      <c r="F505" s="158"/>
    </row>
    <row r="506" spans="1:6" s="155" customFormat="1" x14ac:dyDescent="0.2">
      <c r="A506" s="157"/>
      <c r="F506" s="158"/>
    </row>
    <row r="507" spans="1:6" s="155" customFormat="1" x14ac:dyDescent="0.2">
      <c r="A507" s="157"/>
      <c r="F507" s="158"/>
    </row>
    <row r="508" spans="1:6" s="155" customFormat="1" x14ac:dyDescent="0.2">
      <c r="A508" s="157"/>
      <c r="F508" s="158"/>
    </row>
    <row r="509" spans="1:6" s="155" customFormat="1" x14ac:dyDescent="0.2">
      <c r="A509" s="157"/>
      <c r="F509" s="158"/>
    </row>
    <row r="510" spans="1:6" s="155" customFormat="1" x14ac:dyDescent="0.2">
      <c r="A510" s="157"/>
      <c r="F510" s="158"/>
    </row>
    <row r="511" spans="1:6" s="155" customFormat="1" x14ac:dyDescent="0.2">
      <c r="A511" s="157"/>
      <c r="F511" s="158"/>
    </row>
    <row r="512" spans="1:6" s="155" customFormat="1" x14ac:dyDescent="0.2">
      <c r="A512" s="157"/>
      <c r="F512" s="158"/>
    </row>
    <row r="513" spans="1:6" s="155" customFormat="1" x14ac:dyDescent="0.2">
      <c r="A513" s="157"/>
      <c r="F513" s="158"/>
    </row>
    <row r="514" spans="1:6" s="155" customFormat="1" x14ac:dyDescent="0.2">
      <c r="A514" s="157"/>
      <c r="F514" s="158"/>
    </row>
    <row r="515" spans="1:6" s="155" customFormat="1" x14ac:dyDescent="0.2">
      <c r="A515" s="157"/>
      <c r="F515" s="158"/>
    </row>
    <row r="516" spans="1:6" s="155" customFormat="1" x14ac:dyDescent="0.2">
      <c r="A516" s="157"/>
      <c r="F516" s="158"/>
    </row>
    <row r="517" spans="1:6" s="155" customFormat="1" x14ac:dyDescent="0.2">
      <c r="A517" s="157"/>
      <c r="F517" s="158"/>
    </row>
    <row r="518" spans="1:6" s="155" customFormat="1" x14ac:dyDescent="0.2">
      <c r="A518" s="157"/>
      <c r="F518" s="158"/>
    </row>
    <row r="519" spans="1:6" s="155" customFormat="1" x14ac:dyDescent="0.2">
      <c r="A519" s="157"/>
      <c r="F519" s="158"/>
    </row>
    <row r="520" spans="1:6" s="155" customFormat="1" x14ac:dyDescent="0.2">
      <c r="A520" s="157"/>
      <c r="F520" s="158"/>
    </row>
    <row r="521" spans="1:6" s="155" customFormat="1" x14ac:dyDescent="0.2">
      <c r="A521" s="157"/>
      <c r="F521" s="158"/>
    </row>
    <row r="522" spans="1:6" s="155" customFormat="1" x14ac:dyDescent="0.2">
      <c r="A522" s="157"/>
      <c r="F522" s="158"/>
    </row>
    <row r="523" spans="1:6" s="155" customFormat="1" x14ac:dyDescent="0.2">
      <c r="A523" s="157"/>
      <c r="F523" s="158"/>
    </row>
    <row r="524" spans="1:6" s="155" customFormat="1" x14ac:dyDescent="0.2">
      <c r="A524" s="157"/>
      <c r="F524" s="158"/>
    </row>
    <row r="525" spans="1:6" s="155" customFormat="1" x14ac:dyDescent="0.2">
      <c r="A525" s="157"/>
      <c r="F525" s="158"/>
    </row>
    <row r="526" spans="1:6" s="155" customFormat="1" x14ac:dyDescent="0.2">
      <c r="A526" s="157"/>
      <c r="F526" s="158"/>
    </row>
    <row r="527" spans="1:6" s="155" customFormat="1" x14ac:dyDescent="0.2">
      <c r="A527" s="157"/>
      <c r="F527" s="158"/>
    </row>
    <row r="528" spans="1:6" s="155" customFormat="1" x14ac:dyDescent="0.2">
      <c r="A528" s="157"/>
      <c r="F528" s="158"/>
    </row>
    <row r="529" spans="1:6" s="155" customFormat="1" x14ac:dyDescent="0.2">
      <c r="A529" s="157"/>
      <c r="F529" s="158"/>
    </row>
    <row r="530" spans="1:6" s="155" customFormat="1" x14ac:dyDescent="0.2">
      <c r="A530" s="157"/>
      <c r="F530" s="158"/>
    </row>
    <row r="531" spans="1:6" s="155" customFormat="1" x14ac:dyDescent="0.2">
      <c r="A531" s="157"/>
      <c r="F531" s="158"/>
    </row>
    <row r="532" spans="1:6" s="155" customFormat="1" x14ac:dyDescent="0.2">
      <c r="A532" s="157"/>
      <c r="F532" s="158"/>
    </row>
    <row r="533" spans="1:6" s="155" customFormat="1" x14ac:dyDescent="0.2">
      <c r="A533" s="157"/>
      <c r="F533" s="158"/>
    </row>
    <row r="534" spans="1:6" s="155" customFormat="1" x14ac:dyDescent="0.2">
      <c r="A534" s="157"/>
      <c r="F534" s="158"/>
    </row>
    <row r="535" spans="1:6" s="155" customFormat="1" x14ac:dyDescent="0.2">
      <c r="A535" s="157"/>
      <c r="F535" s="158"/>
    </row>
    <row r="536" spans="1:6" s="155" customFormat="1" x14ac:dyDescent="0.2">
      <c r="A536" s="157"/>
      <c r="F536" s="158"/>
    </row>
    <row r="537" spans="1:6" s="155" customFormat="1" x14ac:dyDescent="0.2">
      <c r="A537" s="157"/>
      <c r="F537" s="158"/>
    </row>
    <row r="538" spans="1:6" s="155" customFormat="1" x14ac:dyDescent="0.2">
      <c r="A538" s="157"/>
      <c r="F538" s="158"/>
    </row>
    <row r="539" spans="1:6" s="155" customFormat="1" x14ac:dyDescent="0.2">
      <c r="A539" s="157"/>
      <c r="F539" s="158"/>
    </row>
    <row r="540" spans="1:6" s="155" customFormat="1" x14ac:dyDescent="0.2">
      <c r="A540" s="157"/>
      <c r="F540" s="158"/>
    </row>
    <row r="541" spans="1:6" s="155" customFormat="1" x14ac:dyDescent="0.2">
      <c r="A541" s="157"/>
      <c r="F541" s="158"/>
    </row>
    <row r="542" spans="1:6" s="155" customFormat="1" x14ac:dyDescent="0.2">
      <c r="A542" s="157"/>
      <c r="F542" s="158"/>
    </row>
    <row r="543" spans="1:6" s="155" customFormat="1" x14ac:dyDescent="0.2">
      <c r="A543" s="157"/>
      <c r="F543" s="158"/>
    </row>
    <row r="544" spans="1:6" s="155" customFormat="1" x14ac:dyDescent="0.2">
      <c r="A544" s="157"/>
      <c r="F544" s="158"/>
    </row>
    <row r="545" spans="1:6" s="155" customFormat="1" x14ac:dyDescent="0.2">
      <c r="A545" s="157"/>
      <c r="F545" s="158"/>
    </row>
    <row r="546" spans="1:6" s="155" customFormat="1" x14ac:dyDescent="0.2">
      <c r="A546" s="157"/>
      <c r="F546" s="158"/>
    </row>
    <row r="547" spans="1:6" s="155" customFormat="1" x14ac:dyDescent="0.2">
      <c r="A547" s="157"/>
      <c r="F547" s="158"/>
    </row>
    <row r="548" spans="1:6" s="155" customFormat="1" x14ac:dyDescent="0.2">
      <c r="A548" s="157"/>
      <c r="F548" s="158"/>
    </row>
    <row r="549" spans="1:6" s="155" customFormat="1" x14ac:dyDescent="0.2">
      <c r="A549" s="157"/>
      <c r="F549" s="158"/>
    </row>
    <row r="550" spans="1:6" s="155" customFormat="1" x14ac:dyDescent="0.2">
      <c r="A550" s="157"/>
      <c r="F550" s="158"/>
    </row>
    <row r="551" spans="1:6" s="155" customFormat="1" x14ac:dyDescent="0.2">
      <c r="A551" s="157"/>
      <c r="F551" s="158"/>
    </row>
    <row r="552" spans="1:6" s="155" customFormat="1" x14ac:dyDescent="0.2">
      <c r="A552" s="157"/>
      <c r="F552" s="158"/>
    </row>
    <row r="553" spans="1:6" s="155" customFormat="1" x14ac:dyDescent="0.2">
      <c r="A553" s="157"/>
      <c r="F553" s="158"/>
    </row>
    <row r="554" spans="1:6" s="155" customFormat="1" x14ac:dyDescent="0.2">
      <c r="A554" s="157"/>
      <c r="F554" s="158"/>
    </row>
    <row r="555" spans="1:6" s="155" customFormat="1" x14ac:dyDescent="0.2">
      <c r="A555" s="157"/>
      <c r="F555" s="158"/>
    </row>
    <row r="556" spans="1:6" s="155" customFormat="1" x14ac:dyDescent="0.2">
      <c r="A556" s="157"/>
      <c r="F556" s="158"/>
    </row>
    <row r="557" spans="1:6" s="155" customFormat="1" x14ac:dyDescent="0.2">
      <c r="A557" s="157"/>
      <c r="F557" s="158"/>
    </row>
    <row r="558" spans="1:6" s="155" customFormat="1" x14ac:dyDescent="0.2">
      <c r="A558" s="157"/>
      <c r="F558" s="158"/>
    </row>
    <row r="559" spans="1:6" s="155" customFormat="1" x14ac:dyDescent="0.2">
      <c r="A559" s="157"/>
      <c r="F559" s="158"/>
    </row>
    <row r="560" spans="1:6" s="155" customFormat="1" x14ac:dyDescent="0.2">
      <c r="A560" s="157"/>
      <c r="F560" s="158"/>
    </row>
    <row r="561" spans="1:6" s="155" customFormat="1" x14ac:dyDescent="0.2">
      <c r="A561" s="157"/>
      <c r="F561" s="158"/>
    </row>
    <row r="562" spans="1:6" s="155" customFormat="1" x14ac:dyDescent="0.2">
      <c r="A562" s="157"/>
      <c r="F562" s="158"/>
    </row>
    <row r="563" spans="1:6" s="155" customFormat="1" x14ac:dyDescent="0.2">
      <c r="A563" s="157"/>
      <c r="F563" s="158"/>
    </row>
    <row r="564" spans="1:6" s="155" customFormat="1" x14ac:dyDescent="0.2">
      <c r="A564" s="157"/>
      <c r="F564" s="158"/>
    </row>
    <row r="565" spans="1:6" s="155" customFormat="1" x14ac:dyDescent="0.2">
      <c r="A565" s="157"/>
      <c r="F565" s="158"/>
    </row>
    <row r="566" spans="1:6" s="155" customFormat="1" x14ac:dyDescent="0.2">
      <c r="A566" s="157"/>
      <c r="F566" s="158"/>
    </row>
    <row r="567" spans="1:6" s="155" customFormat="1" x14ac:dyDescent="0.2">
      <c r="A567" s="157"/>
      <c r="F567" s="158"/>
    </row>
    <row r="568" spans="1:6" s="155" customFormat="1" x14ac:dyDescent="0.2">
      <c r="A568" s="157"/>
      <c r="F568" s="158"/>
    </row>
    <row r="569" spans="1:6" s="155" customFormat="1" x14ac:dyDescent="0.2">
      <c r="A569" s="157"/>
      <c r="F569" s="158"/>
    </row>
    <row r="570" spans="1:6" s="155" customFormat="1" x14ac:dyDescent="0.2">
      <c r="A570" s="157"/>
      <c r="F570" s="158"/>
    </row>
    <row r="571" spans="1:6" s="155" customFormat="1" x14ac:dyDescent="0.2">
      <c r="A571" s="157"/>
      <c r="F571" s="158"/>
    </row>
    <row r="572" spans="1:6" s="155" customFormat="1" x14ac:dyDescent="0.2">
      <c r="A572" s="157"/>
      <c r="F572" s="158"/>
    </row>
    <row r="573" spans="1:6" s="155" customFormat="1" x14ac:dyDescent="0.2">
      <c r="A573" s="157"/>
      <c r="F573" s="158"/>
    </row>
    <row r="574" spans="1:6" s="155" customFormat="1" x14ac:dyDescent="0.2">
      <c r="A574" s="157"/>
      <c r="F574" s="158"/>
    </row>
    <row r="575" spans="1:6" s="155" customFormat="1" x14ac:dyDescent="0.2">
      <c r="A575" s="157"/>
      <c r="F575" s="158"/>
    </row>
    <row r="576" spans="1:6" s="155" customFormat="1" x14ac:dyDescent="0.2">
      <c r="A576" s="157"/>
      <c r="F576" s="158"/>
    </row>
    <row r="577" spans="1:6" s="155" customFormat="1" x14ac:dyDescent="0.2">
      <c r="A577" s="157"/>
      <c r="F577" s="158"/>
    </row>
    <row r="578" spans="1:6" s="155" customFormat="1" x14ac:dyDescent="0.2">
      <c r="A578" s="157"/>
      <c r="F578" s="158"/>
    </row>
    <row r="579" spans="1:6" s="155" customFormat="1" x14ac:dyDescent="0.2">
      <c r="A579" s="157"/>
      <c r="F579" s="158"/>
    </row>
    <row r="580" spans="1:6" s="155" customFormat="1" x14ac:dyDescent="0.2">
      <c r="A580" s="157"/>
      <c r="F580" s="158"/>
    </row>
    <row r="581" spans="1:6" s="155" customFormat="1" x14ac:dyDescent="0.2">
      <c r="A581" s="157"/>
      <c r="F581" s="158"/>
    </row>
    <row r="582" spans="1:6" s="155" customFormat="1" x14ac:dyDescent="0.2">
      <c r="A582" s="157"/>
      <c r="F582" s="158"/>
    </row>
    <row r="583" spans="1:6" s="155" customFormat="1" x14ac:dyDescent="0.2">
      <c r="A583" s="157"/>
      <c r="F583" s="158"/>
    </row>
    <row r="584" spans="1:6" s="155" customFormat="1" x14ac:dyDescent="0.2">
      <c r="A584" s="157"/>
      <c r="F584" s="158"/>
    </row>
    <row r="585" spans="1:6" s="155" customFormat="1" x14ac:dyDescent="0.2">
      <c r="A585" s="157"/>
      <c r="F585" s="158"/>
    </row>
    <row r="586" spans="1:6" s="155" customFormat="1" x14ac:dyDescent="0.2">
      <c r="A586" s="157"/>
      <c r="F586" s="158"/>
    </row>
    <row r="587" spans="1:6" s="155" customFormat="1" x14ac:dyDescent="0.2">
      <c r="A587" s="157"/>
      <c r="F587" s="158"/>
    </row>
    <row r="588" spans="1:6" s="155" customFormat="1" x14ac:dyDescent="0.2">
      <c r="A588" s="157"/>
      <c r="F588" s="158"/>
    </row>
    <row r="589" spans="1:6" s="155" customFormat="1" x14ac:dyDescent="0.2">
      <c r="A589" s="157"/>
      <c r="F589" s="158"/>
    </row>
    <row r="590" spans="1:6" s="155" customFormat="1" x14ac:dyDescent="0.2">
      <c r="A590" s="157"/>
      <c r="F590" s="158"/>
    </row>
    <row r="591" spans="1:6" s="155" customFormat="1" x14ac:dyDescent="0.2">
      <c r="A591" s="157"/>
      <c r="F591" s="158"/>
    </row>
  </sheetData>
  <sheetProtection algorithmName="SHA-512" hashValue="PZeGNL9qChrpnEJHKOZsX5SuQdAoWOx0IlPrlRMRu6XW6oMFDMZIfQAcxj4F3StwCEiFvHJEqVIuFSEU5YlnKA==" saltValue="kQRswwSzB7QqQAbmVnxM9w==" spinCount="100000" sheet="1" objects="1" scenarios="1" formatCells="0" formatColumns="0" formatRows="0"/>
  <sortState xmlns:xlrd2="http://schemas.microsoft.com/office/spreadsheetml/2017/richdata2" columnSort="1" ref="G1:BI592">
    <sortCondition ref="G1:BI1"/>
  </sortState>
  <mergeCells count="106">
    <mergeCell ref="A1:E1"/>
    <mergeCell ref="B13:E13"/>
    <mergeCell ref="B16:E16"/>
    <mergeCell ref="B17:D17"/>
    <mergeCell ref="A18:A32"/>
    <mergeCell ref="B18:E18"/>
    <mergeCell ref="B19:E19"/>
    <mergeCell ref="B20:E20"/>
    <mergeCell ref="B21:E21"/>
    <mergeCell ref="B22:E22"/>
    <mergeCell ref="B23:E23"/>
    <mergeCell ref="B24:E24"/>
    <mergeCell ref="B28:E28"/>
    <mergeCell ref="B31:E31"/>
    <mergeCell ref="B32:D32"/>
    <mergeCell ref="A2:A17"/>
    <mergeCell ref="B2:E2"/>
    <mergeCell ref="B3:E3"/>
    <mergeCell ref="B4:E4"/>
    <mergeCell ref="B5:E5"/>
    <mergeCell ref="B6:E6"/>
    <mergeCell ref="B7:E7"/>
    <mergeCell ref="B8:E8"/>
    <mergeCell ref="B9:E9"/>
    <mergeCell ref="A33:A48"/>
    <mergeCell ref="B33:E33"/>
    <mergeCell ref="B34:E34"/>
    <mergeCell ref="B35:E35"/>
    <mergeCell ref="B36:E36"/>
    <mergeCell ref="B37:E37"/>
    <mergeCell ref="B59:E59"/>
    <mergeCell ref="B62:E62"/>
    <mergeCell ref="B38:E38"/>
    <mergeCell ref="B39:E39"/>
    <mergeCell ref="B40:E40"/>
    <mergeCell ref="B44:E44"/>
    <mergeCell ref="B47:E47"/>
    <mergeCell ref="B48:D48"/>
    <mergeCell ref="B50:E50"/>
    <mergeCell ref="B51:E51"/>
    <mergeCell ref="B52:E52"/>
    <mergeCell ref="B53:E53"/>
    <mergeCell ref="B54:E54"/>
    <mergeCell ref="B55:E55"/>
    <mergeCell ref="B63:D63"/>
    <mergeCell ref="A64:A78"/>
    <mergeCell ref="B64:E64"/>
    <mergeCell ref="B65:E65"/>
    <mergeCell ref="B66:E66"/>
    <mergeCell ref="B67:E67"/>
    <mergeCell ref="B68:E68"/>
    <mergeCell ref="B69:E69"/>
    <mergeCell ref="A49:A63"/>
    <mergeCell ref="B49:E49"/>
    <mergeCell ref="B90:E90"/>
    <mergeCell ref="B91:D91"/>
    <mergeCell ref="B70:E70"/>
    <mergeCell ref="B74:E74"/>
    <mergeCell ref="B77:E77"/>
    <mergeCell ref="B78:D78"/>
    <mergeCell ref="B103:E103"/>
    <mergeCell ref="B104:D104"/>
    <mergeCell ref="A79:A91"/>
    <mergeCell ref="B79:E79"/>
    <mergeCell ref="B80:E80"/>
    <mergeCell ref="B81:E81"/>
    <mergeCell ref="B82:E82"/>
    <mergeCell ref="B83:E83"/>
    <mergeCell ref="B84:E84"/>
    <mergeCell ref="B85:E85"/>
    <mergeCell ref="B132:E132"/>
    <mergeCell ref="B133:E133"/>
    <mergeCell ref="B112:E112"/>
    <mergeCell ref="B113:E113"/>
    <mergeCell ref="A92:A104"/>
    <mergeCell ref="B92:E92"/>
    <mergeCell ref="B93:E93"/>
    <mergeCell ref="B94:E94"/>
    <mergeCell ref="B95:E95"/>
    <mergeCell ref="B96:E96"/>
    <mergeCell ref="B97:E97"/>
    <mergeCell ref="B98:E98"/>
    <mergeCell ref="B139:E139"/>
    <mergeCell ref="B140:D140"/>
    <mergeCell ref="B130:E130"/>
    <mergeCell ref="B131:E131"/>
    <mergeCell ref="A105:A122"/>
    <mergeCell ref="B105:E105"/>
    <mergeCell ref="B106:E106"/>
    <mergeCell ref="B107:E107"/>
    <mergeCell ref="B108:E108"/>
    <mergeCell ref="B109:E109"/>
    <mergeCell ref="B110:E110"/>
    <mergeCell ref="B111:E111"/>
    <mergeCell ref="B114:E114"/>
    <mergeCell ref="B115:E115"/>
    <mergeCell ref="B121:D121"/>
    <mergeCell ref="B122:D122"/>
    <mergeCell ref="B128:E128"/>
    <mergeCell ref="B129:E129"/>
    <mergeCell ref="A123:A140"/>
    <mergeCell ref="B123:E123"/>
    <mergeCell ref="B124:E124"/>
    <mergeCell ref="B125:E125"/>
    <mergeCell ref="B126:E126"/>
    <mergeCell ref="B127:E127"/>
  </mergeCells>
  <phoneticPr fontId="43" type="noConversion"/>
  <dataValidations count="2">
    <dataValidation type="whole" allowBlank="1" showInputMessage="1" showErrorMessage="1" sqref="F26:F30 F60:F61 F57:F58 F42:F43 F72:F76 F100:F102 F135:F138 F117:F120 F65593:F65597 F131129:F131133 F196665:F196669 F262201:F262205 F327737:F327741 F393273:F393277 F458809:F458813 F524345:F524349 F589881:F589885 F655417:F655421 F720953:F720957 F786489:F786493 F852025:F852029 F917561:F917565 F983097:F983101 F11:F15 F65547:F65551 F131083:F131087 F196619:F196623 F262155:F262159 F327691:F327695 F393227:F393231 F458763:F458767 F524299:F524303 F589835:F589839 F655371:F655375 F720907:F720911 F786443:F786447 F851979:F851983 F917515:F917519 F983051:F983055 F65578:F65582 F131114:F131118 F196650:F196654 F262186:F262190 F327722:F327726 F393258:F393262 F458794:F458798 F524330:F524334 F589866:F589870 F655402:F655406 F720938:F720942 F786474:F786478 F852010:F852014 F917546:F917550 F983082:F983086 F65562:F65566 F131098:F131102 F196634:F196638 F262170:F262174 F327706:F327710 F393242:F393246 F458778:F458782 F524314:F524318 F589850:F589854 F655386:F655390 F720922:F720926 F786458:F786462 F851994:F851998 F917530:F917534 F983066:F983070 F65608:F65612 F131144:F131148 F196680:F196684 F262216:F262220 F327752:F327756 F393288:F393292 F458824:F458828 F524360:F524364 F589896:F589900 F655432:F655436 F720968:F720972 F786504:F786508 F852040:F852044 F917576:F917580 F983112:F983116 F65636:F65638 F131172:F131174 F196708:F196710 F262244:F262246 F327780:F327782 F393316:F393318 F458852:F458854 F524388:F524390 F589924:F589926 F655460:F655462 F720996:F720998 F786532:F786534 F852068:F852070 F917604:F917606 F983140:F983142 F65671:F65674 F131207:F131210 F196743:F196746 F262279:F262282 F327815:F327818 F393351:F393354 F458887:F458890 F524423:F524426 F589959:F589962 F655495:F655498 F721031:F721034 F786567:F786570 F852103:F852106 F917639:F917642 F983175:F983178 F65653:F65656 F131189:F131192 F196725:F196728 F262261:F262264 F327797:F327800 F393333:F393336 F458869:F458872 F524405:F524408 F589941:F589944 F655477:F655480 F721013:F721016 F786549:F786552 F852085:F852088 F917621:F917624 F983157:F983160 F65623:F65625 F131159:F131161 F196695:F196697 F262231:F262233 F327767:F327769 F393303:F393305 F458839:F458841 F524375:F524377 F589911:F589913 F655447:F655449 F720983:F720985 F786519:F786521 F852055:F852057 F917591:F917593 F983127:F983129 F87:F89 F45:F46" xr:uid="{00000000-0002-0000-0200-000000000000}">
      <formula1>0</formula1>
      <formula2>3</formula2>
    </dataValidation>
    <dataValidation type="textLength" allowBlank="1" showInputMessage="1" showErrorMessage="1" prompt="Mark with X if ongoing or recent" sqref="F131075:F131080 F196611:F196616 F262147:F262152 F327683:F327688 F393219:F393224 F458755:F458760 F524291:F524296 F589827:F589832 F655363:F655368 F720899:F720904 F786435:F786440 F851971:F851976 F917507:F917512 F983043:F983048 F3:F8 F65539:F65544" xr:uid="{00000000-0002-0000-0200-000001000000}">
      <formula1>1</formula1>
      <formula2>1</formula2>
    </dataValidation>
  </dataValidations>
  <pageMargins left="0.7" right="0.7" top="0.75" bottom="0.75" header="0.3" footer="0.3"/>
  <pageSetup orientation="portrait"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2">
    <tabColor indexed="11"/>
  </sheetPr>
  <dimension ref="A1:AF54"/>
  <sheetViews>
    <sheetView topLeftCell="A16" zoomScaleNormal="100" workbookViewId="0">
      <selection activeCell="G33" sqref="G33"/>
    </sheetView>
  </sheetViews>
  <sheetFormatPr defaultColWidth="5.83203125" defaultRowHeight="12.75" x14ac:dyDescent="0.2"/>
  <cols>
    <col min="1" max="1" width="48" style="11" customWidth="1"/>
    <col min="2" max="2" width="10.33203125" style="12" customWidth="1"/>
    <col min="3" max="3" width="9.83203125" style="12" customWidth="1"/>
    <col min="4" max="4" width="14.6640625" style="11" customWidth="1"/>
    <col min="5" max="5" width="9.1640625" style="11" customWidth="1"/>
    <col min="6" max="6" width="13.6640625" style="11" customWidth="1"/>
    <col min="7" max="7" width="11" style="11" customWidth="1"/>
    <col min="8" max="8" width="7.1640625" style="11" customWidth="1"/>
    <col min="9" max="9" width="10.33203125" style="11" customWidth="1"/>
    <col min="10" max="10" width="12.6640625" style="11" customWidth="1"/>
    <col min="11" max="11" width="10.5" style="11" customWidth="1"/>
    <col min="12" max="12" width="7.1640625" style="11" customWidth="1"/>
    <col min="13" max="13" width="10.1640625" style="11" customWidth="1"/>
    <col min="14" max="14" width="9.83203125" style="11" customWidth="1"/>
    <col min="15" max="16" width="7.1640625" style="11" customWidth="1"/>
    <col min="17" max="17" width="2.1640625" style="11" customWidth="1"/>
    <col min="18" max="18" width="2" style="11" customWidth="1"/>
    <col min="19" max="19" width="1.83203125" style="11" customWidth="1"/>
    <col min="20" max="20" width="5.83203125" style="11"/>
    <col min="21" max="21" width="4.6640625" style="11" customWidth="1"/>
    <col min="22" max="22" width="5.5" style="11" customWidth="1"/>
    <col min="23" max="23" width="4.5" style="11" customWidth="1"/>
    <col min="24" max="24" width="6.1640625" style="11" customWidth="1"/>
    <col min="25" max="25" width="2.6640625" style="11" customWidth="1"/>
    <col min="26" max="26" width="5.83203125" style="11"/>
    <col min="27" max="27" width="6.33203125" style="11" customWidth="1"/>
    <col min="28" max="28" width="7.1640625" style="11" customWidth="1"/>
    <col min="29" max="16384" width="5.83203125" style="11"/>
  </cols>
  <sheetData>
    <row r="1" spans="1:10" ht="26.25" customHeight="1" thickBot="1" x14ac:dyDescent="0.25">
      <c r="A1" s="868" t="s">
        <v>1079</v>
      </c>
      <c r="B1" s="869"/>
      <c r="C1" s="869"/>
      <c r="D1" s="869"/>
      <c r="E1" s="869"/>
      <c r="F1" s="869"/>
      <c r="G1" s="869"/>
      <c r="H1" s="869"/>
      <c r="I1" s="870"/>
      <c r="J1" s="583"/>
    </row>
    <row r="2" spans="1:10" x14ac:dyDescent="0.2">
      <c r="A2" s="626" t="s">
        <v>3665</v>
      </c>
      <c r="B2" s="871"/>
      <c r="C2" s="871"/>
      <c r="D2" s="871"/>
      <c r="E2" s="871"/>
      <c r="F2" s="871"/>
      <c r="G2" s="871"/>
      <c r="H2" s="871"/>
      <c r="I2" s="871"/>
      <c r="J2" s="586"/>
    </row>
    <row r="3" spans="1:10" x14ac:dyDescent="0.2">
      <c r="A3" s="627" t="s">
        <v>1067</v>
      </c>
      <c r="B3" s="872"/>
      <c r="C3" s="872"/>
      <c r="D3" s="872"/>
      <c r="E3" s="872"/>
      <c r="F3" s="872"/>
      <c r="G3" s="872"/>
      <c r="H3" s="872"/>
      <c r="I3" s="872"/>
      <c r="J3" s="586"/>
    </row>
    <row r="4" spans="1:10" x14ac:dyDescent="0.2">
      <c r="A4" s="627" t="s">
        <v>1068</v>
      </c>
      <c r="B4" s="872"/>
      <c r="C4" s="872"/>
      <c r="D4" s="872"/>
      <c r="E4" s="872"/>
      <c r="F4" s="872"/>
      <c r="G4" s="872"/>
      <c r="H4" s="872"/>
      <c r="I4" s="872"/>
      <c r="J4" s="586"/>
    </row>
    <row r="5" spans="1:10" x14ac:dyDescent="0.2">
      <c r="A5" s="627" t="s">
        <v>1069</v>
      </c>
      <c r="B5" s="872"/>
      <c r="C5" s="872"/>
      <c r="D5" s="872"/>
      <c r="E5" s="872"/>
      <c r="F5" s="872"/>
      <c r="G5" s="872"/>
      <c r="H5" s="872"/>
      <c r="I5" s="872"/>
      <c r="J5" s="586"/>
    </row>
    <row r="6" spans="1:10" x14ac:dyDescent="0.2">
      <c r="A6" s="627" t="s">
        <v>1070</v>
      </c>
      <c r="B6" s="872"/>
      <c r="C6" s="872"/>
      <c r="D6" s="872"/>
      <c r="E6" s="872"/>
      <c r="F6" s="872"/>
      <c r="G6" s="872"/>
      <c r="H6" s="872"/>
      <c r="I6" s="872"/>
      <c r="J6" s="586"/>
    </row>
    <row r="7" spans="1:10" x14ac:dyDescent="0.2">
      <c r="A7" s="627" t="s">
        <v>1071</v>
      </c>
      <c r="B7" s="872"/>
      <c r="C7" s="872"/>
      <c r="D7" s="872"/>
      <c r="E7" s="872"/>
      <c r="F7" s="872"/>
      <c r="G7" s="872"/>
      <c r="H7" s="872"/>
      <c r="I7" s="872"/>
      <c r="J7" s="586"/>
    </row>
    <row r="8" spans="1:10" x14ac:dyDescent="0.2">
      <c r="A8" s="627" t="s">
        <v>1072</v>
      </c>
      <c r="B8" s="872"/>
      <c r="C8" s="872"/>
      <c r="D8" s="872"/>
      <c r="E8" s="872"/>
      <c r="F8" s="872"/>
      <c r="G8" s="872"/>
      <c r="H8" s="872"/>
      <c r="I8" s="872"/>
      <c r="J8" s="586"/>
    </row>
    <row r="9" spans="1:10" ht="28.9" customHeight="1" x14ac:dyDescent="0.2">
      <c r="A9" s="627" t="s">
        <v>1073</v>
      </c>
      <c r="B9" s="872"/>
      <c r="C9" s="872"/>
      <c r="D9" s="872"/>
      <c r="E9" s="872"/>
      <c r="F9" s="872"/>
      <c r="G9" s="872"/>
      <c r="H9" s="872"/>
      <c r="I9" s="872"/>
      <c r="J9" s="586"/>
    </row>
    <row r="10" spans="1:10" x14ac:dyDescent="0.2">
      <c r="A10" s="627" t="s">
        <v>1074</v>
      </c>
      <c r="B10" s="872"/>
      <c r="C10" s="872"/>
      <c r="D10" s="872"/>
      <c r="E10" s="872"/>
      <c r="F10" s="872"/>
      <c r="G10" s="872"/>
      <c r="H10" s="872"/>
      <c r="I10" s="872"/>
      <c r="J10" s="586"/>
    </row>
    <row r="11" spans="1:10" x14ac:dyDescent="0.2">
      <c r="A11" s="627" t="s">
        <v>1075</v>
      </c>
      <c r="B11" s="872"/>
      <c r="C11" s="872"/>
      <c r="D11" s="872"/>
      <c r="E11" s="872"/>
      <c r="F11" s="872"/>
      <c r="G11" s="872"/>
      <c r="H11" s="872"/>
      <c r="I11" s="872"/>
      <c r="J11" s="586"/>
    </row>
    <row r="12" spans="1:10" ht="28.15" customHeight="1" x14ac:dyDescent="0.2">
      <c r="A12" s="628" t="s">
        <v>3666</v>
      </c>
      <c r="B12" s="872"/>
      <c r="C12" s="872"/>
      <c r="D12" s="872"/>
      <c r="E12" s="872"/>
      <c r="F12" s="872"/>
      <c r="G12" s="872"/>
      <c r="H12" s="872"/>
      <c r="I12" s="872"/>
      <c r="J12" s="586"/>
    </row>
    <row r="13" spans="1:10" ht="28.15" customHeight="1" x14ac:dyDescent="0.2">
      <c r="A13" s="628" t="s">
        <v>3667</v>
      </c>
      <c r="B13" s="872"/>
      <c r="C13" s="872"/>
      <c r="D13" s="872"/>
      <c r="E13" s="872"/>
      <c r="F13" s="872"/>
      <c r="G13" s="872"/>
      <c r="H13" s="872"/>
      <c r="I13" s="872"/>
      <c r="J13" s="586"/>
    </row>
    <row r="14" spans="1:10" ht="30" customHeight="1" x14ac:dyDescent="0.2">
      <c r="A14" s="628" t="s">
        <v>1076</v>
      </c>
      <c r="B14" s="872"/>
      <c r="C14" s="872"/>
      <c r="D14" s="872"/>
      <c r="E14" s="872"/>
      <c r="F14" s="872"/>
      <c r="G14" s="872"/>
      <c r="H14" s="872"/>
      <c r="I14" s="872"/>
      <c r="J14" s="586"/>
    </row>
    <row r="15" spans="1:10" ht="25.5" x14ac:dyDescent="0.2">
      <c r="A15" s="628" t="s">
        <v>1077</v>
      </c>
      <c r="B15" s="872"/>
      <c r="C15" s="872"/>
      <c r="D15" s="872"/>
      <c r="E15" s="872"/>
      <c r="F15" s="872"/>
      <c r="G15" s="872"/>
      <c r="H15" s="872"/>
      <c r="I15" s="872"/>
      <c r="J15" s="586"/>
    </row>
    <row r="16" spans="1:10" ht="28.5" customHeight="1" thickBot="1" x14ac:dyDescent="0.25">
      <c r="A16" s="597"/>
      <c r="B16" s="598"/>
      <c r="C16" s="598"/>
      <c r="D16" s="598"/>
      <c r="E16" s="598"/>
      <c r="F16" s="598"/>
      <c r="G16" s="598"/>
      <c r="H16" s="598"/>
      <c r="I16" s="598"/>
      <c r="J16" s="586"/>
    </row>
    <row r="17" spans="1:32" ht="28.15" customHeight="1" thickBot="1" x14ac:dyDescent="0.25">
      <c r="A17" s="882" t="s">
        <v>3574</v>
      </c>
      <c r="B17" s="883"/>
      <c r="C17" s="883"/>
      <c r="D17" s="883"/>
      <c r="E17" s="883"/>
      <c r="F17" s="883"/>
      <c r="G17" s="883"/>
      <c r="H17" s="629"/>
      <c r="I17" s="629"/>
      <c r="J17" s="700"/>
      <c r="K17" s="876" t="s">
        <v>3563</v>
      </c>
      <c r="L17" s="877"/>
      <c r="M17" s="878"/>
      <c r="N17" s="879" t="s">
        <v>3564</v>
      </c>
      <c r="O17" s="880"/>
      <c r="P17" s="881"/>
    </row>
    <row r="18" spans="1:32" ht="45.6" customHeight="1" thickBot="1" x14ac:dyDescent="0.25">
      <c r="A18" s="873" t="s">
        <v>3671</v>
      </c>
      <c r="B18" s="874"/>
      <c r="C18" s="875"/>
      <c r="D18" s="629"/>
      <c r="E18" s="629"/>
      <c r="F18" s="629"/>
      <c r="G18" s="629"/>
      <c r="H18" s="629"/>
      <c r="I18" s="629"/>
      <c r="J18" s="701"/>
      <c r="K18" s="1081" t="s">
        <v>3656</v>
      </c>
      <c r="L18" s="1082" t="s">
        <v>3566</v>
      </c>
      <c r="M18" s="1083"/>
      <c r="N18" s="1081" t="s">
        <v>3657</v>
      </c>
      <c r="O18" s="1082" t="s">
        <v>3661</v>
      </c>
      <c r="P18" s="1083"/>
      <c r="Q18" s="584"/>
      <c r="R18" s="584"/>
      <c r="S18" s="584"/>
      <c r="T18" s="604"/>
      <c r="U18" s="603"/>
      <c r="V18" s="603"/>
      <c r="W18" s="603"/>
      <c r="X18" s="603"/>
      <c r="Y18" s="584"/>
    </row>
    <row r="19" spans="1:32" ht="45" customHeight="1" thickBot="1" x14ac:dyDescent="0.3">
      <c r="A19" s="623" t="s">
        <v>718</v>
      </c>
      <c r="B19" s="1110" t="s">
        <v>3654</v>
      </c>
      <c r="C19" s="1111" t="s">
        <v>3655</v>
      </c>
      <c r="D19" s="1044" t="s">
        <v>3561</v>
      </c>
      <c r="E19" s="1045" t="s">
        <v>3565</v>
      </c>
      <c r="F19" s="1046" t="s">
        <v>3562</v>
      </c>
      <c r="G19" s="1047" t="s">
        <v>3567</v>
      </c>
      <c r="H19" s="697" t="s">
        <v>3670</v>
      </c>
      <c r="I19" s="1108" t="s">
        <v>3668</v>
      </c>
      <c r="J19" s="1109" t="s">
        <v>3669</v>
      </c>
      <c r="K19" s="1084"/>
      <c r="L19" s="1085" t="s">
        <v>3658</v>
      </c>
      <c r="M19" s="1086" t="s">
        <v>3659</v>
      </c>
      <c r="N19" s="1084"/>
      <c r="O19" s="1085" t="s">
        <v>3658</v>
      </c>
      <c r="P19" s="1086" t="s">
        <v>3660</v>
      </c>
      <c r="Q19" s="584"/>
      <c r="R19" s="584"/>
      <c r="S19" s="584"/>
      <c r="T19" s="1049"/>
      <c r="U19" s="1050" t="s">
        <v>3568</v>
      </c>
      <c r="V19" s="1050" t="s">
        <v>3569</v>
      </c>
      <c r="W19" s="1050" t="s">
        <v>3570</v>
      </c>
      <c r="X19" s="1051" t="s">
        <v>3571</v>
      </c>
      <c r="Y19" s="624"/>
      <c r="Z19" s="1058"/>
      <c r="AA19" s="1059" t="s">
        <v>3663</v>
      </c>
      <c r="AB19" s="1060" t="s">
        <v>3664</v>
      </c>
      <c r="AC19" s="590"/>
      <c r="AD19" s="590"/>
      <c r="AE19" s="590"/>
      <c r="AF19" s="590"/>
    </row>
    <row r="20" spans="1:32" ht="15" customHeight="1" x14ac:dyDescent="0.2">
      <c r="A20" s="622" t="s">
        <v>813</v>
      </c>
      <c r="B20" s="1068">
        <f>IF((SUM(OF!D4:'OF'!D6)=0),"", SR!G88)</f>
        <v>6.8888888888888902</v>
      </c>
      <c r="C20" s="1069">
        <f>IF((SUM(OF!D5:'OF'!D7)=0),"",SR!G89)</f>
        <v>10</v>
      </c>
      <c r="D20" s="664">
        <f t="shared" ref="D20:D26" si="0">IF((B20=""),"", IF((B20&lt;U20),0, IF((B20&gt;V20),10, 10*(B20-U20)/(V20-U20))))</f>
        <v>5.851851851851853</v>
      </c>
      <c r="E20" s="671" t="str">
        <f t="shared" ref="E20:E26" si="1">IF((D20=""),"",IF((D20&lt;=L20),"Low",IF((D20&gt;M20),"High","Moderate")))</f>
        <v>Moderate</v>
      </c>
      <c r="F20" s="687">
        <f>IF((C20=""),"", IF((C20&lt;W20),0, IF((C20&gt;X20),10, 10*(C20-W20)/(X20-W20))))</f>
        <v>10</v>
      </c>
      <c r="G20" s="688" t="str">
        <f>IF((F20=""),"",IF((F20&lt;=O20),"Low",IF((F20&gt;=P20),"High","Moderate")))</f>
        <v>High</v>
      </c>
      <c r="H20" s="689">
        <f>IFERROR(AVERAGE(D20,F20),"")</f>
        <v>7.9259259259259265</v>
      </c>
      <c r="I20" s="690">
        <f>IF((D20&gt;F20),D20,H20)</f>
        <v>7.9259259259259265</v>
      </c>
      <c r="J20" s="706">
        <f>IF((I20&lt;AA20),0, IF((I20&gt;AB20), 10, 10*(I20-AA20)/(AB20-AA20)))</f>
        <v>7.6269175353843561</v>
      </c>
      <c r="K20" s="1087">
        <v>4.1111111111111089</v>
      </c>
      <c r="L20" s="1088">
        <v>3.56</v>
      </c>
      <c r="M20" s="1089">
        <v>5.96</v>
      </c>
      <c r="N20" s="1090">
        <v>5.2184466019417481</v>
      </c>
      <c r="O20" s="1088">
        <v>5.22</v>
      </c>
      <c r="P20" s="1091">
        <v>10</v>
      </c>
      <c r="Q20" s="584"/>
      <c r="R20" s="584"/>
      <c r="S20" s="584"/>
      <c r="T20" s="1052" t="s">
        <v>35</v>
      </c>
      <c r="U20" s="1053">
        <v>2.5</v>
      </c>
      <c r="V20" s="1053">
        <v>10</v>
      </c>
      <c r="W20" s="1053">
        <v>1.4166666666666665</v>
      </c>
      <c r="X20" s="1054">
        <v>10</v>
      </c>
      <c r="Y20" s="625"/>
      <c r="Z20" s="1061" t="s">
        <v>35</v>
      </c>
      <c r="AA20" s="1062">
        <v>1.26</v>
      </c>
      <c r="AB20" s="1063">
        <v>10</v>
      </c>
      <c r="AC20" s="605"/>
      <c r="AD20" s="605"/>
      <c r="AE20" s="605"/>
      <c r="AF20" s="605"/>
    </row>
    <row r="21" spans="1:32" ht="15" customHeight="1" x14ac:dyDescent="0.2">
      <c r="A21" s="175" t="s">
        <v>449</v>
      </c>
      <c r="B21" s="1070">
        <f>IF((SUM(OF!D5:'OF'!D7)=0),"", CS!G68)</f>
        <v>5.6277777777777782</v>
      </c>
      <c r="C21" s="1071"/>
      <c r="D21" s="667">
        <f t="shared" si="0"/>
        <v>1.5753424657534276</v>
      </c>
      <c r="E21" s="673" t="str">
        <f t="shared" si="1"/>
        <v>Low</v>
      </c>
      <c r="F21" s="674"/>
      <c r="G21" s="675"/>
      <c r="H21" s="662">
        <f>D21</f>
        <v>1.5753424657534276</v>
      </c>
      <c r="I21" s="666">
        <f t="shared" ref="I21:I26" si="2">IF((D21&gt;F21),D21,H21)</f>
        <v>1.5753424657534276</v>
      </c>
      <c r="J21" s="702">
        <f t="shared" ref="J21:J26" si="3">IF((I21&lt;AA21),0, IF((I21&gt;AB21), 10, 10*(I21-AA21)/(AB21-AA21)))</f>
        <v>0.31648559282003175</v>
      </c>
      <c r="K21" s="1092">
        <v>3.3997509339975087</v>
      </c>
      <c r="L21" s="1093">
        <v>2.65</v>
      </c>
      <c r="M21" s="1093">
        <v>5.62</v>
      </c>
      <c r="N21" s="1094"/>
      <c r="O21" s="1095"/>
      <c r="P21" s="1094"/>
      <c r="Q21" s="584"/>
      <c r="R21" s="584"/>
      <c r="S21" s="584"/>
      <c r="T21" s="1052" t="s">
        <v>42</v>
      </c>
      <c r="U21" s="1053">
        <v>4.9249999999999989</v>
      </c>
      <c r="V21" s="1053">
        <v>9.3861111111111111</v>
      </c>
      <c r="W21" s="1053"/>
      <c r="X21" s="1054"/>
      <c r="Y21" s="624"/>
      <c r="Z21" s="1061" t="s">
        <v>42</v>
      </c>
      <c r="AA21" s="1053">
        <v>1.3</v>
      </c>
      <c r="AB21" s="1054">
        <v>10</v>
      </c>
      <c r="AC21" s="605"/>
      <c r="AD21" s="605"/>
      <c r="AE21" s="605"/>
      <c r="AF21" s="605"/>
    </row>
    <row r="22" spans="1:32" ht="16.5" x14ac:dyDescent="0.2">
      <c r="A22" s="175" t="s">
        <v>1114</v>
      </c>
      <c r="B22" s="1070">
        <f>IF((SUM(OF!D5:'OF'!D7)=0),"",  OE!G51)</f>
        <v>6.1366161616161623</v>
      </c>
      <c r="C22" s="1071"/>
      <c r="D22" s="667">
        <f t="shared" si="0"/>
        <v>7.1718112658960385</v>
      </c>
      <c r="E22" s="673" t="str">
        <f t="shared" si="1"/>
        <v>High</v>
      </c>
      <c r="F22" s="674"/>
      <c r="G22" s="675"/>
      <c r="H22" s="662">
        <f t="shared" ref="H22:H26" si="4">IFERROR(AVERAGE(D22,F22),"")</f>
        <v>7.1718112658960385</v>
      </c>
      <c r="I22" s="666">
        <f t="shared" si="2"/>
        <v>7.1718112658960385</v>
      </c>
      <c r="J22" s="702">
        <f t="shared" si="3"/>
        <v>7.1718112658960376</v>
      </c>
      <c r="K22" s="1092">
        <v>5.7223307665785548</v>
      </c>
      <c r="L22" s="1096">
        <v>3.81</v>
      </c>
      <c r="M22" s="1093">
        <v>6.8</v>
      </c>
      <c r="N22" s="1094"/>
      <c r="O22" s="1095"/>
      <c r="P22" s="1094"/>
      <c r="Q22" s="584"/>
      <c r="R22" s="584"/>
      <c r="S22" s="584"/>
      <c r="T22" s="1052" t="s">
        <v>47</v>
      </c>
      <c r="U22" s="1053">
        <v>2.9287247474747473</v>
      </c>
      <c r="V22" s="1053">
        <v>7.4016414141414133</v>
      </c>
      <c r="W22" s="1053"/>
      <c r="X22" s="1054"/>
      <c r="Y22" s="624"/>
      <c r="Z22" s="1061" t="s">
        <v>47</v>
      </c>
      <c r="AA22" s="1053">
        <v>0</v>
      </c>
      <c r="AB22" s="1054">
        <v>10</v>
      </c>
      <c r="AC22" s="605"/>
      <c r="AD22" s="605"/>
      <c r="AE22" s="605"/>
      <c r="AF22" s="605"/>
    </row>
    <row r="23" spans="1:32" ht="16.5" x14ac:dyDescent="0.2">
      <c r="A23" s="175" t="s">
        <v>450</v>
      </c>
      <c r="B23" s="1070">
        <f>IF((SUM(OF!D5:'OF'!D7)=0),"", FA!G124)</f>
        <v>5.3935185185185173</v>
      </c>
      <c r="C23" s="1072">
        <f>IF((SUM(OF!D5:'OF'!D7)=0),"", FA!G125)</f>
        <v>10</v>
      </c>
      <c r="D23" s="667">
        <f t="shared" si="0"/>
        <v>9.6972507610350043</v>
      </c>
      <c r="E23" s="673" t="str">
        <f t="shared" si="1"/>
        <v>High</v>
      </c>
      <c r="F23" s="668">
        <f>IF((C23=""),"", IF((C23&lt;W23),0, IF((C23&gt;X23),10, 10*(C23-W23)/(X23-W23))))</f>
        <v>10</v>
      </c>
      <c r="G23" s="676" t="str">
        <f>IF((F23=""),"",IF((F23&lt;=O23),"Low",IF((F23&gt;=P23),"High","Moderate")))</f>
        <v>High</v>
      </c>
      <c r="H23" s="662">
        <f t="shared" si="4"/>
        <v>9.8486253805175021</v>
      </c>
      <c r="I23" s="666">
        <f t="shared" si="2"/>
        <v>9.8486253805175021</v>
      </c>
      <c r="J23" s="702">
        <f t="shared" si="3"/>
        <v>9.8486253805175021</v>
      </c>
      <c r="K23" s="1092">
        <v>6.9503900304413975</v>
      </c>
      <c r="L23" s="1093">
        <v>6.12</v>
      </c>
      <c r="M23" s="1093">
        <v>7.64</v>
      </c>
      <c r="N23" s="1097">
        <v>5</v>
      </c>
      <c r="O23" s="1093">
        <v>3.56</v>
      </c>
      <c r="P23" s="1098">
        <v>6.67</v>
      </c>
      <c r="Q23" s="584"/>
      <c r="R23" s="584"/>
      <c r="S23" s="584"/>
      <c r="T23" s="1052" t="s">
        <v>66</v>
      </c>
      <c r="U23" s="1053">
        <v>0</v>
      </c>
      <c r="V23" s="1053">
        <v>5.5619047619047626</v>
      </c>
      <c r="W23" s="1053">
        <v>0</v>
      </c>
      <c r="X23" s="1054">
        <v>10</v>
      </c>
      <c r="Y23" s="624"/>
      <c r="Z23" s="1061" t="s">
        <v>66</v>
      </c>
      <c r="AA23" s="1062">
        <v>0</v>
      </c>
      <c r="AB23" s="1063">
        <v>10</v>
      </c>
      <c r="AC23" s="605"/>
      <c r="AD23" s="605"/>
      <c r="AE23" s="605"/>
      <c r="AF23" s="605"/>
    </row>
    <row r="24" spans="1:32" ht="16.5" x14ac:dyDescent="0.2">
      <c r="A24" s="175" t="s">
        <v>451</v>
      </c>
      <c r="B24" s="1070">
        <f>IF((SUM(OF!D5:'OF'!D7)=0),"", WBF!G133)</f>
        <v>6.5665784832451486</v>
      </c>
      <c r="C24" s="1072">
        <f>IF((SUM(OF!D5:'OF'!D7)=0),"",WBF!G134)</f>
        <v>5.333333333333333</v>
      </c>
      <c r="D24" s="667">
        <f t="shared" si="0"/>
        <v>7.3786939073330826</v>
      </c>
      <c r="E24" s="673" t="str">
        <f t="shared" si="1"/>
        <v>High</v>
      </c>
      <c r="F24" s="668">
        <f>IF((C24=""),"", IF((C24&lt;W24),0, IF((C24&gt;X24),10, 10*(C24-W24)/(X24-W24))))</f>
        <v>0.66666666666666607</v>
      </c>
      <c r="G24" s="676" t="str">
        <f>IF((F24=""),"",IF((F24&lt;=O24),"Low",IF((F24&gt;=P24),"High","Moderate")))</f>
        <v>Moderate</v>
      </c>
      <c r="H24" s="662">
        <f t="shared" si="4"/>
        <v>4.0226802869998739</v>
      </c>
      <c r="I24" s="666">
        <f t="shared" si="2"/>
        <v>7.3786939073330826</v>
      </c>
      <c r="J24" s="702">
        <f t="shared" si="3"/>
        <v>7.3786939073330826</v>
      </c>
      <c r="K24" s="1092">
        <v>4.1152863918278024</v>
      </c>
      <c r="L24" s="1093">
        <v>3.34</v>
      </c>
      <c r="M24" s="1093">
        <v>5.88</v>
      </c>
      <c r="N24" s="1097">
        <v>0</v>
      </c>
      <c r="O24" s="1093">
        <v>0</v>
      </c>
      <c r="P24" s="1098">
        <v>0.67</v>
      </c>
      <c r="Q24" s="584"/>
      <c r="R24" s="584"/>
      <c r="S24" s="584"/>
      <c r="T24" s="1052" t="s">
        <v>51</v>
      </c>
      <c r="U24" s="1053">
        <v>4.7830687830687832</v>
      </c>
      <c r="V24" s="1053">
        <v>7.2001763668430341</v>
      </c>
      <c r="W24" s="1053">
        <v>5</v>
      </c>
      <c r="X24" s="1054">
        <v>10</v>
      </c>
      <c r="Y24" s="624"/>
      <c r="Z24" s="1061" t="s">
        <v>51</v>
      </c>
      <c r="AA24" s="1062">
        <v>0</v>
      </c>
      <c r="AB24" s="1063">
        <v>10</v>
      </c>
      <c r="AC24" s="605"/>
      <c r="AD24" s="605"/>
      <c r="AE24" s="605"/>
      <c r="AF24" s="605"/>
    </row>
    <row r="25" spans="1:32" ht="16.5" x14ac:dyDescent="0.2">
      <c r="A25" s="175" t="s">
        <v>753</v>
      </c>
      <c r="B25" s="1070">
        <f>IF((SUM(OF!D5:'OF'!D7)=0),"", SBM!G110)</f>
        <v>3.0370370370370363</v>
      </c>
      <c r="C25" s="1072">
        <f>IF((SUM(OF!D5:'OF'!D7)=0),"",SBM!G111)</f>
        <v>1</v>
      </c>
      <c r="D25" s="667">
        <f t="shared" si="0"/>
        <v>2.0748663101604268</v>
      </c>
      <c r="E25" s="673" t="str">
        <f t="shared" si="1"/>
        <v>Low</v>
      </c>
      <c r="F25" s="668">
        <f>IF((C25=""),"", IF((C25&lt;W25),0, IF((C25&gt;X25),10, 10*(C25-W25)/(X25-W25))))</f>
        <v>0</v>
      </c>
      <c r="G25" s="676" t="str">
        <f>IF((F25=""),"",IF((F25&lt;=O25),"Low",IF((F25&gt;=P25),"High","Moderate")))</f>
        <v>Low</v>
      </c>
      <c r="H25" s="662">
        <f t="shared" si="4"/>
        <v>1.0374331550802134</v>
      </c>
      <c r="I25" s="666">
        <f t="shared" si="2"/>
        <v>2.0748663101604268</v>
      </c>
      <c r="J25" s="702">
        <f t="shared" si="3"/>
        <v>1.3857242501743769</v>
      </c>
      <c r="K25" s="1092">
        <v>5.7912910618792965</v>
      </c>
      <c r="L25" s="1093">
        <v>2.98</v>
      </c>
      <c r="M25" s="1093">
        <v>6.41</v>
      </c>
      <c r="N25" s="1097">
        <v>0</v>
      </c>
      <c r="O25" s="1093">
        <v>0</v>
      </c>
      <c r="P25" s="1098">
        <v>10</v>
      </c>
      <c r="Q25" s="584"/>
      <c r="R25" s="584"/>
      <c r="S25" s="584"/>
      <c r="T25" s="1052" t="s">
        <v>53</v>
      </c>
      <c r="U25" s="1053">
        <v>1.5401234567901234</v>
      </c>
      <c r="V25" s="1053">
        <v>8.7546296296296298</v>
      </c>
      <c r="W25" s="1053">
        <v>1</v>
      </c>
      <c r="X25" s="1054">
        <v>10</v>
      </c>
      <c r="Y25" s="624"/>
      <c r="Z25" s="1061" t="s">
        <v>53</v>
      </c>
      <c r="AA25" s="1062">
        <v>0.8</v>
      </c>
      <c r="AB25" s="1063">
        <v>10</v>
      </c>
      <c r="AC25" s="605"/>
      <c r="AD25" s="605"/>
      <c r="AE25" s="605"/>
      <c r="AF25" s="605"/>
    </row>
    <row r="26" spans="1:32" ht="17.25" thickBot="1" x14ac:dyDescent="0.25">
      <c r="A26" s="176" t="s">
        <v>691</v>
      </c>
      <c r="B26" s="1073">
        <f>IF((SUM(OF!D5:'OF'!D7)=0),"", PH!G124)</f>
        <v>3.6508948817622286</v>
      </c>
      <c r="C26" s="1074">
        <f>IF((SUM(OF!D5:'OF'!D7)=0),"",PH!G125)</f>
        <v>1</v>
      </c>
      <c r="D26" s="667">
        <f t="shared" si="0"/>
        <v>1.800940619966426</v>
      </c>
      <c r="E26" s="673" t="str">
        <f t="shared" si="1"/>
        <v>Low</v>
      </c>
      <c r="F26" s="668">
        <f>IF((C26=""),"", IF((C26&lt;W26),0, IF((C26&gt;X26),10, 10*(C26-W26)/(X26-W26))))</f>
        <v>0</v>
      </c>
      <c r="G26" s="676" t="str">
        <f>IF((F26=""),"",IF((F26&lt;=O26),"Low",IF((F26&gt;=P26),"High","Moderate")))</f>
        <v>Low</v>
      </c>
      <c r="H26" s="662">
        <f t="shared" si="4"/>
        <v>0.90047030998321298</v>
      </c>
      <c r="I26" s="666">
        <f t="shared" si="2"/>
        <v>1.800940619966426</v>
      </c>
      <c r="J26" s="702">
        <f t="shared" si="3"/>
        <v>1.5211381799032324</v>
      </c>
      <c r="K26" s="1092">
        <v>5.1361995962946096</v>
      </c>
      <c r="L26" s="1093">
        <v>2.93</v>
      </c>
      <c r="M26" s="1093">
        <v>6.42</v>
      </c>
      <c r="N26" s="1097">
        <v>2.5925925925925926</v>
      </c>
      <c r="O26" s="1093">
        <v>2.59</v>
      </c>
      <c r="P26" s="1098">
        <v>6.3</v>
      </c>
      <c r="Q26" s="584"/>
      <c r="R26" s="584"/>
      <c r="S26" s="584"/>
      <c r="T26" s="1052" t="s">
        <v>57</v>
      </c>
      <c r="U26" s="1053">
        <v>2.5779073534175572</v>
      </c>
      <c r="V26" s="1053">
        <v>8.5358357628765802</v>
      </c>
      <c r="W26" s="1053">
        <v>1</v>
      </c>
      <c r="X26" s="1054">
        <v>10</v>
      </c>
      <c r="Y26" s="624"/>
      <c r="Z26" s="1061" t="s">
        <v>57</v>
      </c>
      <c r="AA26" s="1062">
        <v>0.33</v>
      </c>
      <c r="AB26" s="1063">
        <v>10</v>
      </c>
      <c r="AC26" s="605"/>
      <c r="AD26" s="605"/>
      <c r="AE26" s="605"/>
      <c r="AF26" s="605"/>
    </row>
    <row r="27" spans="1:32" ht="17.25" thickBot="1" x14ac:dyDescent="0.25">
      <c r="A27" s="178" t="s">
        <v>3653</v>
      </c>
      <c r="B27" s="1075">
        <f>SUM(OF!D15:D19)</f>
        <v>1</v>
      </c>
      <c r="C27" s="1076"/>
      <c r="D27" s="681"/>
      <c r="E27" s="669"/>
      <c r="F27" s="682" t="str">
        <f>IF((C27=""),"", IF((#REF!&lt;0),0, IF((#REF!&gt;10),10,#REF!)))</f>
        <v/>
      </c>
      <c r="G27" s="669"/>
      <c r="H27" s="681"/>
      <c r="I27" s="683"/>
      <c r="J27" s="703"/>
      <c r="K27" s="703"/>
      <c r="L27" s="703"/>
      <c r="M27" s="703"/>
      <c r="N27" s="703"/>
      <c r="O27" s="703"/>
      <c r="P27" s="703"/>
      <c r="Q27" s="584"/>
      <c r="R27" s="584"/>
      <c r="S27" s="584"/>
      <c r="T27" s="1052"/>
      <c r="U27" s="1053"/>
      <c r="V27" s="1053"/>
      <c r="W27" s="1053"/>
      <c r="X27" s="1054"/>
      <c r="Y27" s="624"/>
      <c r="Z27" s="1064"/>
      <c r="AA27" s="1065"/>
      <c r="AB27" s="1066"/>
      <c r="AC27" s="605"/>
      <c r="AD27" s="605"/>
      <c r="AE27" s="605"/>
      <c r="AF27" s="605"/>
    </row>
    <row r="28" spans="1:32" ht="16.5" x14ac:dyDescent="0.2">
      <c r="A28" s="177" t="s">
        <v>717</v>
      </c>
      <c r="B28" s="1077"/>
      <c r="C28" s="1078">
        <f>IF((SUM(OF!D5:'OF'!D7)=0),"",PU!G48)</f>
        <v>3.458333333333333</v>
      </c>
      <c r="D28" s="677"/>
      <c r="E28" s="691"/>
      <c r="F28" s="665">
        <f>IF((C28=""),"", IF((C28&lt;W28),0, IF((C28&gt;X28),10, 10*(C28-W28)/(X28-W28))))</f>
        <v>3.3027522935779818</v>
      </c>
      <c r="G28" s="672" t="str">
        <f>IF((F28=""),"",IF((F28&lt;=O28),"Low",IF((F28&gt;=P28),"High","Moderate")))</f>
        <v>Moderate</v>
      </c>
      <c r="H28" s="661">
        <f>F28</f>
        <v>3.3027522935779818</v>
      </c>
      <c r="I28" s="692">
        <f>F28</f>
        <v>3.3027522935779818</v>
      </c>
      <c r="J28" s="704">
        <f t="shared" ref="J28:J31" si="5">IF((I28&lt;AA28),0, IF((I28&gt;AB28), 10, 10*(I28-AA28)/(AB28-AA28)))</f>
        <v>0.61569366496158473</v>
      </c>
      <c r="K28" s="703"/>
      <c r="L28" s="703"/>
      <c r="M28" s="703"/>
      <c r="N28" s="1099">
        <v>4.4036697247706442</v>
      </c>
      <c r="O28" s="1100">
        <v>3.3</v>
      </c>
      <c r="P28" s="1101">
        <v>6.24</v>
      </c>
      <c r="Q28" s="584"/>
      <c r="R28" s="584"/>
      <c r="S28" s="584"/>
      <c r="T28" s="1052" t="s">
        <v>59</v>
      </c>
      <c r="U28" s="1053"/>
      <c r="V28" s="1053"/>
      <c r="W28" s="1053">
        <v>1.9583333333333333</v>
      </c>
      <c r="X28" s="1054">
        <v>6.4999999999999991</v>
      </c>
      <c r="Y28" s="624"/>
      <c r="Z28" s="1061" t="s">
        <v>59</v>
      </c>
      <c r="AA28" s="1053">
        <v>3.03</v>
      </c>
      <c r="AB28" s="1054">
        <v>7.46</v>
      </c>
      <c r="AC28" s="605"/>
      <c r="AD28" s="605"/>
      <c r="AE28" s="605"/>
      <c r="AF28" s="605"/>
    </row>
    <row r="29" spans="1:32" ht="17.25" thickBot="1" x14ac:dyDescent="0.25">
      <c r="A29" s="176" t="s">
        <v>486</v>
      </c>
      <c r="B29" s="1073"/>
      <c r="C29" s="1074">
        <f>IF((SUM(OF!D5:'OF'!D7)=0),"",Subsis!G33)</f>
        <v>5.1851851851851851</v>
      </c>
      <c r="D29" s="693"/>
      <c r="E29" s="694"/>
      <c r="F29" s="670">
        <f>IF((C29=""),"", IF((C29&lt;W29),0, IF((C29&gt;X29),10, 10*(C29-W29)/(X29-W29))))</f>
        <v>7.7777777777777777</v>
      </c>
      <c r="G29" s="680" t="str">
        <f>IF((F29=""),"",IF((F29&lt;=O29),"Low",IF((F29&gt;=P29),"High","Moderate")))</f>
        <v>High</v>
      </c>
      <c r="H29" s="695">
        <f t="shared" ref="H29:H31" si="6">F29</f>
        <v>7.7777777777777777</v>
      </c>
      <c r="I29" s="696">
        <f t="shared" ref="I29:I31" si="7">F29</f>
        <v>7.7777777777777777</v>
      </c>
      <c r="J29" s="705">
        <f t="shared" si="5"/>
        <v>7.7777777777777768</v>
      </c>
      <c r="K29" s="703"/>
      <c r="L29" s="703"/>
      <c r="M29" s="703"/>
      <c r="N29" s="1102">
        <v>4.1666666666666661</v>
      </c>
      <c r="O29" s="1103">
        <v>4.72</v>
      </c>
      <c r="P29" s="1104">
        <v>7.22</v>
      </c>
      <c r="Q29" s="584"/>
      <c r="R29" s="584"/>
      <c r="S29" s="584"/>
      <c r="T29" s="1052" t="s">
        <v>3572</v>
      </c>
      <c r="U29" s="1053"/>
      <c r="V29" s="1053"/>
      <c r="W29" s="1053">
        <v>0</v>
      </c>
      <c r="X29" s="1054">
        <v>6.6666666666666661</v>
      </c>
      <c r="Y29" s="624"/>
      <c r="Z29" s="1061" t="s">
        <v>3572</v>
      </c>
      <c r="AA29" s="1053">
        <v>0</v>
      </c>
      <c r="AB29" s="1054">
        <v>10</v>
      </c>
      <c r="AC29" s="605"/>
      <c r="AD29" s="605"/>
      <c r="AE29" s="605"/>
      <c r="AF29" s="605"/>
    </row>
    <row r="30" spans="1:32" ht="27" x14ac:dyDescent="0.2">
      <c r="A30" s="684" t="s">
        <v>3672</v>
      </c>
      <c r="B30" s="1079"/>
      <c r="C30" s="1069">
        <f>IF((SUM(OF!D5:'OF'!D7)=0),"",Sens!G57)</f>
        <v>3.8</v>
      </c>
      <c r="D30" s="685"/>
      <c r="E30" s="686"/>
      <c r="F30" s="687">
        <f>IF((C30=""),"", IF((C30&lt;W30),0, IF((C30&gt;X30),10, 10*(C30-W30)/(X30-W30))))</f>
        <v>3.4951456310679614</v>
      </c>
      <c r="G30" s="688" t="str">
        <f>IF((F30=""),"",IF((F30&lt;=O30),"Low",IF((F30&gt;=P30),"High","Moderate")))</f>
        <v>Moderate</v>
      </c>
      <c r="H30" s="689">
        <f t="shared" si="6"/>
        <v>3.4951456310679614</v>
      </c>
      <c r="I30" s="690">
        <f t="shared" si="7"/>
        <v>3.4951456310679614</v>
      </c>
      <c r="J30" s="706">
        <f t="shared" si="5"/>
        <v>2.8292016212649647</v>
      </c>
      <c r="K30" s="703"/>
      <c r="L30" s="703"/>
      <c r="M30" s="703"/>
      <c r="N30" s="1105">
        <v>3.2038834951456314</v>
      </c>
      <c r="O30" s="1106">
        <v>2.48</v>
      </c>
      <c r="P30" s="1107">
        <v>4.42</v>
      </c>
      <c r="Q30" s="584"/>
      <c r="R30" s="584"/>
      <c r="S30" s="584"/>
      <c r="T30" s="1052" t="s">
        <v>3573</v>
      </c>
      <c r="U30" s="1053"/>
      <c r="V30" s="1053"/>
      <c r="W30" s="1053">
        <v>2.2000000000000002</v>
      </c>
      <c r="X30" s="1054">
        <v>6.7777777777777768</v>
      </c>
      <c r="Y30" s="624"/>
      <c r="Z30" s="1061" t="s">
        <v>3573</v>
      </c>
      <c r="AA30" s="1053">
        <v>2.2000000000000002</v>
      </c>
      <c r="AB30" s="1054">
        <v>6.7777777777777768</v>
      </c>
      <c r="AC30" s="605"/>
      <c r="AD30" s="605"/>
      <c r="AE30" s="605"/>
      <c r="AF30" s="605"/>
    </row>
    <row r="31" spans="1:32" ht="27.75" thickBot="1" x14ac:dyDescent="0.25">
      <c r="A31" s="663" t="s">
        <v>3673</v>
      </c>
      <c r="B31" s="1080"/>
      <c r="C31" s="1074">
        <f>IF((SUM(OF!D5:'OF'!D7)=0),"",STR!G82)</f>
        <v>3.833333333333333</v>
      </c>
      <c r="D31" s="678"/>
      <c r="E31" s="679"/>
      <c r="F31" s="670">
        <f>IF((C31=""),"", IF((C31&lt;W31),0, IF((C31&gt;X31),10, 10*(C31-W31)/(X31-W31))))</f>
        <v>2.838709677419355</v>
      </c>
      <c r="G31" s="680" t="str">
        <f>IF((F31=""),"",IF((F31&lt;=O31),"Low",IF((F31&gt;=P31),"High","Moderate")))</f>
        <v>Moderate</v>
      </c>
      <c r="H31" s="695">
        <f t="shared" si="6"/>
        <v>2.838709677419355</v>
      </c>
      <c r="I31" s="696">
        <f t="shared" si="7"/>
        <v>2.838709677419355</v>
      </c>
      <c r="J31" s="705">
        <f t="shared" si="5"/>
        <v>1.6836628511966707</v>
      </c>
      <c r="K31" s="703"/>
      <c r="L31" s="703"/>
      <c r="M31" s="703"/>
      <c r="N31" s="1102">
        <v>2.89247311827957</v>
      </c>
      <c r="O31" s="1103">
        <v>1.72</v>
      </c>
      <c r="P31" s="1104">
        <v>4.13</v>
      </c>
      <c r="Q31" s="584"/>
      <c r="R31" s="584"/>
      <c r="S31" s="584"/>
      <c r="T31" s="1055" t="s">
        <v>38</v>
      </c>
      <c r="U31" s="1056"/>
      <c r="V31" s="1056"/>
      <c r="W31" s="1056">
        <v>1.3888888888888886</v>
      </c>
      <c r="X31" s="1057">
        <v>10</v>
      </c>
      <c r="Y31" s="624"/>
      <c r="Z31" s="1067" t="s">
        <v>38</v>
      </c>
      <c r="AA31" s="1056">
        <v>1.3888888888888886</v>
      </c>
      <c r="AB31" s="1057">
        <v>10</v>
      </c>
      <c r="AC31" s="605"/>
      <c r="AD31" s="605"/>
      <c r="AE31" s="605"/>
      <c r="AF31" s="605"/>
    </row>
    <row r="32" spans="1:32" ht="34.5" customHeight="1" thickBot="1" x14ac:dyDescent="0.25">
      <c r="A32" s="586"/>
      <c r="B32" s="587"/>
      <c r="C32" s="587"/>
      <c r="D32" s="587"/>
      <c r="E32" s="587"/>
      <c r="F32" s="586"/>
      <c r="G32" s="699" t="s">
        <v>3674</v>
      </c>
      <c r="H32" s="699" t="s">
        <v>3675</v>
      </c>
      <c r="I32" s="699" t="s">
        <v>3676</v>
      </c>
      <c r="J32" s="699" t="s">
        <v>3677</v>
      </c>
      <c r="K32" s="591"/>
      <c r="L32" s="592"/>
      <c r="M32" s="592"/>
      <c r="N32" s="591"/>
      <c r="O32" s="593"/>
      <c r="P32" s="593"/>
      <c r="Q32" s="584"/>
      <c r="R32" s="584"/>
      <c r="S32" s="584"/>
      <c r="T32" s="600"/>
      <c r="U32" s="599"/>
      <c r="V32" s="599"/>
      <c r="W32" s="599"/>
      <c r="X32" s="599"/>
      <c r="Y32" s="601"/>
      <c r="AB32" s="590"/>
      <c r="AC32" s="590"/>
      <c r="AD32" s="590"/>
      <c r="AE32" s="590"/>
      <c r="AF32" s="590"/>
    </row>
    <row r="33" spans="1:25" ht="31.9" customHeight="1" thickBot="1" x14ac:dyDescent="0.25">
      <c r="A33" s="620" t="s">
        <v>3678</v>
      </c>
      <c r="B33" s="659">
        <f>J33</f>
        <v>4.7076748507932038</v>
      </c>
      <c r="C33" s="588"/>
      <c r="D33" s="588"/>
      <c r="E33" s="588"/>
      <c r="F33" s="586"/>
      <c r="G33" s="658">
        <f>IFERROR((AVERAGE(J20:J26)+MAX(J28:J29))/2,"")</f>
        <v>6.4067028968909323</v>
      </c>
      <c r="H33" s="658">
        <f>IFERROR((AVERAGE(J20:J26, J28, J29)+MAX(J20:J26,J28, J29))/2,"")</f>
        <v>7.3489164433014169</v>
      </c>
      <c r="I33" s="698">
        <f>IF((H33&gt;G33),H33,G33)</f>
        <v>7.3489164433014169</v>
      </c>
      <c r="J33" s="698">
        <f>10*(I33-5.56)/(9.36-5.56)</f>
        <v>4.7076748507932038</v>
      </c>
      <c r="K33" s="591"/>
      <c r="L33" s="592"/>
      <c r="M33" s="592"/>
      <c r="N33" s="591"/>
      <c r="O33" s="593"/>
      <c r="P33" s="593"/>
      <c r="Q33" s="584"/>
      <c r="R33" s="584"/>
      <c r="S33" s="584"/>
      <c r="T33" s="600"/>
      <c r="U33" s="599"/>
      <c r="V33" s="599"/>
      <c r="W33" s="599"/>
      <c r="X33" s="599"/>
      <c r="Y33" s="601"/>
    </row>
    <row r="34" spans="1:25" ht="24.6" customHeight="1" thickBot="1" x14ac:dyDescent="0.25">
      <c r="A34" s="621" t="s">
        <v>3662</v>
      </c>
      <c r="B34" s="660" t="str">
        <f>IF((B33=""),"",IF((B33&lt;=2.89),"Low",IF((B33&gt;=5.95),"High","Moderate")))</f>
        <v>Moderate</v>
      </c>
      <c r="C34" s="589"/>
      <c r="D34" s="589"/>
      <c r="E34" s="589"/>
      <c r="F34" s="586"/>
      <c r="G34" s="586"/>
      <c r="H34" s="586"/>
      <c r="I34" s="586"/>
      <c r="J34" s="586"/>
      <c r="K34" s="591"/>
      <c r="L34" s="592"/>
      <c r="M34" s="592"/>
      <c r="N34" s="591"/>
      <c r="O34" s="593"/>
      <c r="P34" s="593"/>
      <c r="Q34" s="584"/>
      <c r="R34" s="584"/>
      <c r="S34" s="584"/>
      <c r="T34" s="600"/>
      <c r="U34" s="599"/>
      <c r="V34" s="599"/>
      <c r="W34" s="599"/>
      <c r="X34" s="599"/>
      <c r="Y34" s="601"/>
    </row>
    <row r="35" spans="1:25" x14ac:dyDescent="0.2">
      <c r="A35" s="586"/>
      <c r="B35" s="586"/>
      <c r="C35" s="586"/>
      <c r="D35" s="586"/>
      <c r="E35" s="586"/>
      <c r="F35" s="586"/>
      <c r="G35" s="586"/>
      <c r="H35" s="586"/>
      <c r="I35" s="586"/>
      <c r="J35" s="586"/>
      <c r="K35" s="591"/>
      <c r="L35" s="592"/>
      <c r="M35" s="592"/>
      <c r="N35" s="591"/>
      <c r="O35" s="593"/>
      <c r="P35" s="593"/>
      <c r="Q35" s="584"/>
      <c r="R35" s="584"/>
      <c r="S35" s="584"/>
      <c r="T35" s="600"/>
      <c r="U35" s="599"/>
      <c r="V35" s="599"/>
      <c r="W35" s="599"/>
      <c r="X35" s="599"/>
      <c r="Y35" s="601"/>
    </row>
    <row r="36" spans="1:25" ht="213.6" customHeight="1" x14ac:dyDescent="0.2">
      <c r="A36" s="1048" t="s">
        <v>1078</v>
      </c>
      <c r="B36" s="1048"/>
      <c r="C36" s="1048"/>
      <c r="D36" s="1048"/>
      <c r="E36" s="1048"/>
      <c r="F36" s="1048"/>
      <c r="G36" s="1048"/>
      <c r="H36" s="1048"/>
      <c r="I36" s="1048"/>
      <c r="J36" s="1048"/>
      <c r="K36" s="591"/>
      <c r="L36" s="592"/>
      <c r="M36" s="592"/>
      <c r="N36" s="591"/>
      <c r="O36" s="593"/>
      <c r="P36" s="593"/>
      <c r="Q36" s="584"/>
      <c r="R36" s="584"/>
      <c r="S36" s="584"/>
      <c r="T36" s="600"/>
      <c r="U36" s="599"/>
      <c r="V36" s="599"/>
      <c r="W36" s="599"/>
      <c r="X36" s="599"/>
      <c r="Y36" s="601"/>
    </row>
    <row r="37" spans="1:25" x14ac:dyDescent="0.2">
      <c r="K37" s="594"/>
      <c r="L37" s="594"/>
      <c r="M37" s="594"/>
      <c r="N37" s="591"/>
      <c r="O37" s="593"/>
      <c r="P37" s="593"/>
      <c r="Q37" s="584"/>
      <c r="R37" s="584"/>
      <c r="S37" s="584"/>
      <c r="T37" s="600"/>
      <c r="U37" s="599"/>
      <c r="V37" s="599"/>
      <c r="W37" s="599"/>
      <c r="X37" s="599"/>
      <c r="Y37" s="601"/>
    </row>
    <row r="38" spans="1:25" x14ac:dyDescent="0.2">
      <c r="K38" s="594"/>
      <c r="L38" s="594"/>
      <c r="M38" s="594"/>
      <c r="N38" s="591"/>
      <c r="O38" s="593"/>
      <c r="P38" s="593"/>
      <c r="Q38" s="584"/>
      <c r="R38" s="584"/>
      <c r="S38" s="584"/>
      <c r="T38" s="600"/>
      <c r="U38" s="599"/>
      <c r="V38" s="599"/>
      <c r="W38" s="599"/>
      <c r="X38" s="599"/>
      <c r="Y38" s="601"/>
    </row>
    <row r="39" spans="1:25" x14ac:dyDescent="0.2">
      <c r="K39" s="594"/>
      <c r="L39" s="594"/>
      <c r="M39" s="594"/>
      <c r="N39" s="591"/>
      <c r="O39" s="593"/>
      <c r="P39" s="593"/>
      <c r="Q39" s="584"/>
      <c r="R39" s="584"/>
      <c r="S39" s="584"/>
      <c r="T39" s="600"/>
      <c r="U39" s="599"/>
      <c r="V39" s="599"/>
      <c r="W39" s="599"/>
      <c r="X39" s="599"/>
      <c r="Y39" s="601"/>
    </row>
    <row r="40" spans="1:25" x14ac:dyDescent="0.2">
      <c r="K40" s="594"/>
      <c r="L40" s="594"/>
      <c r="M40" s="594"/>
      <c r="N40" s="591"/>
      <c r="O40" s="593"/>
      <c r="P40" s="593"/>
      <c r="Q40" s="584"/>
      <c r="R40" s="584"/>
      <c r="S40" s="584"/>
      <c r="T40" s="600"/>
      <c r="U40" s="599"/>
      <c r="V40" s="599"/>
      <c r="W40" s="599"/>
      <c r="X40" s="599"/>
      <c r="Y40" s="601"/>
    </row>
    <row r="41" spans="1:25" x14ac:dyDescent="0.2">
      <c r="K41" s="594"/>
      <c r="L41" s="594"/>
      <c r="M41" s="594"/>
      <c r="N41" s="591"/>
      <c r="O41" s="593"/>
      <c r="P41" s="593"/>
      <c r="Q41" s="584"/>
      <c r="R41" s="584"/>
      <c r="S41" s="584"/>
      <c r="T41" s="602"/>
      <c r="U41" s="602"/>
      <c r="V41" s="602"/>
      <c r="W41" s="602"/>
      <c r="X41" s="602"/>
      <c r="Y41" s="601"/>
    </row>
    <row r="42" spans="1:25" x14ac:dyDescent="0.2">
      <c r="K42" s="594"/>
      <c r="L42" s="594"/>
      <c r="M42" s="594"/>
      <c r="N42" s="594"/>
      <c r="O42" s="594"/>
      <c r="P42" s="594"/>
      <c r="Q42" s="584"/>
      <c r="R42" s="584"/>
      <c r="S42" s="584"/>
      <c r="T42" s="601"/>
      <c r="U42" s="601"/>
      <c r="V42" s="601"/>
      <c r="W42" s="601"/>
      <c r="X42" s="601"/>
      <c r="Y42" s="601"/>
    </row>
    <row r="43" spans="1:25" x14ac:dyDescent="0.2">
      <c r="K43" s="591"/>
      <c r="L43" s="593"/>
      <c r="M43" s="593"/>
      <c r="N43" s="591"/>
      <c r="O43" s="593"/>
      <c r="P43" s="593"/>
      <c r="Q43" s="585"/>
      <c r="R43" s="585"/>
      <c r="S43" s="585"/>
      <c r="T43" s="601"/>
      <c r="U43" s="601"/>
      <c r="V43" s="601"/>
      <c r="W43" s="601"/>
      <c r="X43" s="601"/>
      <c r="Y43" s="602"/>
    </row>
    <row r="44" spans="1:25" x14ac:dyDescent="0.2">
      <c r="K44" s="591"/>
      <c r="L44" s="593"/>
      <c r="M44" s="593"/>
      <c r="N44" s="591"/>
      <c r="O44" s="593"/>
      <c r="P44" s="593"/>
      <c r="Q44" s="584"/>
      <c r="R44" s="584"/>
      <c r="S44" s="584"/>
      <c r="T44" s="584"/>
      <c r="U44" s="584"/>
      <c r="V44" s="584"/>
      <c r="W44" s="584"/>
      <c r="X44" s="584"/>
      <c r="Y44" s="584"/>
    </row>
    <row r="45" spans="1:25" x14ac:dyDescent="0.2">
      <c r="K45" s="591"/>
      <c r="L45" s="592"/>
      <c r="M45" s="592"/>
      <c r="N45" s="591"/>
      <c r="O45" s="592"/>
      <c r="P45" s="592"/>
      <c r="Q45" s="584"/>
      <c r="R45" s="584"/>
      <c r="S45" s="584"/>
      <c r="T45" s="584"/>
      <c r="U45" s="584"/>
      <c r="V45" s="584"/>
      <c r="W45" s="584"/>
      <c r="X45" s="584"/>
      <c r="Y45" s="584"/>
    </row>
    <row r="46" spans="1:25" x14ac:dyDescent="0.2">
      <c r="K46" s="591"/>
      <c r="L46" s="593"/>
      <c r="M46" s="593"/>
      <c r="N46" s="591"/>
      <c r="O46" s="593"/>
      <c r="P46" s="593"/>
      <c r="Q46" s="584"/>
      <c r="R46" s="584"/>
      <c r="S46" s="584"/>
      <c r="T46" s="584"/>
      <c r="U46" s="584"/>
      <c r="V46" s="584"/>
      <c r="W46" s="584"/>
      <c r="X46" s="584"/>
      <c r="Y46" s="584"/>
    </row>
    <row r="47" spans="1:25" x14ac:dyDescent="0.2">
      <c r="K47" s="591"/>
      <c r="L47" s="593"/>
      <c r="M47" s="593"/>
      <c r="N47" s="591"/>
      <c r="O47" s="593"/>
      <c r="P47" s="593"/>
      <c r="Q47" s="584"/>
      <c r="R47" s="584"/>
      <c r="S47" s="584"/>
      <c r="T47" s="584"/>
      <c r="U47" s="584"/>
      <c r="V47" s="584"/>
      <c r="W47" s="584"/>
      <c r="X47" s="584"/>
      <c r="Y47" s="584"/>
    </row>
    <row r="48" spans="1:25" x14ac:dyDescent="0.2">
      <c r="K48" s="591"/>
      <c r="L48" s="593"/>
      <c r="M48" s="593"/>
      <c r="N48" s="591"/>
      <c r="O48" s="593"/>
      <c r="P48" s="593"/>
      <c r="Q48" s="584"/>
      <c r="R48" s="584"/>
      <c r="S48" s="584"/>
      <c r="T48" s="584"/>
      <c r="U48" s="584"/>
      <c r="V48" s="584"/>
      <c r="W48" s="584"/>
      <c r="X48" s="584"/>
      <c r="Y48" s="584"/>
    </row>
    <row r="49" spans="11:25" x14ac:dyDescent="0.2">
      <c r="K49" s="594"/>
      <c r="L49" s="595"/>
      <c r="M49" s="595"/>
      <c r="N49" s="591"/>
      <c r="O49" s="593"/>
      <c r="P49" s="593"/>
      <c r="Q49" s="584"/>
      <c r="R49" s="584"/>
      <c r="S49" s="584"/>
      <c r="T49" s="584"/>
      <c r="U49" s="584"/>
      <c r="V49" s="584"/>
      <c r="W49" s="584"/>
      <c r="X49" s="584"/>
      <c r="Y49" s="584"/>
    </row>
    <row r="50" spans="11:25" x14ac:dyDescent="0.2">
      <c r="K50" s="594"/>
      <c r="L50" s="595"/>
      <c r="M50" s="595"/>
      <c r="N50" s="591"/>
      <c r="O50" s="593"/>
      <c r="P50" s="593"/>
      <c r="Q50" s="584"/>
      <c r="R50" s="584"/>
      <c r="S50" s="584"/>
      <c r="T50" s="584"/>
      <c r="U50" s="584"/>
      <c r="V50" s="584"/>
      <c r="W50" s="584"/>
      <c r="X50" s="584"/>
      <c r="Y50" s="584"/>
    </row>
    <row r="51" spans="11:25" x14ac:dyDescent="0.2">
      <c r="K51" s="594"/>
      <c r="L51" s="595"/>
      <c r="M51" s="595"/>
      <c r="N51" s="591"/>
      <c r="O51" s="593"/>
      <c r="P51" s="593"/>
      <c r="Q51" s="584"/>
      <c r="R51" s="584"/>
      <c r="S51" s="584"/>
      <c r="Y51" s="584"/>
    </row>
    <row r="52" spans="11:25" x14ac:dyDescent="0.2">
      <c r="K52" s="590"/>
      <c r="L52" s="590"/>
      <c r="M52" s="590"/>
      <c r="N52" s="590"/>
      <c r="O52" s="590"/>
      <c r="P52" s="590"/>
      <c r="Q52" s="584"/>
      <c r="R52" s="584"/>
      <c r="S52" s="584"/>
      <c r="Y52" s="584"/>
    </row>
    <row r="53" spans="11:25" x14ac:dyDescent="0.2">
      <c r="K53" s="596"/>
      <c r="L53" s="596"/>
      <c r="M53" s="596"/>
      <c r="N53" s="590"/>
      <c r="O53" s="590"/>
      <c r="P53" s="590"/>
    </row>
    <row r="54" spans="11:25" x14ac:dyDescent="0.2">
      <c r="K54" s="596"/>
      <c r="L54" s="596"/>
      <c r="M54" s="596"/>
      <c r="N54" s="590"/>
      <c r="O54" s="590"/>
      <c r="P54" s="590"/>
    </row>
  </sheetData>
  <sheetProtection password="C74A" sheet="1" objects="1" scenarios="1" formatCells="0" formatColumns="0" formatRows="0"/>
  <dataConsolidate>
    <dataRefs count="1">
      <dataRef name="hgmpa"/>
    </dataRefs>
  </dataConsolidate>
  <customSheetViews>
    <customSheetView guid="{B8E02330-2419-4DE6-AD01-7ACC7A5D18DD}" hiddenColumns="1">
      <selection sqref="A1:I1"/>
      <pageMargins left="0.7" right="0.7" top="0.75" bottom="0.75" header="0.3" footer="0.3"/>
      <pageSetup orientation="portrait"/>
    </customSheetView>
  </customSheetViews>
  <mergeCells count="24">
    <mergeCell ref="K17:M17"/>
    <mergeCell ref="N17:P17"/>
    <mergeCell ref="A17:G17"/>
    <mergeCell ref="A18:C18"/>
    <mergeCell ref="O18:P18"/>
    <mergeCell ref="L18:M18"/>
    <mergeCell ref="N18:N19"/>
    <mergeCell ref="K18:K19"/>
    <mergeCell ref="A36:J36"/>
    <mergeCell ref="A1:I1"/>
    <mergeCell ref="B2:I2"/>
    <mergeCell ref="B3:I3"/>
    <mergeCell ref="B4:I4"/>
    <mergeCell ref="B5:I5"/>
    <mergeCell ref="B6:I6"/>
    <mergeCell ref="B7:I7"/>
    <mergeCell ref="B8:I8"/>
    <mergeCell ref="B9:I9"/>
    <mergeCell ref="B10:I10"/>
    <mergeCell ref="B11:I11"/>
    <mergeCell ref="B12:I12"/>
    <mergeCell ref="B13:I13"/>
    <mergeCell ref="B14:I14"/>
    <mergeCell ref="B15:I15"/>
  </mergeCells>
  <phoneticPr fontId="2" type="noConversion"/>
  <conditionalFormatting sqref="K37:M41 L45:M45 K49:M51 K42:P42 L21:M21 E21:E26 D20:D26 F20 F23:F26 F28:F31 H20:H26 I21:I26 H28:I31">
    <cfRule type="expression" dxfId="0" priority="13">
      <formula>"enter =ISERROR(B8:C31)"</formula>
    </cfRule>
  </conditionalFormatting>
  <pageMargins left="0.25" right="0.25" top="0.75" bottom="0.75" header="0.3" footer="0.3"/>
  <pageSetup orientation="portrait" r:id="rId1"/>
  <ignoredErrors>
    <ignoredError sqref="B27" formulaRange="1"/>
    <ignoredError sqref="H21 I28:I31" formula="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J101"/>
  <sheetViews>
    <sheetView workbookViewId="0">
      <selection activeCell="I97" sqref="I97"/>
    </sheetView>
  </sheetViews>
  <sheetFormatPr defaultColWidth="9.33203125" defaultRowHeight="15" customHeight="1" x14ac:dyDescent="0.2"/>
  <cols>
    <col min="1" max="1" width="5.83203125" style="8" customWidth="1"/>
    <col min="2" max="2" width="18.83203125" style="8" customWidth="1"/>
    <col min="3" max="3" width="75.83203125" style="8" customWidth="1"/>
    <col min="4" max="4" width="6.83203125" style="407" customWidth="1"/>
    <col min="5" max="5" width="7.5" style="209" customWidth="1"/>
    <col min="6" max="6" width="8" style="407" customWidth="1"/>
    <col min="7" max="7" width="9.83203125" style="358" customWidth="1"/>
    <col min="8" max="8" width="75.83203125" style="20" customWidth="1"/>
    <col min="9" max="9" width="15.83203125" style="28" customWidth="1"/>
    <col min="10" max="10" width="9.33203125" style="78"/>
    <col min="11" max="16384" width="9.33203125" style="20"/>
  </cols>
  <sheetData>
    <row r="1" spans="1:10" ht="66" customHeight="1" thickBot="1" x14ac:dyDescent="0.25">
      <c r="A1" s="888" t="s">
        <v>33</v>
      </c>
      <c r="B1" s="889"/>
      <c r="C1" s="68" t="s">
        <v>34</v>
      </c>
      <c r="D1" s="69" t="s">
        <v>35</v>
      </c>
      <c r="E1" s="884"/>
      <c r="F1" s="885"/>
      <c r="G1" s="885"/>
      <c r="H1" s="885"/>
    </row>
    <row r="2" spans="1:10" s="410" customFormat="1" ht="30" customHeight="1" thickBot="1" x14ac:dyDescent="0.25">
      <c r="A2" s="274" t="s">
        <v>770</v>
      </c>
      <c r="B2" s="288" t="s">
        <v>3632</v>
      </c>
      <c r="C2" s="289" t="s">
        <v>32</v>
      </c>
      <c r="D2" s="288" t="s">
        <v>805</v>
      </c>
      <c r="E2" s="290" t="s">
        <v>1017</v>
      </c>
      <c r="F2" s="291" t="s">
        <v>1018</v>
      </c>
      <c r="G2" s="292" t="s">
        <v>355</v>
      </c>
      <c r="H2" s="288" t="s">
        <v>60</v>
      </c>
      <c r="I2" s="408"/>
      <c r="J2" s="409"/>
    </row>
    <row r="3" spans="1:10" ht="30" customHeight="1" thickBot="1" x14ac:dyDescent="0.25">
      <c r="A3" s="909" t="str">
        <f>T!A10</f>
        <v>T3</v>
      </c>
      <c r="B3" s="908" t="str">
        <f>T!B10</f>
        <v>Low Marsh</v>
      </c>
      <c r="C3" s="275" t="str">
        <f>T!C10</f>
        <v>The percent of the vegetated part of the AA that is "low marsh" (covered by tidal water for part of almost every day) is:</v>
      </c>
      <c r="D3" s="338"/>
      <c r="E3" s="338"/>
      <c r="F3" s="359"/>
      <c r="G3" s="163">
        <f>MAX(F4:F10)/MAX(E4:E10)</f>
        <v>1</v>
      </c>
      <c r="H3" s="908" t="s">
        <v>225</v>
      </c>
      <c r="I3" s="28" t="s">
        <v>429</v>
      </c>
    </row>
    <row r="4" spans="1:10" ht="15" customHeight="1" x14ac:dyDescent="0.2">
      <c r="A4" s="910"/>
      <c r="B4" s="907"/>
      <c r="C4" s="186" t="str">
        <f>T!C11</f>
        <v>none, or &lt;1%</v>
      </c>
      <c r="D4" s="325">
        <f>T!D11</f>
        <v>0</v>
      </c>
      <c r="E4" s="326">
        <v>0</v>
      </c>
      <c r="F4" s="327">
        <f t="shared" ref="F4:F10" si="0">D4*E4</f>
        <v>0</v>
      </c>
      <c r="G4" s="349"/>
      <c r="H4" s="907"/>
    </row>
    <row r="5" spans="1:10" ht="15" customHeight="1" x14ac:dyDescent="0.2">
      <c r="A5" s="910"/>
      <c r="B5" s="907"/>
      <c r="C5" s="276" t="str">
        <f>T!C12</f>
        <v>1-10%</v>
      </c>
      <c r="D5" s="325">
        <f>T!D12</f>
        <v>0</v>
      </c>
      <c r="E5" s="326">
        <v>1</v>
      </c>
      <c r="F5" s="327">
        <f t="shared" si="0"/>
        <v>0</v>
      </c>
      <c r="G5" s="349"/>
      <c r="H5" s="907"/>
    </row>
    <row r="6" spans="1:10" ht="15" customHeight="1" x14ac:dyDescent="0.2">
      <c r="A6" s="910"/>
      <c r="B6" s="907"/>
      <c r="C6" s="276" t="str">
        <f>T!C13</f>
        <v>10-25%</v>
      </c>
      <c r="D6" s="325">
        <f>T!D13</f>
        <v>0</v>
      </c>
      <c r="E6" s="326">
        <v>2</v>
      </c>
      <c r="F6" s="327">
        <f t="shared" si="0"/>
        <v>0</v>
      </c>
      <c r="G6" s="349"/>
      <c r="H6" s="907"/>
    </row>
    <row r="7" spans="1:10" ht="15" customHeight="1" x14ac:dyDescent="0.2">
      <c r="A7" s="910"/>
      <c r="B7" s="907"/>
      <c r="C7" s="276" t="str">
        <f>T!C14</f>
        <v>25-50%</v>
      </c>
      <c r="D7" s="325">
        <f>T!D14</f>
        <v>0</v>
      </c>
      <c r="E7" s="326">
        <v>3</v>
      </c>
      <c r="F7" s="327">
        <f t="shared" si="0"/>
        <v>0</v>
      </c>
      <c r="G7" s="349"/>
      <c r="H7" s="907"/>
    </row>
    <row r="8" spans="1:10" ht="15" customHeight="1" x14ac:dyDescent="0.2">
      <c r="A8" s="910"/>
      <c r="B8" s="907"/>
      <c r="C8" s="276" t="str">
        <f>T!C15</f>
        <v>50-75%</v>
      </c>
      <c r="D8" s="325">
        <f>T!D15</f>
        <v>0</v>
      </c>
      <c r="E8" s="326">
        <v>4</v>
      </c>
      <c r="F8" s="327">
        <f t="shared" si="0"/>
        <v>0</v>
      </c>
      <c r="G8" s="349"/>
      <c r="H8" s="907"/>
    </row>
    <row r="9" spans="1:10" ht="15" customHeight="1" x14ac:dyDescent="0.2">
      <c r="A9" s="910"/>
      <c r="B9" s="907"/>
      <c r="C9" s="276" t="str">
        <f>T!C16</f>
        <v>75-90%</v>
      </c>
      <c r="D9" s="325">
        <f>T!D16</f>
        <v>0</v>
      </c>
      <c r="E9" s="326">
        <v>5</v>
      </c>
      <c r="F9" s="327">
        <f t="shared" si="0"/>
        <v>0</v>
      </c>
      <c r="G9" s="349"/>
      <c r="H9" s="907"/>
    </row>
    <row r="10" spans="1:10" ht="15" customHeight="1" thickBot="1" x14ac:dyDescent="0.25">
      <c r="A10" s="768"/>
      <c r="B10" s="774"/>
      <c r="C10" s="277" t="str">
        <f>T!C17</f>
        <v>&gt;90%</v>
      </c>
      <c r="D10" s="328">
        <f>T!D17</f>
        <v>1</v>
      </c>
      <c r="E10" s="329">
        <v>6</v>
      </c>
      <c r="F10" s="330">
        <f t="shared" si="0"/>
        <v>6</v>
      </c>
      <c r="G10" s="350"/>
      <c r="H10" s="774"/>
    </row>
    <row r="11" spans="1:10" ht="45" customHeight="1" thickBot="1" x14ac:dyDescent="0.25">
      <c r="A11" s="890" t="str">
        <f>T!A18</f>
        <v>T4</v>
      </c>
      <c r="B11" s="907" t="str">
        <f>T!B18</f>
        <v>Width of Vegetated Zone at Daily Low Tide</v>
      </c>
      <c r="C11" s="181" t="str">
        <f>T!C18</f>
        <v>At daily low tide, the average width of vegetated area in the AA that separates adjoining uplands from most deepwater (subtidal water) within or adjoining the AA, or from the largest intersecting river or tributary (whichever is less), is:</v>
      </c>
      <c r="D11" s="393"/>
      <c r="E11" s="331"/>
      <c r="F11" s="394"/>
      <c r="G11" s="320">
        <f>MAX(F12:F16)/MAX(E12:E16)</f>
        <v>0.75</v>
      </c>
      <c r="H11" s="907" t="s">
        <v>915</v>
      </c>
      <c r="I11" s="28" t="s">
        <v>550</v>
      </c>
    </row>
    <row r="12" spans="1:10" ht="15" customHeight="1" x14ac:dyDescent="0.2">
      <c r="A12" s="890"/>
      <c r="B12" s="907"/>
      <c r="C12" s="278" t="str">
        <f>T!C19</f>
        <v xml:space="preserve">1-5 ft </v>
      </c>
      <c r="D12" s="132">
        <f>T!D19</f>
        <v>0</v>
      </c>
      <c r="E12" s="333">
        <v>0</v>
      </c>
      <c r="F12" s="327">
        <f t="shared" ref="F12:F21" si="1">D12*E12</f>
        <v>0</v>
      </c>
      <c r="G12" s="351"/>
      <c r="H12" s="907"/>
    </row>
    <row r="13" spans="1:10" ht="15" customHeight="1" x14ac:dyDescent="0.2">
      <c r="A13" s="890"/>
      <c r="B13" s="907"/>
      <c r="C13" s="185" t="str">
        <f>T!C20</f>
        <v>5-25 ft</v>
      </c>
      <c r="D13" s="132">
        <f>T!D20</f>
        <v>0</v>
      </c>
      <c r="E13" s="333">
        <v>1</v>
      </c>
      <c r="F13" s="327">
        <f t="shared" si="1"/>
        <v>0</v>
      </c>
      <c r="G13" s="352"/>
      <c r="H13" s="907"/>
    </row>
    <row r="14" spans="1:10" ht="15" customHeight="1" x14ac:dyDescent="0.2">
      <c r="A14" s="890"/>
      <c r="B14" s="907"/>
      <c r="C14" s="185" t="str">
        <f>T!C21</f>
        <v>25-100 ft</v>
      </c>
      <c r="D14" s="132">
        <f>T!D21</f>
        <v>0</v>
      </c>
      <c r="E14" s="333">
        <v>2</v>
      </c>
      <c r="F14" s="327">
        <f t="shared" si="1"/>
        <v>0</v>
      </c>
      <c r="G14" s="352"/>
      <c r="H14" s="907"/>
    </row>
    <row r="15" spans="1:10" ht="15" customHeight="1" x14ac:dyDescent="0.2">
      <c r="A15" s="890"/>
      <c r="B15" s="907"/>
      <c r="C15" s="185" t="str">
        <f>T!C22</f>
        <v>100-300 ft</v>
      </c>
      <c r="D15" s="132">
        <f>T!D22</f>
        <v>1</v>
      </c>
      <c r="E15" s="333">
        <v>3</v>
      </c>
      <c r="F15" s="327">
        <f t="shared" si="1"/>
        <v>3</v>
      </c>
      <c r="G15" s="352"/>
      <c r="H15" s="907"/>
    </row>
    <row r="16" spans="1:10" ht="15" customHeight="1" thickBot="1" x14ac:dyDescent="0.25">
      <c r="A16" s="890"/>
      <c r="B16" s="907"/>
      <c r="C16" s="276" t="str">
        <f>T!C23</f>
        <v>&gt;300 ft</v>
      </c>
      <c r="D16" s="334">
        <f>T!D23</f>
        <v>0</v>
      </c>
      <c r="E16" s="335">
        <v>4</v>
      </c>
      <c r="F16" s="395">
        <f t="shared" si="1"/>
        <v>0</v>
      </c>
      <c r="G16" s="349"/>
      <c r="H16" s="907"/>
    </row>
    <row r="17" spans="1:9" ht="30" customHeight="1" thickBot="1" x14ac:dyDescent="0.25">
      <c r="A17" s="911" t="str">
        <f>T!A34</f>
        <v>T7</v>
      </c>
      <c r="B17" s="905" t="str">
        <f>T!B34</f>
        <v>Bare Ground &amp; Accumulated Plant Litter</v>
      </c>
      <c r="C17" s="275" t="str">
        <f>T!C34</f>
        <v>Consider the parts of the AA that are not inundated by tides on most days, i.e., high marsh.  Viewed from 6 inches above the soil surface, the condition in most of this area is:</v>
      </c>
      <c r="D17" s="396"/>
      <c r="E17" s="339"/>
      <c r="F17" s="397"/>
      <c r="G17" s="163">
        <f>MAX(F18:F21)/MAX(E18:E21)</f>
        <v>0.33333333333333331</v>
      </c>
      <c r="H17" s="908" t="s">
        <v>916</v>
      </c>
      <c r="I17" s="28" t="s">
        <v>542</v>
      </c>
    </row>
    <row r="18" spans="1:9" ht="42" customHeight="1" x14ac:dyDescent="0.2">
      <c r="A18" s="912"/>
      <c r="B18" s="897"/>
      <c r="C18" s="278" t="str">
        <f>T!C35</f>
        <v xml:space="preserve">little or no (&lt;5%) bare ground or plant litter (thatch) is visible between erect stems or under canopy.  This can occur if ground surface is extensively blanketed by graminoids with great stem densities, or plants with ground-hugging foliage.  </v>
      </c>
      <c r="D18" s="132">
        <f>T!D35</f>
        <v>0</v>
      </c>
      <c r="E18" s="333">
        <v>3</v>
      </c>
      <c r="F18" s="327">
        <f t="shared" si="1"/>
        <v>0</v>
      </c>
      <c r="G18" s="351"/>
      <c r="H18" s="907"/>
    </row>
    <row r="19" spans="1:9" ht="27" customHeight="1" x14ac:dyDescent="0.2">
      <c r="A19" s="912"/>
      <c r="B19" s="897"/>
      <c r="C19" s="185" t="str">
        <f>T!C36</f>
        <v>some (5-20%) bare ground or litter is visible.  Herbaceous plants have moderate stem densities and do not closely hug the ground.</v>
      </c>
      <c r="D19" s="132">
        <f>T!D36</f>
        <v>0</v>
      </c>
      <c r="E19" s="333">
        <v>2</v>
      </c>
      <c r="F19" s="327">
        <f t="shared" si="1"/>
        <v>0</v>
      </c>
      <c r="G19" s="352"/>
      <c r="H19" s="907"/>
    </row>
    <row r="20" spans="1:9" ht="27" customHeight="1" x14ac:dyDescent="0.2">
      <c r="A20" s="912"/>
      <c r="B20" s="897"/>
      <c r="C20" s="185" t="str">
        <f>T!C37</f>
        <v>much (20-50%) bare ground or plant litter is visible.  Low stem density and/or tall plants with little near-ground foliage.</v>
      </c>
      <c r="D20" s="132">
        <f>T!D37</f>
        <v>1</v>
      </c>
      <c r="E20" s="333">
        <v>1</v>
      </c>
      <c r="F20" s="327">
        <f t="shared" si="1"/>
        <v>1</v>
      </c>
      <c r="G20" s="352"/>
      <c r="H20" s="907"/>
    </row>
    <row r="21" spans="1:9" ht="15" customHeight="1" thickBot="1" x14ac:dyDescent="0.25">
      <c r="A21" s="913"/>
      <c r="B21" s="906"/>
      <c r="C21" s="277" t="str">
        <f>T!C38</f>
        <v xml:space="preserve">mostly (&gt;50%) bare ground or accumulated plant litter. </v>
      </c>
      <c r="D21" s="133">
        <f>T!D38</f>
        <v>0</v>
      </c>
      <c r="E21" s="341">
        <v>0</v>
      </c>
      <c r="F21" s="330">
        <f t="shared" si="1"/>
        <v>0</v>
      </c>
      <c r="G21" s="350"/>
      <c r="H21" s="774"/>
    </row>
    <row r="22" spans="1:9" ht="21" customHeight="1" thickBot="1" x14ac:dyDescent="0.25">
      <c r="A22" s="914" t="str">
        <f>OF!A68</f>
        <v>OF13</v>
      </c>
      <c r="B22" s="897" t="str">
        <f>OF!B68</f>
        <v>Biological Wave Exposure</v>
      </c>
      <c r="C22" s="181" t="str">
        <f>OF!C68</f>
        <v>The Biological Wave Exposure of most of the AA is shown as: (see directions in column E)</v>
      </c>
      <c r="D22" s="393"/>
      <c r="E22" s="331"/>
      <c r="F22" s="394"/>
      <c r="G22" s="320">
        <f>MAX(F23:F27)/MAX(E23:E27)</f>
        <v>0.75</v>
      </c>
      <c r="H22" s="907" t="s">
        <v>960</v>
      </c>
      <c r="I22" s="28" t="s">
        <v>549</v>
      </c>
    </row>
    <row r="23" spans="1:9" ht="15" customHeight="1" x14ac:dyDescent="0.2">
      <c r="A23" s="901"/>
      <c r="B23" s="897"/>
      <c r="C23" s="185" t="str">
        <f>OF!C69</f>
        <v xml:space="preserve">very protected </v>
      </c>
      <c r="D23" s="132">
        <f>OF!D69</f>
        <v>0</v>
      </c>
      <c r="E23" s="333">
        <v>4</v>
      </c>
      <c r="F23" s="327">
        <f>D23*E23</f>
        <v>0</v>
      </c>
      <c r="G23" s="351"/>
      <c r="H23" s="907"/>
    </row>
    <row r="24" spans="1:9" ht="15" customHeight="1" x14ac:dyDescent="0.2">
      <c r="A24" s="901"/>
      <c r="B24" s="897"/>
      <c r="C24" s="185" t="str">
        <f>OF!C70</f>
        <v>protected</v>
      </c>
      <c r="D24" s="132">
        <f>OF!D70</f>
        <v>1</v>
      </c>
      <c r="E24" s="333">
        <v>3</v>
      </c>
      <c r="F24" s="327">
        <f>D24*E24</f>
        <v>3</v>
      </c>
      <c r="G24" s="351"/>
      <c r="H24" s="907"/>
    </row>
    <row r="25" spans="1:9" ht="15" customHeight="1" x14ac:dyDescent="0.2">
      <c r="A25" s="901"/>
      <c r="B25" s="897"/>
      <c r="C25" s="185" t="str">
        <f>OF!C71</f>
        <v>semi-protected</v>
      </c>
      <c r="D25" s="132">
        <f>OF!D71</f>
        <v>0</v>
      </c>
      <c r="E25" s="333">
        <v>2</v>
      </c>
      <c r="F25" s="327">
        <f>D25*E25</f>
        <v>0</v>
      </c>
      <c r="G25" s="352"/>
      <c r="H25" s="907"/>
    </row>
    <row r="26" spans="1:9" ht="15" customHeight="1" x14ac:dyDescent="0.2">
      <c r="A26" s="901"/>
      <c r="B26" s="897"/>
      <c r="C26" s="185" t="str">
        <f>OF!C72</f>
        <v>semi-exposed</v>
      </c>
      <c r="D26" s="132">
        <f>OF!D72</f>
        <v>0</v>
      </c>
      <c r="E26" s="333">
        <v>1</v>
      </c>
      <c r="F26" s="327">
        <f>D26*E26</f>
        <v>0</v>
      </c>
      <c r="G26" s="352"/>
      <c r="H26" s="907"/>
    </row>
    <row r="27" spans="1:9" ht="15" customHeight="1" thickBot="1" x14ac:dyDescent="0.25">
      <c r="A27" s="915"/>
      <c r="B27" s="897"/>
      <c r="C27" s="276" t="str">
        <f>OF!C73</f>
        <v>exposed or very exposed</v>
      </c>
      <c r="D27" s="334">
        <f>OF!D74</f>
        <v>0</v>
      </c>
      <c r="E27" s="335">
        <v>0</v>
      </c>
      <c r="F27" s="395">
        <f>D27*E27</f>
        <v>0</v>
      </c>
      <c r="G27" s="349"/>
      <c r="H27" s="907"/>
    </row>
    <row r="28" spans="1:9" ht="30" customHeight="1" thickBot="1" x14ac:dyDescent="0.25">
      <c r="A28" s="902" t="str">
        <f>OF!A84</f>
        <v>OF16</v>
      </c>
      <c r="B28" s="905" t="str">
        <f>OF!B84</f>
        <v>Adjoining Mudflat Width</v>
      </c>
      <c r="C28" s="275" t="str">
        <f>OF!C84</f>
        <v>The width of mudflat, measured at its widest point along a transect between the vegetated wetland and adjoining water that remains during mean daily low tide, is [see directions in column E]:</v>
      </c>
      <c r="D28" s="396"/>
      <c r="E28" s="339"/>
      <c r="F28" s="397"/>
      <c r="G28" s="163">
        <f>MAX(F29:F33)/MAX(E29:E33)</f>
        <v>0.8</v>
      </c>
      <c r="H28" s="908" t="s">
        <v>1103</v>
      </c>
      <c r="I28" s="28" t="s">
        <v>548</v>
      </c>
    </row>
    <row r="29" spans="1:9" ht="15" customHeight="1" x14ac:dyDescent="0.2">
      <c r="A29" s="903"/>
      <c r="B29" s="897"/>
      <c r="C29" s="278" t="str">
        <f>OF!C85</f>
        <v>none (no adjoining mud flat is apparent at low tide)</v>
      </c>
      <c r="D29" s="132">
        <f>OF!D85</f>
        <v>0</v>
      </c>
      <c r="E29" s="333">
        <v>0</v>
      </c>
      <c r="F29" s="327">
        <f>D29*E29</f>
        <v>0</v>
      </c>
      <c r="G29" s="351"/>
      <c r="H29" s="907"/>
    </row>
    <row r="30" spans="1:9" ht="15" customHeight="1" x14ac:dyDescent="0.2">
      <c r="A30" s="903"/>
      <c r="B30" s="897"/>
      <c r="C30" s="185" t="str">
        <f>OF!C86</f>
        <v>&lt;10 ft</v>
      </c>
      <c r="D30" s="132">
        <f>OF!D86</f>
        <v>0</v>
      </c>
      <c r="E30" s="333">
        <v>1</v>
      </c>
      <c r="F30" s="327">
        <f>D30*E30</f>
        <v>0</v>
      </c>
      <c r="G30" s="352"/>
      <c r="H30" s="907"/>
    </row>
    <row r="31" spans="1:9" ht="15" customHeight="1" x14ac:dyDescent="0.2">
      <c r="A31" s="903"/>
      <c r="B31" s="897"/>
      <c r="C31" s="185" t="str">
        <f>OF!C87</f>
        <v>10-100 ft</v>
      </c>
      <c r="D31" s="132">
        <f>OF!D87</f>
        <v>0</v>
      </c>
      <c r="E31" s="333">
        <v>3</v>
      </c>
      <c r="F31" s="327">
        <f>D31*E31</f>
        <v>0</v>
      </c>
      <c r="G31" s="352"/>
      <c r="H31" s="907"/>
    </row>
    <row r="32" spans="1:9" ht="15" customHeight="1" x14ac:dyDescent="0.2">
      <c r="A32" s="903"/>
      <c r="B32" s="897"/>
      <c r="C32" s="185" t="str">
        <f>OF!C88</f>
        <v>100-1000 ft</v>
      </c>
      <c r="D32" s="132">
        <f>OF!D88</f>
        <v>1</v>
      </c>
      <c r="E32" s="333">
        <v>4</v>
      </c>
      <c r="F32" s="327">
        <f>D32*E32</f>
        <v>4</v>
      </c>
      <c r="G32" s="352"/>
      <c r="H32" s="907"/>
    </row>
    <row r="33" spans="1:10" ht="15" customHeight="1" thickBot="1" x14ac:dyDescent="0.25">
      <c r="A33" s="904"/>
      <c r="B33" s="906"/>
      <c r="C33" s="277" t="str">
        <f>OF!C89</f>
        <v>&gt;1000 ft</v>
      </c>
      <c r="D33" s="133">
        <f>OF!D89</f>
        <v>0</v>
      </c>
      <c r="E33" s="341">
        <v>5</v>
      </c>
      <c r="F33" s="330">
        <f>D33*E33</f>
        <v>0</v>
      </c>
      <c r="G33" s="350"/>
      <c r="H33" s="774"/>
    </row>
    <row r="34" spans="1:10" ht="30" customHeight="1" thickBot="1" x14ac:dyDescent="0.25">
      <c r="A34" s="901" t="str">
        <f>OF!A128</f>
        <v>OF26</v>
      </c>
      <c r="B34" s="897" t="str">
        <f>OF!B128</f>
        <v>Marsh Area Trend</v>
      </c>
      <c r="C34" s="279" t="str">
        <f>OF!C128</f>
        <v>Over the past 200 years or since this tidal marsh originated (whichever is less), its size is probably (select one):</v>
      </c>
      <c r="D34" s="393"/>
      <c r="E34" s="331"/>
      <c r="F34" s="394"/>
      <c r="G34" s="320">
        <f>IF((D38=1),"",MAX(F35:F37)/MAX(E35:E37))</f>
        <v>0.5</v>
      </c>
      <c r="H34" s="907" t="s">
        <v>961</v>
      </c>
      <c r="I34" s="28" t="s">
        <v>547</v>
      </c>
    </row>
    <row r="35" spans="1:10" ht="27" customHeight="1" x14ac:dyDescent="0.2">
      <c r="A35" s="901"/>
      <c r="B35" s="897"/>
      <c r="C35" s="280" t="str">
        <f>OF!C129</f>
        <v xml:space="preserve">expanding outward into formerly subtidal waters due to delta deposition from logging or landslides, or landward due to glacial recession/ uplift, earthquake, or other causes. </v>
      </c>
      <c r="D35" s="132">
        <f>OF!D129</f>
        <v>0</v>
      </c>
      <c r="E35" s="333">
        <v>2</v>
      </c>
      <c r="F35" s="327">
        <f>D35*E35</f>
        <v>0</v>
      </c>
      <c r="G35" s="351"/>
      <c r="H35" s="907"/>
    </row>
    <row r="36" spans="1:10" ht="54" customHeight="1" x14ac:dyDescent="0.2">
      <c r="A36" s="901"/>
      <c r="B36" s="897"/>
      <c r="C36" s="281" t="str">
        <f>OF!C130</f>
        <v>shrinking due to natural processes (excessive sedimentation or uplift causing succession to non-tidal upland, or partial conversion to subtidal due to erosion, sea level rise, excessive retention of nourishing sediments by upriver dams, or tilting of the marsh plain following glacial rebound or earthquake).  SKIP to OF28.</v>
      </c>
      <c r="D36" s="132">
        <f>OF!D130</f>
        <v>0</v>
      </c>
      <c r="E36" s="333">
        <v>0</v>
      </c>
      <c r="F36" s="327">
        <f>D36*E36</f>
        <v>0</v>
      </c>
      <c r="G36" s="352"/>
      <c r="H36" s="907"/>
    </row>
    <row r="37" spans="1:10" ht="15" customHeight="1" x14ac:dyDescent="0.2">
      <c r="A37" s="901"/>
      <c r="B37" s="897"/>
      <c r="C37" s="282" t="str">
        <f>OF!C131</f>
        <v>mostly unchanged.  SKIP to OF28.</v>
      </c>
      <c r="D37" s="132">
        <f>OF!D131</f>
        <v>1</v>
      </c>
      <c r="E37" s="333">
        <v>1</v>
      </c>
      <c r="F37" s="327">
        <f>D37*E37</f>
        <v>1</v>
      </c>
      <c r="G37" s="352"/>
      <c r="H37" s="907"/>
    </row>
    <row r="38" spans="1:10" ht="15" customHeight="1" thickBot="1" x14ac:dyDescent="0.25">
      <c r="A38" s="901"/>
      <c r="B38" s="897"/>
      <c r="C38" s="283" t="str">
        <f>OF!C132</f>
        <v>(trend indeterminable).  SKIP to OF28.</v>
      </c>
      <c r="D38" s="334">
        <f>OF!D132</f>
        <v>0</v>
      </c>
      <c r="E38" s="335"/>
      <c r="F38" s="395"/>
      <c r="G38" s="349"/>
      <c r="H38" s="774"/>
    </row>
    <row r="39" spans="1:10" s="410" customFormat="1" ht="30" customHeight="1" thickBot="1" x14ac:dyDescent="0.25">
      <c r="A39" s="188" t="s">
        <v>770</v>
      </c>
      <c r="B39" s="189" t="s">
        <v>3633</v>
      </c>
      <c r="C39" s="190" t="s">
        <v>32</v>
      </c>
      <c r="D39" s="189" t="s">
        <v>805</v>
      </c>
      <c r="E39" s="190" t="s">
        <v>1017</v>
      </c>
      <c r="F39" s="189" t="s">
        <v>1018</v>
      </c>
      <c r="G39" s="190" t="s">
        <v>355</v>
      </c>
      <c r="H39" s="189" t="s">
        <v>503</v>
      </c>
      <c r="I39" s="408"/>
      <c r="J39" s="409"/>
    </row>
    <row r="40" spans="1:10" ht="30" customHeight="1" thickBot="1" x14ac:dyDescent="0.25">
      <c r="A40" s="901" t="str">
        <f>T!A77</f>
        <v>T15</v>
      </c>
      <c r="B40" s="897" t="str">
        <f>T!B77</f>
        <v>Natural Cover in Buffer</v>
      </c>
      <c r="C40" s="275" t="str">
        <f>T!C77</f>
        <v>Within 100 ft upslope of the AA's wetland-upland edge, the percentage of the upland that contains natural (not necessarily native) land cover is:</v>
      </c>
      <c r="D40" s="393"/>
      <c r="E40" s="331"/>
      <c r="F40" s="398"/>
      <c r="G40" s="399">
        <f>MAX(F41:F45)/MAX(E41:E45)</f>
        <v>0</v>
      </c>
      <c r="H40" s="908" t="s">
        <v>917</v>
      </c>
      <c r="I40" s="28" t="s">
        <v>546</v>
      </c>
    </row>
    <row r="41" spans="1:10" ht="15" customHeight="1" x14ac:dyDescent="0.2">
      <c r="A41" s="901"/>
      <c r="B41" s="897"/>
      <c r="C41" s="278" t="str">
        <f>T!C78</f>
        <v xml:space="preserve">&lt;5% </v>
      </c>
      <c r="D41" s="132">
        <f>T!D78</f>
        <v>0</v>
      </c>
      <c r="E41" s="333">
        <v>4</v>
      </c>
      <c r="F41" s="327">
        <f t="shared" ref="F41:F54" si="2">D41*E41</f>
        <v>0</v>
      </c>
      <c r="G41" s="351"/>
      <c r="H41" s="907"/>
    </row>
    <row r="42" spans="1:10" ht="15" customHeight="1" x14ac:dyDescent="0.2">
      <c r="A42" s="901"/>
      <c r="B42" s="897"/>
      <c r="C42" s="185" t="str">
        <f>T!C79</f>
        <v>5 to 30%</v>
      </c>
      <c r="D42" s="132">
        <f>T!D79</f>
        <v>0</v>
      </c>
      <c r="E42" s="333">
        <v>3</v>
      </c>
      <c r="F42" s="327">
        <f t="shared" si="2"/>
        <v>0</v>
      </c>
      <c r="G42" s="352"/>
      <c r="H42" s="907"/>
    </row>
    <row r="43" spans="1:10" ht="15" customHeight="1" x14ac:dyDescent="0.2">
      <c r="A43" s="901"/>
      <c r="B43" s="897"/>
      <c r="C43" s="185" t="str">
        <f>T!C80</f>
        <v>30 to 60%</v>
      </c>
      <c r="D43" s="132">
        <f>T!D80</f>
        <v>0</v>
      </c>
      <c r="E43" s="333">
        <v>2</v>
      </c>
      <c r="F43" s="327">
        <f t="shared" si="2"/>
        <v>0</v>
      </c>
      <c r="G43" s="352"/>
      <c r="H43" s="907"/>
    </row>
    <row r="44" spans="1:10" ht="15" customHeight="1" x14ac:dyDescent="0.2">
      <c r="A44" s="901"/>
      <c r="B44" s="897"/>
      <c r="C44" s="185" t="str">
        <f>T!C81</f>
        <v>60 to 90%</v>
      </c>
      <c r="D44" s="132">
        <f>T!D81</f>
        <v>0</v>
      </c>
      <c r="E44" s="333">
        <v>1</v>
      </c>
      <c r="F44" s="327">
        <f t="shared" si="2"/>
        <v>0</v>
      </c>
      <c r="G44" s="352"/>
      <c r="H44" s="907"/>
    </row>
    <row r="45" spans="1:10" ht="15" customHeight="1" thickBot="1" x14ac:dyDescent="0.25">
      <c r="A45" s="901"/>
      <c r="B45" s="897"/>
      <c r="C45" s="276" t="str">
        <f>T!C82</f>
        <v>&gt;90%.  SKIP to T17.</v>
      </c>
      <c r="D45" s="334">
        <f>T!D82</f>
        <v>1</v>
      </c>
      <c r="E45" s="335">
        <v>0</v>
      </c>
      <c r="F45" s="395">
        <f t="shared" si="2"/>
        <v>0</v>
      </c>
      <c r="G45" s="349"/>
      <c r="H45" s="907"/>
    </row>
    <row r="46" spans="1:10" ht="30" customHeight="1" thickBot="1" x14ac:dyDescent="0.25">
      <c r="A46" s="911" t="str">
        <f>T!A86</f>
        <v>T17</v>
      </c>
      <c r="B46" s="905" t="str">
        <f>T!B86</f>
        <v>Slope from Disturbed Lands</v>
      </c>
      <c r="C46" s="275" t="str">
        <f>T!C86</f>
        <v>Along the AA's wetland-upland edge and extending to the most extensive and/or closest disturbance feature within 100 ft uphill, the slope of the land averages:</v>
      </c>
      <c r="D46" s="396"/>
      <c r="E46" s="339"/>
      <c r="F46" s="400"/>
      <c r="G46" s="401">
        <f>MAX(F47:F50)/MAX(E47:E50)</f>
        <v>1</v>
      </c>
      <c r="H46" s="908" t="s">
        <v>918</v>
      </c>
      <c r="I46" s="28" t="s">
        <v>545</v>
      </c>
    </row>
    <row r="47" spans="1:10" ht="15" customHeight="1" x14ac:dyDescent="0.2">
      <c r="A47" s="912"/>
      <c r="B47" s="897"/>
      <c r="C47" s="278" t="str">
        <f>T!C87</f>
        <v>&lt;1% (flat -- almost no noticeable slope)</v>
      </c>
      <c r="D47" s="132">
        <f>T!D87</f>
        <v>0</v>
      </c>
      <c r="E47" s="333">
        <v>0</v>
      </c>
      <c r="F47" s="327">
        <f t="shared" si="2"/>
        <v>0</v>
      </c>
      <c r="G47" s="351"/>
      <c r="H47" s="907"/>
    </row>
    <row r="48" spans="1:10" ht="15" customHeight="1" x14ac:dyDescent="0.2">
      <c r="A48" s="912"/>
      <c r="B48" s="897"/>
      <c r="C48" s="185" t="str">
        <f>T!C88</f>
        <v>2-5%</v>
      </c>
      <c r="D48" s="132">
        <f>T!D88</f>
        <v>0</v>
      </c>
      <c r="E48" s="333">
        <v>1</v>
      </c>
      <c r="F48" s="327">
        <f t="shared" si="2"/>
        <v>0</v>
      </c>
      <c r="G48" s="352"/>
      <c r="H48" s="907"/>
    </row>
    <row r="49" spans="1:9" ht="15" customHeight="1" x14ac:dyDescent="0.2">
      <c r="A49" s="912"/>
      <c r="B49" s="897"/>
      <c r="C49" s="185" t="str">
        <f>T!C89</f>
        <v>5-30%</v>
      </c>
      <c r="D49" s="132">
        <f>T!D89</f>
        <v>0</v>
      </c>
      <c r="E49" s="333">
        <v>2</v>
      </c>
      <c r="F49" s="327">
        <f t="shared" si="2"/>
        <v>0</v>
      </c>
      <c r="G49" s="352"/>
      <c r="H49" s="907"/>
    </row>
    <row r="50" spans="1:9" ht="15" customHeight="1" thickBot="1" x14ac:dyDescent="0.25">
      <c r="A50" s="913"/>
      <c r="B50" s="906"/>
      <c r="C50" s="277" t="str">
        <f>T!C90</f>
        <v>&gt;30%</v>
      </c>
      <c r="D50" s="133">
        <f>T!D90</f>
        <v>1</v>
      </c>
      <c r="E50" s="341">
        <v>3</v>
      </c>
      <c r="F50" s="330">
        <f t="shared" si="2"/>
        <v>3</v>
      </c>
      <c r="G50" s="350"/>
      <c r="H50" s="774"/>
    </row>
    <row r="51" spans="1:9" ht="15" customHeight="1" thickBot="1" x14ac:dyDescent="0.25">
      <c r="A51" s="890" t="str">
        <f>OF!A80</f>
        <v>OF15</v>
      </c>
      <c r="B51" s="897" t="str">
        <f>OF!B80</f>
        <v>Distance to Eelgrass or Kelp</v>
      </c>
      <c r="C51" s="181" t="str">
        <f>OF!C80</f>
        <v>The distance by water to the closest patch of eelgrass or kelp is [see directions in column E]:</v>
      </c>
      <c r="D51" s="323"/>
      <c r="E51" s="331"/>
      <c r="F51" s="394"/>
      <c r="G51" s="399">
        <f>MAX(F52:F54)/MAX(E52:E54)</f>
        <v>1</v>
      </c>
      <c r="H51" s="907" t="s">
        <v>962</v>
      </c>
      <c r="I51" s="28" t="s">
        <v>562</v>
      </c>
    </row>
    <row r="52" spans="1:9" ht="15" customHeight="1" x14ac:dyDescent="0.2">
      <c r="A52" s="890"/>
      <c r="B52" s="897"/>
      <c r="C52" s="278" t="str">
        <f>OF!C81</f>
        <v>&lt;150 ft, or present within the AA</v>
      </c>
      <c r="D52" s="131">
        <f>OF!D81</f>
        <v>1</v>
      </c>
      <c r="E52" s="333">
        <v>3</v>
      </c>
      <c r="F52" s="327">
        <f t="shared" si="2"/>
        <v>3</v>
      </c>
      <c r="G52" s="351"/>
      <c r="H52" s="907"/>
    </row>
    <row r="53" spans="1:9" ht="15" customHeight="1" x14ac:dyDescent="0.2">
      <c r="A53" s="890"/>
      <c r="B53" s="897"/>
      <c r="C53" s="185" t="str">
        <f>OF!C82</f>
        <v>150-1000 ft</v>
      </c>
      <c r="D53" s="131">
        <f>OF!D82</f>
        <v>0</v>
      </c>
      <c r="E53" s="333">
        <v>1</v>
      </c>
      <c r="F53" s="327">
        <f t="shared" si="2"/>
        <v>0</v>
      </c>
      <c r="G53" s="352"/>
      <c r="H53" s="907"/>
    </row>
    <row r="54" spans="1:9" ht="15" customHeight="1" thickBot="1" x14ac:dyDescent="0.25">
      <c r="A54" s="890"/>
      <c r="B54" s="897"/>
      <c r="C54" s="276" t="str">
        <f>OF!C83</f>
        <v>&gt;1000 ft</v>
      </c>
      <c r="D54" s="325">
        <f>OF!D83</f>
        <v>0</v>
      </c>
      <c r="E54" s="335">
        <v>0</v>
      </c>
      <c r="F54" s="395">
        <f t="shared" si="2"/>
        <v>0</v>
      </c>
      <c r="G54" s="349"/>
      <c r="H54" s="907"/>
    </row>
    <row r="55" spans="1:9" ht="30" customHeight="1" thickBot="1" x14ac:dyDescent="0.25">
      <c r="A55" s="891" t="str">
        <f>OF!A103</f>
        <v>OF20</v>
      </c>
      <c r="B55" s="898" t="str">
        <f>OF!B103</f>
        <v>Input Stream Gradient</v>
      </c>
      <c r="C55" s="284" t="str">
        <f>OF!C103</f>
        <v>The gradient of the largest intersecting stream (or if none, then the closest fish-bearing stream) averaged up to 1000 ft above tidewater, is:</v>
      </c>
      <c r="D55" s="338"/>
      <c r="E55" s="339"/>
      <c r="F55" s="397"/>
      <c r="G55" s="401">
        <f>IF((OF!D90=0),"",MAX(F56:F59)/MAX(E56:E59))</f>
        <v>0</v>
      </c>
      <c r="H55" s="908" t="s">
        <v>963</v>
      </c>
      <c r="I55" s="28" t="s">
        <v>559</v>
      </c>
    </row>
    <row r="56" spans="1:9" ht="15" customHeight="1" x14ac:dyDescent="0.2">
      <c r="A56" s="892"/>
      <c r="B56" s="899"/>
      <c r="C56" s="285" t="str">
        <f>OF!C104</f>
        <v>&lt;1%</v>
      </c>
      <c r="D56" s="132">
        <f>OF!D104</f>
        <v>1</v>
      </c>
      <c r="E56" s="333">
        <v>0</v>
      </c>
      <c r="F56" s="327">
        <f>D56*E56</f>
        <v>0</v>
      </c>
      <c r="G56" s="351"/>
      <c r="H56" s="907"/>
    </row>
    <row r="57" spans="1:9" ht="15" customHeight="1" x14ac:dyDescent="0.2">
      <c r="A57" s="892"/>
      <c r="B57" s="899"/>
      <c r="C57" s="286" t="str">
        <f>OF!C105</f>
        <v>1-5%</v>
      </c>
      <c r="D57" s="132">
        <f>OF!D105</f>
        <v>0</v>
      </c>
      <c r="E57" s="333">
        <v>1</v>
      </c>
      <c r="F57" s="327">
        <f>D57*E57</f>
        <v>0</v>
      </c>
      <c r="G57" s="352"/>
      <c r="H57" s="907"/>
    </row>
    <row r="58" spans="1:9" ht="15" customHeight="1" x14ac:dyDescent="0.2">
      <c r="A58" s="892"/>
      <c r="B58" s="899"/>
      <c r="C58" s="286" t="str">
        <f>OF!C106</f>
        <v>5-30%</v>
      </c>
      <c r="D58" s="132">
        <f>OF!D106</f>
        <v>0</v>
      </c>
      <c r="E58" s="333">
        <v>2</v>
      </c>
      <c r="F58" s="327">
        <f>D58*E58</f>
        <v>0</v>
      </c>
      <c r="G58" s="352"/>
      <c r="H58" s="907"/>
    </row>
    <row r="59" spans="1:9" ht="15" customHeight="1" thickBot="1" x14ac:dyDescent="0.25">
      <c r="A59" s="893"/>
      <c r="B59" s="900"/>
      <c r="C59" s="287" t="str">
        <f>OF!C107</f>
        <v>&gt;30%</v>
      </c>
      <c r="D59" s="133">
        <f>OF!D107</f>
        <v>0</v>
      </c>
      <c r="E59" s="341">
        <v>4</v>
      </c>
      <c r="F59" s="330">
        <f>D59*E59</f>
        <v>0</v>
      </c>
      <c r="G59" s="350"/>
      <c r="H59" s="774"/>
    </row>
    <row r="60" spans="1:9" ht="30" customHeight="1" thickBot="1" x14ac:dyDescent="0.25">
      <c r="A60" s="902" t="str">
        <f>OF!A97</f>
        <v>OF19</v>
      </c>
      <c r="B60" s="905" t="str">
        <f>OF!B97</f>
        <v>Distance to Anadromous Stream or River</v>
      </c>
      <c r="C60" s="275" t="str">
        <f>OF!C97</f>
        <v>If AA is not intersected by an anadromous (Class 1) stream or river, the water distance from the AA to the tidewater outlet of the nearest such stream or river that supports anadromous fish is:</v>
      </c>
      <c r="D60" s="396"/>
      <c r="E60" s="339"/>
      <c r="F60" s="400"/>
      <c r="G60" s="401" t="str">
        <f>IF((OF!D90=1),"",MAX(F61:F65)/MAX(E61:E65))</f>
        <v/>
      </c>
      <c r="H60" s="908" t="s">
        <v>964</v>
      </c>
      <c r="I60" s="28" t="s">
        <v>544</v>
      </c>
    </row>
    <row r="61" spans="1:9" ht="15" customHeight="1" x14ac:dyDescent="0.2">
      <c r="A61" s="903"/>
      <c r="B61" s="897"/>
      <c r="C61" s="186" t="str">
        <f>OF!C98</f>
        <v xml:space="preserve">&lt;150 ft </v>
      </c>
      <c r="D61" s="334">
        <f>OF!D98</f>
        <v>0</v>
      </c>
      <c r="E61" s="333">
        <v>5</v>
      </c>
      <c r="F61" s="327">
        <f>D61*E61</f>
        <v>0</v>
      </c>
      <c r="G61" s="351"/>
      <c r="H61" s="907"/>
    </row>
    <row r="62" spans="1:9" ht="15" customHeight="1" x14ac:dyDescent="0.2">
      <c r="A62" s="903"/>
      <c r="B62" s="897"/>
      <c r="C62" s="276" t="str">
        <f>OF!C99</f>
        <v>150-1000 ft</v>
      </c>
      <c r="D62" s="334">
        <f>OF!D99</f>
        <v>0</v>
      </c>
      <c r="E62" s="333">
        <v>3</v>
      </c>
      <c r="F62" s="327">
        <f>D62*E62</f>
        <v>0</v>
      </c>
      <c r="G62" s="352"/>
      <c r="H62" s="907"/>
    </row>
    <row r="63" spans="1:9" ht="15" customHeight="1" x14ac:dyDescent="0.2">
      <c r="A63" s="903"/>
      <c r="B63" s="897"/>
      <c r="C63" s="276" t="str">
        <f>OF!C100</f>
        <v>1000 ft - 1 mile</v>
      </c>
      <c r="D63" s="334">
        <f>OF!D100</f>
        <v>0</v>
      </c>
      <c r="E63" s="333">
        <v>2</v>
      </c>
      <c r="F63" s="327">
        <f>D63*E63</f>
        <v>0</v>
      </c>
      <c r="G63" s="352"/>
      <c r="H63" s="907"/>
    </row>
    <row r="64" spans="1:9" ht="15" customHeight="1" x14ac:dyDescent="0.2">
      <c r="A64" s="903"/>
      <c r="B64" s="897"/>
      <c r="C64" s="276" t="str">
        <f>OF!C101</f>
        <v>1-5 miles</v>
      </c>
      <c r="D64" s="334">
        <f>OF!D101</f>
        <v>0</v>
      </c>
      <c r="E64" s="333">
        <v>1</v>
      </c>
      <c r="F64" s="327">
        <f>D64*E64</f>
        <v>0</v>
      </c>
      <c r="G64" s="352"/>
      <c r="H64" s="907"/>
    </row>
    <row r="65" spans="1:9" ht="15" customHeight="1" thickBot="1" x14ac:dyDescent="0.25">
      <c r="A65" s="904"/>
      <c r="B65" s="906"/>
      <c r="C65" s="277" t="str">
        <f>OF!C102</f>
        <v>&gt;5 miles</v>
      </c>
      <c r="D65" s="133">
        <f>OF!D102</f>
        <v>0</v>
      </c>
      <c r="E65" s="341">
        <v>0</v>
      </c>
      <c r="F65" s="330">
        <f>D65*E65</f>
        <v>0</v>
      </c>
      <c r="G65" s="350"/>
      <c r="H65" s="774"/>
    </row>
    <row r="66" spans="1:9" ht="28.5" customHeight="1" thickBot="1" x14ac:dyDescent="0.25">
      <c r="A66" s="901" t="str">
        <f>OF!A110</f>
        <v>OF23</v>
      </c>
      <c r="B66" s="897" t="str">
        <f>OF!B110</f>
        <v>Glacier Fed</v>
      </c>
      <c r="C66" s="181" t="str">
        <f>OF!C110</f>
        <v>The distance from the AA to the nearest upstream glacier which partially feeds the AA is currently:</v>
      </c>
      <c r="D66" s="393"/>
      <c r="E66" s="331"/>
      <c r="F66" s="394"/>
      <c r="G66" s="399">
        <f>IF((OF!D90=0),"",MAX(F67:F73)/MAX(E67:E73))</f>
        <v>0</v>
      </c>
      <c r="H66" s="907" t="s">
        <v>919</v>
      </c>
      <c r="I66" s="28" t="s">
        <v>543</v>
      </c>
    </row>
    <row r="67" spans="1:9" ht="15" customHeight="1" x14ac:dyDescent="0.2">
      <c r="A67" s="901"/>
      <c r="B67" s="897"/>
      <c r="C67" s="278" t="str">
        <f>OF!C111</f>
        <v>No upstream glacier feeds the AA.</v>
      </c>
      <c r="D67" s="132">
        <f>OF!D111</f>
        <v>1</v>
      </c>
      <c r="E67" s="333">
        <v>0</v>
      </c>
      <c r="F67" s="327">
        <f t="shared" ref="F67:F73" si="3">D67*E67</f>
        <v>0</v>
      </c>
      <c r="G67" s="351"/>
      <c r="H67" s="907"/>
    </row>
    <row r="68" spans="1:9" ht="15" customHeight="1" x14ac:dyDescent="0.2">
      <c r="A68" s="901"/>
      <c r="B68" s="897"/>
      <c r="C68" s="185" t="str">
        <f>OF!C112</f>
        <v>0 - 150 ft (i.e., a glacier is essentially contiguous with the tidal marsh AA).</v>
      </c>
      <c r="D68" s="132">
        <f>OF!D112</f>
        <v>0</v>
      </c>
      <c r="E68" s="333">
        <v>6</v>
      </c>
      <c r="F68" s="327">
        <f t="shared" si="3"/>
        <v>0</v>
      </c>
      <c r="G68" s="352"/>
      <c r="H68" s="907"/>
    </row>
    <row r="69" spans="1:9" ht="15" customHeight="1" x14ac:dyDescent="0.2">
      <c r="A69" s="901"/>
      <c r="B69" s="897"/>
      <c r="C69" s="185" t="str">
        <f>OF!C113</f>
        <v>150-1000 ft</v>
      </c>
      <c r="D69" s="132">
        <f>OF!D113</f>
        <v>0</v>
      </c>
      <c r="E69" s="333">
        <v>5</v>
      </c>
      <c r="F69" s="327">
        <f t="shared" si="3"/>
        <v>0</v>
      </c>
      <c r="G69" s="352"/>
      <c r="H69" s="907"/>
    </row>
    <row r="70" spans="1:9" ht="15" customHeight="1" x14ac:dyDescent="0.2">
      <c r="A70" s="901"/>
      <c r="B70" s="897"/>
      <c r="C70" s="185" t="str">
        <f>OF!C114</f>
        <v>1000 ft - 1 mile</v>
      </c>
      <c r="D70" s="132">
        <f>OF!D114</f>
        <v>0</v>
      </c>
      <c r="E70" s="333">
        <v>4</v>
      </c>
      <c r="F70" s="327">
        <f t="shared" si="3"/>
        <v>0</v>
      </c>
      <c r="G70" s="352"/>
      <c r="H70" s="907"/>
    </row>
    <row r="71" spans="1:9" ht="15" customHeight="1" x14ac:dyDescent="0.2">
      <c r="A71" s="901"/>
      <c r="B71" s="897"/>
      <c r="C71" s="185" t="str">
        <f>OF!C115</f>
        <v>1-5 miles</v>
      </c>
      <c r="D71" s="132">
        <f>OF!D115</f>
        <v>0</v>
      </c>
      <c r="E71" s="333">
        <v>3</v>
      </c>
      <c r="F71" s="327">
        <f t="shared" si="3"/>
        <v>0</v>
      </c>
      <c r="G71" s="352"/>
      <c r="H71" s="907"/>
    </row>
    <row r="72" spans="1:9" ht="15" customHeight="1" x14ac:dyDescent="0.2">
      <c r="A72" s="901"/>
      <c r="B72" s="897"/>
      <c r="C72" s="185" t="str">
        <f>OF!C116</f>
        <v>&gt;5 miles, and densely cloudy or greenish water due to glacier is apparent at least seasonally.</v>
      </c>
      <c r="D72" s="132">
        <f>OF!D116</f>
        <v>0</v>
      </c>
      <c r="E72" s="333">
        <v>2</v>
      </c>
      <c r="F72" s="327">
        <f t="shared" si="3"/>
        <v>0</v>
      </c>
      <c r="G72" s="352"/>
      <c r="H72" s="907"/>
    </row>
    <row r="73" spans="1:9" ht="15" customHeight="1" thickBot="1" x14ac:dyDescent="0.25">
      <c r="A73" s="901"/>
      <c r="B73" s="897"/>
      <c r="C73" s="276" t="str">
        <f>OF!C117</f>
        <v>&gt;5 miles, but no such water conditions are apparent, even seasonally, or conditions unknown.</v>
      </c>
      <c r="D73" s="334">
        <f>OF!D117</f>
        <v>0</v>
      </c>
      <c r="E73" s="335">
        <v>1</v>
      </c>
      <c r="F73" s="395">
        <f t="shared" si="3"/>
        <v>0</v>
      </c>
      <c r="G73" s="349"/>
      <c r="H73" s="907"/>
    </row>
    <row r="74" spans="1:9" ht="30" customHeight="1" thickBot="1" x14ac:dyDescent="0.25">
      <c r="A74" s="909" t="str">
        <f>OF!A123</f>
        <v>OF25</v>
      </c>
      <c r="B74" s="908" t="str">
        <f>OF!B123</f>
        <v>Upslope Soil Erodibility &amp; Debris Flow Potential</v>
      </c>
      <c r="C74" s="275" t="str">
        <f>OF!C123</f>
        <v>There is documentation of landslides or severe erosion of channels or slopes above the AA:  [See directions, column E]</v>
      </c>
      <c r="D74" s="402"/>
      <c r="E74" s="403"/>
      <c r="F74" s="359"/>
      <c r="G74" s="401">
        <f>MAX(F75:F77)/MAX(E75:E77)</f>
        <v>0</v>
      </c>
      <c r="H74" s="908" t="s">
        <v>350</v>
      </c>
      <c r="I74" s="28" t="s">
        <v>351</v>
      </c>
    </row>
    <row r="75" spans="1:9" ht="15" customHeight="1" x14ac:dyDescent="0.2">
      <c r="A75" s="910"/>
      <c r="B75" s="907"/>
      <c r="C75" s="278" t="str">
        <f>OF!C124</f>
        <v>yes, and such conditions or classifications intersect the AA.</v>
      </c>
      <c r="D75" s="131">
        <f>OF!D124</f>
        <v>0</v>
      </c>
      <c r="E75" s="335">
        <v>2</v>
      </c>
      <c r="F75" s="395">
        <f>D75*E75</f>
        <v>0</v>
      </c>
      <c r="G75" s="352"/>
      <c r="H75" s="907"/>
    </row>
    <row r="76" spans="1:9" ht="15" customHeight="1" x14ac:dyDescent="0.2">
      <c r="A76" s="910"/>
      <c r="B76" s="907"/>
      <c r="C76" s="185" t="str">
        <f>OF!C125</f>
        <v>yes, but the conditions or classifications stop short of the AA and are within 300 ft upslope</v>
      </c>
      <c r="D76" s="131">
        <f>OF!D125</f>
        <v>0</v>
      </c>
      <c r="E76" s="335">
        <v>1</v>
      </c>
      <c r="F76" s="395">
        <f>D76*E76</f>
        <v>0</v>
      </c>
      <c r="G76" s="352"/>
      <c r="H76" s="907"/>
    </row>
    <row r="77" spans="1:9" ht="27.75" customHeight="1" x14ac:dyDescent="0.2">
      <c r="A77" s="910"/>
      <c r="B77" s="907"/>
      <c r="C77" s="185" t="str">
        <f>OF!C126</f>
        <v>no, or no information but very unlikely that AA is fed sediment by nearby highly erodible lands or landslides.</v>
      </c>
      <c r="D77" s="131">
        <f>OF!D126</f>
        <v>1</v>
      </c>
      <c r="E77" s="335">
        <v>0</v>
      </c>
      <c r="F77" s="395">
        <f>D77*E77</f>
        <v>0</v>
      </c>
      <c r="G77" s="352"/>
      <c r="H77" s="907"/>
    </row>
    <row r="78" spans="1:9" ht="15" customHeight="1" thickBot="1" x14ac:dyDescent="0.25">
      <c r="A78" s="768"/>
      <c r="B78" s="774"/>
      <c r="C78" s="277" t="str">
        <f>OF!C127</f>
        <v>no information</v>
      </c>
      <c r="D78" s="328">
        <f>OF!D127</f>
        <v>0</v>
      </c>
      <c r="E78" s="341"/>
      <c r="F78" s="330"/>
      <c r="G78" s="350"/>
      <c r="H78" s="774"/>
    </row>
    <row r="79" spans="1:9" ht="55.5" customHeight="1" thickBot="1" x14ac:dyDescent="0.25">
      <c r="A79" s="902" t="str">
        <f>OF!A143</f>
        <v>OF29</v>
      </c>
      <c r="B79" s="905" t="str">
        <f>OF!B143</f>
        <v>Unvegetated Surface in the Contributing Area</v>
      </c>
      <c r="C79" s="275" t="str">
        <f>OF!C143</f>
        <v>The percentage of the contributing area (measured to no more than 1000 ft upslope) that drains directly to the AA and is comprised of buildings, roads, parking lots, other pavement, recent (&lt;5 years old) clearcuts, exposed bedrock, debris flows, and other mostly-bare (but unfrozen) surface is about :</v>
      </c>
      <c r="D79" s="396"/>
      <c r="E79" s="339"/>
      <c r="F79" s="397"/>
      <c r="G79" s="401">
        <f>MAX(F80:F82)/MAX(E80:E82)</f>
        <v>0</v>
      </c>
      <c r="H79" s="908" t="s">
        <v>965</v>
      </c>
      <c r="I79" s="28" t="s">
        <v>560</v>
      </c>
    </row>
    <row r="80" spans="1:9" ht="15" customHeight="1" x14ac:dyDescent="0.2">
      <c r="A80" s="903"/>
      <c r="B80" s="897"/>
      <c r="C80" s="278" t="str">
        <f>OF!C144</f>
        <v>&lt;10%</v>
      </c>
      <c r="D80" s="131">
        <f>OF!D144</f>
        <v>1</v>
      </c>
      <c r="E80" s="333">
        <v>0</v>
      </c>
      <c r="F80" s="395">
        <f>D80*E80</f>
        <v>0</v>
      </c>
      <c r="G80" s="351"/>
      <c r="H80" s="907"/>
    </row>
    <row r="81" spans="1:9" ht="15" customHeight="1" x14ac:dyDescent="0.2">
      <c r="A81" s="903"/>
      <c r="B81" s="897"/>
      <c r="C81" s="185" t="str">
        <f>OF!C145</f>
        <v>10 to 25%</v>
      </c>
      <c r="D81" s="131">
        <f>OF!D145</f>
        <v>0</v>
      </c>
      <c r="E81" s="333">
        <v>1</v>
      </c>
      <c r="F81" s="395">
        <f>D81*E81</f>
        <v>0</v>
      </c>
      <c r="G81" s="352"/>
      <c r="H81" s="907"/>
    </row>
    <row r="82" spans="1:9" ht="15" customHeight="1" thickBot="1" x14ac:dyDescent="0.25">
      <c r="A82" s="904"/>
      <c r="B82" s="906"/>
      <c r="C82" s="277" t="str">
        <f>OF!C146</f>
        <v>&gt;25%</v>
      </c>
      <c r="D82" s="328">
        <f>OF!D146</f>
        <v>0</v>
      </c>
      <c r="E82" s="341">
        <v>3</v>
      </c>
      <c r="F82" s="330">
        <f>D82*E82</f>
        <v>0</v>
      </c>
      <c r="G82" s="350"/>
      <c r="H82" s="774"/>
    </row>
    <row r="83" spans="1:9" ht="30" customHeight="1" thickBot="1" x14ac:dyDescent="0.25">
      <c r="A83" s="902" t="str">
        <f>OF!A147</f>
        <v>OF30</v>
      </c>
      <c r="B83" s="905" t="str">
        <f>OF!B147</f>
        <v>Transport From Upslope</v>
      </c>
      <c r="C83" s="275" t="str">
        <f>OF!C147</f>
        <v>A relatively large proportion of the precipitation that falls on the slope adjoining the AA reaches this wetland quickly as runoff (surface water), as indicated by the following: 
(a) input stream or channel is present, 
(b) input channels have been straightened, 
(c) upslope wetlands have been ditched extensively, 
(d) land cover is mostly non-forest, 
(e) slopes are steep, and/or
(f) most soils in the contributing area are shallow and/or have high runoff coefficients.  
This statement is:</v>
      </c>
      <c r="D83" s="396"/>
      <c r="E83" s="339"/>
      <c r="F83" s="397"/>
      <c r="G83" s="401">
        <f>MAX(F84:F86)/MAX(E84:E86)</f>
        <v>0.5</v>
      </c>
      <c r="H83" s="908" t="s">
        <v>920</v>
      </c>
      <c r="I83" s="28" t="s">
        <v>561</v>
      </c>
    </row>
    <row r="84" spans="1:9" ht="15" customHeight="1" x14ac:dyDescent="0.2">
      <c r="A84" s="903"/>
      <c r="B84" s="897"/>
      <c r="C84" s="278" t="str">
        <f>OF!C148</f>
        <v>Mostly true</v>
      </c>
      <c r="D84" s="131">
        <f>OF!D148</f>
        <v>0</v>
      </c>
      <c r="E84" s="333">
        <v>2</v>
      </c>
      <c r="F84" s="395">
        <f>D84*E84</f>
        <v>0</v>
      </c>
      <c r="G84" s="351"/>
      <c r="H84" s="907"/>
    </row>
    <row r="85" spans="1:9" ht="15" customHeight="1" x14ac:dyDescent="0.2">
      <c r="A85" s="903"/>
      <c r="B85" s="897"/>
      <c r="C85" s="185" t="str">
        <f>OF!C149</f>
        <v>Somewhat true</v>
      </c>
      <c r="D85" s="131">
        <f>OF!D149</f>
        <v>1</v>
      </c>
      <c r="E85" s="333">
        <v>1</v>
      </c>
      <c r="F85" s="395">
        <f>D85*E85</f>
        <v>1</v>
      </c>
      <c r="G85" s="352"/>
      <c r="H85" s="907"/>
    </row>
    <row r="86" spans="1:9" ht="15" customHeight="1" thickBot="1" x14ac:dyDescent="0.25">
      <c r="A86" s="904"/>
      <c r="B86" s="906"/>
      <c r="C86" s="277" t="str">
        <f>OF!C150</f>
        <v>Mostly untrue</v>
      </c>
      <c r="D86" s="328">
        <f>OF!D150</f>
        <v>0</v>
      </c>
      <c r="E86" s="341">
        <v>0</v>
      </c>
      <c r="F86" s="330">
        <f>D86*E86</f>
        <v>0</v>
      </c>
      <c r="G86" s="350"/>
      <c r="H86" s="774"/>
    </row>
    <row r="87" spans="1:9" ht="21" customHeight="1" thickBot="1" x14ac:dyDescent="0.25">
      <c r="A87" s="887"/>
      <c r="B87" s="887"/>
      <c r="C87" s="886"/>
      <c r="D87" s="886"/>
      <c r="E87" s="886"/>
      <c r="F87" s="886"/>
      <c r="G87" s="886"/>
      <c r="H87" s="886"/>
    </row>
    <row r="88" spans="1:9" ht="30" customHeight="1" thickBot="1" x14ac:dyDescent="0.25">
      <c r="A88" s="707"/>
      <c r="B88" s="707"/>
      <c r="C88" s="894" t="s">
        <v>551</v>
      </c>
      <c r="D88" s="895"/>
      <c r="E88" s="896"/>
      <c r="F88" s="404" t="s">
        <v>552</v>
      </c>
      <c r="G88" s="405">
        <f>IF((AreaTrend1=1),10,10*AVERAGE(AreaTrend1,Vwidth1,LowMarshT1,Gcover1, Mudflat1,Fetch1))</f>
        <v>6.8888888888888902</v>
      </c>
      <c r="H88" s="29" t="s">
        <v>334</v>
      </c>
    </row>
    <row r="89" spans="1:9" ht="30" customHeight="1" thickBot="1" x14ac:dyDescent="0.25">
      <c r="A89" s="707"/>
      <c r="B89" s="707"/>
      <c r="C89" s="894" t="s">
        <v>553</v>
      </c>
      <c r="D89" s="895"/>
      <c r="E89" s="896"/>
      <c r="F89" s="404" t="s">
        <v>554</v>
      </c>
      <c r="G89" s="406">
        <f>10*MAX(Eelgrass1,AVERAGE(AVERAGE(BuffCovPct1,BuffSlope1,CAcover1,Erode1,Glacier1),AVERAGE(TribDist1,TribGrad,Transport1)))</f>
        <v>10</v>
      </c>
      <c r="H89" s="79" t="s">
        <v>352</v>
      </c>
    </row>
    <row r="90" spans="1:9" ht="21" customHeight="1" thickBot="1" x14ac:dyDescent="0.25">
      <c r="D90" s="8"/>
      <c r="E90" s="8"/>
      <c r="F90" s="8"/>
      <c r="G90" s="8"/>
      <c r="H90" s="273"/>
    </row>
    <row r="91" spans="1:9" ht="21" customHeight="1" thickBot="1" x14ac:dyDescent="0.25">
      <c r="D91" s="8"/>
      <c r="E91" s="8"/>
      <c r="F91" s="8"/>
      <c r="G91" s="8"/>
      <c r="H91" s="80" t="s">
        <v>377</v>
      </c>
    </row>
    <row r="92" spans="1:9" ht="27" customHeight="1" x14ac:dyDescent="0.2">
      <c r="D92" s="8"/>
      <c r="E92" s="8"/>
      <c r="F92" s="8"/>
      <c r="G92" s="8"/>
      <c r="H92" s="81" t="s">
        <v>378</v>
      </c>
    </row>
    <row r="93" spans="1:9" ht="41.25" customHeight="1" x14ac:dyDescent="0.2">
      <c r="D93" s="8"/>
      <c r="E93" s="8"/>
      <c r="F93" s="8"/>
      <c r="G93" s="8"/>
      <c r="H93" s="82" t="s">
        <v>69</v>
      </c>
    </row>
    <row r="94" spans="1:9" ht="27" customHeight="1" x14ac:dyDescent="0.2">
      <c r="D94" s="8"/>
      <c r="E94" s="8"/>
      <c r="F94" s="8"/>
      <c r="G94" s="8"/>
      <c r="H94" s="83" t="s">
        <v>379</v>
      </c>
    </row>
    <row r="95" spans="1:9" ht="38.25" customHeight="1" x14ac:dyDescent="0.2">
      <c r="D95" s="8"/>
      <c r="E95" s="8"/>
      <c r="F95" s="8"/>
      <c r="G95" s="8"/>
      <c r="H95" s="83" t="s">
        <v>380</v>
      </c>
    </row>
    <row r="96" spans="1:9" ht="27" customHeight="1" x14ac:dyDescent="0.2">
      <c r="D96" s="8"/>
      <c r="E96" s="8"/>
      <c r="F96" s="8"/>
      <c r="G96" s="8"/>
      <c r="H96" s="83" t="s">
        <v>381</v>
      </c>
    </row>
    <row r="97" spans="4:8" ht="37.5" customHeight="1" x14ac:dyDescent="0.2">
      <c r="D97" s="8"/>
      <c r="E97" s="8"/>
      <c r="F97" s="8"/>
      <c r="G97" s="8"/>
      <c r="H97" s="83" t="s">
        <v>382</v>
      </c>
    </row>
    <row r="98" spans="4:8" ht="27" customHeight="1" x14ac:dyDescent="0.2">
      <c r="D98" s="8"/>
      <c r="E98" s="8"/>
      <c r="F98" s="8"/>
      <c r="G98" s="8"/>
      <c r="H98" s="83" t="s">
        <v>383</v>
      </c>
    </row>
    <row r="99" spans="4:8" ht="42" customHeight="1" x14ac:dyDescent="0.2">
      <c r="D99" s="8"/>
      <c r="E99" s="8"/>
      <c r="F99" s="8"/>
      <c r="G99" s="8"/>
      <c r="H99" s="83" t="s">
        <v>384</v>
      </c>
    </row>
    <row r="100" spans="4:8" ht="42" customHeight="1" thickBot="1" x14ac:dyDescent="0.25">
      <c r="D100" s="8"/>
      <c r="E100" s="8"/>
      <c r="F100" s="8"/>
      <c r="G100" s="8"/>
      <c r="H100" s="84" t="s">
        <v>385</v>
      </c>
    </row>
    <row r="101" spans="4:8" ht="15" customHeight="1" x14ac:dyDescent="0.2">
      <c r="H101" s="35"/>
    </row>
  </sheetData>
  <sheetProtection password="C74A" sheet="1" objects="1" scenarios="1" formatCells="0" formatColumns="0" formatRows="0"/>
  <mergeCells count="51">
    <mergeCell ref="B74:B78"/>
    <mergeCell ref="A83:A86"/>
    <mergeCell ref="A74:A78"/>
    <mergeCell ref="H51:H54"/>
    <mergeCell ref="H79:H82"/>
    <mergeCell ref="B60:B65"/>
    <mergeCell ref="A66:A73"/>
    <mergeCell ref="B66:B73"/>
    <mergeCell ref="B79:B82"/>
    <mergeCell ref="H55:H59"/>
    <mergeCell ref="H66:H73"/>
    <mergeCell ref="H60:H65"/>
    <mergeCell ref="H83:H86"/>
    <mergeCell ref="H74:H78"/>
    <mergeCell ref="A46:A50"/>
    <mergeCell ref="H46:H50"/>
    <mergeCell ref="H22:H27"/>
    <mergeCell ref="B40:B45"/>
    <mergeCell ref="B46:B50"/>
    <mergeCell ref="A22:A27"/>
    <mergeCell ref="H34:H38"/>
    <mergeCell ref="H28:H33"/>
    <mergeCell ref="H40:H45"/>
    <mergeCell ref="A28:A33"/>
    <mergeCell ref="B28:B33"/>
    <mergeCell ref="B34:B38"/>
    <mergeCell ref="H3:H10"/>
    <mergeCell ref="B3:B10"/>
    <mergeCell ref="A3:A10"/>
    <mergeCell ref="B22:B27"/>
    <mergeCell ref="A34:A38"/>
    <mergeCell ref="H11:H16"/>
    <mergeCell ref="H17:H21"/>
    <mergeCell ref="A17:A21"/>
    <mergeCell ref="B17:B21"/>
    <mergeCell ref="E1:H1"/>
    <mergeCell ref="C87:H87"/>
    <mergeCell ref="A87:B89"/>
    <mergeCell ref="A1:B1"/>
    <mergeCell ref="A11:A16"/>
    <mergeCell ref="A51:A54"/>
    <mergeCell ref="A55:A59"/>
    <mergeCell ref="C89:E89"/>
    <mergeCell ref="B51:B54"/>
    <mergeCell ref="B55:B59"/>
    <mergeCell ref="A40:A45"/>
    <mergeCell ref="A79:A82"/>
    <mergeCell ref="A60:A65"/>
    <mergeCell ref="C88:E88"/>
    <mergeCell ref="B83:B86"/>
    <mergeCell ref="B11:B16"/>
  </mergeCells>
  <phoneticPr fontId="19" type="noConversion"/>
  <pageMargins left="0.75" right="0.75" top="1" bottom="1" header="0.5" footer="0.5"/>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J73"/>
  <sheetViews>
    <sheetView workbookViewId="0">
      <selection activeCell="C9" sqref="C9"/>
    </sheetView>
  </sheetViews>
  <sheetFormatPr defaultColWidth="9.33203125" defaultRowHeight="15" customHeight="1" x14ac:dyDescent="0.2"/>
  <cols>
    <col min="1" max="1" width="5.83203125" style="22" customWidth="1"/>
    <col min="2" max="2" width="18.6640625" style="22" customWidth="1"/>
    <col min="3" max="3" width="87.83203125" style="22" customWidth="1"/>
    <col min="4" max="4" width="6.83203125" style="308" customWidth="1"/>
    <col min="5" max="5" width="7.5" style="308" customWidth="1"/>
    <col min="6" max="6" width="8.6640625" style="308" customWidth="1"/>
    <col min="7" max="7" width="10.83203125" style="390" customWidth="1"/>
    <col min="8" max="8" width="63.83203125" style="22" customWidth="1"/>
    <col min="9" max="9" width="19.5" style="22" customWidth="1"/>
    <col min="10" max="10" width="9.33203125" style="42"/>
    <col min="11" max="16384" width="9.33203125" style="22"/>
  </cols>
  <sheetData>
    <row r="1" spans="1:10" ht="75.75" customHeight="1" thickBot="1" x14ac:dyDescent="0.25">
      <c r="A1" s="922" t="s">
        <v>40</v>
      </c>
      <c r="B1" s="923"/>
      <c r="C1" s="68" t="s">
        <v>41</v>
      </c>
      <c r="D1" s="69" t="s">
        <v>42</v>
      </c>
      <c r="E1" s="916"/>
      <c r="F1" s="917"/>
      <c r="G1" s="917"/>
      <c r="H1" s="917"/>
    </row>
    <row r="2" spans="1:10" s="391" customFormat="1" ht="30" customHeight="1" thickBot="1" x14ac:dyDescent="0.25">
      <c r="A2" s="293" t="s">
        <v>770</v>
      </c>
      <c r="B2" s="288" t="s">
        <v>3634</v>
      </c>
      <c r="C2" s="289" t="s">
        <v>32</v>
      </c>
      <c r="D2" s="288" t="s">
        <v>805</v>
      </c>
      <c r="E2" s="290" t="s">
        <v>1017</v>
      </c>
      <c r="F2" s="291" t="s">
        <v>1018</v>
      </c>
      <c r="G2" s="292" t="s">
        <v>355</v>
      </c>
      <c r="H2" s="288" t="s">
        <v>60</v>
      </c>
      <c r="J2" s="392"/>
    </row>
    <row r="3" spans="1:10" s="20" customFormat="1" ht="29.25" customHeight="1" thickBot="1" x14ac:dyDescent="0.25">
      <c r="A3" s="909" t="str">
        <f>T!A10</f>
        <v>T3</v>
      </c>
      <c r="B3" s="908" t="str">
        <f>T!B10</f>
        <v>Low Marsh</v>
      </c>
      <c r="C3" s="275" t="str">
        <f>T!C10</f>
        <v>The percent of the vegetated part of the AA that is "low marsh" (covered by tidal water for part of almost every day) is:</v>
      </c>
      <c r="D3" s="338"/>
      <c r="E3" s="338"/>
      <c r="F3" s="359"/>
      <c r="G3" s="163">
        <f>MAX(F4:F10)/MAX(E4:E10)</f>
        <v>0.2</v>
      </c>
      <c r="H3" s="908" t="s">
        <v>72</v>
      </c>
      <c r="I3" s="28" t="s">
        <v>432</v>
      </c>
      <c r="J3" s="78"/>
    </row>
    <row r="4" spans="1:10" s="20" customFormat="1" ht="15" customHeight="1" x14ac:dyDescent="0.2">
      <c r="A4" s="910"/>
      <c r="B4" s="907"/>
      <c r="C4" s="186" t="str">
        <f>T!C11</f>
        <v>none, or &lt;1%</v>
      </c>
      <c r="D4" s="325">
        <f>T!D11</f>
        <v>0</v>
      </c>
      <c r="E4" s="326">
        <v>3</v>
      </c>
      <c r="F4" s="327">
        <f t="shared" ref="F4:F10" si="0">D4*E4</f>
        <v>0</v>
      </c>
      <c r="G4" s="349"/>
      <c r="H4" s="907"/>
      <c r="I4" s="28"/>
      <c r="J4" s="78"/>
    </row>
    <row r="5" spans="1:10" s="20" customFormat="1" ht="15" customHeight="1" x14ac:dyDescent="0.2">
      <c r="A5" s="910"/>
      <c r="B5" s="907"/>
      <c r="C5" s="276" t="str">
        <f>T!C12</f>
        <v>1-10%</v>
      </c>
      <c r="D5" s="325">
        <f>T!D12</f>
        <v>0</v>
      </c>
      <c r="E5" s="326">
        <v>4</v>
      </c>
      <c r="F5" s="327">
        <f t="shared" si="0"/>
        <v>0</v>
      </c>
      <c r="G5" s="349"/>
      <c r="H5" s="907"/>
      <c r="I5" s="28"/>
      <c r="J5" s="78"/>
    </row>
    <row r="6" spans="1:10" s="20" customFormat="1" ht="15" customHeight="1" x14ac:dyDescent="0.2">
      <c r="A6" s="910"/>
      <c r="B6" s="907"/>
      <c r="C6" s="276" t="str">
        <f>T!C13</f>
        <v>10-25%</v>
      </c>
      <c r="D6" s="325">
        <f>T!D13</f>
        <v>0</v>
      </c>
      <c r="E6" s="326">
        <v>5</v>
      </c>
      <c r="F6" s="327">
        <f t="shared" si="0"/>
        <v>0</v>
      </c>
      <c r="G6" s="349"/>
      <c r="H6" s="907"/>
      <c r="I6" s="28"/>
      <c r="J6" s="78"/>
    </row>
    <row r="7" spans="1:10" s="20" customFormat="1" ht="15" customHeight="1" x14ac:dyDescent="0.2">
      <c r="A7" s="910"/>
      <c r="B7" s="907"/>
      <c r="C7" s="276" t="str">
        <f>T!C14</f>
        <v>25-50%</v>
      </c>
      <c r="D7" s="325">
        <f>T!D14</f>
        <v>0</v>
      </c>
      <c r="E7" s="326">
        <v>4</v>
      </c>
      <c r="F7" s="327">
        <f t="shared" si="0"/>
        <v>0</v>
      </c>
      <c r="G7" s="349"/>
      <c r="H7" s="907"/>
      <c r="I7" s="28"/>
      <c r="J7" s="78"/>
    </row>
    <row r="8" spans="1:10" s="20" customFormat="1" ht="15" customHeight="1" x14ac:dyDescent="0.2">
      <c r="A8" s="910"/>
      <c r="B8" s="907"/>
      <c r="C8" s="276" t="str">
        <f>T!C15</f>
        <v>50-75%</v>
      </c>
      <c r="D8" s="325">
        <f>T!D15</f>
        <v>0</v>
      </c>
      <c r="E8" s="326">
        <v>3</v>
      </c>
      <c r="F8" s="327">
        <f t="shared" si="0"/>
        <v>0</v>
      </c>
      <c r="G8" s="349"/>
      <c r="H8" s="907"/>
      <c r="I8" s="28"/>
      <c r="J8" s="78"/>
    </row>
    <row r="9" spans="1:10" s="20" customFormat="1" ht="15" customHeight="1" x14ac:dyDescent="0.2">
      <c r="A9" s="910"/>
      <c r="B9" s="907"/>
      <c r="C9" s="276" t="str">
        <f>T!C16</f>
        <v>75-90%</v>
      </c>
      <c r="D9" s="325">
        <f>T!D16</f>
        <v>0</v>
      </c>
      <c r="E9" s="326">
        <v>2</v>
      </c>
      <c r="F9" s="327">
        <f t="shared" si="0"/>
        <v>0</v>
      </c>
      <c r="G9" s="349"/>
      <c r="H9" s="907"/>
      <c r="I9" s="28"/>
      <c r="J9" s="78"/>
    </row>
    <row r="10" spans="1:10" s="20" customFormat="1" ht="15" customHeight="1" thickBot="1" x14ac:dyDescent="0.25">
      <c r="A10" s="768"/>
      <c r="B10" s="774"/>
      <c r="C10" s="277" t="str">
        <f>T!C17</f>
        <v>&gt;90%</v>
      </c>
      <c r="D10" s="328">
        <f>T!D17</f>
        <v>1</v>
      </c>
      <c r="E10" s="329">
        <v>1</v>
      </c>
      <c r="F10" s="330">
        <f t="shared" si="0"/>
        <v>1</v>
      </c>
      <c r="G10" s="350"/>
      <c r="H10" s="774"/>
      <c r="I10" s="28"/>
      <c r="J10" s="78"/>
    </row>
    <row r="11" spans="1:10" ht="39" customHeight="1" thickBot="1" x14ac:dyDescent="0.25">
      <c r="A11" s="926" t="str">
        <f>T!A18</f>
        <v>T4</v>
      </c>
      <c r="B11" s="927" t="str">
        <f>T!B18</f>
        <v>Width of Vegetated Zone at Daily Low Tide</v>
      </c>
      <c r="C11" s="294" t="str">
        <f>T!C18</f>
        <v>At daily low tide, the average width of vegetated area in the AA that separates adjoining uplands from most deepwater (subtidal water) within or adjoining the AA, or from the largest intersecting river or tributary (whichever is less), is:</v>
      </c>
      <c r="D11" s="360"/>
      <c r="E11" s="361"/>
      <c r="F11" s="362"/>
      <c r="G11" s="363">
        <f>MAX(F12:F16)/MAX(E12:E16)</f>
        <v>0.83333333333333337</v>
      </c>
      <c r="H11" s="897" t="s">
        <v>921</v>
      </c>
      <c r="I11" s="22" t="s">
        <v>567</v>
      </c>
    </row>
    <row r="12" spans="1:10" ht="15" customHeight="1" x14ac:dyDescent="0.2">
      <c r="A12" s="926"/>
      <c r="B12" s="927"/>
      <c r="C12" s="295" t="str">
        <f>T!C19</f>
        <v xml:space="preserve">1-5 ft </v>
      </c>
      <c r="D12" s="364">
        <f>T!D19</f>
        <v>0</v>
      </c>
      <c r="E12" s="365">
        <v>1</v>
      </c>
      <c r="F12" s="365">
        <f>D12*E12</f>
        <v>0</v>
      </c>
      <c r="G12" s="366"/>
      <c r="H12" s="927"/>
    </row>
    <row r="13" spans="1:10" ht="15" customHeight="1" x14ac:dyDescent="0.2">
      <c r="A13" s="926"/>
      <c r="B13" s="927"/>
      <c r="C13" s="296" t="str">
        <f>T!C20</f>
        <v>5-25 ft</v>
      </c>
      <c r="D13" s="364">
        <f>T!D20</f>
        <v>0</v>
      </c>
      <c r="E13" s="365">
        <v>3</v>
      </c>
      <c r="F13" s="365">
        <f t="shared" ref="F13:F33" si="1">D13*E13</f>
        <v>0</v>
      </c>
      <c r="G13" s="367"/>
      <c r="H13" s="927"/>
    </row>
    <row r="14" spans="1:10" ht="15" customHeight="1" x14ac:dyDescent="0.2">
      <c r="A14" s="926"/>
      <c r="B14" s="927"/>
      <c r="C14" s="296" t="str">
        <f>T!C21</f>
        <v>25-100 ft</v>
      </c>
      <c r="D14" s="364">
        <f>T!D21</f>
        <v>0</v>
      </c>
      <c r="E14" s="365">
        <v>4</v>
      </c>
      <c r="F14" s="365">
        <f t="shared" si="1"/>
        <v>0</v>
      </c>
      <c r="G14" s="367"/>
      <c r="H14" s="927"/>
    </row>
    <row r="15" spans="1:10" ht="15" customHeight="1" x14ac:dyDescent="0.2">
      <c r="A15" s="926"/>
      <c r="B15" s="927"/>
      <c r="C15" s="296" t="str">
        <f>T!C22</f>
        <v>100-300 ft</v>
      </c>
      <c r="D15" s="364">
        <f>T!D22</f>
        <v>1</v>
      </c>
      <c r="E15" s="365">
        <v>5</v>
      </c>
      <c r="F15" s="365">
        <f t="shared" si="1"/>
        <v>5</v>
      </c>
      <c r="G15" s="367"/>
      <c r="H15" s="927"/>
    </row>
    <row r="16" spans="1:10" ht="15" customHeight="1" thickBot="1" x14ac:dyDescent="0.25">
      <c r="A16" s="926"/>
      <c r="B16" s="927"/>
      <c r="C16" s="297" t="str">
        <f>T!C23</f>
        <v>&gt;300 ft</v>
      </c>
      <c r="D16" s="368">
        <f>T!D23</f>
        <v>0</v>
      </c>
      <c r="E16" s="369">
        <v>6</v>
      </c>
      <c r="F16" s="369">
        <f t="shared" si="1"/>
        <v>0</v>
      </c>
      <c r="G16" s="370"/>
      <c r="H16" s="927"/>
    </row>
    <row r="17" spans="1:9" ht="42" customHeight="1" thickBot="1" x14ac:dyDescent="0.25">
      <c r="A17" s="931" t="str">
        <f>T!A24</f>
        <v>T5</v>
      </c>
      <c r="B17" s="949" t="str">
        <f>T!B24</f>
        <v>Width of Vegetated Zone at Daily High Tide</v>
      </c>
      <c r="C17" s="298" t="str">
        <f>T!C24</f>
        <v>At daily high tide, the average width of vegetated area in the AA that separates adjoining uplands from most deepwater (subtidal water) within or adjoining the AA, or from the largest intersecting river or tributary (whichever is less), is:</v>
      </c>
      <c r="D17" s="371"/>
      <c r="E17" s="372"/>
      <c r="F17" s="373"/>
      <c r="G17" s="374">
        <f>MAX(F18:F22)/MAX(E18:E22)</f>
        <v>0.5</v>
      </c>
      <c r="H17" s="905" t="s">
        <v>914</v>
      </c>
      <c r="I17" s="22" t="s">
        <v>568</v>
      </c>
    </row>
    <row r="18" spans="1:9" ht="15" customHeight="1" x14ac:dyDescent="0.2">
      <c r="A18" s="932"/>
      <c r="B18" s="925"/>
      <c r="C18" s="295" t="str">
        <f>T!C25</f>
        <v xml:space="preserve">1-5 ft </v>
      </c>
      <c r="D18" s="375">
        <f>T!D25</f>
        <v>0</v>
      </c>
      <c r="E18" s="365">
        <v>1</v>
      </c>
      <c r="F18" s="365">
        <f t="shared" si="1"/>
        <v>0</v>
      </c>
      <c r="G18" s="366"/>
      <c r="H18" s="927"/>
    </row>
    <row r="19" spans="1:9" ht="15" customHeight="1" x14ac:dyDescent="0.2">
      <c r="A19" s="932"/>
      <c r="B19" s="925"/>
      <c r="C19" s="296" t="str">
        <f>T!C26</f>
        <v>5-25 ft</v>
      </c>
      <c r="D19" s="375">
        <f>T!D26</f>
        <v>1</v>
      </c>
      <c r="E19" s="365">
        <v>3</v>
      </c>
      <c r="F19" s="365">
        <f t="shared" si="1"/>
        <v>3</v>
      </c>
      <c r="G19" s="367"/>
      <c r="H19" s="927"/>
    </row>
    <row r="20" spans="1:9" ht="15" customHeight="1" x14ac:dyDescent="0.2">
      <c r="A20" s="932"/>
      <c r="B20" s="925"/>
      <c r="C20" s="296" t="str">
        <f>T!C27</f>
        <v>25-100 ft</v>
      </c>
      <c r="D20" s="375">
        <f>T!D27</f>
        <v>0</v>
      </c>
      <c r="E20" s="365">
        <v>4</v>
      </c>
      <c r="F20" s="365">
        <f t="shared" si="1"/>
        <v>0</v>
      </c>
      <c r="G20" s="367"/>
      <c r="H20" s="927"/>
    </row>
    <row r="21" spans="1:9" ht="15" customHeight="1" x14ac:dyDescent="0.2">
      <c r="A21" s="932"/>
      <c r="B21" s="925"/>
      <c r="C21" s="296" t="str">
        <f>T!C28</f>
        <v>100-300 ft</v>
      </c>
      <c r="D21" s="375">
        <f>T!D28</f>
        <v>0</v>
      </c>
      <c r="E21" s="365">
        <v>5</v>
      </c>
      <c r="F21" s="365">
        <f t="shared" si="1"/>
        <v>0</v>
      </c>
      <c r="G21" s="367"/>
      <c r="H21" s="927"/>
    </row>
    <row r="22" spans="1:9" ht="15" customHeight="1" thickBot="1" x14ac:dyDescent="0.25">
      <c r="A22" s="933"/>
      <c r="B22" s="950"/>
      <c r="C22" s="299" t="str">
        <f>T!C29</f>
        <v>&gt;300 ft</v>
      </c>
      <c r="D22" s="376">
        <f>T!D29</f>
        <v>0</v>
      </c>
      <c r="E22" s="377">
        <v>6</v>
      </c>
      <c r="F22" s="377">
        <f t="shared" si="1"/>
        <v>0</v>
      </c>
      <c r="G22" s="378"/>
      <c r="H22" s="941"/>
    </row>
    <row r="23" spans="1:9" ht="30" customHeight="1" thickBot="1" x14ac:dyDescent="0.25">
      <c r="A23" s="926" t="str">
        <f>T!A34</f>
        <v>T7</v>
      </c>
      <c r="B23" s="927" t="str">
        <f>T!B34</f>
        <v>Bare Ground &amp; Accumulated Plant Litter</v>
      </c>
      <c r="C23" s="294" t="str">
        <f>T!C34</f>
        <v>Consider the parts of the AA that are not inundated by tides on most days, i.e., high marsh.  Viewed from 6 inches above the soil surface, the condition in most of this area is:</v>
      </c>
      <c r="D23" s="360"/>
      <c r="E23" s="361"/>
      <c r="F23" s="362"/>
      <c r="G23" s="363">
        <f>MAX(F24:F27)/MAX(E24:E27)</f>
        <v>0.66666666666666663</v>
      </c>
      <c r="H23" s="897" t="s">
        <v>922</v>
      </c>
      <c r="I23" s="22" t="s">
        <v>569</v>
      </c>
    </row>
    <row r="24" spans="1:9" ht="39" customHeight="1" x14ac:dyDescent="0.2">
      <c r="A24" s="926"/>
      <c r="B24" s="927"/>
      <c r="C24" s="295" t="str">
        <f>T!C35</f>
        <v xml:space="preserve">little or no (&lt;5%) bare ground or plant litter (thatch) is visible between erect stems or under canopy.  This can occur if ground surface is extensively blanketed by graminoids with great stem densities, or plants with ground-hugging foliage.  </v>
      </c>
      <c r="D24" s="364">
        <f>T!D35</f>
        <v>0</v>
      </c>
      <c r="E24" s="365">
        <v>3</v>
      </c>
      <c r="F24" s="365">
        <f t="shared" si="1"/>
        <v>0</v>
      </c>
      <c r="G24" s="366"/>
      <c r="H24" s="927"/>
    </row>
    <row r="25" spans="1:9" ht="27" customHeight="1" x14ac:dyDescent="0.2">
      <c r="A25" s="926"/>
      <c r="B25" s="927"/>
      <c r="C25" s="296" t="str">
        <f>T!C36</f>
        <v>some (5-20%) bare ground or litter is visible.  Herbaceous plants have moderate stem densities and do not closely hug the ground.</v>
      </c>
      <c r="D25" s="364">
        <f>T!D36</f>
        <v>0</v>
      </c>
      <c r="E25" s="365">
        <v>3</v>
      </c>
      <c r="F25" s="365">
        <f t="shared" si="1"/>
        <v>0</v>
      </c>
      <c r="G25" s="367"/>
      <c r="H25" s="927"/>
    </row>
    <row r="26" spans="1:9" ht="25.5" customHeight="1" x14ac:dyDescent="0.2">
      <c r="A26" s="926"/>
      <c r="B26" s="927"/>
      <c r="C26" s="296" t="str">
        <f>T!C37</f>
        <v>much (20-50%) bare ground or plant litter is visible.  Low stem density and/or tall plants with little near-ground foliage.</v>
      </c>
      <c r="D26" s="364">
        <f>T!D37</f>
        <v>1</v>
      </c>
      <c r="E26" s="365">
        <v>2</v>
      </c>
      <c r="F26" s="365">
        <f t="shared" si="1"/>
        <v>2</v>
      </c>
      <c r="G26" s="367"/>
      <c r="H26" s="927"/>
    </row>
    <row r="27" spans="1:9" ht="15" customHeight="1" thickBot="1" x14ac:dyDescent="0.25">
      <c r="A27" s="926"/>
      <c r="B27" s="927"/>
      <c r="C27" s="297" t="str">
        <f>T!C38</f>
        <v xml:space="preserve">mostly (&gt;50%) bare ground or accumulated plant litter. </v>
      </c>
      <c r="D27" s="368">
        <f>T!D38</f>
        <v>0</v>
      </c>
      <c r="E27" s="369">
        <v>0</v>
      </c>
      <c r="F27" s="369">
        <f t="shared" si="1"/>
        <v>0</v>
      </c>
      <c r="G27" s="370"/>
      <c r="H27" s="927"/>
    </row>
    <row r="28" spans="1:9" ht="30" customHeight="1" thickBot="1" x14ac:dyDescent="0.25">
      <c r="A28" s="942" t="str">
        <f>T!A54</f>
        <v>T11</v>
      </c>
      <c r="B28" s="940" t="str">
        <f>T!B54</f>
        <v>Soil Texture</v>
      </c>
      <c r="C28" s="298" t="str">
        <f>T!C54</f>
        <v>Excluding subtidal waters and channels that stay flooded throughout the tidal cycle, the texture of soil in the uppermost layer in most of the AA is predominantly:</v>
      </c>
      <c r="D28" s="371"/>
      <c r="E28" s="372"/>
      <c r="F28" s="373"/>
      <c r="G28" s="374">
        <f>MAX(F29:F33)/MAX(E29:E33)</f>
        <v>0.16666666666666666</v>
      </c>
      <c r="H28" s="905" t="s">
        <v>397</v>
      </c>
      <c r="I28" s="22" t="s">
        <v>570</v>
      </c>
    </row>
    <row r="29" spans="1:9" ht="15" customHeight="1" x14ac:dyDescent="0.2">
      <c r="A29" s="943"/>
      <c r="B29" s="927"/>
      <c r="C29" s="295" t="str">
        <f>T!C55</f>
        <v>Loamy: includes loam, sandy loam.</v>
      </c>
      <c r="D29" s="364">
        <f>T!D55</f>
        <v>0</v>
      </c>
      <c r="E29" s="365">
        <v>3</v>
      </c>
      <c r="F29" s="365">
        <f t="shared" si="1"/>
        <v>0</v>
      </c>
      <c r="G29" s="366"/>
      <c r="H29" s="927"/>
    </row>
    <row r="30" spans="1:9" ht="15" customHeight="1" x14ac:dyDescent="0.2">
      <c r="A30" s="943"/>
      <c r="B30" s="927"/>
      <c r="C30" s="296" t="str">
        <f>T!C56</f>
        <v>Fines: includes silt, glacial flour, clay, clay loam, silty clay, silty clay loam, sandy clay, sandy clay loam.</v>
      </c>
      <c r="D30" s="364">
        <f>T!D56</f>
        <v>0</v>
      </c>
      <c r="E30" s="365">
        <v>2</v>
      </c>
      <c r="F30" s="365">
        <f t="shared" si="1"/>
        <v>0</v>
      </c>
      <c r="G30" s="367"/>
      <c r="H30" s="927"/>
    </row>
    <row r="31" spans="1:9" ht="15" customHeight="1" x14ac:dyDescent="0.2">
      <c r="A31" s="943"/>
      <c r="B31" s="927"/>
      <c r="C31" s="296" t="str">
        <f>T!C57</f>
        <v>Organic, from surface to within 4 inches of surface only.  Exclude live roots.</v>
      </c>
      <c r="D31" s="364">
        <f>T!D57</f>
        <v>0</v>
      </c>
      <c r="E31" s="365">
        <v>5</v>
      </c>
      <c r="F31" s="365">
        <f t="shared" si="1"/>
        <v>0</v>
      </c>
      <c r="G31" s="367"/>
      <c r="H31" s="927"/>
    </row>
    <row r="32" spans="1:9" ht="15" customHeight="1" x14ac:dyDescent="0.2">
      <c r="A32" s="943"/>
      <c r="B32" s="927"/>
      <c r="C32" s="296" t="str">
        <f>T!C59</f>
        <v>Organic, from surface to greater than 16 inch depth. Exclude live roots.</v>
      </c>
      <c r="D32" s="364">
        <f>T!D59</f>
        <v>0</v>
      </c>
      <c r="E32" s="365">
        <v>6</v>
      </c>
      <c r="F32" s="365">
        <f t="shared" si="1"/>
        <v>0</v>
      </c>
      <c r="G32" s="367"/>
      <c r="H32" s="927"/>
    </row>
    <row r="33" spans="1:9" ht="15" customHeight="1" thickBot="1" x14ac:dyDescent="0.25">
      <c r="A33" s="944"/>
      <c r="B33" s="941"/>
      <c r="C33" s="299" t="str">
        <f>T!C60</f>
        <v>Coarse: includes sand, loamy sand, gravel, cobble, stones, boulders, fluvents, fluvaquents, riverwash.</v>
      </c>
      <c r="D33" s="379">
        <f>T!D60</f>
        <v>1</v>
      </c>
      <c r="E33" s="377">
        <v>1</v>
      </c>
      <c r="F33" s="377">
        <f t="shared" si="1"/>
        <v>1</v>
      </c>
      <c r="G33" s="378"/>
      <c r="H33" s="941"/>
    </row>
    <row r="34" spans="1:9" ht="21" customHeight="1" thickBot="1" x14ac:dyDescent="0.25">
      <c r="A34" s="924" t="str">
        <f>OF!A4</f>
        <v>OF1</v>
      </c>
      <c r="B34" s="925" t="str">
        <f>OF!B4</f>
        <v>Geography</v>
      </c>
      <c r="C34" s="294" t="str">
        <f>OF!C4</f>
        <v>Enter 1 for ALL that are true.  The AA is located:</v>
      </c>
      <c r="D34" s="360"/>
      <c r="E34" s="361"/>
      <c r="F34" s="362"/>
      <c r="G34" s="363">
        <f>MAX(F35:F37)/MAX(E35:E37)</f>
        <v>1</v>
      </c>
      <c r="H34" s="927" t="s">
        <v>583</v>
      </c>
      <c r="I34" s="22" t="s">
        <v>579</v>
      </c>
    </row>
    <row r="35" spans="1:9" ht="15" customHeight="1" x14ac:dyDescent="0.2">
      <c r="A35" s="924"/>
      <c r="B35" s="925"/>
      <c r="C35" s="295" t="str">
        <f>OF!C5</f>
        <v>in the Stikine, Alsek, Taiya-Chilkat-Skagway, or Taku deltas or estuaries</v>
      </c>
      <c r="D35" s="375">
        <f>OF!D5</f>
        <v>0</v>
      </c>
      <c r="E35" s="365">
        <v>1</v>
      </c>
      <c r="F35" s="365">
        <f>D35*E35</f>
        <v>0</v>
      </c>
      <c r="G35" s="366"/>
      <c r="H35" s="927"/>
    </row>
    <row r="36" spans="1:9" ht="15" customHeight="1" x14ac:dyDescent="0.2">
      <c r="A36" s="924"/>
      <c r="B36" s="925"/>
      <c r="C36" s="296" t="str">
        <f>OF!C6</f>
        <v>in another mainland area or inner coast</v>
      </c>
      <c r="D36" s="375">
        <f>OF!D6</f>
        <v>1</v>
      </c>
      <c r="E36" s="365">
        <v>2</v>
      </c>
      <c r="F36" s="365">
        <f>D36*E36</f>
        <v>2</v>
      </c>
      <c r="G36" s="367"/>
      <c r="H36" s="927"/>
    </row>
    <row r="37" spans="1:9" ht="15" customHeight="1" thickBot="1" x14ac:dyDescent="0.25">
      <c r="A37" s="924"/>
      <c r="B37" s="925"/>
      <c r="C37" s="297" t="str">
        <f>OF!C7</f>
        <v>on or close to the outer coast</v>
      </c>
      <c r="D37" s="380">
        <f>OF!D7</f>
        <v>0</v>
      </c>
      <c r="E37" s="369">
        <v>2</v>
      </c>
      <c r="F37" s="369">
        <f>D37*E37</f>
        <v>0</v>
      </c>
      <c r="G37" s="370"/>
      <c r="H37" s="927"/>
    </row>
    <row r="38" spans="1:9" ht="21" customHeight="1" thickBot="1" x14ac:dyDescent="0.25">
      <c r="A38" s="946" t="str">
        <f>OF!A8</f>
        <v>OF2</v>
      </c>
      <c r="B38" s="940" t="str">
        <f>OF!B8</f>
        <v>Geomorphic Setting</v>
      </c>
      <c r="C38" s="298" t="str">
        <f>OF!C8</f>
        <v>As viewed at a coarse (e.g., 1:24000) scale, the AA is (select one):</v>
      </c>
      <c r="D38" s="371"/>
      <c r="E38" s="372"/>
      <c r="F38" s="373"/>
      <c r="G38" s="374">
        <f>MAX(F39:F42)/MAX(E39:E42)</f>
        <v>0.6</v>
      </c>
      <c r="H38" s="905" t="s">
        <v>966</v>
      </c>
      <c r="I38" s="22" t="s">
        <v>571</v>
      </c>
    </row>
    <row r="39" spans="1:9" ht="27" customHeight="1" x14ac:dyDescent="0.2">
      <c r="A39" s="947"/>
      <c r="B39" s="927"/>
      <c r="C39" s="295" t="str">
        <f>OF!C9</f>
        <v>Adjoined by a major* river, and is closer to the upriver head-of-tide than to marine bays or ocean; if known, the water salinity is &lt;5 ppt at low tide nearly all the year.</v>
      </c>
      <c r="D39" s="375">
        <f>OF!D9</f>
        <v>0</v>
      </c>
      <c r="E39" s="365">
        <v>1</v>
      </c>
      <c r="F39" s="365">
        <f>D39*E39</f>
        <v>0</v>
      </c>
      <c r="G39" s="366"/>
      <c r="H39" s="927"/>
    </row>
    <row r="40" spans="1:9" ht="27" customHeight="1" x14ac:dyDescent="0.2">
      <c r="A40" s="947"/>
      <c r="B40" s="927"/>
      <c r="C40" s="296" t="str">
        <f>OF!C10</f>
        <v>Adjoined by a major* river, and is closer to marine bays or ocean than to upriver head-of-tide; may be in a river delta; if known, the water salinity is &gt;5 ppt at low tide nearly all the year.</v>
      </c>
      <c r="D40" s="375">
        <f>OF!D10</f>
        <v>1</v>
      </c>
      <c r="E40" s="365">
        <v>3</v>
      </c>
      <c r="F40" s="365">
        <f>D40*E40</f>
        <v>3</v>
      </c>
      <c r="G40" s="367"/>
      <c r="H40" s="927"/>
    </row>
    <row r="41" spans="1:9" ht="27" customHeight="1" x14ac:dyDescent="0.2">
      <c r="A41" s="947"/>
      <c r="B41" s="927"/>
      <c r="C41" s="296" t="str">
        <f>OF!C11</f>
        <v xml:space="preserve">In a sheltered fish-accessible lagoon, embayment, pocket beach, or tidal slough with a relatively narrow connection to other marine waters and no direct river inputs (a small tributary may be present). </v>
      </c>
      <c r="D41" s="375">
        <f>OF!D11</f>
        <v>0</v>
      </c>
      <c r="E41" s="365">
        <v>5</v>
      </c>
      <c r="F41" s="365">
        <f>D41*E41</f>
        <v>0</v>
      </c>
      <c r="G41" s="367"/>
      <c r="H41" s="927"/>
    </row>
    <row r="42" spans="1:9" ht="15" customHeight="1" x14ac:dyDescent="0.2">
      <c r="A42" s="947"/>
      <c r="B42" s="927"/>
      <c r="C42" s="296" t="str">
        <f>OF!C12</f>
        <v>On a marine fjord, canal, or strait with no major river adjoining the AA itself.</v>
      </c>
      <c r="D42" s="375">
        <f>OF!D12</f>
        <v>0</v>
      </c>
      <c r="E42" s="365">
        <v>4</v>
      </c>
      <c r="F42" s="365">
        <f>D42*E42</f>
        <v>0</v>
      </c>
      <c r="G42" s="367"/>
      <c r="H42" s="927"/>
    </row>
    <row r="43" spans="1:9" ht="15" customHeight="1" thickBot="1" x14ac:dyDescent="0.25">
      <c r="A43" s="948"/>
      <c r="B43" s="941"/>
      <c r="C43" s="299" t="str">
        <f>OF!C13</f>
        <v>Other setting</v>
      </c>
      <c r="D43" s="376">
        <f>OF!D13</f>
        <v>0</v>
      </c>
      <c r="E43" s="377"/>
      <c r="F43" s="377"/>
      <c r="G43" s="378"/>
      <c r="H43" s="941"/>
    </row>
    <row r="44" spans="1:9" ht="21" customHeight="1" thickBot="1" x14ac:dyDescent="0.25">
      <c r="A44" s="945" t="str">
        <f>OF!A68</f>
        <v>OF13</v>
      </c>
      <c r="B44" s="927" t="str">
        <f>OF!B68</f>
        <v>Biological Wave Exposure</v>
      </c>
      <c r="C44" s="294" t="str">
        <f>OF!C68</f>
        <v>The Biological Wave Exposure of most of the AA is shown as: (see directions in column E)</v>
      </c>
      <c r="D44" s="381"/>
      <c r="E44" s="361"/>
      <c r="F44" s="362"/>
      <c r="G44" s="363">
        <f>MAX(F45:F49)/MAX(E45:E49)</f>
        <v>0</v>
      </c>
      <c r="H44" s="897" t="s">
        <v>73</v>
      </c>
      <c r="I44" s="22" t="s">
        <v>572</v>
      </c>
    </row>
    <row r="45" spans="1:9" ht="15" customHeight="1" x14ac:dyDescent="0.2">
      <c r="A45" s="945"/>
      <c r="B45" s="927"/>
      <c r="C45" s="296" t="str">
        <f>OF!C69</f>
        <v xml:space="preserve">very protected </v>
      </c>
      <c r="D45" s="375">
        <f>OF!D69</f>
        <v>0</v>
      </c>
      <c r="E45" s="365">
        <v>5</v>
      </c>
      <c r="F45" s="365">
        <f t="shared" ref="F45:F59" si="2">D45*E45</f>
        <v>0</v>
      </c>
      <c r="G45" s="366"/>
      <c r="H45" s="927"/>
    </row>
    <row r="46" spans="1:9" ht="15" customHeight="1" x14ac:dyDescent="0.2">
      <c r="A46" s="945"/>
      <c r="B46" s="927"/>
      <c r="C46" s="296" t="str">
        <f>OF!C70</f>
        <v>protected</v>
      </c>
      <c r="D46" s="375">
        <f>OF!D70</f>
        <v>1</v>
      </c>
      <c r="E46" s="365">
        <v>4</v>
      </c>
      <c r="F46" s="365"/>
      <c r="G46" s="366"/>
      <c r="H46" s="927"/>
    </row>
    <row r="47" spans="1:9" ht="15" customHeight="1" x14ac:dyDescent="0.2">
      <c r="A47" s="945"/>
      <c r="B47" s="927"/>
      <c r="C47" s="296" t="str">
        <f>OF!C71</f>
        <v>semi-protected</v>
      </c>
      <c r="D47" s="375">
        <f>OF!D71</f>
        <v>0</v>
      </c>
      <c r="E47" s="365">
        <v>3</v>
      </c>
      <c r="F47" s="365">
        <f t="shared" si="2"/>
        <v>0</v>
      </c>
      <c r="G47" s="367"/>
      <c r="H47" s="927"/>
    </row>
    <row r="48" spans="1:9" ht="15" customHeight="1" x14ac:dyDescent="0.2">
      <c r="A48" s="945"/>
      <c r="B48" s="927"/>
      <c r="C48" s="296" t="str">
        <f>OF!C72</f>
        <v>semi-exposed</v>
      </c>
      <c r="D48" s="375">
        <f>OF!D72</f>
        <v>0</v>
      </c>
      <c r="E48" s="365">
        <v>2</v>
      </c>
      <c r="F48" s="365">
        <f t="shared" si="2"/>
        <v>0</v>
      </c>
      <c r="G48" s="367"/>
      <c r="H48" s="927"/>
    </row>
    <row r="49" spans="1:9" ht="15" customHeight="1" thickBot="1" x14ac:dyDescent="0.25">
      <c r="A49" s="945"/>
      <c r="B49" s="927"/>
      <c r="C49" s="297" t="str">
        <f>OF!C73</f>
        <v>exposed or very exposed</v>
      </c>
      <c r="D49" s="380">
        <f>OF!D74</f>
        <v>0</v>
      </c>
      <c r="E49" s="369">
        <v>1</v>
      </c>
      <c r="F49" s="369">
        <f t="shared" si="2"/>
        <v>0</v>
      </c>
      <c r="G49" s="370"/>
      <c r="H49" s="927"/>
    </row>
    <row r="50" spans="1:9" ht="21" customHeight="1" thickBot="1" x14ac:dyDescent="0.25">
      <c r="A50" s="946" t="str">
        <f>OF!A128</f>
        <v>OF26</v>
      </c>
      <c r="B50" s="940" t="str">
        <f>OF!B128</f>
        <v>Marsh Area Trend</v>
      </c>
      <c r="C50" s="300" t="str">
        <f>OF!C128</f>
        <v>Over the past 200 years or since this tidal marsh originated (whichever is less), its size is probably (select one):</v>
      </c>
      <c r="D50" s="371"/>
      <c r="E50" s="372"/>
      <c r="F50" s="373"/>
      <c r="G50" s="374">
        <f>IF((D54=1),"",MAX(F51:F53)/MAX(E51:E53))</f>
        <v>0.66666666666666663</v>
      </c>
      <c r="H50" s="905" t="s">
        <v>967</v>
      </c>
      <c r="I50" s="22" t="s">
        <v>573</v>
      </c>
    </row>
    <row r="51" spans="1:9" ht="27" customHeight="1" x14ac:dyDescent="0.2">
      <c r="A51" s="947"/>
      <c r="B51" s="927"/>
      <c r="C51" s="301" t="str">
        <f>OF!C129</f>
        <v xml:space="preserve">expanding outward into formerly subtidal waters due to delta deposition from logging or landslides, or landward due to glacial recession/ uplift, earthquake, or other causes. </v>
      </c>
      <c r="D51" s="375">
        <f>OF!D129</f>
        <v>0</v>
      </c>
      <c r="E51" s="365">
        <v>3</v>
      </c>
      <c r="F51" s="365">
        <f t="shared" si="2"/>
        <v>0</v>
      </c>
      <c r="G51" s="366"/>
      <c r="H51" s="927"/>
    </row>
    <row r="52" spans="1:9" ht="42" customHeight="1" x14ac:dyDescent="0.2">
      <c r="A52" s="947"/>
      <c r="B52" s="927"/>
      <c r="C52" s="302" t="str">
        <f>OF!C130</f>
        <v>shrinking due to natural processes (excessive sedimentation or uplift causing succession to non-tidal upland, or partial conversion to subtidal due to erosion, sea level rise, excessive retention of nourishing sediments by upriver dams, or tilting of the marsh plain following glacial rebound or earthquake).  SKIP to OF28.</v>
      </c>
      <c r="D52" s="375">
        <f>OF!D130</f>
        <v>0</v>
      </c>
      <c r="E52" s="365">
        <v>0</v>
      </c>
      <c r="F52" s="365">
        <f t="shared" si="2"/>
        <v>0</v>
      </c>
      <c r="G52" s="367"/>
      <c r="H52" s="927"/>
    </row>
    <row r="53" spans="1:9" ht="15" customHeight="1" x14ac:dyDescent="0.2">
      <c r="A53" s="947"/>
      <c r="B53" s="927"/>
      <c r="C53" s="303" t="str">
        <f>OF!C131</f>
        <v>mostly unchanged.  SKIP to OF28.</v>
      </c>
      <c r="D53" s="375">
        <f>OF!D131</f>
        <v>1</v>
      </c>
      <c r="E53" s="365">
        <v>2</v>
      </c>
      <c r="F53" s="365">
        <f t="shared" si="2"/>
        <v>2</v>
      </c>
      <c r="G53" s="367"/>
      <c r="H53" s="927"/>
    </row>
    <row r="54" spans="1:9" ht="15" customHeight="1" thickBot="1" x14ac:dyDescent="0.25">
      <c r="A54" s="948"/>
      <c r="B54" s="941"/>
      <c r="C54" s="304" t="str">
        <f>OF!C132</f>
        <v>(trend indeterminable).  SKIP to OF28.</v>
      </c>
      <c r="D54" s="376">
        <f>OF!D132</f>
        <v>0</v>
      </c>
      <c r="E54" s="377"/>
      <c r="F54" s="377"/>
      <c r="G54" s="378"/>
      <c r="H54" s="941"/>
    </row>
    <row r="55" spans="1:9" ht="28.5" customHeight="1" thickBot="1" x14ac:dyDescent="0.25">
      <c r="A55" s="945" t="str">
        <f>OF!A133</f>
        <v>OF27</v>
      </c>
      <c r="B55" s="927" t="str">
        <f>OF!B133</f>
        <v>Tidal Wetland Age</v>
      </c>
      <c r="C55" s="305" t="str">
        <f>OF!C133</f>
        <v>The age of the AA since last covered by a glacier or mostly submerged below tidal low water prior to glacial rebound is:</v>
      </c>
      <c r="D55" s="360"/>
      <c r="E55" s="361"/>
      <c r="F55" s="362"/>
      <c r="G55" s="363">
        <f>IF((D52=1),"",IF((D60=1),"",MAX(F56:F59)/MAX(E56:E59)))</f>
        <v>1</v>
      </c>
      <c r="H55" s="897" t="s">
        <v>923</v>
      </c>
      <c r="I55" s="22" t="s">
        <v>574</v>
      </c>
    </row>
    <row r="56" spans="1:9" ht="15" customHeight="1" x14ac:dyDescent="0.2">
      <c r="A56" s="945"/>
      <c r="B56" s="927"/>
      <c r="C56" s="301" t="str">
        <f>OF!C134</f>
        <v>&lt; 3 years old</v>
      </c>
      <c r="D56" s="375">
        <f>OF!D134</f>
        <v>0</v>
      </c>
      <c r="E56" s="365">
        <v>1</v>
      </c>
      <c r="F56" s="365">
        <f t="shared" si="2"/>
        <v>0</v>
      </c>
      <c r="G56" s="366"/>
      <c r="H56" s="927"/>
    </row>
    <row r="57" spans="1:9" ht="15" customHeight="1" x14ac:dyDescent="0.2">
      <c r="A57" s="945"/>
      <c r="B57" s="927"/>
      <c r="C57" s="303" t="str">
        <f>OF!C135</f>
        <v>3-20 years ago</v>
      </c>
      <c r="D57" s="375">
        <f>OF!D135</f>
        <v>0</v>
      </c>
      <c r="E57" s="365">
        <v>3</v>
      </c>
      <c r="F57" s="365">
        <f t="shared" si="2"/>
        <v>0</v>
      </c>
      <c r="G57" s="367"/>
      <c r="H57" s="927"/>
    </row>
    <row r="58" spans="1:9" ht="15" customHeight="1" x14ac:dyDescent="0.2">
      <c r="A58" s="945"/>
      <c r="B58" s="927"/>
      <c r="C58" s="303" t="str">
        <f>OF!C136</f>
        <v>20- 200 years ago</v>
      </c>
      <c r="D58" s="375">
        <f>OF!D136</f>
        <v>0</v>
      </c>
      <c r="E58" s="365">
        <v>4</v>
      </c>
      <c r="F58" s="365">
        <f t="shared" si="2"/>
        <v>0</v>
      </c>
      <c r="G58" s="367"/>
      <c r="H58" s="927"/>
    </row>
    <row r="59" spans="1:9" ht="15" customHeight="1" x14ac:dyDescent="0.2">
      <c r="A59" s="945"/>
      <c r="B59" s="927"/>
      <c r="C59" s="296" t="str">
        <f>OF!C137</f>
        <v>&gt;200 years ago</v>
      </c>
      <c r="D59" s="375">
        <f>OF!D137</f>
        <v>1</v>
      </c>
      <c r="E59" s="365">
        <v>6</v>
      </c>
      <c r="F59" s="365">
        <f t="shared" si="2"/>
        <v>6</v>
      </c>
      <c r="G59" s="367"/>
      <c r="H59" s="927"/>
    </row>
    <row r="60" spans="1:9" ht="15" customHeight="1" thickBot="1" x14ac:dyDescent="0.25">
      <c r="A60" s="945"/>
      <c r="B60" s="927"/>
      <c r="C60" s="306" t="str">
        <f>OF!C138</f>
        <v>unknown</v>
      </c>
      <c r="D60" s="380">
        <f>OF!D138</f>
        <v>0</v>
      </c>
      <c r="E60" s="369"/>
      <c r="F60" s="369"/>
      <c r="G60" s="370"/>
      <c r="H60" s="927"/>
    </row>
    <row r="61" spans="1:9" ht="30" customHeight="1" thickBot="1" x14ac:dyDescent="0.25">
      <c r="A61" s="75" t="str">
        <f>S!A33</f>
        <v>S3</v>
      </c>
      <c r="B61" s="6" t="str">
        <f>S!B33</f>
        <v>Drier Water Regime - Internal Causes</v>
      </c>
      <c r="C61" s="307"/>
      <c r="D61" s="382">
        <f>S!F48</f>
        <v>0</v>
      </c>
      <c r="E61" s="383"/>
      <c r="F61" s="384"/>
      <c r="G61" s="374">
        <f>1-D61</f>
        <v>1</v>
      </c>
      <c r="H61" s="6" t="s">
        <v>968</v>
      </c>
      <c r="I61" s="22" t="s">
        <v>581</v>
      </c>
    </row>
    <row r="62" spans="1:9" ht="30" customHeight="1" thickBot="1" x14ac:dyDescent="0.25">
      <c r="A62" s="75" t="str">
        <f>S!A49</f>
        <v>S4</v>
      </c>
      <c r="B62" s="6" t="str">
        <f>S!B49</f>
        <v>Drier Water Regime - External Causes</v>
      </c>
      <c r="C62" s="307"/>
      <c r="D62" s="385">
        <f>S!F63</f>
        <v>0</v>
      </c>
      <c r="E62" s="383"/>
      <c r="F62" s="384"/>
      <c r="G62" s="374">
        <f>1-D62</f>
        <v>1</v>
      </c>
      <c r="H62" s="6" t="s">
        <v>914</v>
      </c>
      <c r="I62" s="22" t="s">
        <v>582</v>
      </c>
    </row>
    <row r="63" spans="1:9" ht="21" customHeight="1" thickBot="1" x14ac:dyDescent="0.25">
      <c r="A63" s="887" t="s">
        <v>234</v>
      </c>
      <c r="B63" s="887"/>
      <c r="C63" s="887"/>
      <c r="D63" s="918"/>
      <c r="E63" s="918"/>
      <c r="F63" s="918"/>
      <c r="G63" s="918"/>
      <c r="H63" s="918"/>
    </row>
    <row r="64" spans="1:9" ht="57" customHeight="1" x14ac:dyDescent="0.2">
      <c r="A64" s="707"/>
      <c r="B64" s="707"/>
      <c r="C64" s="707"/>
      <c r="D64" s="934" t="s">
        <v>576</v>
      </c>
      <c r="E64" s="935"/>
      <c r="F64" s="935"/>
      <c r="G64" s="386">
        <f>IF((D51=1), AVERAGE(AreaTrend2,MarshAge2),IF((D52=1),0, AVERAGE(AreaTrend2,SoilTex2,VwidthLow2,RiverBay2,DrierIn2,DrierUp2)))</f>
        <v>0.71111111111111114</v>
      </c>
      <c r="H64" s="91" t="s">
        <v>3649</v>
      </c>
    </row>
    <row r="65" spans="1:10" ht="21" customHeight="1" x14ac:dyDescent="0.2">
      <c r="A65" s="707"/>
      <c r="B65" s="707"/>
      <c r="C65" s="707"/>
      <c r="D65" s="936" t="s">
        <v>577</v>
      </c>
      <c r="E65" s="937"/>
      <c r="F65" s="937"/>
      <c r="G65" s="387">
        <f>AVERAGE(Geog2, VwidthHigh2, LowMarshT2,Gcover2,Fetch2)</f>
        <v>0.47333333333333333</v>
      </c>
      <c r="H65" s="92" t="s">
        <v>354</v>
      </c>
    </row>
    <row r="66" spans="1:10" ht="21" customHeight="1" thickBot="1" x14ac:dyDescent="0.25">
      <c r="A66" s="707"/>
      <c r="B66" s="707"/>
      <c r="C66" s="707"/>
      <c r="D66" s="938" t="s">
        <v>578</v>
      </c>
      <c r="E66" s="939"/>
      <c r="F66" s="939"/>
      <c r="G66" s="388">
        <f>AVERAGE(Geog2, RiverBay2, Fetch2)</f>
        <v>0.53333333333333333</v>
      </c>
      <c r="H66" s="93" t="s">
        <v>580</v>
      </c>
    </row>
    <row r="67" spans="1:10" ht="21" customHeight="1" thickBot="1" x14ac:dyDescent="0.25">
      <c r="A67" s="707"/>
      <c r="B67" s="707"/>
      <c r="C67" s="707"/>
      <c r="D67" s="919"/>
      <c r="E67" s="919"/>
      <c r="F67" s="919"/>
      <c r="G67" s="919"/>
      <c r="H67" s="919"/>
    </row>
    <row r="68" spans="1:10" ht="30" customHeight="1" thickBot="1" x14ac:dyDescent="0.25">
      <c r="A68" s="920"/>
      <c r="B68" s="921"/>
      <c r="C68" s="928" t="s">
        <v>226</v>
      </c>
      <c r="D68" s="929"/>
      <c r="E68" s="930"/>
      <c r="F68" s="344" t="s">
        <v>552</v>
      </c>
      <c r="G68" s="389">
        <f>10*((Accum2 + Produc2) + 2*MethLimit2)/4</f>
        <v>5.6277777777777782</v>
      </c>
      <c r="H68" s="70" t="s">
        <v>74</v>
      </c>
    </row>
    <row r="69" spans="1:10" s="88" customFormat="1" ht="21" customHeight="1" thickBot="1" x14ac:dyDescent="0.25">
      <c r="J69" s="41"/>
    </row>
    <row r="70" spans="1:10" ht="21" customHeight="1" thickBot="1" x14ac:dyDescent="0.25">
      <c r="A70" s="88"/>
      <c r="B70" s="88"/>
      <c r="C70" s="88"/>
      <c r="D70" s="88"/>
      <c r="E70" s="88"/>
      <c r="F70" s="88"/>
      <c r="G70" s="88"/>
      <c r="H70" s="80" t="s">
        <v>377</v>
      </c>
    </row>
    <row r="71" spans="1:10" ht="41.25" customHeight="1" x14ac:dyDescent="0.2">
      <c r="A71" s="88"/>
      <c r="B71" s="88"/>
      <c r="C71" s="88"/>
      <c r="D71" s="88"/>
      <c r="E71" s="88"/>
      <c r="F71" s="88"/>
      <c r="G71" s="88"/>
      <c r="H71" s="89" t="s">
        <v>398</v>
      </c>
    </row>
    <row r="72" spans="1:10" ht="42" customHeight="1" x14ac:dyDescent="0.2">
      <c r="A72" s="88"/>
      <c r="B72" s="88"/>
      <c r="C72" s="88"/>
      <c r="D72" s="88"/>
      <c r="E72" s="88"/>
      <c r="F72" s="88"/>
      <c r="G72" s="88"/>
      <c r="H72" s="90" t="s">
        <v>67</v>
      </c>
    </row>
    <row r="73" spans="1:10" ht="27" customHeight="1" thickBot="1" x14ac:dyDescent="0.25">
      <c r="A73" s="88"/>
      <c r="B73" s="88"/>
      <c r="C73" s="88"/>
      <c r="D73" s="88"/>
      <c r="E73" s="88"/>
      <c r="F73" s="88"/>
      <c r="G73" s="88"/>
      <c r="H73" s="87" t="s">
        <v>68</v>
      </c>
    </row>
  </sheetData>
  <sheetProtection password="C74A" sheet="1" objects="1" scenarios="1" formatCells="0" formatColumns="0" formatRows="0"/>
  <mergeCells count="40">
    <mergeCell ref="H3:H10"/>
    <mergeCell ref="B17:B22"/>
    <mergeCell ref="H28:H33"/>
    <mergeCell ref="H23:H27"/>
    <mergeCell ref="H11:H16"/>
    <mergeCell ref="H17:H22"/>
    <mergeCell ref="B28:B33"/>
    <mergeCell ref="B23:B27"/>
    <mergeCell ref="H50:H54"/>
    <mergeCell ref="H34:H37"/>
    <mergeCell ref="A28:A33"/>
    <mergeCell ref="H55:H60"/>
    <mergeCell ref="A44:A49"/>
    <mergeCell ref="A38:A43"/>
    <mergeCell ref="H44:H49"/>
    <mergeCell ref="H38:H43"/>
    <mergeCell ref="A55:A60"/>
    <mergeCell ref="A50:A54"/>
    <mergeCell ref="B50:B54"/>
    <mergeCell ref="D65:F65"/>
    <mergeCell ref="D66:F66"/>
    <mergeCell ref="B38:B43"/>
    <mergeCell ref="B44:B49"/>
    <mergeCell ref="B55:B60"/>
    <mergeCell ref="E1:H1"/>
    <mergeCell ref="D63:H63"/>
    <mergeCell ref="D67:H67"/>
    <mergeCell ref="A63:C67"/>
    <mergeCell ref="A68:B68"/>
    <mergeCell ref="A1:B1"/>
    <mergeCell ref="A34:A37"/>
    <mergeCell ref="B34:B37"/>
    <mergeCell ref="A11:A16"/>
    <mergeCell ref="A23:A27"/>
    <mergeCell ref="B11:B16"/>
    <mergeCell ref="A3:A10"/>
    <mergeCell ref="B3:B10"/>
    <mergeCell ref="C68:E68"/>
    <mergeCell ref="A17:A22"/>
    <mergeCell ref="D64:F64"/>
  </mergeCells>
  <phoneticPr fontId="19" type="noConversion"/>
  <pageMargins left="0.75" right="0.75" top="1" bottom="1" header="0.5" footer="0.5"/>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J64"/>
  <sheetViews>
    <sheetView workbookViewId="0">
      <selection sqref="A1:B1"/>
    </sheetView>
  </sheetViews>
  <sheetFormatPr defaultColWidth="9.33203125" defaultRowHeight="15" customHeight="1" x14ac:dyDescent="0.2"/>
  <cols>
    <col min="1" max="1" width="5.83203125" style="20" customWidth="1"/>
    <col min="2" max="2" width="18.83203125" style="20" customWidth="1"/>
    <col min="3" max="3" width="75.83203125" style="20" customWidth="1"/>
    <col min="4" max="4" width="6.83203125" style="209" customWidth="1"/>
    <col min="5" max="5" width="7.33203125" style="209" customWidth="1"/>
    <col min="6" max="6" width="7.5" style="209" customWidth="1"/>
    <col min="7" max="7" width="9.83203125" style="358" customWidth="1"/>
    <col min="8" max="8" width="75.83203125" style="8" customWidth="1"/>
    <col min="9" max="9" width="16.1640625" style="8" customWidth="1"/>
    <col min="10" max="10" width="9.33203125" style="42"/>
    <col min="11" max="16384" width="9.33203125" style="8"/>
  </cols>
  <sheetData>
    <row r="1" spans="1:10" ht="60" customHeight="1" thickBot="1" x14ac:dyDescent="0.25">
      <c r="A1" s="952" t="s">
        <v>3635</v>
      </c>
      <c r="B1" s="953"/>
      <c r="C1" s="68" t="s">
        <v>46</v>
      </c>
      <c r="D1" s="94" t="s">
        <v>47</v>
      </c>
      <c r="E1" s="884"/>
      <c r="F1" s="885"/>
      <c r="G1" s="885"/>
      <c r="H1" s="885"/>
    </row>
    <row r="2" spans="1:10" s="347" customFormat="1" ht="30" customHeight="1" thickBot="1" x14ac:dyDescent="0.25">
      <c r="A2" s="293" t="s">
        <v>770</v>
      </c>
      <c r="B2" s="288" t="s">
        <v>3634</v>
      </c>
      <c r="C2" s="289" t="s">
        <v>32</v>
      </c>
      <c r="D2" s="288" t="s">
        <v>805</v>
      </c>
      <c r="E2" s="290" t="s">
        <v>1017</v>
      </c>
      <c r="F2" s="291" t="s">
        <v>1018</v>
      </c>
      <c r="G2" s="292" t="s">
        <v>355</v>
      </c>
      <c r="H2" s="288" t="s">
        <v>60</v>
      </c>
      <c r="J2" s="348"/>
    </row>
    <row r="3" spans="1:10" s="18" customFormat="1" ht="45" customHeight="1" thickBot="1" x14ac:dyDescent="0.25">
      <c r="A3" s="248" t="str">
        <f>T!A8</f>
        <v>T2</v>
      </c>
      <c r="B3" s="194" t="str">
        <f>T!B8</f>
        <v>Tidal Regime</v>
      </c>
      <c r="C3" s="191" t="str">
        <f>T!C8</f>
        <v>For each condition listed in the rows in the table below, estimate how much of the AA’s area (including its internal tidal channels) is likely to be accessible to small fish.  Then select one number from each row, and sum the four numbers and enter the sum in the column to the right.</v>
      </c>
      <c r="D3" s="164">
        <f>T!D8</f>
        <v>8</v>
      </c>
      <c r="E3" s="323"/>
      <c r="F3" s="323"/>
      <c r="G3" s="320">
        <f>D3/22</f>
        <v>0.36363636363636365</v>
      </c>
      <c r="H3" s="321" t="s">
        <v>1016</v>
      </c>
      <c r="I3" s="165" t="s">
        <v>1015</v>
      </c>
      <c r="J3" s="95"/>
    </row>
    <row r="4" spans="1:10" s="20" customFormat="1" ht="30" customHeight="1" thickBot="1" x14ac:dyDescent="0.25">
      <c r="A4" s="910" t="str">
        <f>T!A10</f>
        <v>T3</v>
      </c>
      <c r="B4" s="907" t="str">
        <f>T!B10</f>
        <v>Low Marsh</v>
      </c>
      <c r="C4" s="191" t="str">
        <f>T!C10</f>
        <v>The percent of the vegetated part of the AA that is "low marsh" (covered by tidal water for part of almost every day) is:</v>
      </c>
      <c r="D4" s="323"/>
      <c r="E4" s="323"/>
      <c r="F4" s="324"/>
      <c r="G4" s="320">
        <f>MAX(F5:F11)/MAX(E5:E11)</f>
        <v>1</v>
      </c>
      <c r="H4" s="907" t="s">
        <v>227</v>
      </c>
      <c r="I4" s="28" t="s">
        <v>430</v>
      </c>
      <c r="J4" s="78"/>
    </row>
    <row r="5" spans="1:10" s="20" customFormat="1" ht="15" customHeight="1" x14ac:dyDescent="0.2">
      <c r="A5" s="910"/>
      <c r="B5" s="907"/>
      <c r="C5" s="202" t="str">
        <f>T!C11</f>
        <v>none, or &lt;1%</v>
      </c>
      <c r="D5" s="325">
        <f>T!D11</f>
        <v>0</v>
      </c>
      <c r="E5" s="326">
        <v>0</v>
      </c>
      <c r="F5" s="327">
        <f t="shared" ref="F5:F11" si="0">D5*E5</f>
        <v>0</v>
      </c>
      <c r="G5" s="349"/>
      <c r="H5" s="907"/>
      <c r="I5" s="28"/>
      <c r="J5" s="78"/>
    </row>
    <row r="6" spans="1:10" s="20" customFormat="1" ht="15" customHeight="1" x14ac:dyDescent="0.2">
      <c r="A6" s="910"/>
      <c r="B6" s="907"/>
      <c r="C6" s="276" t="str">
        <f>T!C12</f>
        <v>1-10%</v>
      </c>
      <c r="D6" s="325">
        <f>T!D12</f>
        <v>0</v>
      </c>
      <c r="E6" s="326">
        <v>1</v>
      </c>
      <c r="F6" s="327">
        <f t="shared" si="0"/>
        <v>0</v>
      </c>
      <c r="G6" s="349"/>
      <c r="H6" s="907"/>
      <c r="I6" s="28"/>
      <c r="J6" s="78"/>
    </row>
    <row r="7" spans="1:10" s="20" customFormat="1" ht="15" customHeight="1" x14ac:dyDescent="0.2">
      <c r="A7" s="910"/>
      <c r="B7" s="907"/>
      <c r="C7" s="276" t="str">
        <f>T!C13</f>
        <v>10-25%</v>
      </c>
      <c r="D7" s="325">
        <f>T!D13</f>
        <v>0</v>
      </c>
      <c r="E7" s="326">
        <v>2</v>
      </c>
      <c r="F7" s="327">
        <f t="shared" si="0"/>
        <v>0</v>
      </c>
      <c r="G7" s="349"/>
      <c r="H7" s="907"/>
      <c r="I7" s="28"/>
      <c r="J7" s="78"/>
    </row>
    <row r="8" spans="1:10" s="20" customFormat="1" ht="15" customHeight="1" x14ac:dyDescent="0.2">
      <c r="A8" s="910"/>
      <c r="B8" s="907"/>
      <c r="C8" s="276" t="str">
        <f>T!C14</f>
        <v>25-50%</v>
      </c>
      <c r="D8" s="325">
        <f>T!D14</f>
        <v>0</v>
      </c>
      <c r="E8" s="326">
        <v>3</v>
      </c>
      <c r="F8" s="327">
        <f t="shared" si="0"/>
        <v>0</v>
      </c>
      <c r="G8" s="349"/>
      <c r="H8" s="907"/>
      <c r="I8" s="28"/>
      <c r="J8" s="78"/>
    </row>
    <row r="9" spans="1:10" s="20" customFormat="1" ht="15" customHeight="1" x14ac:dyDescent="0.2">
      <c r="A9" s="910"/>
      <c r="B9" s="907"/>
      <c r="C9" s="276" t="str">
        <f>T!C15</f>
        <v>50-75%</v>
      </c>
      <c r="D9" s="325">
        <f>T!D15</f>
        <v>0</v>
      </c>
      <c r="E9" s="326">
        <v>4</v>
      </c>
      <c r="F9" s="327">
        <f t="shared" si="0"/>
        <v>0</v>
      </c>
      <c r="G9" s="349"/>
      <c r="H9" s="907"/>
      <c r="I9" s="28"/>
      <c r="J9" s="78"/>
    </row>
    <row r="10" spans="1:10" s="20" customFormat="1" ht="15" customHeight="1" x14ac:dyDescent="0.2">
      <c r="A10" s="910"/>
      <c r="B10" s="907"/>
      <c r="C10" s="276" t="str">
        <f>T!C16</f>
        <v>75-90%</v>
      </c>
      <c r="D10" s="325">
        <f>T!D16</f>
        <v>0</v>
      </c>
      <c r="E10" s="326">
        <v>5</v>
      </c>
      <c r="F10" s="327">
        <f t="shared" si="0"/>
        <v>0</v>
      </c>
      <c r="G10" s="349"/>
      <c r="H10" s="907"/>
      <c r="I10" s="28"/>
      <c r="J10" s="78"/>
    </row>
    <row r="11" spans="1:10" s="20" customFormat="1" ht="15" customHeight="1" thickBot="1" x14ac:dyDescent="0.25">
      <c r="A11" s="768"/>
      <c r="B11" s="774"/>
      <c r="C11" s="277" t="str">
        <f>T!C17</f>
        <v>&gt;90%</v>
      </c>
      <c r="D11" s="328">
        <f>T!D17</f>
        <v>1</v>
      </c>
      <c r="E11" s="329">
        <v>6</v>
      </c>
      <c r="F11" s="330">
        <f t="shared" si="0"/>
        <v>6</v>
      </c>
      <c r="G11" s="350"/>
      <c r="H11" s="907"/>
      <c r="I11" s="28"/>
      <c r="J11" s="78"/>
    </row>
    <row r="12" spans="1:10" ht="45" customHeight="1" thickBot="1" x14ac:dyDescent="0.25">
      <c r="A12" s="954" t="str">
        <f>T!A18</f>
        <v>T4</v>
      </c>
      <c r="B12" s="907" t="str">
        <f>T!B18</f>
        <v>Width of Vegetated Zone at Daily Low Tide</v>
      </c>
      <c r="C12" s="269" t="str">
        <f>T!C18</f>
        <v>At daily low tide, the average width of vegetated area in the AA that separates adjoining uplands from most deepwater (subtidal water) within or adjoining the AA, or from the largest intersecting river or tributary (whichever is less), is:</v>
      </c>
      <c r="D12" s="323"/>
      <c r="E12" s="331"/>
      <c r="F12" s="332"/>
      <c r="G12" s="320">
        <f>MAX(F13:F17)/MAX(E13:E17)</f>
        <v>0.75</v>
      </c>
      <c r="H12" s="955" t="s">
        <v>590</v>
      </c>
      <c r="I12" s="3" t="s">
        <v>431</v>
      </c>
    </row>
    <row r="13" spans="1:10" ht="15" customHeight="1" x14ac:dyDescent="0.2">
      <c r="A13" s="954"/>
      <c r="B13" s="907"/>
      <c r="C13" s="207" t="str">
        <f>T!C19</f>
        <v xml:space="preserve">1-5 ft </v>
      </c>
      <c r="D13" s="132">
        <f>T!D19</f>
        <v>0</v>
      </c>
      <c r="E13" s="333">
        <v>0</v>
      </c>
      <c r="F13" s="333">
        <f>D13*E13</f>
        <v>0</v>
      </c>
      <c r="G13" s="351"/>
      <c r="H13" s="955"/>
    </row>
    <row r="14" spans="1:10" ht="15" customHeight="1" x14ac:dyDescent="0.2">
      <c r="A14" s="954"/>
      <c r="B14" s="907"/>
      <c r="C14" s="311" t="str">
        <f>T!C20</f>
        <v>5-25 ft</v>
      </c>
      <c r="D14" s="132">
        <f>T!D20</f>
        <v>0</v>
      </c>
      <c r="E14" s="333">
        <v>1</v>
      </c>
      <c r="F14" s="333">
        <f>D14*E14</f>
        <v>0</v>
      </c>
      <c r="G14" s="352"/>
      <c r="H14" s="955"/>
    </row>
    <row r="15" spans="1:10" ht="15" customHeight="1" x14ac:dyDescent="0.2">
      <c r="A15" s="954"/>
      <c r="B15" s="907"/>
      <c r="C15" s="311" t="str">
        <f>T!C21</f>
        <v>25-100 ft</v>
      </c>
      <c r="D15" s="132">
        <f>T!D21</f>
        <v>0</v>
      </c>
      <c r="E15" s="333">
        <v>2</v>
      </c>
      <c r="F15" s="333">
        <f>D15*E15</f>
        <v>0</v>
      </c>
      <c r="G15" s="352"/>
      <c r="H15" s="955"/>
    </row>
    <row r="16" spans="1:10" ht="15" customHeight="1" x14ac:dyDescent="0.2">
      <c r="A16" s="954"/>
      <c r="B16" s="907"/>
      <c r="C16" s="311" t="str">
        <f>T!C22</f>
        <v>100-300 ft</v>
      </c>
      <c r="D16" s="132">
        <f>T!D22</f>
        <v>1</v>
      </c>
      <c r="E16" s="333">
        <v>3</v>
      </c>
      <c r="F16" s="333">
        <f>D16*E16</f>
        <v>3</v>
      </c>
      <c r="G16" s="352"/>
      <c r="H16" s="955"/>
    </row>
    <row r="17" spans="1:9" ht="15" customHeight="1" thickBot="1" x14ac:dyDescent="0.25">
      <c r="A17" s="954"/>
      <c r="B17" s="907"/>
      <c r="C17" s="312" t="str">
        <f>T!C23</f>
        <v>&gt;300 ft</v>
      </c>
      <c r="D17" s="334">
        <f>T!D23</f>
        <v>0</v>
      </c>
      <c r="E17" s="335">
        <v>4</v>
      </c>
      <c r="F17" s="335">
        <f>D17*E17</f>
        <v>0</v>
      </c>
      <c r="G17" s="349"/>
      <c r="H17" s="956"/>
    </row>
    <row r="18" spans="1:9" ht="60" customHeight="1" thickBot="1" x14ac:dyDescent="0.25">
      <c r="A18" s="99" t="str">
        <f>T!A125</f>
        <v>T26</v>
      </c>
      <c r="B18" s="70" t="str">
        <f>T!B125</f>
        <v>Blind Channel Presence &amp; Complexity</v>
      </c>
      <c r="C18" s="313" t="str">
        <f>T!C125</f>
        <v>The AA contains one or more branching internal (blind) channels.  These are channels that do not connect to streams originating in the uplands, except where those streams themselves are tidal.  Do not count channels that merely loop around and rejoin their source channel.  If blind channels present, enter 1.  If not, enter 0 and SKIP to T28.</v>
      </c>
      <c r="D18" s="336"/>
      <c r="E18" s="337"/>
      <c r="F18" s="336"/>
      <c r="G18" s="163">
        <f>T!D125</f>
        <v>1</v>
      </c>
      <c r="H18" s="6" t="s">
        <v>969</v>
      </c>
      <c r="I18" s="8" t="s">
        <v>584</v>
      </c>
    </row>
    <row r="19" spans="1:9" ht="30" customHeight="1" thickBot="1" x14ac:dyDescent="0.25">
      <c r="A19" s="890" t="str">
        <f>T!A126</f>
        <v>T27</v>
      </c>
      <c r="B19" s="907" t="str">
        <f>T!B126</f>
        <v>Internal Channel Network Complexity</v>
      </c>
      <c r="C19" s="269" t="str">
        <f>T!C126</f>
        <v>The largest number of visible channel junctions (forks where two channels join) belonging to any single blind channel network within the AA's wetland is:</v>
      </c>
      <c r="D19" s="323"/>
      <c r="E19" s="331"/>
      <c r="F19" s="332"/>
      <c r="G19" s="320">
        <f>MAX(F20:F23)/MAX(E20:E23)</f>
        <v>0.33333333333333331</v>
      </c>
      <c r="H19" s="897" t="s">
        <v>970</v>
      </c>
      <c r="I19" s="8" t="s">
        <v>585</v>
      </c>
    </row>
    <row r="20" spans="1:9" ht="15" customHeight="1" x14ac:dyDescent="0.2">
      <c r="A20" s="890"/>
      <c r="B20" s="907"/>
      <c r="C20" s="314" t="str">
        <f>T!C127</f>
        <v>&lt;3</v>
      </c>
      <c r="D20" s="132">
        <f>T!D127</f>
        <v>0</v>
      </c>
      <c r="E20" s="333">
        <v>0</v>
      </c>
      <c r="F20" s="333">
        <f>D20*E20</f>
        <v>0</v>
      </c>
      <c r="G20" s="351"/>
      <c r="H20" s="897"/>
    </row>
    <row r="21" spans="1:9" ht="15" customHeight="1" x14ac:dyDescent="0.2">
      <c r="A21" s="890"/>
      <c r="B21" s="907"/>
      <c r="C21" s="315" t="str">
        <f>T!C128</f>
        <v>3-6</v>
      </c>
      <c r="D21" s="132">
        <f>T!D128</f>
        <v>1</v>
      </c>
      <c r="E21" s="333">
        <v>1</v>
      </c>
      <c r="F21" s="333">
        <f>D21*E21</f>
        <v>1</v>
      </c>
      <c r="G21" s="352"/>
      <c r="H21" s="897"/>
    </row>
    <row r="22" spans="1:9" ht="15" customHeight="1" x14ac:dyDescent="0.2">
      <c r="A22" s="890"/>
      <c r="B22" s="907"/>
      <c r="C22" s="315" t="str">
        <f>T!C129</f>
        <v>7-14</v>
      </c>
      <c r="D22" s="132">
        <f>T!D129</f>
        <v>0</v>
      </c>
      <c r="E22" s="333">
        <v>2</v>
      </c>
      <c r="F22" s="333">
        <f>D22*E22</f>
        <v>0</v>
      </c>
      <c r="G22" s="352"/>
      <c r="H22" s="897"/>
    </row>
    <row r="23" spans="1:9" ht="15" customHeight="1" thickBot="1" x14ac:dyDescent="0.25">
      <c r="A23" s="890"/>
      <c r="B23" s="907"/>
      <c r="C23" s="316" t="str">
        <f>T!C130</f>
        <v>&gt;14</v>
      </c>
      <c r="D23" s="334">
        <f>T!D130</f>
        <v>0</v>
      </c>
      <c r="E23" s="335">
        <v>3</v>
      </c>
      <c r="F23" s="335">
        <f>D23*E23</f>
        <v>0</v>
      </c>
      <c r="G23" s="349"/>
      <c r="H23" s="897"/>
    </row>
    <row r="24" spans="1:9" ht="21" customHeight="1" thickBot="1" x14ac:dyDescent="0.25">
      <c r="A24" s="909" t="str">
        <f>OF!A4</f>
        <v>OF1</v>
      </c>
      <c r="B24" s="908" t="str">
        <f>OF!B4</f>
        <v>Geography</v>
      </c>
      <c r="C24" s="317" t="str">
        <f>OF!C4</f>
        <v>Enter 1 for ALL that are true.  The AA is located:</v>
      </c>
      <c r="D24" s="338"/>
      <c r="E24" s="339"/>
      <c r="F24" s="340"/>
      <c r="G24" s="163">
        <f>MAX(F25:F27)/MAX(E25:E27)</f>
        <v>0</v>
      </c>
      <c r="H24" s="905" t="s">
        <v>458</v>
      </c>
      <c r="I24" s="8" t="s">
        <v>586</v>
      </c>
    </row>
    <row r="25" spans="1:9" ht="15" customHeight="1" x14ac:dyDescent="0.2">
      <c r="A25" s="910"/>
      <c r="B25" s="907"/>
      <c r="C25" s="207" t="str">
        <f>OF!C5</f>
        <v>in the Stikine, Alsek, Taiya-Chilkat-Skagway, or Taku deltas or estuaries</v>
      </c>
      <c r="D25" s="131">
        <f>OF!D5</f>
        <v>0</v>
      </c>
      <c r="E25" s="333">
        <v>2</v>
      </c>
      <c r="F25" s="333">
        <f>D25*E25</f>
        <v>0</v>
      </c>
      <c r="G25" s="352"/>
      <c r="H25" s="897"/>
    </row>
    <row r="26" spans="1:9" ht="15" customHeight="1" x14ac:dyDescent="0.2">
      <c r="A26" s="910"/>
      <c r="B26" s="907"/>
      <c r="C26" s="311" t="str">
        <f>OF!C6</f>
        <v>in another mainland area or inner coast</v>
      </c>
      <c r="D26" s="131">
        <f>OF!D6</f>
        <v>1</v>
      </c>
      <c r="E26" s="333">
        <v>0</v>
      </c>
      <c r="F26" s="333">
        <f>D26*E26</f>
        <v>0</v>
      </c>
      <c r="G26" s="352"/>
      <c r="H26" s="897"/>
    </row>
    <row r="27" spans="1:9" ht="15" customHeight="1" thickBot="1" x14ac:dyDescent="0.25">
      <c r="A27" s="768"/>
      <c r="B27" s="774"/>
      <c r="C27" s="318" t="str">
        <f>OF!C7</f>
        <v>on or close to the outer coast</v>
      </c>
      <c r="D27" s="328">
        <f>OF!D7</f>
        <v>0</v>
      </c>
      <c r="E27" s="341">
        <v>1</v>
      </c>
      <c r="F27" s="341">
        <f>D27*E27</f>
        <v>0</v>
      </c>
      <c r="G27" s="350"/>
      <c r="H27" s="906"/>
    </row>
    <row r="28" spans="1:9" ht="21" customHeight="1" thickBot="1" x14ac:dyDescent="0.25">
      <c r="A28" s="890" t="str">
        <f>OF!A8</f>
        <v>OF2</v>
      </c>
      <c r="B28" s="907" t="str">
        <f>OF!B8</f>
        <v>Geomorphic Setting</v>
      </c>
      <c r="C28" s="269" t="str">
        <f>OF!C8</f>
        <v>As viewed at a coarse (e.g., 1:24000) scale, the AA is (select one):</v>
      </c>
      <c r="D28" s="323"/>
      <c r="E28" s="331"/>
      <c r="F28" s="332"/>
      <c r="G28" s="320">
        <f>MAX(F29:F32)/MAX(E29:E32)</f>
        <v>1</v>
      </c>
      <c r="H28" s="897" t="s">
        <v>971</v>
      </c>
      <c r="I28" s="8" t="s">
        <v>587</v>
      </c>
    </row>
    <row r="29" spans="1:9" ht="27" customHeight="1" x14ac:dyDescent="0.2">
      <c r="A29" s="890"/>
      <c r="B29" s="907"/>
      <c r="C29" s="207" t="str">
        <f>OF!C9</f>
        <v>Adjoined by a major* river, and is closer to the upriver head-of-tide than to marine bays or ocean; if known, the water salinity is &lt;5 ppt at low tide nearly all the year.</v>
      </c>
      <c r="D29" s="131">
        <f>OF!D9</f>
        <v>0</v>
      </c>
      <c r="E29" s="333">
        <v>1</v>
      </c>
      <c r="F29" s="333">
        <f>D29*E29</f>
        <v>0</v>
      </c>
      <c r="G29" s="351"/>
      <c r="H29" s="897"/>
    </row>
    <row r="30" spans="1:9" ht="27" customHeight="1" x14ac:dyDescent="0.2">
      <c r="A30" s="890"/>
      <c r="B30" s="907"/>
      <c r="C30" s="311" t="str">
        <f>OF!C10</f>
        <v>Adjoined by a major* river, and is closer to marine bays or ocean than to upriver head-of-tide; may be in a river delta; if known, the water salinity is &gt;5 ppt at low tide nearly all the year.</v>
      </c>
      <c r="D30" s="131">
        <f>OF!D10</f>
        <v>1</v>
      </c>
      <c r="E30" s="333">
        <v>2</v>
      </c>
      <c r="F30" s="333">
        <f>D30*E30</f>
        <v>2</v>
      </c>
      <c r="G30" s="352"/>
      <c r="H30" s="897"/>
    </row>
    <row r="31" spans="1:9" ht="38.25" customHeight="1" x14ac:dyDescent="0.2">
      <c r="A31" s="890"/>
      <c r="B31" s="907"/>
      <c r="C31" s="311" t="str">
        <f>OF!C11</f>
        <v xml:space="preserve">In a sheltered fish-accessible lagoon, embayment, pocket beach, or tidal slough with a relatively narrow connection to other marine waters and no direct river inputs (a small tributary may be present). </v>
      </c>
      <c r="D31" s="131">
        <f>OF!D11</f>
        <v>0</v>
      </c>
      <c r="E31" s="333">
        <v>0</v>
      </c>
      <c r="F31" s="333">
        <f>D31*E31</f>
        <v>0</v>
      </c>
      <c r="G31" s="352"/>
      <c r="H31" s="897"/>
    </row>
    <row r="32" spans="1:9" ht="15" customHeight="1" x14ac:dyDescent="0.2">
      <c r="A32" s="890"/>
      <c r="B32" s="907"/>
      <c r="C32" s="311" t="str">
        <f>OF!C12</f>
        <v>On a marine fjord, canal, or strait with no major river adjoining the AA itself.</v>
      </c>
      <c r="D32" s="131">
        <f>OF!D12</f>
        <v>0</v>
      </c>
      <c r="E32" s="333">
        <v>2</v>
      </c>
      <c r="F32" s="333">
        <f>D32*E32</f>
        <v>0</v>
      </c>
      <c r="G32" s="352"/>
      <c r="H32" s="897"/>
    </row>
    <row r="33" spans="1:9" ht="15" customHeight="1" thickBot="1" x14ac:dyDescent="0.25">
      <c r="A33" s="890"/>
      <c r="B33" s="907"/>
      <c r="C33" s="312" t="str">
        <f>OF!C13</f>
        <v>Other setting</v>
      </c>
      <c r="D33" s="325">
        <f>OF!D13</f>
        <v>0</v>
      </c>
      <c r="E33" s="335"/>
      <c r="F33" s="335"/>
      <c r="G33" s="349"/>
      <c r="H33" s="897"/>
    </row>
    <row r="34" spans="1:9" ht="21" customHeight="1" thickBot="1" x14ac:dyDescent="0.25">
      <c r="A34" s="909" t="str">
        <f>OF!A68</f>
        <v>OF13</v>
      </c>
      <c r="B34" s="908" t="str">
        <f>OF!B68</f>
        <v>Biological Wave Exposure</v>
      </c>
      <c r="C34" s="317" t="str">
        <f>OF!C68</f>
        <v>The Biological Wave Exposure of most of the AA is shown as: (see directions in column E)</v>
      </c>
      <c r="D34" s="338"/>
      <c r="E34" s="339"/>
      <c r="F34" s="340"/>
      <c r="G34" s="163">
        <f>MAX(F35:F39)/MAX(E35:E39)</f>
        <v>0.25</v>
      </c>
      <c r="H34" s="905" t="s">
        <v>974</v>
      </c>
      <c r="I34" s="8" t="s">
        <v>589</v>
      </c>
    </row>
    <row r="35" spans="1:9" ht="15" customHeight="1" x14ac:dyDescent="0.2">
      <c r="A35" s="910"/>
      <c r="B35" s="907"/>
      <c r="C35" s="311" t="str">
        <f>OF!C69</f>
        <v xml:space="preserve">very protected </v>
      </c>
      <c r="D35" s="131">
        <f>OF!D69</f>
        <v>0</v>
      </c>
      <c r="E35" s="333">
        <v>0</v>
      </c>
      <c r="F35" s="333">
        <f>D35*E35</f>
        <v>0</v>
      </c>
      <c r="G35" s="351"/>
      <c r="H35" s="897"/>
    </row>
    <row r="36" spans="1:9" ht="15" customHeight="1" x14ac:dyDescent="0.2">
      <c r="A36" s="910"/>
      <c r="B36" s="907"/>
      <c r="C36" s="311" t="str">
        <f>OF!C70</f>
        <v>protected</v>
      </c>
      <c r="D36" s="131">
        <f>OF!D70</f>
        <v>1</v>
      </c>
      <c r="E36" s="333">
        <v>1</v>
      </c>
      <c r="F36" s="333">
        <f>D36*E36</f>
        <v>1</v>
      </c>
      <c r="G36" s="351"/>
      <c r="H36" s="897"/>
    </row>
    <row r="37" spans="1:9" ht="15" customHeight="1" x14ac:dyDescent="0.2">
      <c r="A37" s="910"/>
      <c r="B37" s="907"/>
      <c r="C37" s="311" t="str">
        <f>OF!C71</f>
        <v>semi-protected</v>
      </c>
      <c r="D37" s="131">
        <f>OF!D71</f>
        <v>0</v>
      </c>
      <c r="E37" s="333">
        <v>2</v>
      </c>
      <c r="F37" s="333">
        <f>D37*E37</f>
        <v>0</v>
      </c>
      <c r="G37" s="352"/>
      <c r="H37" s="897"/>
    </row>
    <row r="38" spans="1:9" ht="15" customHeight="1" x14ac:dyDescent="0.2">
      <c r="A38" s="910"/>
      <c r="B38" s="907"/>
      <c r="C38" s="311" t="str">
        <f>OF!C72</f>
        <v>semi-exposed</v>
      </c>
      <c r="D38" s="131">
        <f>OF!D72</f>
        <v>0</v>
      </c>
      <c r="E38" s="333">
        <v>3</v>
      </c>
      <c r="F38" s="333">
        <f>D38*E38</f>
        <v>0</v>
      </c>
      <c r="G38" s="352"/>
      <c r="H38" s="897"/>
    </row>
    <row r="39" spans="1:9" ht="15" customHeight="1" thickBot="1" x14ac:dyDescent="0.25">
      <c r="A39" s="768"/>
      <c r="B39" s="774"/>
      <c r="C39" s="318" t="str">
        <f>OF!C73</f>
        <v>exposed or very exposed</v>
      </c>
      <c r="D39" s="328">
        <f>OF!D74</f>
        <v>0</v>
      </c>
      <c r="E39" s="341">
        <v>4</v>
      </c>
      <c r="F39" s="341">
        <f>D39*E39</f>
        <v>0</v>
      </c>
      <c r="G39" s="350"/>
      <c r="H39" s="906"/>
    </row>
    <row r="40" spans="1:9" ht="45" customHeight="1" thickBot="1" x14ac:dyDescent="0.25">
      <c r="A40" s="197" t="str">
        <f>OF!A90</f>
        <v>OF17</v>
      </c>
      <c r="B40" s="192" t="str">
        <f>OF!B90</f>
        <v>Input Tributary</v>
      </c>
      <c r="C40" s="268" t="str">
        <f>OF!C90</f>
        <v xml:space="preserve">The AA is intersected by a freshwater stream (tributary) that flows during most of the growing season and originates in the upland directly adjoining this wetland. Or the AA is a fringe wetland along a river.  If yes, enter 1 and continue.  If no, enter 0 and SKIP to OF19.  </v>
      </c>
      <c r="D40" s="342"/>
      <c r="E40" s="342"/>
      <c r="F40" s="343"/>
      <c r="G40" s="353">
        <f>OF!D90</f>
        <v>1</v>
      </c>
      <c r="H40" s="200" t="s">
        <v>972</v>
      </c>
      <c r="I40" s="8" t="s">
        <v>591</v>
      </c>
    </row>
    <row r="41" spans="1:9" ht="30" customHeight="1" thickBot="1" x14ac:dyDescent="0.25">
      <c r="A41" s="909" t="str">
        <f>OF!A103</f>
        <v>OF20</v>
      </c>
      <c r="B41" s="908" t="str">
        <f>OF!B103</f>
        <v>Input Stream Gradient</v>
      </c>
      <c r="C41" s="317" t="str">
        <f>OF!C103</f>
        <v>The gradient of the largest intersecting stream (or if none, then the closest fish-bearing stream) averaged up to 1000 ft above tidewater, is:</v>
      </c>
      <c r="D41" s="338"/>
      <c r="E41" s="339"/>
      <c r="F41" s="340"/>
      <c r="G41" s="163">
        <f>IF((G40=0),"",MAX(F42:F45)/MAX(E42:E45))</f>
        <v>0</v>
      </c>
      <c r="H41" s="905" t="s">
        <v>973</v>
      </c>
      <c r="I41" s="8" t="s">
        <v>588</v>
      </c>
    </row>
    <row r="42" spans="1:9" ht="15" customHeight="1" x14ac:dyDescent="0.2">
      <c r="A42" s="910"/>
      <c r="B42" s="907"/>
      <c r="C42" s="207" t="str">
        <f>OF!C104</f>
        <v>&lt;1%</v>
      </c>
      <c r="D42" s="131">
        <f>OF!D104</f>
        <v>1</v>
      </c>
      <c r="E42" s="333">
        <v>0</v>
      </c>
      <c r="F42" s="333">
        <f>D42*E42</f>
        <v>0</v>
      </c>
      <c r="G42" s="351"/>
      <c r="H42" s="897"/>
    </row>
    <row r="43" spans="1:9" ht="15" customHeight="1" x14ac:dyDescent="0.2">
      <c r="A43" s="910"/>
      <c r="B43" s="907"/>
      <c r="C43" s="311" t="str">
        <f>OF!C105</f>
        <v>1-5%</v>
      </c>
      <c r="D43" s="131">
        <f>OF!D105</f>
        <v>0</v>
      </c>
      <c r="E43" s="333">
        <v>1</v>
      </c>
      <c r="F43" s="333">
        <f>D43*E43</f>
        <v>0</v>
      </c>
      <c r="G43" s="352"/>
      <c r="H43" s="897"/>
    </row>
    <row r="44" spans="1:9" ht="15" customHeight="1" x14ac:dyDescent="0.2">
      <c r="A44" s="910"/>
      <c r="B44" s="907"/>
      <c r="C44" s="311" t="str">
        <f>OF!C106</f>
        <v>5-30%</v>
      </c>
      <c r="D44" s="131">
        <f>OF!D106</f>
        <v>0</v>
      </c>
      <c r="E44" s="333">
        <v>2</v>
      </c>
      <c r="F44" s="333">
        <f>D44*E44</f>
        <v>0</v>
      </c>
      <c r="G44" s="352"/>
      <c r="H44" s="897"/>
    </row>
    <row r="45" spans="1:9" ht="15" customHeight="1" thickBot="1" x14ac:dyDescent="0.25">
      <c r="A45" s="768"/>
      <c r="B45" s="774"/>
      <c r="C45" s="318" t="str">
        <f>OF!C107</f>
        <v>&gt;30%</v>
      </c>
      <c r="D45" s="328">
        <f>OF!D107</f>
        <v>0</v>
      </c>
      <c r="E45" s="341">
        <v>4</v>
      </c>
      <c r="F45" s="341">
        <f>D45*E45</f>
        <v>0</v>
      </c>
      <c r="G45" s="350"/>
      <c r="H45" s="906"/>
    </row>
    <row r="46" spans="1:9" ht="21" customHeight="1" thickBot="1" x14ac:dyDescent="0.25">
      <c r="A46" s="887"/>
      <c r="B46" s="887"/>
      <c r="C46" s="887"/>
      <c r="D46" s="951"/>
      <c r="E46" s="951"/>
      <c r="F46" s="951"/>
      <c r="G46" s="951"/>
      <c r="H46" s="951"/>
    </row>
    <row r="47" spans="1:9" ht="47.25" customHeight="1" x14ac:dyDescent="0.2">
      <c r="A47" s="707"/>
      <c r="B47" s="707"/>
      <c r="C47" s="707"/>
      <c r="D47" s="962" t="s">
        <v>576</v>
      </c>
      <c r="E47" s="963"/>
      <c r="F47" s="963"/>
      <c r="G47" s="354">
        <f>CS!G64</f>
        <v>0.71111111111111114</v>
      </c>
      <c r="H47" s="91" t="s">
        <v>1112</v>
      </c>
    </row>
    <row r="48" spans="1:9" ht="21" customHeight="1" x14ac:dyDescent="0.2">
      <c r="A48" s="707"/>
      <c r="B48" s="707"/>
      <c r="C48" s="707"/>
      <c r="D48" s="964" t="s">
        <v>577</v>
      </c>
      <c r="E48" s="965"/>
      <c r="F48" s="965"/>
      <c r="G48" s="355">
        <f>CS!G65</f>
        <v>0.47333333333333333</v>
      </c>
      <c r="H48" s="92" t="s">
        <v>232</v>
      </c>
    </row>
    <row r="49" spans="1:10" s="96" customFormat="1" ht="30" customHeight="1" thickBot="1" x14ac:dyDescent="0.35">
      <c r="A49" s="707"/>
      <c r="B49" s="707"/>
      <c r="C49" s="707"/>
      <c r="D49" s="959" t="s">
        <v>592</v>
      </c>
      <c r="E49" s="960"/>
      <c r="F49" s="960"/>
      <c r="G49" s="356">
        <f>AVERAGE(LowMarshT3, FloodPct3, AVERAGE(VwidthLow3,BlindChan3,ChanComplex3,Geog3,BayRiver3,TribIn3,StreamGrad3,Fetch3))</f>
        <v>0.63510101010101017</v>
      </c>
      <c r="H49" s="98" t="s">
        <v>48</v>
      </c>
      <c r="J49" s="97"/>
    </row>
    <row r="50" spans="1:10" ht="21" customHeight="1" thickBot="1" x14ac:dyDescent="0.25">
      <c r="A50" s="707"/>
      <c r="B50" s="707"/>
      <c r="C50" s="707"/>
      <c r="D50" s="951"/>
      <c r="E50" s="951"/>
      <c r="F50" s="951"/>
      <c r="G50" s="951"/>
      <c r="H50" s="951"/>
    </row>
    <row r="51" spans="1:10" s="40" customFormat="1" ht="30" customHeight="1" thickBot="1" x14ac:dyDescent="0.25">
      <c r="A51" s="957"/>
      <c r="B51" s="958"/>
      <c r="C51" s="928" t="s">
        <v>1104</v>
      </c>
      <c r="D51" s="961"/>
      <c r="E51" s="961"/>
      <c r="F51" s="344" t="s">
        <v>552</v>
      </c>
      <c r="G51" s="357">
        <f>10*AVERAGE(Exporting3,AVERAGE(Accum3,Produc3))</f>
        <v>6.1366161616161623</v>
      </c>
      <c r="H51" s="317" t="s">
        <v>75</v>
      </c>
      <c r="J51" s="61"/>
    </row>
    <row r="52" spans="1:10" ht="15" customHeight="1" x14ac:dyDescent="0.2">
      <c r="A52" s="707" t="s">
        <v>234</v>
      </c>
      <c r="B52" s="707"/>
      <c r="C52" s="707"/>
      <c r="D52" s="707"/>
      <c r="E52" s="707"/>
      <c r="F52" s="707"/>
      <c r="G52" s="707"/>
      <c r="H52" s="707"/>
    </row>
    <row r="53" spans="1:10" ht="15" customHeight="1" x14ac:dyDescent="0.2">
      <c r="A53" s="707"/>
      <c r="B53" s="707"/>
      <c r="C53" s="707"/>
      <c r="D53" s="707"/>
      <c r="E53" s="707"/>
      <c r="F53" s="707"/>
      <c r="G53" s="707"/>
      <c r="H53" s="707"/>
    </row>
    <row r="54" spans="1:10" ht="15" customHeight="1" x14ac:dyDescent="0.2">
      <c r="A54" s="707"/>
      <c r="B54" s="707"/>
      <c r="C54" s="707"/>
      <c r="D54" s="707"/>
      <c r="E54" s="707"/>
      <c r="F54" s="707"/>
      <c r="G54" s="707"/>
      <c r="H54" s="707"/>
    </row>
    <row r="55" spans="1:10" ht="15" customHeight="1" x14ac:dyDescent="0.2">
      <c r="A55" s="707"/>
      <c r="B55" s="707"/>
      <c r="C55" s="707"/>
      <c r="D55" s="707"/>
      <c r="E55" s="707"/>
      <c r="F55" s="707"/>
      <c r="G55" s="707"/>
      <c r="H55" s="707"/>
    </row>
    <row r="56" spans="1:10" ht="15" customHeight="1" x14ac:dyDescent="0.2">
      <c r="A56" s="707"/>
      <c r="B56" s="707"/>
      <c r="C56" s="707"/>
      <c r="D56" s="707"/>
      <c r="E56" s="707"/>
      <c r="F56" s="707"/>
      <c r="G56" s="707"/>
      <c r="H56" s="707"/>
    </row>
    <row r="57" spans="1:10" ht="15" customHeight="1" x14ac:dyDescent="0.2">
      <c r="A57" s="707"/>
      <c r="B57" s="707"/>
      <c r="C57" s="707"/>
      <c r="D57" s="707"/>
      <c r="E57" s="707"/>
      <c r="F57" s="707"/>
      <c r="G57" s="707"/>
      <c r="H57" s="707"/>
    </row>
    <row r="58" spans="1:10" ht="15" customHeight="1" x14ac:dyDescent="0.2">
      <c r="A58" s="707"/>
      <c r="B58" s="707"/>
      <c r="C58" s="707"/>
      <c r="D58" s="707"/>
      <c r="E58" s="707"/>
      <c r="F58" s="707"/>
      <c r="G58" s="707"/>
      <c r="H58" s="707"/>
    </row>
    <row r="59" spans="1:10" ht="15" customHeight="1" x14ac:dyDescent="0.2">
      <c r="A59" s="707"/>
      <c r="B59" s="707"/>
      <c r="C59" s="707"/>
      <c r="D59" s="707"/>
      <c r="E59" s="707"/>
      <c r="F59" s="707"/>
      <c r="G59" s="707"/>
      <c r="H59" s="707"/>
    </row>
    <row r="60" spans="1:10" ht="15" customHeight="1" x14ac:dyDescent="0.2">
      <c r="A60" s="707"/>
      <c r="B60" s="707"/>
      <c r="C60" s="707"/>
      <c r="D60" s="707"/>
      <c r="E60" s="707"/>
      <c r="F60" s="707"/>
      <c r="G60" s="707"/>
      <c r="H60" s="707"/>
    </row>
    <row r="61" spans="1:10" ht="15" customHeight="1" x14ac:dyDescent="0.2">
      <c r="A61" s="707"/>
      <c r="B61" s="707"/>
      <c r="C61" s="707"/>
      <c r="D61" s="707"/>
      <c r="E61" s="707"/>
      <c r="F61" s="707"/>
      <c r="G61" s="707"/>
      <c r="H61" s="707"/>
    </row>
    <row r="62" spans="1:10" ht="15" customHeight="1" x14ac:dyDescent="0.2">
      <c r="A62" s="707"/>
      <c r="B62" s="707"/>
      <c r="C62" s="707"/>
      <c r="D62" s="707"/>
      <c r="E62" s="707"/>
      <c r="F62" s="707"/>
      <c r="G62" s="707"/>
      <c r="H62" s="707"/>
    </row>
    <row r="63" spans="1:10" ht="15" customHeight="1" x14ac:dyDescent="0.2">
      <c r="A63" s="707"/>
      <c r="B63" s="707"/>
      <c r="C63" s="707"/>
      <c r="D63" s="707"/>
      <c r="E63" s="707"/>
      <c r="F63" s="707"/>
      <c r="G63" s="707"/>
      <c r="H63" s="707"/>
    </row>
    <row r="64" spans="1:10" ht="15" customHeight="1" x14ac:dyDescent="0.2">
      <c r="A64" s="707"/>
      <c r="B64" s="707"/>
      <c r="C64" s="707"/>
      <c r="D64" s="707"/>
      <c r="E64" s="707"/>
      <c r="F64" s="707"/>
      <c r="G64" s="707"/>
      <c r="H64" s="707"/>
    </row>
  </sheetData>
  <sheetProtection password="C74A" sheet="1" objects="1" scenarios="1" formatCells="0" formatColumns="0" formatRows="0"/>
  <mergeCells count="32">
    <mergeCell ref="A51:B51"/>
    <mergeCell ref="A52:H64"/>
    <mergeCell ref="H34:H39"/>
    <mergeCell ref="B41:B45"/>
    <mergeCell ref="B34:B39"/>
    <mergeCell ref="H41:H45"/>
    <mergeCell ref="D49:F49"/>
    <mergeCell ref="C51:E51"/>
    <mergeCell ref="D47:F47"/>
    <mergeCell ref="D48:F48"/>
    <mergeCell ref="H28:H33"/>
    <mergeCell ref="B19:B23"/>
    <mergeCell ref="B28:B33"/>
    <mergeCell ref="H24:H27"/>
    <mergeCell ref="H19:H23"/>
    <mergeCell ref="B24:B27"/>
    <mergeCell ref="E1:H1"/>
    <mergeCell ref="D46:H46"/>
    <mergeCell ref="D50:H50"/>
    <mergeCell ref="A46:C50"/>
    <mergeCell ref="A1:B1"/>
    <mergeCell ref="A41:A45"/>
    <mergeCell ref="A24:A27"/>
    <mergeCell ref="A34:A39"/>
    <mergeCell ref="A4:A11"/>
    <mergeCell ref="A12:A17"/>
    <mergeCell ref="A19:A23"/>
    <mergeCell ref="A28:A33"/>
    <mergeCell ref="B4:B11"/>
    <mergeCell ref="H4:H11"/>
    <mergeCell ref="H12:H17"/>
    <mergeCell ref="B12:B17"/>
  </mergeCells>
  <phoneticPr fontId="19" type="noConversion"/>
  <pageMargins left="0.75" right="0.75" top="1" bottom="1" header="0.5" footer="0.5"/>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N148"/>
  <sheetViews>
    <sheetView workbookViewId="0">
      <selection sqref="A1:B1"/>
    </sheetView>
  </sheetViews>
  <sheetFormatPr defaultColWidth="9.33203125" defaultRowHeight="15" customHeight="1" x14ac:dyDescent="0.2"/>
  <cols>
    <col min="1" max="1" width="5.83203125" style="26" customWidth="1"/>
    <col min="2" max="2" width="18.83203125" style="26" customWidth="1"/>
    <col min="3" max="3" width="75.83203125" style="26" customWidth="1"/>
    <col min="4" max="4" width="6.83203125" style="430" customWidth="1"/>
    <col min="5" max="5" width="8.1640625" style="430" customWidth="1"/>
    <col min="6" max="6" width="7.83203125" style="430" customWidth="1"/>
    <col min="7" max="7" width="9.83203125" style="431" customWidth="1"/>
    <col min="8" max="8" width="75.83203125" style="25" customWidth="1"/>
    <col min="9" max="9" width="21" style="25" customWidth="1"/>
    <col min="10" max="10" width="9.33203125" style="103"/>
    <col min="11" max="16384" width="9.33203125" style="25"/>
  </cols>
  <sheetData>
    <row r="1" spans="1:10" ht="60" customHeight="1" thickBot="1" x14ac:dyDescent="0.25">
      <c r="A1" s="976" t="s">
        <v>3650</v>
      </c>
      <c r="B1" s="977"/>
      <c r="C1" s="76" t="s">
        <v>49</v>
      </c>
      <c r="D1" s="109" t="s">
        <v>66</v>
      </c>
      <c r="E1" s="982"/>
      <c r="F1" s="983"/>
      <c r="G1" s="983"/>
      <c r="H1" s="983"/>
    </row>
    <row r="2" spans="1:10" s="436" customFormat="1" ht="30" customHeight="1" thickBot="1" x14ac:dyDescent="0.25">
      <c r="A2" s="288" t="s">
        <v>770</v>
      </c>
      <c r="B2" s="438" t="s">
        <v>3636</v>
      </c>
      <c r="C2" s="439" t="s">
        <v>32</v>
      </c>
      <c r="D2" s="440" t="s">
        <v>805</v>
      </c>
      <c r="E2" s="441" t="s">
        <v>1017</v>
      </c>
      <c r="F2" s="442" t="s">
        <v>1018</v>
      </c>
      <c r="G2" s="443" t="s">
        <v>355</v>
      </c>
      <c r="H2" s="440" t="s">
        <v>60</v>
      </c>
      <c r="J2" s="105"/>
    </row>
    <row r="3" spans="1:10" ht="21" customHeight="1" thickBot="1" x14ac:dyDescent="0.25">
      <c r="A3" s="892" t="str">
        <f>T!A4</f>
        <v>T1</v>
      </c>
      <c r="B3" s="908" t="str">
        <f>T!B4</f>
        <v>Outflow Confinement</v>
      </c>
      <c r="C3" s="411" t="str">
        <f>T!C4</f>
        <v>Enter "1" for all that are true:</v>
      </c>
      <c r="D3" s="402"/>
      <c r="E3" s="339"/>
      <c r="F3" s="340"/>
      <c r="G3" s="163">
        <f>MAX(F4:F6)/MAX(E4:E6)</f>
        <v>1</v>
      </c>
      <c r="H3" s="905" t="s">
        <v>977</v>
      </c>
      <c r="I3" s="25" t="s">
        <v>1001</v>
      </c>
    </row>
    <row r="4" spans="1:10" ht="27" customHeight="1" x14ac:dyDescent="0.2">
      <c r="A4" s="892"/>
      <c r="B4" s="907"/>
      <c r="C4" s="422" t="str">
        <f>T!C5</f>
        <v>Due to impassible culverts, tidegates, or other physical infrastructure barriers (not glacial uplift or other natural factors), anadromous fish cannot access part of the AA that currently is tidal.</v>
      </c>
      <c r="D4" s="131">
        <f>T!D5</f>
        <v>0</v>
      </c>
      <c r="E4" s="333">
        <v>0</v>
      </c>
      <c r="F4" s="333">
        <f>D4*E4</f>
        <v>0</v>
      </c>
      <c r="G4" s="351"/>
      <c r="H4" s="897"/>
    </row>
    <row r="5" spans="1:10" ht="42" customHeight="1" x14ac:dyDescent="0.2">
      <c r="A5" s="892"/>
      <c r="B5" s="907"/>
      <c r="C5" s="311" t="str">
        <f>T!C6</f>
        <v xml:space="preserve">Due to impassible culverts, tidegates, or other physical infrastructure barriers (not glacial uplift or other natural factors), anadromous fish cannot access a contiguous non-tidal wetland or stream which can be assumed to have been tidally connected within the past 100 years. </v>
      </c>
      <c r="D5" s="131">
        <f>T!D6</f>
        <v>0</v>
      </c>
      <c r="E5" s="333">
        <v>2</v>
      </c>
      <c r="F5" s="333">
        <f>D5*E5</f>
        <v>0</v>
      </c>
      <c r="G5" s="423"/>
      <c r="H5" s="897"/>
    </row>
    <row r="6" spans="1:10" ht="15" customHeight="1" thickBot="1" x14ac:dyDescent="0.25">
      <c r="A6" s="892"/>
      <c r="B6" s="907"/>
      <c r="C6" s="414" t="str">
        <f>T!C7</f>
        <v>Neither is true, or uncertain.</v>
      </c>
      <c r="D6" s="444">
        <f>T!D7</f>
        <v>1</v>
      </c>
      <c r="E6" s="335">
        <v>3</v>
      </c>
      <c r="F6" s="335">
        <f>D6*E6</f>
        <v>3</v>
      </c>
      <c r="G6" s="349"/>
      <c r="H6" s="897"/>
    </row>
    <row r="7" spans="1:10" ht="45" customHeight="1" thickBot="1" x14ac:dyDescent="0.25">
      <c r="A7" s="99" t="str">
        <f>T!A8</f>
        <v>T2</v>
      </c>
      <c r="B7" s="70" t="str">
        <f>T!B8</f>
        <v>Tidal Regime</v>
      </c>
      <c r="C7" s="313" t="str">
        <f>T!C8</f>
        <v>For each condition listed in the rows in the table below, estimate how much of the AA’s area (including its internal tidal channels) is likely to be accessible to small fish.  Then select one number from each row, and sum the four numbers and enter the sum in the column to the right.</v>
      </c>
      <c r="D7" s="445">
        <f>T!D8</f>
        <v>8</v>
      </c>
      <c r="E7" s="337"/>
      <c r="F7" s="336"/>
      <c r="G7" s="163">
        <f>D7/22</f>
        <v>0.36363636363636365</v>
      </c>
      <c r="H7" s="6" t="s">
        <v>1012</v>
      </c>
      <c r="I7" s="25" t="s">
        <v>1013</v>
      </c>
    </row>
    <row r="8" spans="1:10" s="20" customFormat="1" ht="30" customHeight="1" thickBot="1" x14ac:dyDescent="0.25">
      <c r="A8" s="890" t="str">
        <f>T!A10</f>
        <v>T3</v>
      </c>
      <c r="B8" s="908" t="str">
        <f>T!B10</f>
        <v>Low Marsh</v>
      </c>
      <c r="C8" s="191" t="str">
        <f>T!C10</f>
        <v>The percent of the vegetated part of the AA that is "low marsh" (covered by tidal water for part of almost every day) is:</v>
      </c>
      <c r="D8" s="323"/>
      <c r="E8" s="323"/>
      <c r="F8" s="324"/>
      <c r="G8" s="320">
        <f>MAX(F9:F15)/MAX(E9:E15)</f>
        <v>1</v>
      </c>
      <c r="H8" s="907" t="s">
        <v>403</v>
      </c>
      <c r="I8" s="28" t="s">
        <v>433</v>
      </c>
      <c r="J8" s="103"/>
    </row>
    <row r="9" spans="1:10" s="20" customFormat="1" ht="15" customHeight="1" x14ac:dyDescent="0.2">
      <c r="A9" s="890"/>
      <c r="B9" s="907"/>
      <c r="C9" s="202" t="str">
        <f>T!C11</f>
        <v>none, or &lt;1%</v>
      </c>
      <c r="D9" s="325">
        <f>T!D11</f>
        <v>0</v>
      </c>
      <c r="E9" s="326">
        <v>0</v>
      </c>
      <c r="F9" s="327">
        <f t="shared" ref="F9:F15" si="0">D9*E9</f>
        <v>0</v>
      </c>
      <c r="G9" s="349"/>
      <c r="H9" s="907"/>
      <c r="I9" s="28"/>
      <c r="J9" s="103"/>
    </row>
    <row r="10" spans="1:10" s="20" customFormat="1" ht="15" customHeight="1" x14ac:dyDescent="0.2">
      <c r="A10" s="890"/>
      <c r="B10" s="907"/>
      <c r="C10" s="276" t="str">
        <f>T!C12</f>
        <v>1-10%</v>
      </c>
      <c r="D10" s="325">
        <f>T!D12</f>
        <v>0</v>
      </c>
      <c r="E10" s="326">
        <v>1</v>
      </c>
      <c r="F10" s="327">
        <f t="shared" si="0"/>
        <v>0</v>
      </c>
      <c r="G10" s="349"/>
      <c r="H10" s="907"/>
      <c r="I10" s="28"/>
      <c r="J10" s="103"/>
    </row>
    <row r="11" spans="1:10" s="20" customFormat="1" ht="15" customHeight="1" x14ac:dyDescent="0.2">
      <c r="A11" s="890"/>
      <c r="B11" s="907"/>
      <c r="C11" s="276" t="str">
        <f>T!C13</f>
        <v>10-25%</v>
      </c>
      <c r="D11" s="325">
        <f>T!D13</f>
        <v>0</v>
      </c>
      <c r="E11" s="326">
        <v>2</v>
      </c>
      <c r="F11" s="327">
        <f t="shared" si="0"/>
        <v>0</v>
      </c>
      <c r="G11" s="349"/>
      <c r="H11" s="907"/>
      <c r="I11" s="28"/>
      <c r="J11" s="103"/>
    </row>
    <row r="12" spans="1:10" s="20" customFormat="1" ht="15" customHeight="1" x14ac:dyDescent="0.2">
      <c r="A12" s="890"/>
      <c r="B12" s="907"/>
      <c r="C12" s="276" t="str">
        <f>T!C14</f>
        <v>25-50%</v>
      </c>
      <c r="D12" s="325">
        <f>T!D14</f>
        <v>0</v>
      </c>
      <c r="E12" s="326">
        <v>3</v>
      </c>
      <c r="F12" s="327">
        <f t="shared" si="0"/>
        <v>0</v>
      </c>
      <c r="G12" s="349"/>
      <c r="H12" s="907"/>
      <c r="I12" s="28"/>
      <c r="J12" s="103"/>
    </row>
    <row r="13" spans="1:10" s="20" customFormat="1" ht="15" customHeight="1" x14ac:dyDescent="0.2">
      <c r="A13" s="890"/>
      <c r="B13" s="907"/>
      <c r="C13" s="276" t="str">
        <f>T!C15</f>
        <v>50-75%</v>
      </c>
      <c r="D13" s="325">
        <f>T!D15</f>
        <v>0</v>
      </c>
      <c r="E13" s="326">
        <v>4</v>
      </c>
      <c r="F13" s="327">
        <f t="shared" si="0"/>
        <v>0</v>
      </c>
      <c r="G13" s="349"/>
      <c r="H13" s="907"/>
      <c r="I13" s="28"/>
      <c r="J13" s="103"/>
    </row>
    <row r="14" spans="1:10" s="20" customFormat="1" ht="15" customHeight="1" x14ac:dyDescent="0.2">
      <c r="A14" s="890"/>
      <c r="B14" s="907"/>
      <c r="C14" s="276" t="str">
        <f>T!C16</f>
        <v>75-90%</v>
      </c>
      <c r="D14" s="325">
        <f>T!D16</f>
        <v>0</v>
      </c>
      <c r="E14" s="326">
        <v>5</v>
      </c>
      <c r="F14" s="327">
        <f t="shared" si="0"/>
        <v>0</v>
      </c>
      <c r="G14" s="349"/>
      <c r="H14" s="907"/>
      <c r="I14" s="28"/>
      <c r="J14" s="103"/>
    </row>
    <row r="15" spans="1:10" s="20" customFormat="1" ht="15" customHeight="1" thickBot="1" x14ac:dyDescent="0.25">
      <c r="A15" s="890"/>
      <c r="B15" s="774"/>
      <c r="C15" s="276" t="str">
        <f>T!C17</f>
        <v>&gt;90%</v>
      </c>
      <c r="D15" s="424">
        <f>T!D17</f>
        <v>1</v>
      </c>
      <c r="E15" s="425">
        <v>6</v>
      </c>
      <c r="F15" s="395">
        <f t="shared" si="0"/>
        <v>6</v>
      </c>
      <c r="G15" s="349"/>
      <c r="H15" s="907"/>
      <c r="I15" s="28"/>
      <c r="J15" s="103"/>
    </row>
    <row r="16" spans="1:10" ht="45" customHeight="1" thickBot="1" x14ac:dyDescent="0.25">
      <c r="A16" s="891" t="str">
        <f>T!A18</f>
        <v>T4</v>
      </c>
      <c r="B16" s="966" t="str">
        <f>T!B18</f>
        <v>Width of Vegetated Zone at Daily Low Tide</v>
      </c>
      <c r="C16" s="100" t="str">
        <f>T!C18</f>
        <v>At daily low tide, the average width of vegetated area in the AA that separates adjoining uplands from most deepwater (subtidal water) within or adjoining the AA, or from the largest intersecting river or tributary (whichever is less), is:</v>
      </c>
      <c r="D16" s="338"/>
      <c r="E16" s="339"/>
      <c r="F16" s="340"/>
      <c r="G16" s="163">
        <f>MAX(F17:F21)/MAX(E17:E21)</f>
        <v>0.75</v>
      </c>
      <c r="H16" s="905" t="s">
        <v>976</v>
      </c>
      <c r="I16" s="25" t="s">
        <v>594</v>
      </c>
    </row>
    <row r="17" spans="1:9" ht="15" customHeight="1" x14ac:dyDescent="0.2">
      <c r="A17" s="892"/>
      <c r="B17" s="967"/>
      <c r="C17" s="206" t="str">
        <f>T!C19</f>
        <v xml:space="preserve">1-5 ft </v>
      </c>
      <c r="D17" s="334">
        <f>T!D19</f>
        <v>0</v>
      </c>
      <c r="E17" s="333">
        <v>0</v>
      </c>
      <c r="F17" s="333">
        <f>D17*E17</f>
        <v>0</v>
      </c>
      <c r="G17" s="351"/>
      <c r="H17" s="897"/>
    </row>
    <row r="18" spans="1:9" ht="15" customHeight="1" x14ac:dyDescent="0.2">
      <c r="A18" s="892"/>
      <c r="B18" s="967"/>
      <c r="C18" s="412" t="str">
        <f>T!C20</f>
        <v>5-25 ft</v>
      </c>
      <c r="D18" s="334">
        <f>T!D20</f>
        <v>0</v>
      </c>
      <c r="E18" s="333">
        <v>1</v>
      </c>
      <c r="F18" s="333">
        <f>D18*E18</f>
        <v>0</v>
      </c>
      <c r="G18" s="352"/>
      <c r="H18" s="897"/>
    </row>
    <row r="19" spans="1:9" ht="15" customHeight="1" x14ac:dyDescent="0.2">
      <c r="A19" s="892"/>
      <c r="B19" s="967"/>
      <c r="C19" s="412" t="str">
        <f>T!C21</f>
        <v>25-100 ft</v>
      </c>
      <c r="D19" s="334">
        <f>T!D21</f>
        <v>0</v>
      </c>
      <c r="E19" s="333">
        <v>2</v>
      </c>
      <c r="F19" s="333">
        <f>D19*E19</f>
        <v>0</v>
      </c>
      <c r="G19" s="352"/>
      <c r="H19" s="897"/>
    </row>
    <row r="20" spans="1:9" ht="15" customHeight="1" x14ac:dyDescent="0.2">
      <c r="A20" s="892"/>
      <c r="B20" s="967"/>
      <c r="C20" s="412" t="str">
        <f>T!C22</f>
        <v>100-300 ft</v>
      </c>
      <c r="D20" s="334">
        <f>T!D22</f>
        <v>1</v>
      </c>
      <c r="E20" s="333">
        <v>3</v>
      </c>
      <c r="F20" s="333">
        <f>D20*E20</f>
        <v>3</v>
      </c>
      <c r="G20" s="352"/>
      <c r="H20" s="897"/>
    </row>
    <row r="21" spans="1:9" ht="15" customHeight="1" thickBot="1" x14ac:dyDescent="0.25">
      <c r="A21" s="893"/>
      <c r="B21" s="968"/>
      <c r="C21" s="413" t="str">
        <f>T!C23</f>
        <v>&gt;300 ft</v>
      </c>
      <c r="D21" s="133">
        <f>T!D23</f>
        <v>0</v>
      </c>
      <c r="E21" s="341">
        <v>4</v>
      </c>
      <c r="F21" s="341">
        <f>D21*E21</f>
        <v>0</v>
      </c>
      <c r="G21" s="350"/>
      <c r="H21" s="906"/>
    </row>
    <row r="22" spans="1:9" ht="60" customHeight="1" thickBot="1" x14ac:dyDescent="0.25">
      <c r="A22" s="954" t="str">
        <f>T!A30</f>
        <v>T6</v>
      </c>
      <c r="B22" s="907" t="str">
        <f>T!B30</f>
        <v>Aquatic Cover</v>
      </c>
      <c r="C22" s="317" t="str">
        <f>T!C30</f>
        <v>Within the part of the AA and its internal channels that remain underwater during mean daily low tide, the extent of fish cover provided at that time by partly submerged vegetation, inchannel pools, horizontally incised banks, and pieces of wood (thicker than 6 inches and longer than 4 feet, or smaller pieces in dense accumulations) is:</v>
      </c>
      <c r="D22" s="323"/>
      <c r="E22" s="331"/>
      <c r="F22" s="332"/>
      <c r="G22" s="320">
        <f>MAX(F23:F25)/MAX(E23:E25)</f>
        <v>0</v>
      </c>
      <c r="H22" s="897" t="s">
        <v>975</v>
      </c>
      <c r="I22" s="25" t="s">
        <v>593</v>
      </c>
    </row>
    <row r="23" spans="1:9" ht="15" customHeight="1" x14ac:dyDescent="0.2">
      <c r="A23" s="954"/>
      <c r="B23" s="907"/>
      <c r="C23" s="207" t="str">
        <f>T!C31</f>
        <v>Little or none</v>
      </c>
      <c r="D23" s="132">
        <f>T!D31</f>
        <v>0</v>
      </c>
      <c r="E23" s="333">
        <v>2</v>
      </c>
      <c r="F23" s="333">
        <f>D23*E23</f>
        <v>0</v>
      </c>
      <c r="G23" s="351"/>
      <c r="H23" s="897"/>
    </row>
    <row r="24" spans="1:9" ht="15" customHeight="1" x14ac:dyDescent="0.2">
      <c r="A24" s="954"/>
      <c r="B24" s="907"/>
      <c r="C24" s="311" t="str">
        <f>T!C32</f>
        <v>Intermediate</v>
      </c>
      <c r="D24" s="132">
        <f>T!D32</f>
        <v>1</v>
      </c>
      <c r="E24" s="333">
        <v>0</v>
      </c>
      <c r="F24" s="333">
        <f>D24*E24</f>
        <v>0</v>
      </c>
      <c r="G24" s="352"/>
      <c r="H24" s="897"/>
    </row>
    <row r="25" spans="1:9" ht="15" customHeight="1" thickBot="1" x14ac:dyDescent="0.25">
      <c r="A25" s="954"/>
      <c r="B25" s="907"/>
      <c r="C25" s="312" t="str">
        <f>T!C33</f>
        <v xml:space="preserve">Extensive </v>
      </c>
      <c r="D25" s="334">
        <f>T!D33</f>
        <v>0</v>
      </c>
      <c r="E25" s="335">
        <v>1</v>
      </c>
      <c r="F25" s="335">
        <f>D25*E25</f>
        <v>0</v>
      </c>
      <c r="G25" s="349"/>
      <c r="H25" s="897"/>
    </row>
    <row r="26" spans="1:9" ht="21" customHeight="1" thickBot="1" x14ac:dyDescent="0.25">
      <c r="A26" s="909" t="str">
        <f>T!A39</f>
        <v>T8</v>
      </c>
      <c r="B26" s="908" t="str">
        <f>T!B39</f>
        <v>Groundwater Seeps</v>
      </c>
      <c r="C26" s="317" t="str">
        <f>T!C39</f>
        <v>Select one:</v>
      </c>
      <c r="D26" s="338"/>
      <c r="E26" s="339"/>
      <c r="F26" s="340"/>
      <c r="G26" s="163">
        <f>MAX(F27:F29)/MAX(E27:E29)</f>
        <v>0.5</v>
      </c>
      <c r="H26" s="905" t="s">
        <v>978</v>
      </c>
      <c r="I26" s="25" t="s">
        <v>597</v>
      </c>
    </row>
    <row r="27" spans="1:9" ht="38.25" customHeight="1" x14ac:dyDescent="0.2">
      <c r="A27" s="910"/>
      <c r="B27" s="907"/>
      <c r="C27" s="207" t="str">
        <f>T!C40</f>
        <v>Part of the AA contains strong evidence of fresh groundwater discharges at the marsh surface: (a) Springs are observed, or (b) measurements from shallow wells indicate groundwater is discharging to the wetland.</v>
      </c>
      <c r="D27" s="132">
        <f>T!D40</f>
        <v>0</v>
      </c>
      <c r="E27" s="333">
        <v>2</v>
      </c>
      <c r="F27" s="333">
        <f>D27*E27</f>
        <v>0</v>
      </c>
      <c r="G27" s="351"/>
      <c r="H27" s="897"/>
    </row>
    <row r="28" spans="1:9" ht="42" customHeight="1" x14ac:dyDescent="0.2">
      <c r="A28" s="910"/>
      <c r="B28" s="907"/>
      <c r="C28" s="311" t="str">
        <f>T!C41</f>
        <v xml:space="preserve">Part of the AA has less definitive evidence of discharging groundwater during summer.  Wetland is on organic, sandy, or gravelly soil AND is at the base of a natural slope of &gt;5% (as averaged over a distance of 1000 ft or until the first opposing break in elevation occurs). </v>
      </c>
      <c r="D28" s="132">
        <f>T!D41</f>
        <v>1</v>
      </c>
      <c r="E28" s="333">
        <v>1</v>
      </c>
      <c r="F28" s="333">
        <f>D28*E28</f>
        <v>1</v>
      </c>
      <c r="G28" s="352"/>
      <c r="H28" s="897"/>
    </row>
    <row r="29" spans="1:9" ht="27" customHeight="1" thickBot="1" x14ac:dyDescent="0.25">
      <c r="A29" s="768"/>
      <c r="B29" s="774"/>
      <c r="C29" s="318" t="str">
        <f>T!C42</f>
        <v>Neither of above is true, although some groundwater may discharge to or flow through the wetland, or groundwater influx is unknown.</v>
      </c>
      <c r="D29" s="133">
        <f>T!D42</f>
        <v>0</v>
      </c>
      <c r="E29" s="341">
        <v>0</v>
      </c>
      <c r="F29" s="341">
        <f>D29*E29</f>
        <v>0</v>
      </c>
      <c r="G29" s="350"/>
      <c r="H29" s="906"/>
    </row>
    <row r="30" spans="1:9" ht="30" customHeight="1" thickBot="1" x14ac:dyDescent="0.25">
      <c r="A30" s="890" t="str">
        <f>T!A77</f>
        <v>T15</v>
      </c>
      <c r="B30" s="907" t="str">
        <f>T!B77</f>
        <v>Natural Cover in Buffer</v>
      </c>
      <c r="C30" s="317" t="str">
        <f>T!C77</f>
        <v>Within 100 ft upslope of the AA's wetland-upland edge, the percentage of the upland that contains natural (not necessarily native) land cover is:</v>
      </c>
      <c r="D30" s="323"/>
      <c r="E30" s="331"/>
      <c r="F30" s="332"/>
      <c r="G30" s="320">
        <f>MAX(F31:F35)/MAX(E31:E35)</f>
        <v>0</v>
      </c>
      <c r="H30" s="897" t="s">
        <v>907</v>
      </c>
      <c r="I30" s="25" t="s">
        <v>601</v>
      </c>
    </row>
    <row r="31" spans="1:9" ht="15" customHeight="1" x14ac:dyDescent="0.2">
      <c r="A31" s="890"/>
      <c r="B31" s="907"/>
      <c r="C31" s="207" t="str">
        <f>T!C78</f>
        <v xml:space="preserve">&lt;5% </v>
      </c>
      <c r="D31" s="132">
        <f>T!D78</f>
        <v>0</v>
      </c>
      <c r="E31" s="333">
        <v>5</v>
      </c>
      <c r="F31" s="333">
        <f>D31*E31</f>
        <v>0</v>
      </c>
      <c r="G31" s="351"/>
      <c r="H31" s="897"/>
    </row>
    <row r="32" spans="1:9" ht="15" customHeight="1" x14ac:dyDescent="0.2">
      <c r="A32" s="890"/>
      <c r="B32" s="907"/>
      <c r="C32" s="311" t="str">
        <f>T!C79</f>
        <v>5 to 30%</v>
      </c>
      <c r="D32" s="132">
        <f>T!D79</f>
        <v>0</v>
      </c>
      <c r="E32" s="333">
        <v>4</v>
      </c>
      <c r="F32" s="333">
        <f>D32*E32</f>
        <v>0</v>
      </c>
      <c r="G32" s="352"/>
      <c r="H32" s="897"/>
    </row>
    <row r="33" spans="1:9" ht="15" customHeight="1" x14ac:dyDescent="0.2">
      <c r="A33" s="890"/>
      <c r="B33" s="907"/>
      <c r="C33" s="311" t="str">
        <f>T!C80</f>
        <v>30 to 60%</v>
      </c>
      <c r="D33" s="132">
        <f>T!D80</f>
        <v>0</v>
      </c>
      <c r="E33" s="333">
        <v>2</v>
      </c>
      <c r="F33" s="333">
        <f>D33*E33</f>
        <v>0</v>
      </c>
      <c r="G33" s="352"/>
      <c r="H33" s="897"/>
    </row>
    <row r="34" spans="1:9" ht="15" customHeight="1" x14ac:dyDescent="0.2">
      <c r="A34" s="890"/>
      <c r="B34" s="907"/>
      <c r="C34" s="311" t="str">
        <f>T!C81</f>
        <v>60 to 90%</v>
      </c>
      <c r="D34" s="132">
        <f>T!D81</f>
        <v>0</v>
      </c>
      <c r="E34" s="333">
        <v>1</v>
      </c>
      <c r="F34" s="333">
        <f>D34*E34</f>
        <v>0</v>
      </c>
      <c r="G34" s="352"/>
      <c r="H34" s="897"/>
    </row>
    <row r="35" spans="1:9" ht="15" customHeight="1" thickBot="1" x14ac:dyDescent="0.25">
      <c r="A35" s="890"/>
      <c r="B35" s="907"/>
      <c r="C35" s="312" t="str">
        <f>T!C82</f>
        <v>&gt;90%.  SKIP to T17.</v>
      </c>
      <c r="D35" s="334">
        <f>T!D82</f>
        <v>1</v>
      </c>
      <c r="E35" s="335">
        <v>0</v>
      </c>
      <c r="F35" s="335">
        <f>D35*E35</f>
        <v>0</v>
      </c>
      <c r="G35" s="349"/>
      <c r="H35" s="897"/>
    </row>
    <row r="36" spans="1:9" ht="30" customHeight="1" thickBot="1" x14ac:dyDescent="0.25">
      <c r="A36" s="909" t="str">
        <f>T!A83</f>
        <v>T16</v>
      </c>
      <c r="B36" s="908" t="str">
        <f>T!B83</f>
        <v>Type of Cover in Buffer</v>
      </c>
      <c r="C36" s="317" t="str">
        <f>T!C83</f>
        <v>Within 100 ft upslope of the AA's wetland-upland edge, the upland cover that is NOT natural or water is mostly:</v>
      </c>
      <c r="D36" s="338"/>
      <c r="E36" s="339"/>
      <c r="F36" s="340"/>
      <c r="G36" s="163" t="str">
        <f>IF((D35=1),"",MAX(F37:F38))</f>
        <v/>
      </c>
      <c r="H36" s="905" t="s">
        <v>979</v>
      </c>
      <c r="I36" s="25" t="s">
        <v>602</v>
      </c>
    </row>
    <row r="37" spans="1:9" ht="15" customHeight="1" x14ac:dyDescent="0.2">
      <c r="A37" s="910"/>
      <c r="B37" s="907"/>
      <c r="C37" s="207" t="str">
        <f>T!C84</f>
        <v>impervious surface, e.g., paved road, parking lot, building, exposed rock.</v>
      </c>
      <c r="D37" s="132">
        <f>T!D84</f>
        <v>0</v>
      </c>
      <c r="E37" s="333">
        <v>0</v>
      </c>
      <c r="F37" s="333">
        <f>D37*E37</f>
        <v>0</v>
      </c>
      <c r="G37" s="351"/>
      <c r="H37" s="897"/>
    </row>
    <row r="38" spans="1:9" ht="15" customHeight="1" thickBot="1" x14ac:dyDescent="0.25">
      <c r="A38" s="768"/>
      <c r="B38" s="774"/>
      <c r="C38" s="318" t="str">
        <f>T!C85</f>
        <v>bare or semi-bare pervious surface, e.g., dirt road, dike, dunes, lawn, recent clearcut, landslide.</v>
      </c>
      <c r="D38" s="133">
        <f>T!D85</f>
        <v>0</v>
      </c>
      <c r="E38" s="341">
        <v>1</v>
      </c>
      <c r="F38" s="341">
        <f>D38*E38</f>
        <v>0</v>
      </c>
      <c r="G38" s="350"/>
      <c r="H38" s="906"/>
    </row>
    <row r="39" spans="1:9" ht="60" customHeight="1" thickBot="1" x14ac:dyDescent="0.25">
      <c r="A39" s="197" t="str">
        <f>T!A125</f>
        <v>T26</v>
      </c>
      <c r="B39" s="192" t="str">
        <f>T!B125</f>
        <v>Blind Channel Presence &amp; Complexity</v>
      </c>
      <c r="C39" s="414" t="str">
        <f>T!C125</f>
        <v>The AA contains one or more branching internal (blind) channels.  These are channels that do not connect to streams originating in the uplands, except where those streams themselves are tidal.  Do not count channels that merely loop around and rejoin their source channel.  If blind channels present, enter 1.  If not, enter 0 and SKIP to T28.</v>
      </c>
      <c r="D39" s="336"/>
      <c r="E39" s="342"/>
      <c r="F39" s="343"/>
      <c r="G39" s="353">
        <f>T!D125</f>
        <v>1</v>
      </c>
      <c r="H39" s="200" t="s">
        <v>404</v>
      </c>
      <c r="I39" s="25" t="s">
        <v>595</v>
      </c>
    </row>
    <row r="40" spans="1:9" ht="30" customHeight="1" thickBot="1" x14ac:dyDescent="0.25">
      <c r="A40" s="909" t="str">
        <f>T!A126</f>
        <v>T27</v>
      </c>
      <c r="B40" s="908" t="str">
        <f>T!B126</f>
        <v>Internal Channel Network Complexity</v>
      </c>
      <c r="C40" s="317" t="str">
        <f>T!C126</f>
        <v>The largest number of visible channel junctions (forks where two channels join) belonging to any single blind channel network within the AA's wetland is:</v>
      </c>
      <c r="D40" s="338"/>
      <c r="E40" s="339"/>
      <c r="F40" s="340"/>
      <c r="G40" s="163">
        <f>IF((BlindChan4=0),"",MAX(F41:F44)/MAX(E41:E44))</f>
        <v>0.33333333333333331</v>
      </c>
      <c r="H40" s="905" t="s">
        <v>970</v>
      </c>
      <c r="I40" s="25" t="s">
        <v>596</v>
      </c>
    </row>
    <row r="41" spans="1:9" ht="15" customHeight="1" x14ac:dyDescent="0.2">
      <c r="A41" s="910"/>
      <c r="B41" s="907"/>
      <c r="C41" s="314" t="str">
        <f>T!C127</f>
        <v>&lt;3</v>
      </c>
      <c r="D41" s="132">
        <f>T!D127</f>
        <v>0</v>
      </c>
      <c r="E41" s="333">
        <v>0</v>
      </c>
      <c r="F41" s="333">
        <f>D41*E41</f>
        <v>0</v>
      </c>
      <c r="G41" s="351"/>
      <c r="H41" s="897"/>
    </row>
    <row r="42" spans="1:9" ht="15" customHeight="1" x14ac:dyDescent="0.2">
      <c r="A42" s="910"/>
      <c r="B42" s="907"/>
      <c r="C42" s="315" t="str">
        <f>T!C128</f>
        <v>3-6</v>
      </c>
      <c r="D42" s="132">
        <f>T!D128</f>
        <v>1</v>
      </c>
      <c r="E42" s="333">
        <v>1</v>
      </c>
      <c r="F42" s="333">
        <f>D42*E42</f>
        <v>1</v>
      </c>
      <c r="G42" s="352"/>
      <c r="H42" s="897"/>
    </row>
    <row r="43" spans="1:9" ht="15" customHeight="1" x14ac:dyDescent="0.2">
      <c r="A43" s="910"/>
      <c r="B43" s="907"/>
      <c r="C43" s="315" t="str">
        <f>T!C129</f>
        <v>7-14</v>
      </c>
      <c r="D43" s="132">
        <f>T!D129</f>
        <v>0</v>
      </c>
      <c r="E43" s="333">
        <v>2</v>
      </c>
      <c r="F43" s="333">
        <f>D43*E43</f>
        <v>0</v>
      </c>
      <c r="G43" s="352"/>
      <c r="H43" s="897"/>
    </row>
    <row r="44" spans="1:9" ht="15" customHeight="1" thickBot="1" x14ac:dyDescent="0.25">
      <c r="A44" s="768"/>
      <c r="B44" s="774"/>
      <c r="C44" s="415" t="str">
        <f>T!C130</f>
        <v>&gt;14</v>
      </c>
      <c r="D44" s="133">
        <f>T!D130</f>
        <v>0</v>
      </c>
      <c r="E44" s="341">
        <v>3</v>
      </c>
      <c r="F44" s="341">
        <f>D44*E44</f>
        <v>0</v>
      </c>
      <c r="G44" s="350"/>
      <c r="H44" s="906"/>
    </row>
    <row r="45" spans="1:9" ht="30" customHeight="1" thickBot="1" x14ac:dyDescent="0.25">
      <c r="A45" s="197" t="str">
        <f>T!A135</f>
        <v>T29</v>
      </c>
      <c r="B45" s="192" t="str">
        <f>T!B135</f>
        <v>Nearby Fresh Ponded</v>
      </c>
      <c r="C45" s="414" t="str">
        <f>T!C135</f>
        <v>A pond, lake, or non-tidal wetland larger than 1 acre and with &gt;30% open water in summer is within 1 mile of the AA.  If so, enter "1" and continue, otherwise END HERE.</v>
      </c>
      <c r="D45" s="205">
        <f>T!D135</f>
        <v>0</v>
      </c>
      <c r="E45" s="342"/>
      <c r="F45" s="426"/>
      <c r="G45" s="353">
        <f>IF((D53=1),"",D45)</f>
        <v>0</v>
      </c>
      <c r="H45" s="200" t="s">
        <v>906</v>
      </c>
      <c r="I45" s="25" t="s">
        <v>899</v>
      </c>
    </row>
    <row r="46" spans="1:9" ht="21" customHeight="1" thickBot="1" x14ac:dyDescent="0.25">
      <c r="A46" s="909" t="str">
        <f>T!A136</f>
        <v>T30</v>
      </c>
      <c r="B46" s="908" t="str">
        <f>T!B136</f>
        <v xml:space="preserve">Distance to Nontidal Pond </v>
      </c>
      <c r="C46" s="317" t="str">
        <f>T!C136</f>
        <v>The distance to the non-tidal ponded water identified above is:</v>
      </c>
      <c r="D46" s="338"/>
      <c r="E46" s="339"/>
      <c r="F46" s="340"/>
      <c r="G46" s="163" t="str">
        <f>IF((NearNontidal4=0),"",IF((D53=1),"",MAX(F47:F49)/MAX(E47:E49)))</f>
        <v/>
      </c>
      <c r="H46" s="905" t="s">
        <v>908</v>
      </c>
      <c r="I46" s="25" t="s">
        <v>598</v>
      </c>
    </row>
    <row r="47" spans="1:9" ht="15" customHeight="1" x14ac:dyDescent="0.2">
      <c r="A47" s="910"/>
      <c r="B47" s="907"/>
      <c r="C47" s="207" t="str">
        <f>T!C137</f>
        <v>&lt;300 ft</v>
      </c>
      <c r="D47" s="132">
        <f>T!D137</f>
        <v>0</v>
      </c>
      <c r="E47" s="333">
        <v>2</v>
      </c>
      <c r="F47" s="333">
        <f>D47*E47</f>
        <v>0</v>
      </c>
      <c r="G47" s="351"/>
      <c r="H47" s="897"/>
    </row>
    <row r="48" spans="1:9" ht="15" customHeight="1" x14ac:dyDescent="0.2">
      <c r="A48" s="910"/>
      <c r="B48" s="907"/>
      <c r="C48" s="311" t="str">
        <f>T!C138</f>
        <v>300-1000 ft</v>
      </c>
      <c r="D48" s="132">
        <f>T!D138</f>
        <v>0</v>
      </c>
      <c r="E48" s="333">
        <v>1</v>
      </c>
      <c r="F48" s="333">
        <f>D48*E48</f>
        <v>0</v>
      </c>
      <c r="G48" s="352"/>
      <c r="H48" s="897"/>
    </row>
    <row r="49" spans="1:9" ht="15" customHeight="1" thickBot="1" x14ac:dyDescent="0.25">
      <c r="A49" s="768"/>
      <c r="B49" s="774"/>
      <c r="C49" s="318" t="str">
        <f>T!C139</f>
        <v>1000 ft - 1 mile</v>
      </c>
      <c r="D49" s="133">
        <f>T!D139</f>
        <v>0</v>
      </c>
      <c r="E49" s="341">
        <v>0</v>
      </c>
      <c r="F49" s="341">
        <f>D49*E49</f>
        <v>0</v>
      </c>
      <c r="G49" s="350"/>
      <c r="H49" s="906"/>
    </row>
    <row r="50" spans="1:9" ht="21" customHeight="1" thickBot="1" x14ac:dyDescent="0.25">
      <c r="A50" s="890" t="str">
        <f>T!A145</f>
        <v>T32</v>
      </c>
      <c r="B50" s="907" t="str">
        <f>T!B145</f>
        <v>Water Connectivity to Non-tidal Pond</v>
      </c>
      <c r="C50" s="317" t="str">
        <f>T!C145</f>
        <v>The AA and the feature described in T29 above:</v>
      </c>
      <c r="D50" s="323"/>
      <c r="E50" s="331"/>
      <c r="F50" s="332"/>
      <c r="G50" s="320" t="str">
        <f>IF((NearNontidal4=0),"",MAX(F51:F53)/MAX(E51:E53))</f>
        <v/>
      </c>
      <c r="H50" s="897"/>
      <c r="I50" s="25" t="s">
        <v>599</v>
      </c>
    </row>
    <row r="51" spans="1:9" ht="15" customHeight="1" x14ac:dyDescent="0.2">
      <c r="A51" s="890"/>
      <c r="B51" s="907"/>
      <c r="C51" s="207" t="str">
        <f>T!C146</f>
        <v xml:space="preserve">are connected by a channel or ditch that flows into the AA for at least 9 months annually.  </v>
      </c>
      <c r="D51" s="132">
        <f>T!D146</f>
        <v>0</v>
      </c>
      <c r="E51" s="333">
        <v>2</v>
      </c>
      <c r="F51" s="333">
        <f>D51*E51</f>
        <v>0</v>
      </c>
      <c r="G51" s="351"/>
      <c r="H51" s="897"/>
    </row>
    <row r="52" spans="1:9" ht="15" customHeight="1" x14ac:dyDescent="0.2">
      <c r="A52" s="890"/>
      <c r="B52" s="907"/>
      <c r="C52" s="311" t="str">
        <f>T!C147</f>
        <v xml:space="preserve">are connected by a channel or ditch that flows into the AA less than 9 months annually.  </v>
      </c>
      <c r="D52" s="132">
        <f>T!D147</f>
        <v>0</v>
      </c>
      <c r="E52" s="333">
        <v>1</v>
      </c>
      <c r="F52" s="333">
        <f>D52*E52</f>
        <v>0</v>
      </c>
      <c r="G52" s="352"/>
      <c r="H52" s="897"/>
    </row>
    <row r="53" spans="1:9" ht="15" customHeight="1" thickBot="1" x14ac:dyDescent="0.25">
      <c r="A53" s="890"/>
      <c r="B53" s="907"/>
      <c r="C53" s="312" t="str">
        <f>T!C148</f>
        <v>are not connected by any visible channel or ditch.  END.</v>
      </c>
      <c r="D53" s="334">
        <f>T!D148</f>
        <v>0</v>
      </c>
      <c r="E53" s="335">
        <v>0</v>
      </c>
      <c r="F53" s="335">
        <f>D53*E53</f>
        <v>0</v>
      </c>
      <c r="G53" s="349"/>
      <c r="H53" s="897"/>
    </row>
    <row r="54" spans="1:9" ht="21" customHeight="1" thickBot="1" x14ac:dyDescent="0.25">
      <c r="A54" s="909" t="str">
        <f>T!A149</f>
        <v>T33</v>
      </c>
      <c r="B54" s="908" t="str">
        <f>T!B149</f>
        <v>Water Flow Restriction</v>
      </c>
      <c r="C54" s="317" t="str">
        <f>T!C149</f>
        <v>Water exchange (not nececessarily fish access) via the connection described above is:</v>
      </c>
      <c r="D54" s="338"/>
      <c r="E54" s="339"/>
      <c r="F54" s="340"/>
      <c r="G54" s="163" t="str">
        <f>IF((NearNontidal4=0),"",IF((D53=1),"",IF((D57=1),"",MAX(F55:F57))))</f>
        <v/>
      </c>
      <c r="H54" s="905"/>
      <c r="I54" s="25" t="s">
        <v>600</v>
      </c>
    </row>
    <row r="55" spans="1:9" ht="15" customHeight="1" x14ac:dyDescent="0.2">
      <c r="A55" s="910"/>
      <c r="B55" s="907"/>
      <c r="C55" s="207" t="str">
        <f>T!C150</f>
        <v>unrestricted by an artificial feature such as a berm, culvert, or tidegate</v>
      </c>
      <c r="D55" s="132">
        <f>T!D150</f>
        <v>0</v>
      </c>
      <c r="E55" s="333">
        <v>1</v>
      </c>
      <c r="F55" s="333">
        <f>D55*E55</f>
        <v>0</v>
      </c>
      <c r="G55" s="351"/>
      <c r="H55" s="897"/>
    </row>
    <row r="56" spans="1:9" ht="15" customHeight="1" x14ac:dyDescent="0.2">
      <c r="A56" s="910"/>
      <c r="B56" s="907"/>
      <c r="C56" s="311" t="str">
        <f>T!C151</f>
        <v>restricted by an artificial feature, at least during extreme water events</v>
      </c>
      <c r="D56" s="132">
        <f>T!D151</f>
        <v>0</v>
      </c>
      <c r="E56" s="333">
        <v>0</v>
      </c>
      <c r="F56" s="333">
        <f>D56*E56</f>
        <v>0</v>
      </c>
      <c r="G56" s="423"/>
      <c r="H56" s="897"/>
    </row>
    <row r="57" spans="1:9" ht="15" customHeight="1" thickBot="1" x14ac:dyDescent="0.25">
      <c r="A57" s="768"/>
      <c r="B57" s="774"/>
      <c r="C57" s="318" t="str">
        <f>T!C152</f>
        <v>unknown if any artificial water restriction is present</v>
      </c>
      <c r="D57" s="133">
        <f>T!D152</f>
        <v>0</v>
      </c>
      <c r="E57" s="341"/>
      <c r="F57" s="341"/>
      <c r="G57" s="350"/>
      <c r="H57" s="906"/>
    </row>
    <row r="58" spans="1:9" ht="21" customHeight="1" thickBot="1" x14ac:dyDescent="0.25">
      <c r="A58" s="890" t="str">
        <f>OF!A4</f>
        <v>OF1</v>
      </c>
      <c r="B58" s="907" t="str">
        <f>OF!B4</f>
        <v>Geography</v>
      </c>
      <c r="C58" s="317" t="str">
        <f>OF!C4</f>
        <v>Enter 1 for ALL that are true.  The AA is located:</v>
      </c>
      <c r="D58" s="323"/>
      <c r="E58" s="323"/>
      <c r="F58" s="332"/>
      <c r="G58" s="320">
        <f>MAX(F59:F61)/MAX(E59:E61)</f>
        <v>0.5</v>
      </c>
      <c r="H58" s="897" t="s">
        <v>913</v>
      </c>
      <c r="I58" s="25" t="s">
        <v>612</v>
      </c>
    </row>
    <row r="59" spans="1:9" ht="15" customHeight="1" x14ac:dyDescent="0.2">
      <c r="A59" s="890"/>
      <c r="B59" s="907"/>
      <c r="C59" s="207" t="str">
        <f>OF!C5</f>
        <v>in the Stikine, Alsek, Taiya-Chilkat-Skagway, or Taku deltas or estuaries</v>
      </c>
      <c r="D59" s="131">
        <f>OF!D5</f>
        <v>0</v>
      </c>
      <c r="E59" s="326">
        <v>2</v>
      </c>
      <c r="F59" s="333">
        <f>D59*E59</f>
        <v>0</v>
      </c>
      <c r="G59" s="423"/>
      <c r="H59" s="897"/>
    </row>
    <row r="60" spans="1:9" ht="15" customHeight="1" x14ac:dyDescent="0.2">
      <c r="A60" s="890"/>
      <c r="B60" s="907"/>
      <c r="C60" s="311" t="str">
        <f>OF!C6</f>
        <v>in another mainland area or inner coast</v>
      </c>
      <c r="D60" s="131">
        <f>OF!D6</f>
        <v>1</v>
      </c>
      <c r="E60" s="326">
        <v>1</v>
      </c>
      <c r="F60" s="333">
        <f>D60*E60</f>
        <v>1</v>
      </c>
      <c r="G60" s="349"/>
      <c r="H60" s="897"/>
    </row>
    <row r="61" spans="1:9" ht="15" customHeight="1" thickBot="1" x14ac:dyDescent="0.25">
      <c r="A61" s="890"/>
      <c r="B61" s="907"/>
      <c r="C61" s="312" t="str">
        <f>OF!C7</f>
        <v>on or close to the outer coast</v>
      </c>
      <c r="D61" s="325">
        <f>OF!D7</f>
        <v>0</v>
      </c>
      <c r="E61" s="425">
        <v>0</v>
      </c>
      <c r="F61" s="335">
        <f>D61*E61</f>
        <v>0</v>
      </c>
      <c r="G61" s="349"/>
      <c r="H61" s="897"/>
    </row>
    <row r="62" spans="1:9" ht="21" customHeight="1" thickBot="1" x14ac:dyDescent="0.25">
      <c r="A62" s="909" t="str">
        <f>OF!A8</f>
        <v>OF2</v>
      </c>
      <c r="B62" s="908" t="str">
        <f>OF!B8</f>
        <v>Geomorphic Setting</v>
      </c>
      <c r="C62" s="317" t="str">
        <f>OF!C8</f>
        <v>As viewed at a coarse (e.g., 1:24000) scale, the AA is (select one):</v>
      </c>
      <c r="D62" s="338"/>
      <c r="E62" s="338"/>
      <c r="F62" s="340"/>
      <c r="G62" s="163">
        <f>IF((D67=1),"",MAX(F63:F66)/MAX(E63:E66))</f>
        <v>1</v>
      </c>
      <c r="H62" s="905" t="s">
        <v>912</v>
      </c>
      <c r="I62" s="25" t="s">
        <v>638</v>
      </c>
    </row>
    <row r="63" spans="1:9" ht="27" customHeight="1" x14ac:dyDescent="0.2">
      <c r="A63" s="910"/>
      <c r="B63" s="907"/>
      <c r="C63" s="207" t="str">
        <f>OF!C9</f>
        <v>Adjoined by a major* river, and is closer to the upriver head-of-tide than to marine bays or ocean; if known, the water salinity is &lt;5 ppt at low tide nearly all the year.</v>
      </c>
      <c r="D63" s="131">
        <f>OF!D9</f>
        <v>0</v>
      </c>
      <c r="E63" s="326">
        <v>2</v>
      </c>
      <c r="F63" s="333">
        <f>D63*E63</f>
        <v>0</v>
      </c>
      <c r="G63" s="423"/>
      <c r="H63" s="897"/>
    </row>
    <row r="64" spans="1:9" ht="27" customHeight="1" x14ac:dyDescent="0.2">
      <c r="A64" s="910"/>
      <c r="B64" s="907"/>
      <c r="C64" s="311" t="str">
        <f>OF!C10</f>
        <v>Adjoined by a major* river, and is closer to marine bays or ocean than to upriver head-of-tide; may be in a river delta; if known, the water salinity is &gt;5 ppt at low tide nearly all the year.</v>
      </c>
      <c r="D64" s="131">
        <f>OF!D10</f>
        <v>1</v>
      </c>
      <c r="E64" s="326">
        <v>2</v>
      </c>
      <c r="F64" s="333">
        <f>D64*E64</f>
        <v>2</v>
      </c>
      <c r="G64" s="349"/>
      <c r="H64" s="897"/>
    </row>
    <row r="65" spans="1:9" ht="40.5" customHeight="1" x14ac:dyDescent="0.2">
      <c r="A65" s="910"/>
      <c r="B65" s="907"/>
      <c r="C65" s="311" t="str">
        <f>OF!C11</f>
        <v xml:space="preserve">In a sheltered fish-accessible lagoon, embayment, pocket beach, or tidal slough with a relatively narrow connection to other marine waters and no direct river inputs (a small tributary may be present). </v>
      </c>
      <c r="D65" s="131">
        <f>OF!D11</f>
        <v>0</v>
      </c>
      <c r="E65" s="326">
        <v>1</v>
      </c>
      <c r="F65" s="333">
        <f>D65*E65</f>
        <v>0</v>
      </c>
      <c r="G65" s="349"/>
      <c r="H65" s="897"/>
    </row>
    <row r="66" spans="1:9" ht="15" customHeight="1" x14ac:dyDescent="0.2">
      <c r="A66" s="910"/>
      <c r="B66" s="907"/>
      <c r="C66" s="311" t="str">
        <f>OF!C12</f>
        <v>On a marine fjord, canal, or strait with no major river adjoining the AA itself.</v>
      </c>
      <c r="D66" s="131">
        <f>OF!D12</f>
        <v>0</v>
      </c>
      <c r="E66" s="326">
        <v>0</v>
      </c>
      <c r="F66" s="333">
        <f>D66*E66</f>
        <v>0</v>
      </c>
      <c r="G66" s="349"/>
      <c r="H66" s="897"/>
    </row>
    <row r="67" spans="1:9" ht="15" customHeight="1" thickBot="1" x14ac:dyDescent="0.25">
      <c r="A67" s="768"/>
      <c r="B67" s="774"/>
      <c r="C67" s="318" t="str">
        <f>OF!C13</f>
        <v>Other setting</v>
      </c>
      <c r="D67" s="328">
        <f>OF!D13</f>
        <v>0</v>
      </c>
      <c r="E67" s="329"/>
      <c r="F67" s="341"/>
      <c r="G67" s="350"/>
      <c r="H67" s="906"/>
    </row>
    <row r="68" spans="1:9" ht="30" customHeight="1" thickBot="1" x14ac:dyDescent="0.25">
      <c r="A68" s="890" t="str">
        <f>OF!A61</f>
        <v>OF12</v>
      </c>
      <c r="B68" s="907" t="str">
        <f>OF!B61</f>
        <v>ShoreZone Habitat Diversity</v>
      </c>
      <c r="C68" s="317" t="str">
        <f>OF!C61</f>
        <v xml:space="preserve">The number of "Coastal Classes" (colors) mapped within 1 water mile of the AA, including the AA itself, is (see directions in column E): </v>
      </c>
      <c r="D68" s="342"/>
      <c r="E68" s="331"/>
      <c r="F68" s="332"/>
      <c r="G68" s="320">
        <f>MAX(F69:F71)/MAX(E69:E71)</f>
        <v>0</v>
      </c>
      <c r="H68" s="897" t="s">
        <v>991</v>
      </c>
      <c r="I68" s="25" t="s">
        <v>603</v>
      </c>
    </row>
    <row r="69" spans="1:9" ht="15" customHeight="1" x14ac:dyDescent="0.2">
      <c r="A69" s="890"/>
      <c r="B69" s="907"/>
      <c r="C69" s="207" t="str">
        <f>OF!C62</f>
        <v>1 or 2</v>
      </c>
      <c r="D69" s="131">
        <f>OF!D62</f>
        <v>1</v>
      </c>
      <c r="E69" s="326">
        <v>0</v>
      </c>
      <c r="F69" s="333">
        <f>D69*E69</f>
        <v>0</v>
      </c>
      <c r="G69" s="351"/>
      <c r="H69" s="897"/>
    </row>
    <row r="70" spans="1:9" ht="15" customHeight="1" x14ac:dyDescent="0.2">
      <c r="A70" s="890"/>
      <c r="B70" s="907"/>
      <c r="C70" s="311" t="str">
        <f>OF!C66</f>
        <v>&gt;11</v>
      </c>
      <c r="D70" s="131">
        <f>OF!D66</f>
        <v>0</v>
      </c>
      <c r="E70" s="326">
        <v>1</v>
      </c>
      <c r="F70" s="333">
        <f>D70*E70</f>
        <v>0</v>
      </c>
      <c r="G70" s="352"/>
      <c r="H70" s="897"/>
    </row>
    <row r="71" spans="1:9" ht="15" customHeight="1" thickBot="1" x14ac:dyDescent="0.25">
      <c r="A71" s="890"/>
      <c r="B71" s="907"/>
      <c r="C71" s="312" t="str">
        <f>OF!C67</f>
        <v>not mapped</v>
      </c>
      <c r="D71" s="325">
        <f>OF!D67</f>
        <v>0</v>
      </c>
      <c r="E71" s="425">
        <v>3</v>
      </c>
      <c r="F71" s="335">
        <f>D71*E71</f>
        <v>0</v>
      </c>
      <c r="G71" s="349"/>
      <c r="H71" s="897"/>
    </row>
    <row r="72" spans="1:9" ht="30" customHeight="1" thickBot="1" x14ac:dyDescent="0.25">
      <c r="A72" s="909" t="str">
        <f>OF!A75</f>
        <v>OF14</v>
      </c>
      <c r="B72" s="908" t="str">
        <f>OF!B75</f>
        <v>Distance to Separate Tidal Marsh</v>
      </c>
      <c r="C72" s="317" t="str">
        <f>OF!C75</f>
        <v>The distance by water to the closest tidal marsh that is distinct from the AA (&gt;150 ft away and separated by subtidal water, permanent channel, or upland) is:</v>
      </c>
      <c r="D72" s="338"/>
      <c r="E72" s="339"/>
      <c r="F72" s="340"/>
      <c r="G72" s="163">
        <f>MAX(F73:F76)/MAX(E73:E76)</f>
        <v>1</v>
      </c>
      <c r="H72" s="905" t="s">
        <v>405</v>
      </c>
      <c r="I72" s="25" t="s">
        <v>604</v>
      </c>
    </row>
    <row r="73" spans="1:9" ht="15" customHeight="1" x14ac:dyDescent="0.2">
      <c r="A73" s="910"/>
      <c r="B73" s="907"/>
      <c r="C73" s="207" t="str">
        <f>OF!C76</f>
        <v>150-1000 ft</v>
      </c>
      <c r="D73" s="131">
        <f>OF!D76</f>
        <v>1</v>
      </c>
      <c r="E73" s="333">
        <v>3</v>
      </c>
      <c r="F73" s="333">
        <f>D73*E73</f>
        <v>3</v>
      </c>
      <c r="G73" s="351"/>
      <c r="H73" s="897"/>
    </row>
    <row r="74" spans="1:9" ht="15" customHeight="1" x14ac:dyDescent="0.2">
      <c r="A74" s="910"/>
      <c r="B74" s="907"/>
      <c r="C74" s="311" t="str">
        <f>OF!C77</f>
        <v>1000 ft - 1 mile</v>
      </c>
      <c r="D74" s="131">
        <f>OF!D77</f>
        <v>0</v>
      </c>
      <c r="E74" s="333">
        <v>2</v>
      </c>
      <c r="F74" s="333">
        <f>D74*E74</f>
        <v>0</v>
      </c>
      <c r="G74" s="352"/>
      <c r="H74" s="897"/>
    </row>
    <row r="75" spans="1:9" ht="15" customHeight="1" x14ac:dyDescent="0.2">
      <c r="A75" s="910"/>
      <c r="B75" s="907"/>
      <c r="C75" s="311" t="str">
        <f>OF!C78</f>
        <v>1-5 miles</v>
      </c>
      <c r="D75" s="131">
        <f>OF!D78</f>
        <v>0</v>
      </c>
      <c r="E75" s="333">
        <v>1</v>
      </c>
      <c r="F75" s="333">
        <f>D75*E75</f>
        <v>0</v>
      </c>
      <c r="G75" s="352"/>
      <c r="H75" s="897"/>
    </row>
    <row r="76" spans="1:9" ht="15" customHeight="1" thickBot="1" x14ac:dyDescent="0.25">
      <c r="A76" s="768"/>
      <c r="B76" s="774"/>
      <c r="C76" s="318" t="str">
        <f>OF!C79</f>
        <v>&gt;5 miles</v>
      </c>
      <c r="D76" s="328">
        <f>OF!D79</f>
        <v>0</v>
      </c>
      <c r="E76" s="341">
        <v>0</v>
      </c>
      <c r="F76" s="341">
        <f>D76*E76</f>
        <v>0</v>
      </c>
      <c r="G76" s="350"/>
      <c r="H76" s="906"/>
    </row>
    <row r="77" spans="1:9" ht="21" customHeight="1" thickBot="1" x14ac:dyDescent="0.25">
      <c r="A77" s="890" t="str">
        <f>OF!A80</f>
        <v>OF15</v>
      </c>
      <c r="B77" s="907" t="str">
        <f>OF!B80</f>
        <v>Distance to Eelgrass or Kelp</v>
      </c>
      <c r="C77" s="317" t="str">
        <f>OF!C80</f>
        <v>The distance by water to the closest patch of eelgrass or kelp is [see directions in column E]:</v>
      </c>
      <c r="D77" s="323"/>
      <c r="E77" s="331"/>
      <c r="F77" s="332"/>
      <c r="G77" s="320">
        <f>IF((D80=1),"",MAX(F78:F79)/MAX(E78:E79))</f>
        <v>1</v>
      </c>
      <c r="H77" s="897" t="s">
        <v>413</v>
      </c>
      <c r="I77" s="25" t="s">
        <v>605</v>
      </c>
    </row>
    <row r="78" spans="1:9" ht="15" customHeight="1" x14ac:dyDescent="0.2">
      <c r="A78" s="890"/>
      <c r="B78" s="907"/>
      <c r="C78" s="207" t="str">
        <f>OF!C81</f>
        <v>&lt;150 ft, or present within the AA</v>
      </c>
      <c r="D78" s="131">
        <f>OF!D81</f>
        <v>1</v>
      </c>
      <c r="E78" s="333">
        <v>2</v>
      </c>
      <c r="F78" s="333">
        <f>D78*E78</f>
        <v>2</v>
      </c>
      <c r="G78" s="351"/>
      <c r="H78" s="897"/>
    </row>
    <row r="79" spans="1:9" ht="15" customHeight="1" x14ac:dyDescent="0.2">
      <c r="A79" s="890"/>
      <c r="B79" s="907"/>
      <c r="C79" s="311" t="str">
        <f>OF!C82</f>
        <v>150-1000 ft</v>
      </c>
      <c r="D79" s="131">
        <f>OF!D82</f>
        <v>0</v>
      </c>
      <c r="E79" s="333">
        <v>1</v>
      </c>
      <c r="F79" s="333">
        <f>D79*E79</f>
        <v>0</v>
      </c>
      <c r="G79" s="352"/>
      <c r="H79" s="897"/>
    </row>
    <row r="80" spans="1:9" ht="15" customHeight="1" thickBot="1" x14ac:dyDescent="0.25">
      <c r="A80" s="890"/>
      <c r="B80" s="907"/>
      <c r="C80" s="312" t="str">
        <f>OF!C83</f>
        <v>&gt;1000 ft</v>
      </c>
      <c r="D80" s="325">
        <f>OF!D83</f>
        <v>0</v>
      </c>
      <c r="E80" s="335">
        <v>0</v>
      </c>
      <c r="F80" s="335">
        <f>D80*E80</f>
        <v>0</v>
      </c>
      <c r="G80" s="349"/>
      <c r="H80" s="897"/>
    </row>
    <row r="81" spans="1:10" ht="59.25" customHeight="1" thickBot="1" x14ac:dyDescent="0.25">
      <c r="A81" s="99" t="str">
        <f>OF!A90</f>
        <v>OF17</v>
      </c>
      <c r="B81" s="70" t="str">
        <f>OF!B90</f>
        <v>Input Tributary</v>
      </c>
      <c r="C81" s="313" t="str">
        <f>OF!C90</f>
        <v xml:space="preserve">The AA is intersected by a freshwater stream (tributary) that flows during most of the growing season and originates in the upland directly adjoining this wetland. Or the AA is a fringe wetland along a river.  If yes, enter 1 and continue.  If no, enter 0 and SKIP to OF19.  </v>
      </c>
      <c r="D81" s="336"/>
      <c r="E81" s="337"/>
      <c r="F81" s="336"/>
      <c r="G81" s="163">
        <f>OF!D90</f>
        <v>1</v>
      </c>
      <c r="H81" s="6" t="s">
        <v>893</v>
      </c>
      <c r="I81" s="25" t="s">
        <v>609</v>
      </c>
    </row>
    <row r="82" spans="1:10" ht="21" customHeight="1" thickBot="1" x14ac:dyDescent="0.25">
      <c r="A82" s="890" t="str">
        <f>OF!A91</f>
        <v>OF18</v>
      </c>
      <c r="B82" s="907" t="str">
        <f>OF!B91</f>
        <v>Fish Access or Use</v>
      </c>
      <c r="C82" s="317" t="str">
        <f>OF!C91</f>
        <v>The stream identified above: (select ONE -- mark only the first applicable choice)</v>
      </c>
      <c r="D82" s="323"/>
      <c r="E82" s="323"/>
      <c r="F82" s="332"/>
      <c r="G82" s="320">
        <f>IF((G81=0),"",MAX(F83:F86)/MAX(E83:E86))</f>
        <v>1</v>
      </c>
      <c r="H82" s="897" t="s">
        <v>980</v>
      </c>
      <c r="I82" s="25" t="s">
        <v>435</v>
      </c>
    </row>
    <row r="83" spans="1:10" ht="25.5" customHeight="1" x14ac:dyDescent="0.2">
      <c r="A83" s="890"/>
      <c r="B83" s="907"/>
      <c r="C83" s="207" t="str">
        <f>OF!C92</f>
        <v>a) is accessible to anadromous fish at 1 mile above tidewater (some Class I streams). SKIP to OF20.</v>
      </c>
      <c r="D83" s="131">
        <f>OF!D92</f>
        <v>1</v>
      </c>
      <c r="E83" s="326">
        <v>4</v>
      </c>
      <c r="F83" s="333">
        <f>D83*E83</f>
        <v>4</v>
      </c>
      <c r="G83" s="351"/>
      <c r="H83" s="897"/>
    </row>
    <row r="84" spans="1:10" ht="27" customHeight="1" x14ac:dyDescent="0.2">
      <c r="A84" s="890"/>
      <c r="B84" s="907"/>
      <c r="C84" s="311" t="str">
        <f>OF!C93</f>
        <v>b) is not accessible to anadromous fish 1 mile above tidewater, but closer portions above tidewater are accessible to anadromous fish (some Class I streams).  SKIP to OF20.</v>
      </c>
      <c r="D84" s="131">
        <f>OF!D93</f>
        <v>0</v>
      </c>
      <c r="E84" s="326">
        <v>3</v>
      </c>
      <c r="F84" s="333">
        <f>D84*E84</f>
        <v>0</v>
      </c>
      <c r="G84" s="352"/>
      <c r="H84" s="897"/>
    </row>
    <row r="85" spans="1:10" ht="27" customHeight="1" x14ac:dyDescent="0.2">
      <c r="A85" s="890"/>
      <c r="B85" s="907"/>
      <c r="C85" s="311" t="str">
        <f>OF!C94</f>
        <v xml:space="preserve">c) stream areas above tidewater support resident fish only; anadromous fish access is blocked at tidewater (Class 2 streams).  </v>
      </c>
      <c r="D85" s="131">
        <f>OF!D94</f>
        <v>0</v>
      </c>
      <c r="E85" s="326">
        <v>1</v>
      </c>
      <c r="F85" s="333">
        <f>D85*E85</f>
        <v>0</v>
      </c>
      <c r="G85" s="352"/>
      <c r="H85" s="897"/>
    </row>
    <row r="86" spans="1:10" ht="15" customHeight="1" x14ac:dyDescent="0.2">
      <c r="A86" s="890"/>
      <c r="B86" s="907"/>
      <c r="C86" s="311" t="str">
        <f>OF!C95</f>
        <v>d) stream areas above tidewater are not accessible to any fish (Class 3 and 4 streams).</v>
      </c>
      <c r="D86" s="131">
        <f>OF!D95</f>
        <v>0</v>
      </c>
      <c r="E86" s="326">
        <v>0</v>
      </c>
      <c r="F86" s="333">
        <f>D86*E86</f>
        <v>0</v>
      </c>
      <c r="G86" s="352"/>
      <c r="H86" s="897"/>
    </row>
    <row r="87" spans="1:10" ht="15" customHeight="1" thickBot="1" x14ac:dyDescent="0.25">
      <c r="A87" s="890"/>
      <c r="B87" s="907"/>
      <c r="C87" s="312" t="str">
        <f>OF!C96</f>
        <v>e) unknown and undeterminable</v>
      </c>
      <c r="D87" s="325">
        <f>OF!D96</f>
        <v>0</v>
      </c>
      <c r="E87" s="425"/>
      <c r="F87" s="335"/>
      <c r="G87" s="349"/>
      <c r="H87" s="897"/>
      <c r="J87" s="105"/>
    </row>
    <row r="88" spans="1:10" ht="30" customHeight="1" thickBot="1" x14ac:dyDescent="0.25">
      <c r="A88" s="909" t="str">
        <f>OF!A97</f>
        <v>OF19</v>
      </c>
      <c r="B88" s="908" t="str">
        <f>OF!B97</f>
        <v>Distance to Anadromous Stream or River</v>
      </c>
      <c r="C88" s="317" t="str">
        <f>OF!C97</f>
        <v>If AA is not intersected by an anadromous (Class 1) stream or river, the water distance from the AA to the tidewater outlet of the nearest such stream or river that supports anadromous fish is:</v>
      </c>
      <c r="D88" s="338"/>
      <c r="E88" s="339"/>
      <c r="F88" s="340"/>
      <c r="G88" s="163">
        <f>MAX(F89:F93)/MAX(E89:E93)</f>
        <v>0</v>
      </c>
      <c r="H88" s="905" t="s">
        <v>982</v>
      </c>
      <c r="I88" s="25" t="s">
        <v>607</v>
      </c>
    </row>
    <row r="89" spans="1:10" ht="15" customHeight="1" x14ac:dyDescent="0.2">
      <c r="A89" s="910"/>
      <c r="B89" s="907"/>
      <c r="C89" s="207" t="str">
        <f>OF!C98</f>
        <v xml:space="preserve">&lt;150 ft </v>
      </c>
      <c r="D89" s="131">
        <f>OF!D98</f>
        <v>0</v>
      </c>
      <c r="E89" s="333">
        <v>4</v>
      </c>
      <c r="F89" s="333">
        <f>D89*E89</f>
        <v>0</v>
      </c>
      <c r="G89" s="351"/>
      <c r="H89" s="897"/>
    </row>
    <row r="90" spans="1:10" ht="15" customHeight="1" x14ac:dyDescent="0.2">
      <c r="A90" s="910"/>
      <c r="B90" s="907"/>
      <c r="C90" s="311" t="str">
        <f>OF!C99</f>
        <v>150-1000 ft</v>
      </c>
      <c r="D90" s="131">
        <f>OF!D99</f>
        <v>0</v>
      </c>
      <c r="E90" s="333">
        <v>3</v>
      </c>
      <c r="F90" s="333">
        <f>D90*E90</f>
        <v>0</v>
      </c>
      <c r="G90" s="352"/>
      <c r="H90" s="897"/>
    </row>
    <row r="91" spans="1:10" ht="15" customHeight="1" x14ac:dyDescent="0.2">
      <c r="A91" s="910"/>
      <c r="B91" s="907"/>
      <c r="C91" s="311" t="str">
        <f>OF!C100</f>
        <v>1000 ft - 1 mile</v>
      </c>
      <c r="D91" s="131">
        <f>OF!D100</f>
        <v>0</v>
      </c>
      <c r="E91" s="333">
        <v>2</v>
      </c>
      <c r="F91" s="333">
        <f>D91*E91</f>
        <v>0</v>
      </c>
      <c r="G91" s="352"/>
      <c r="H91" s="897"/>
    </row>
    <row r="92" spans="1:10" ht="15" customHeight="1" x14ac:dyDescent="0.2">
      <c r="A92" s="910"/>
      <c r="B92" s="907"/>
      <c r="C92" s="311" t="str">
        <f>OF!C101</f>
        <v>1-5 miles</v>
      </c>
      <c r="D92" s="131">
        <f>OF!D101</f>
        <v>0</v>
      </c>
      <c r="E92" s="333">
        <v>1</v>
      </c>
      <c r="F92" s="333">
        <f>D92*E92</f>
        <v>0</v>
      </c>
      <c r="G92" s="352"/>
      <c r="H92" s="897"/>
    </row>
    <row r="93" spans="1:10" ht="15" customHeight="1" thickBot="1" x14ac:dyDescent="0.25">
      <c r="A93" s="768"/>
      <c r="B93" s="774"/>
      <c r="C93" s="318" t="str">
        <f>OF!C102</f>
        <v>&gt;5 miles</v>
      </c>
      <c r="D93" s="328">
        <f>OF!D102</f>
        <v>0</v>
      </c>
      <c r="E93" s="341">
        <v>0</v>
      </c>
      <c r="F93" s="341">
        <f>D93*E93</f>
        <v>0</v>
      </c>
      <c r="G93" s="350"/>
      <c r="H93" s="906"/>
    </row>
    <row r="94" spans="1:10" ht="75" customHeight="1" thickBot="1" x14ac:dyDescent="0.25">
      <c r="A94" s="890" t="str">
        <f>OF!A118</f>
        <v>OF24</v>
      </c>
      <c r="B94" s="907" t="str">
        <f>OF!B118</f>
        <v>Documented Toxicity</v>
      </c>
      <c r="C94" s="317" t="str">
        <f>OF!C118</f>
        <v>In the online WESPAK-SE Wetlands Module, see Impaired Waters (DEC) and Contaminated Sites (Active).  Do those maps show a problem within the AA or in waters flowing into it, and the problem is that metals, hydrocarbons, or other substances in the sediment, water, or tissues are at levels known to be harmful to aquatic life or humans?  Or, other sampling has identified such a problem? Select the first true statement. These conditions are present:</v>
      </c>
      <c r="D94" s="323"/>
      <c r="E94" s="331"/>
      <c r="F94" s="332"/>
      <c r="G94" s="320" t="str">
        <f>IF((D98=1),"", IF((F97=1),1, IF((F96=1), 0.2,0)))</f>
        <v/>
      </c>
      <c r="H94" s="897" t="s">
        <v>981</v>
      </c>
      <c r="I94" s="25" t="s">
        <v>608</v>
      </c>
    </row>
    <row r="95" spans="1:10" ht="15" customHeight="1" x14ac:dyDescent="0.2">
      <c r="A95" s="890"/>
      <c r="B95" s="907"/>
      <c r="C95" s="207" t="str">
        <f>OF!C119</f>
        <v>within the AA</v>
      </c>
      <c r="D95" s="131">
        <f>OF!D119</f>
        <v>0</v>
      </c>
      <c r="E95" s="333"/>
      <c r="F95" s="333"/>
      <c r="G95" s="351"/>
      <c r="H95" s="897"/>
    </row>
    <row r="96" spans="1:10" ht="15" customHeight="1" x14ac:dyDescent="0.2">
      <c r="A96" s="890"/>
      <c r="B96" s="907"/>
      <c r="C96" s="311" t="str">
        <f>OF!C120</f>
        <v>in waters within 1 mile that flow into the AA.</v>
      </c>
      <c r="D96" s="131">
        <f>OF!D120</f>
        <v>0</v>
      </c>
      <c r="E96" s="333"/>
      <c r="F96" s="333"/>
      <c r="G96" s="352"/>
      <c r="H96" s="897"/>
    </row>
    <row r="97" spans="1:10" ht="15" customHeight="1" x14ac:dyDescent="0.2">
      <c r="A97" s="890"/>
      <c r="B97" s="907"/>
      <c r="C97" s="311" t="str">
        <f>OF!C121</f>
        <v>Sampling (not just absence of map symbols) indicates no problems.</v>
      </c>
      <c r="D97" s="131">
        <f>OF!D121</f>
        <v>0</v>
      </c>
      <c r="E97" s="333"/>
      <c r="F97" s="333"/>
      <c r="G97" s="352"/>
      <c r="H97" s="897"/>
    </row>
    <row r="98" spans="1:10" ht="15" customHeight="1" thickBot="1" x14ac:dyDescent="0.25">
      <c r="A98" s="890"/>
      <c r="B98" s="907"/>
      <c r="C98" s="312" t="str">
        <f>OF!C122</f>
        <v>insufficient data (no map symbols &amp; no sampling, or &gt;1 mile upstream).</v>
      </c>
      <c r="D98" s="325">
        <f>OF!D122</f>
        <v>1</v>
      </c>
      <c r="E98" s="335"/>
      <c r="F98" s="335"/>
      <c r="G98" s="349"/>
      <c r="H98" s="897"/>
    </row>
    <row r="99" spans="1:10" ht="30" customHeight="1" thickBot="1" x14ac:dyDescent="0.25">
      <c r="A99" s="99" t="str">
        <f>OF!A151</f>
        <v>OF31</v>
      </c>
      <c r="B99" s="70" t="str">
        <f>OF!B151</f>
        <v>Large Estuarine Extent</v>
      </c>
      <c r="C99" s="313" t="str">
        <f>OF!C151</f>
        <v xml:space="preserve">In Manual, see Appendix B, Table B-1.  If the AA is not within any of the units listed, enter 0.  Otherwise enter the score indicated (3, 2, or 1, see table heading). </v>
      </c>
      <c r="D99" s="336"/>
      <c r="E99" s="337"/>
      <c r="F99" s="336"/>
      <c r="G99" s="163">
        <f>OF!D151/3</f>
        <v>0</v>
      </c>
      <c r="H99" s="6" t="s">
        <v>983</v>
      </c>
      <c r="I99" s="25" t="s">
        <v>606</v>
      </c>
    </row>
    <row r="100" spans="1:10" ht="30.6" customHeight="1" thickBot="1" x14ac:dyDescent="0.25">
      <c r="A100" s="27" t="str">
        <f>OF!A152</f>
        <v>OF33</v>
      </c>
      <c r="B100" s="204" t="str">
        <f>OF!B152</f>
        <v>Salmonid Watershed</v>
      </c>
      <c r="C100" s="416" t="str">
        <f>OF!C152</f>
        <v xml:space="preserve">Refer to map in the Manual (Appendix A, Fig. A-1).  Suitability surrounding the AA is: 3=Very High, 2= High, 1= Moderate, 0= all other. </v>
      </c>
      <c r="D100" s="427"/>
      <c r="E100" s="323"/>
      <c r="F100" s="331"/>
      <c r="G100" s="320">
        <f>OF!D152/3</f>
        <v>1</v>
      </c>
      <c r="H100" s="194" t="s">
        <v>406</v>
      </c>
      <c r="I100" s="25" t="s">
        <v>434</v>
      </c>
    </row>
    <row r="101" spans="1:10" s="410" customFormat="1" ht="30" customHeight="1" thickBot="1" x14ac:dyDescent="0.25">
      <c r="A101" s="188" t="s">
        <v>770</v>
      </c>
      <c r="B101" s="189" t="s">
        <v>3637</v>
      </c>
      <c r="C101" s="417" t="s">
        <v>32</v>
      </c>
      <c r="D101" s="67" t="s">
        <v>805</v>
      </c>
      <c r="E101" s="67" t="s">
        <v>1017</v>
      </c>
      <c r="F101" s="67" t="s">
        <v>1018</v>
      </c>
      <c r="G101" s="421" t="s">
        <v>355</v>
      </c>
      <c r="H101" s="189" t="s">
        <v>503</v>
      </c>
      <c r="J101" s="105"/>
    </row>
    <row r="102" spans="1:10" ht="31.5" customHeight="1" thickBot="1" x14ac:dyDescent="0.25">
      <c r="A102" s="981" t="str">
        <f>OF!A14</f>
        <v>OF3</v>
      </c>
      <c r="B102" s="984" t="str">
        <f>OF!B14</f>
        <v>Distance to Nearest Population Center</v>
      </c>
      <c r="C102" s="317" t="str">
        <f>OF!C14</f>
        <v>From the center of the AA, the distance to the nearest population center, via the nearest maintained road, is:</v>
      </c>
      <c r="D102" s="326"/>
      <c r="E102" s="333"/>
      <c r="F102" s="428"/>
      <c r="G102" s="401">
        <f>MAX(F103:F107)/MAX(E103:E107)</f>
        <v>0.6</v>
      </c>
      <c r="H102" s="905" t="s">
        <v>984</v>
      </c>
      <c r="I102" s="25" t="s">
        <v>615</v>
      </c>
    </row>
    <row r="103" spans="1:10" ht="15" customHeight="1" x14ac:dyDescent="0.2">
      <c r="A103" s="890"/>
      <c r="B103" s="907"/>
      <c r="C103" s="207" t="str">
        <f>OF!C15</f>
        <v>&lt;0.5 mile</v>
      </c>
      <c r="D103" s="131">
        <f>OF!D15</f>
        <v>0</v>
      </c>
      <c r="E103" s="333">
        <v>5</v>
      </c>
      <c r="F103" s="333">
        <f>D103*E103</f>
        <v>0</v>
      </c>
      <c r="G103" s="351"/>
      <c r="H103" s="897"/>
    </row>
    <row r="104" spans="1:10" ht="15" customHeight="1" x14ac:dyDescent="0.2">
      <c r="A104" s="890"/>
      <c r="B104" s="907"/>
      <c r="C104" s="311" t="str">
        <f>OF!C16</f>
        <v>0.5 - 2 miles</v>
      </c>
      <c r="D104" s="131">
        <f>OF!D16</f>
        <v>1</v>
      </c>
      <c r="E104" s="333">
        <v>3</v>
      </c>
      <c r="F104" s="333">
        <f>D104*E104</f>
        <v>3</v>
      </c>
      <c r="G104" s="352"/>
      <c r="H104" s="897"/>
    </row>
    <row r="105" spans="1:10" ht="15" customHeight="1" x14ac:dyDescent="0.2">
      <c r="A105" s="890"/>
      <c r="B105" s="907"/>
      <c r="C105" s="311" t="str">
        <f>OF!C17</f>
        <v>2-5 miles</v>
      </c>
      <c r="D105" s="131">
        <f>OF!D17</f>
        <v>0</v>
      </c>
      <c r="E105" s="333">
        <v>2</v>
      </c>
      <c r="F105" s="333">
        <f>D105*E105</f>
        <v>0</v>
      </c>
      <c r="G105" s="352"/>
      <c r="H105" s="897"/>
    </row>
    <row r="106" spans="1:10" ht="15" customHeight="1" x14ac:dyDescent="0.2">
      <c r="A106" s="890"/>
      <c r="B106" s="907"/>
      <c r="C106" s="311" t="str">
        <f>OF!C18</f>
        <v>5-10 miles</v>
      </c>
      <c r="D106" s="131">
        <f>OF!D18</f>
        <v>0</v>
      </c>
      <c r="E106" s="333">
        <v>1</v>
      </c>
      <c r="F106" s="333">
        <f>D106*E106</f>
        <v>0</v>
      </c>
      <c r="G106" s="352"/>
      <c r="H106" s="897"/>
    </row>
    <row r="107" spans="1:10" ht="15" customHeight="1" thickBot="1" x14ac:dyDescent="0.25">
      <c r="A107" s="890"/>
      <c r="B107" s="907"/>
      <c r="C107" s="312" t="str">
        <f>OF!C19</f>
        <v>&gt;10 miles</v>
      </c>
      <c r="D107" s="325">
        <f>OF!D19</f>
        <v>0</v>
      </c>
      <c r="E107" s="335">
        <v>0</v>
      </c>
      <c r="F107" s="335">
        <f>D107*E107</f>
        <v>0</v>
      </c>
      <c r="G107" s="349"/>
      <c r="H107" s="897"/>
    </row>
    <row r="108" spans="1:10" ht="30" customHeight="1" thickBot="1" x14ac:dyDescent="0.25">
      <c r="A108" s="891" t="str">
        <f>OF!A75</f>
        <v>OF14</v>
      </c>
      <c r="B108" s="966" t="str">
        <f>OF!B75</f>
        <v>Distance to Separate Tidal Marsh</v>
      </c>
      <c r="C108" s="418" t="str">
        <f>OF!C75</f>
        <v>The distance by water to the closest tidal marsh that is distinct from the AA (&gt;150 ft away and separated by subtidal water, permanent channel, or upland) is:</v>
      </c>
      <c r="D108" s="339"/>
      <c r="E108" s="339"/>
      <c r="F108" s="339"/>
      <c r="G108" s="401">
        <f>MAX(F109:F112)/MAX(E109:E112)</f>
        <v>0</v>
      </c>
      <c r="H108" s="908" t="s">
        <v>88</v>
      </c>
      <c r="I108" s="25" t="s">
        <v>89</v>
      </c>
    </row>
    <row r="109" spans="1:10" ht="15" customHeight="1" x14ac:dyDescent="0.2">
      <c r="A109" s="892"/>
      <c r="B109" s="967"/>
      <c r="C109" s="419" t="str">
        <f>OF!C76</f>
        <v>150-1000 ft</v>
      </c>
      <c r="D109" s="131">
        <f>OF!D112</f>
        <v>0</v>
      </c>
      <c r="E109" s="333">
        <v>0</v>
      </c>
      <c r="F109" s="333">
        <f>D109*E109</f>
        <v>0</v>
      </c>
      <c r="G109" s="352"/>
      <c r="H109" s="907"/>
    </row>
    <row r="110" spans="1:10" ht="15" customHeight="1" x14ac:dyDescent="0.2">
      <c r="A110" s="892"/>
      <c r="B110" s="967"/>
      <c r="C110" s="419" t="str">
        <f>OF!C77</f>
        <v>1000 ft - 1 mile</v>
      </c>
      <c r="D110" s="131">
        <f>OF!D113</f>
        <v>0</v>
      </c>
      <c r="E110" s="333">
        <v>1</v>
      </c>
      <c r="F110" s="333">
        <f>D110*E110</f>
        <v>0</v>
      </c>
      <c r="G110" s="352"/>
      <c r="H110" s="907"/>
    </row>
    <row r="111" spans="1:10" ht="15" customHeight="1" x14ac:dyDescent="0.2">
      <c r="A111" s="892"/>
      <c r="B111" s="967"/>
      <c r="C111" s="419" t="str">
        <f>OF!C78</f>
        <v>1-5 miles</v>
      </c>
      <c r="D111" s="131">
        <f>OF!D114</f>
        <v>0</v>
      </c>
      <c r="E111" s="333">
        <v>2</v>
      </c>
      <c r="F111" s="333">
        <f>D111*E111</f>
        <v>0</v>
      </c>
      <c r="G111" s="352"/>
      <c r="H111" s="907"/>
    </row>
    <row r="112" spans="1:10" ht="15" customHeight="1" thickBot="1" x14ac:dyDescent="0.25">
      <c r="A112" s="893"/>
      <c r="B112" s="968"/>
      <c r="C112" s="413" t="str">
        <f>OF!C79</f>
        <v>&gt;5 miles</v>
      </c>
      <c r="D112" s="328">
        <f>OF!D115</f>
        <v>0</v>
      </c>
      <c r="E112" s="341">
        <v>4</v>
      </c>
      <c r="F112" s="341">
        <f>D112*E112</f>
        <v>0</v>
      </c>
      <c r="G112" s="350"/>
      <c r="H112" s="774"/>
    </row>
    <row r="113" spans="1:14" ht="30" customHeight="1" thickBot="1" x14ac:dyDescent="0.25">
      <c r="A113" s="253" t="str">
        <f>OF!A108</f>
        <v>OF21</v>
      </c>
      <c r="B113" s="193" t="str">
        <f>OF!B108</f>
        <v>Bear Habitat Suitability</v>
      </c>
      <c r="C113" s="420" t="str">
        <f>OF!C108</f>
        <v xml:space="preserve">From the online Wetlands Module&gt; Habitat&gt; Bear Summer Habitat, the suitability surrounding the AA is: 3=Very High, 2= High, 1= Moderate, 0= all other.  </v>
      </c>
      <c r="D113" s="429"/>
      <c r="E113" s="429"/>
      <c r="F113" s="427"/>
      <c r="G113" s="399">
        <f>OF!D108/3</f>
        <v>0.66666666666666663</v>
      </c>
      <c r="H113" s="194" t="s">
        <v>986</v>
      </c>
      <c r="I113" s="25" t="s">
        <v>617</v>
      </c>
    </row>
    <row r="114" spans="1:14" ht="21" customHeight="1" thickBot="1" x14ac:dyDescent="0.25">
      <c r="A114" s="909" t="str">
        <f>OF!A153</f>
        <v>OF34</v>
      </c>
      <c r="B114" s="908" t="str">
        <f>OF!B153</f>
        <v>Subsistence Focal Area</v>
      </c>
      <c r="C114" s="317" t="str">
        <f>OF!C153</f>
        <v>The AA or waters that directly adjoin it:</v>
      </c>
      <c r="D114" s="338"/>
      <c r="E114" s="339"/>
      <c r="F114" s="340"/>
      <c r="G114" s="401">
        <f>MAX(F115:F117)/MAX(E115:E117)</f>
        <v>1</v>
      </c>
      <c r="H114" s="905" t="s">
        <v>985</v>
      </c>
      <c r="I114" s="25" t="s">
        <v>616</v>
      </c>
    </row>
    <row r="115" spans="1:14" ht="27.75" customHeight="1" x14ac:dyDescent="0.2">
      <c r="A115" s="910"/>
      <c r="B115" s="907"/>
      <c r="C115" s="207" t="str">
        <f>OF!C154</f>
        <v>is in Juneau or Ketchikan, and thus is a designated Non-subsistence Use Area (see WESPAK-SE Wetlands Module&gt; ADFG Nonsubsistence Use Areas for exact boundaries)</v>
      </c>
      <c r="D115" s="131">
        <f>OF!D154</f>
        <v>0</v>
      </c>
      <c r="E115" s="333">
        <v>0</v>
      </c>
      <c r="F115" s="333">
        <f>D115*E115</f>
        <v>0</v>
      </c>
      <c r="G115" s="351"/>
      <c r="H115" s="897"/>
    </row>
    <row r="116" spans="1:14" ht="30" customHeight="1" x14ac:dyDescent="0.2">
      <c r="A116" s="910"/>
      <c r="B116" s="907"/>
      <c r="C116" s="311" t="str">
        <f>OF!C155</f>
        <v>is accessible to salmon AND is a major salmon subsistence harvest area according to (a) Table B-6 of the manual, OR (b) Figures A2a-c of the manual (shown as a point on the maps)</v>
      </c>
      <c r="D116" s="131">
        <f>OF!D155</f>
        <v>0</v>
      </c>
      <c r="E116" s="333">
        <v>1</v>
      </c>
      <c r="F116" s="333">
        <f>D116*E116</f>
        <v>0</v>
      </c>
      <c r="G116" s="352"/>
      <c r="H116" s="897"/>
    </row>
    <row r="117" spans="1:14" ht="15" customHeight="1" thickBot="1" x14ac:dyDescent="0.25">
      <c r="A117" s="768"/>
      <c r="B117" s="774"/>
      <c r="C117" s="318" t="str">
        <f>OF!C156</f>
        <v>neither of the above</v>
      </c>
      <c r="D117" s="328">
        <f>OF!D156</f>
        <v>1</v>
      </c>
      <c r="E117" s="341">
        <v>2</v>
      </c>
      <c r="F117" s="341">
        <f>D117*E117</f>
        <v>2</v>
      </c>
      <c r="G117" s="350"/>
      <c r="H117" s="906"/>
    </row>
    <row r="118" spans="1:14" ht="21" customHeight="1" thickBot="1" x14ac:dyDescent="0.25">
      <c r="A118" s="980"/>
      <c r="B118" s="980"/>
      <c r="C118" s="980"/>
      <c r="D118" s="969"/>
      <c r="E118" s="969"/>
      <c r="F118" s="969"/>
      <c r="G118" s="969"/>
      <c r="H118" s="969"/>
    </row>
    <row r="119" spans="1:14" ht="21" customHeight="1" x14ac:dyDescent="0.2">
      <c r="A119" s="970"/>
      <c r="B119" s="970"/>
      <c r="C119" s="970"/>
      <c r="D119" s="978" t="s">
        <v>521</v>
      </c>
      <c r="E119" s="979"/>
      <c r="F119" s="979"/>
      <c r="G119" s="432">
        <f>IF((Fishblock=1),0, AVERAGE(LowMarshT4, FloodPct4))</f>
        <v>0.68181818181818188</v>
      </c>
      <c r="H119" s="91" t="s">
        <v>1115</v>
      </c>
    </row>
    <row r="120" spans="1:14" ht="21" customHeight="1" x14ac:dyDescent="0.2">
      <c r="A120" s="970"/>
      <c r="B120" s="970"/>
      <c r="C120" s="970"/>
      <c r="D120" s="974" t="s">
        <v>577</v>
      </c>
      <c r="E120" s="975"/>
      <c r="F120" s="975"/>
      <c r="G120" s="433">
        <f>AVERAGE(VwidthHigh4, Groundw4, Trib4, StreamDist4, ToxData4)</f>
        <v>0.5625</v>
      </c>
      <c r="H120" s="92" t="s">
        <v>894</v>
      </c>
    </row>
    <row r="121" spans="1:14" ht="21" customHeight="1" x14ac:dyDescent="0.2">
      <c r="A121" s="970"/>
      <c r="B121" s="970"/>
      <c r="C121" s="970"/>
      <c r="D121" s="974" t="s">
        <v>610</v>
      </c>
      <c r="E121" s="975"/>
      <c r="F121" s="975"/>
      <c r="G121" s="433">
        <f>AVERAGE(ShoreZdiv4,AqCov4,BlindChan4,ChanComplex4)</f>
        <v>0.33333333333333331</v>
      </c>
      <c r="H121" s="92" t="s">
        <v>1002</v>
      </c>
    </row>
    <row r="122" spans="1:14" ht="44.25" customHeight="1" thickBot="1" x14ac:dyDescent="0.25">
      <c r="A122" s="970"/>
      <c r="B122" s="970"/>
      <c r="C122" s="970"/>
      <c r="D122" s="972" t="s">
        <v>611</v>
      </c>
      <c r="E122" s="973"/>
      <c r="F122" s="973"/>
      <c r="G122" s="434">
        <f>AVERAGE(Geog4,RiverBay4,AVERAGE(DistTidalM4, TmarshShed4),SalmoShed4,DistEelg4,AVERAGE(AnadAccess,NearLakeWet4, PondDist4, PondConnec4, PondPassage4,BuffLCpct4, BuffLCtype4))</f>
        <v>0.72222222222222221</v>
      </c>
      <c r="H122" s="98" t="s">
        <v>1014</v>
      </c>
    </row>
    <row r="123" spans="1:14" ht="21" customHeight="1" thickBot="1" x14ac:dyDescent="0.25">
      <c r="A123" s="970"/>
      <c r="B123" s="970"/>
      <c r="C123" s="970"/>
      <c r="D123" s="969"/>
      <c r="E123" s="969"/>
      <c r="F123" s="969"/>
      <c r="G123" s="969"/>
      <c r="H123" s="969"/>
    </row>
    <row r="124" spans="1:14" ht="30" customHeight="1" thickBot="1" x14ac:dyDescent="0.25">
      <c r="A124" s="970"/>
      <c r="B124" s="971"/>
      <c r="C124" s="894" t="s">
        <v>613</v>
      </c>
      <c r="D124" s="895"/>
      <c r="E124" s="896"/>
      <c r="F124" s="404" t="s">
        <v>552</v>
      </c>
      <c r="G124" s="405">
        <f>IF((Fishblock=1),0,10*AVERAGE(Produc4,Struc4,Lscape4))</f>
        <v>5.3935185185185173</v>
      </c>
      <c r="H124" s="70" t="s">
        <v>1113</v>
      </c>
    </row>
    <row r="125" spans="1:14" ht="30" customHeight="1" thickBot="1" x14ac:dyDescent="0.25">
      <c r="A125" s="970"/>
      <c r="B125" s="971"/>
      <c r="C125" s="894" t="s">
        <v>614</v>
      </c>
      <c r="D125" s="895"/>
      <c r="E125" s="896"/>
      <c r="F125" s="404" t="s">
        <v>554</v>
      </c>
      <c r="G125" s="435">
        <f>10*MAX(Subsis4,AVERAGE(PopCtr4,BearShed4,DistTidal4v))</f>
        <v>10</v>
      </c>
      <c r="H125" s="437" t="s">
        <v>1003</v>
      </c>
    </row>
    <row r="126" spans="1:14" ht="21" customHeight="1" thickBot="1" x14ac:dyDescent="0.25">
      <c r="A126" s="25"/>
      <c r="B126" s="25"/>
      <c r="C126" s="25"/>
      <c r="D126" s="25"/>
      <c r="E126" s="25"/>
      <c r="F126" s="25"/>
      <c r="G126" s="25"/>
    </row>
    <row r="127" spans="1:14" ht="27" customHeight="1" thickBot="1" x14ac:dyDescent="0.25">
      <c r="A127" s="25"/>
      <c r="B127" s="25"/>
      <c r="C127" s="25"/>
      <c r="D127" s="25"/>
      <c r="E127" s="25"/>
      <c r="F127" s="25"/>
      <c r="G127" s="25"/>
      <c r="H127" s="101" t="s">
        <v>377</v>
      </c>
    </row>
    <row r="128" spans="1:14" ht="57" customHeight="1" x14ac:dyDescent="0.2">
      <c r="A128" s="25"/>
      <c r="B128" s="25"/>
      <c r="C128" s="25"/>
      <c r="D128" s="25"/>
      <c r="E128" s="25"/>
      <c r="F128" s="25"/>
      <c r="G128" s="25"/>
      <c r="H128" s="107" t="s">
        <v>409</v>
      </c>
      <c r="I128" s="36"/>
      <c r="J128" s="104"/>
      <c r="K128" s="36"/>
      <c r="L128" s="36"/>
      <c r="M128" s="36"/>
      <c r="N128" s="555"/>
    </row>
    <row r="129" spans="1:14" ht="42" customHeight="1" x14ac:dyDescent="0.2">
      <c r="A129" s="25"/>
      <c r="B129" s="25"/>
      <c r="C129" s="25"/>
      <c r="D129" s="25"/>
      <c r="E129" s="25"/>
      <c r="F129" s="25"/>
      <c r="G129" s="25"/>
      <c r="H129" s="107" t="s">
        <v>408</v>
      </c>
      <c r="I129" s="36"/>
      <c r="J129" s="104"/>
      <c r="K129" s="36"/>
      <c r="L129" s="36"/>
      <c r="M129" s="36"/>
      <c r="N129" s="555"/>
    </row>
    <row r="130" spans="1:14" ht="52.5" customHeight="1" x14ac:dyDescent="0.2">
      <c r="A130" s="25"/>
      <c r="B130" s="25"/>
      <c r="C130" s="25"/>
      <c r="D130" s="25"/>
      <c r="E130" s="25"/>
      <c r="F130" s="25"/>
      <c r="G130" s="25"/>
      <c r="H130" s="107" t="s">
        <v>410</v>
      </c>
      <c r="I130" s="36"/>
      <c r="J130" s="104"/>
      <c r="K130" s="36"/>
      <c r="L130" s="36"/>
      <c r="M130" s="36"/>
      <c r="N130" s="555"/>
    </row>
    <row r="131" spans="1:14" ht="30.75" customHeight="1" x14ac:dyDescent="0.2">
      <c r="A131" s="25"/>
      <c r="B131" s="25"/>
      <c r="C131" s="25"/>
      <c r="D131" s="25"/>
      <c r="E131" s="25"/>
      <c r="F131" s="25"/>
      <c r="G131" s="25"/>
      <c r="H131" s="322" t="s">
        <v>1117</v>
      </c>
      <c r="I131" s="36"/>
      <c r="J131" s="104"/>
      <c r="K131" s="36"/>
      <c r="L131" s="36"/>
      <c r="M131" s="36"/>
      <c r="N131" s="555"/>
    </row>
    <row r="132" spans="1:14" ht="42" customHeight="1" x14ac:dyDescent="0.2">
      <c r="A132" s="25"/>
      <c r="B132" s="25"/>
      <c r="C132" s="25"/>
      <c r="D132" s="25"/>
      <c r="E132" s="25"/>
      <c r="F132" s="25"/>
      <c r="G132" s="25"/>
      <c r="H132" s="322" t="s">
        <v>1119</v>
      </c>
      <c r="I132" s="36"/>
      <c r="J132" s="104"/>
      <c r="K132" s="36"/>
      <c r="L132" s="36"/>
      <c r="M132" s="36"/>
      <c r="N132" s="555"/>
    </row>
    <row r="133" spans="1:14" ht="27" customHeight="1" x14ac:dyDescent="0.2">
      <c r="A133" s="25"/>
      <c r="B133" s="25"/>
      <c r="C133" s="25"/>
      <c r="D133" s="25"/>
      <c r="E133" s="25"/>
      <c r="F133" s="25"/>
      <c r="G133" s="25"/>
      <c r="H133" s="108" t="s">
        <v>428</v>
      </c>
      <c r="I133" s="36"/>
      <c r="J133" s="104"/>
      <c r="K133" s="36"/>
      <c r="L133" s="36"/>
      <c r="M133" s="36"/>
      <c r="N133" s="555"/>
    </row>
    <row r="134" spans="1:14" ht="42" customHeight="1" x14ac:dyDescent="0.2">
      <c r="A134" s="25"/>
      <c r="B134" s="25"/>
      <c r="C134" s="25"/>
      <c r="D134" s="25"/>
      <c r="E134" s="25"/>
      <c r="F134" s="25"/>
      <c r="G134" s="25"/>
      <c r="H134" s="107" t="s">
        <v>407</v>
      </c>
      <c r="I134" s="36"/>
      <c r="J134" s="104"/>
      <c r="K134" s="36"/>
      <c r="L134" s="36"/>
      <c r="M134" s="36"/>
      <c r="N134" s="555"/>
    </row>
    <row r="135" spans="1:14" ht="27" customHeight="1" x14ac:dyDescent="0.2">
      <c r="A135" s="25"/>
      <c r="B135" s="25"/>
      <c r="C135" s="25"/>
      <c r="D135" s="25"/>
      <c r="E135" s="25"/>
      <c r="F135" s="25"/>
      <c r="G135" s="25"/>
      <c r="H135" s="107" t="s">
        <v>400</v>
      </c>
      <c r="I135" s="36"/>
      <c r="J135" s="104"/>
      <c r="K135" s="36"/>
      <c r="L135" s="36"/>
      <c r="M135" s="36"/>
      <c r="N135" s="555"/>
    </row>
    <row r="136" spans="1:14" ht="42" customHeight="1" x14ac:dyDescent="0.2">
      <c r="A136" s="25"/>
      <c r="B136" s="25"/>
      <c r="C136" s="25"/>
      <c r="D136" s="25"/>
      <c r="E136" s="25"/>
      <c r="F136" s="25"/>
      <c r="G136" s="25"/>
      <c r="H136" s="107" t="s">
        <v>418</v>
      </c>
      <c r="I136" s="36"/>
      <c r="J136" s="104"/>
      <c r="K136" s="36"/>
      <c r="L136" s="36"/>
      <c r="M136" s="36"/>
      <c r="N136" s="555"/>
    </row>
    <row r="137" spans="1:14" ht="42" customHeight="1" x14ac:dyDescent="0.2">
      <c r="A137" s="25"/>
      <c r="B137" s="25"/>
      <c r="C137" s="25"/>
      <c r="D137" s="25"/>
      <c r="E137" s="25"/>
      <c r="F137" s="25"/>
      <c r="G137" s="25"/>
      <c r="H137" s="107" t="s">
        <v>412</v>
      </c>
      <c r="I137" s="36"/>
      <c r="J137" s="104"/>
      <c r="K137" s="36"/>
      <c r="L137" s="36"/>
      <c r="M137" s="36"/>
      <c r="N137" s="555"/>
    </row>
    <row r="138" spans="1:14" ht="42" customHeight="1" thickBot="1" x14ac:dyDescent="0.25">
      <c r="A138" s="25"/>
      <c r="B138" s="25"/>
      <c r="C138" s="25"/>
      <c r="D138" s="25"/>
      <c r="E138" s="25"/>
      <c r="F138" s="25"/>
      <c r="G138" s="25"/>
      <c r="H138" s="107" t="s">
        <v>411</v>
      </c>
      <c r="I138" s="36"/>
      <c r="J138" s="104"/>
      <c r="K138" s="36"/>
      <c r="L138" s="36"/>
      <c r="M138" s="36"/>
      <c r="N138" s="555"/>
    </row>
    <row r="139" spans="1:14" ht="42" customHeight="1" x14ac:dyDescent="0.2">
      <c r="A139" s="25"/>
      <c r="B139" s="25"/>
      <c r="C139" s="25"/>
      <c r="D139" s="25"/>
      <c r="E139" s="25"/>
      <c r="F139" s="25"/>
      <c r="G139" s="25"/>
      <c r="H139" s="106" t="s">
        <v>416</v>
      </c>
      <c r="I139" s="36"/>
      <c r="J139" s="104"/>
      <c r="K139" s="36"/>
      <c r="L139" s="36"/>
      <c r="M139" s="36"/>
      <c r="N139" s="555"/>
    </row>
    <row r="140" spans="1:14" ht="27" customHeight="1" x14ac:dyDescent="0.2">
      <c r="A140" s="25"/>
      <c r="B140" s="25"/>
      <c r="C140" s="25"/>
      <c r="D140" s="25"/>
      <c r="E140" s="25"/>
      <c r="F140" s="25"/>
      <c r="G140" s="25"/>
      <c r="H140" s="107" t="s">
        <v>401</v>
      </c>
      <c r="I140" s="36"/>
      <c r="J140" s="104"/>
      <c r="K140" s="36"/>
      <c r="L140" s="36"/>
      <c r="M140" s="36"/>
      <c r="N140" s="555"/>
    </row>
    <row r="141" spans="1:14" ht="27" customHeight="1" x14ac:dyDescent="0.2">
      <c r="A141" s="25"/>
      <c r="B141" s="25"/>
      <c r="C141" s="25"/>
      <c r="D141" s="25"/>
      <c r="E141" s="25"/>
      <c r="F141" s="25"/>
      <c r="G141" s="25"/>
      <c r="H141" s="322" t="s">
        <v>1106</v>
      </c>
      <c r="I141" s="36"/>
      <c r="J141" s="104"/>
      <c r="K141" s="36"/>
      <c r="L141" s="36"/>
      <c r="M141" s="36"/>
      <c r="N141" s="555"/>
    </row>
    <row r="142" spans="1:14" ht="27" customHeight="1" x14ac:dyDescent="0.2">
      <c r="A142" s="25"/>
      <c r="B142" s="25"/>
      <c r="C142" s="25"/>
      <c r="D142" s="25"/>
      <c r="E142" s="25"/>
      <c r="F142" s="25"/>
      <c r="G142" s="25"/>
      <c r="H142" s="107" t="s">
        <v>417</v>
      </c>
      <c r="I142" s="36"/>
      <c r="J142" s="104"/>
      <c r="K142" s="36"/>
      <c r="L142" s="36"/>
      <c r="M142" s="36"/>
      <c r="N142" s="555"/>
    </row>
    <row r="143" spans="1:14" ht="27" customHeight="1" x14ac:dyDescent="0.2">
      <c r="A143" s="25"/>
      <c r="B143" s="25"/>
      <c r="C143" s="25"/>
      <c r="D143" s="25"/>
      <c r="E143" s="25"/>
      <c r="F143" s="25"/>
      <c r="G143" s="25"/>
      <c r="H143" s="107" t="s">
        <v>402</v>
      </c>
      <c r="I143" s="36"/>
      <c r="J143" s="104"/>
      <c r="K143" s="36"/>
      <c r="L143" s="36"/>
      <c r="M143" s="36"/>
      <c r="N143" s="555"/>
    </row>
    <row r="144" spans="1:14" ht="39.75" customHeight="1" x14ac:dyDescent="0.2">
      <c r="A144" s="25"/>
      <c r="B144" s="25"/>
      <c r="C144" s="25"/>
      <c r="D144" s="25"/>
      <c r="E144" s="25"/>
      <c r="F144" s="25"/>
      <c r="G144" s="25"/>
      <c r="H144" s="322" t="s">
        <v>1105</v>
      </c>
      <c r="I144" s="36"/>
      <c r="J144" s="104"/>
      <c r="K144" s="36"/>
      <c r="L144" s="36"/>
      <c r="M144" s="36"/>
      <c r="N144" s="555"/>
    </row>
    <row r="145" spans="1:14" ht="27" customHeight="1" x14ac:dyDescent="0.2">
      <c r="A145" s="25"/>
      <c r="B145" s="25"/>
      <c r="C145" s="25"/>
      <c r="D145" s="25"/>
      <c r="E145" s="25"/>
      <c r="F145" s="25"/>
      <c r="G145" s="25"/>
      <c r="H145" s="107" t="s">
        <v>399</v>
      </c>
      <c r="I145" s="36"/>
      <c r="J145" s="104"/>
      <c r="K145" s="36"/>
      <c r="L145" s="36"/>
      <c r="M145" s="36"/>
      <c r="N145" s="555"/>
    </row>
    <row r="146" spans="1:14" ht="27" customHeight="1" thickBot="1" x14ac:dyDescent="0.25">
      <c r="A146" s="25"/>
      <c r="B146" s="25"/>
      <c r="C146" s="25"/>
      <c r="D146" s="25"/>
      <c r="E146" s="25"/>
      <c r="F146" s="25"/>
      <c r="G146" s="25"/>
      <c r="H146" s="511" t="s">
        <v>1118</v>
      </c>
      <c r="I146" s="36"/>
      <c r="J146" s="104"/>
      <c r="K146" s="36"/>
      <c r="L146" s="36"/>
      <c r="M146" s="36"/>
      <c r="N146" s="555"/>
    </row>
    <row r="147" spans="1:14" ht="15" customHeight="1" x14ac:dyDescent="0.2">
      <c r="A147" s="25"/>
      <c r="B147" s="25"/>
      <c r="C147" s="25"/>
      <c r="D147" s="25"/>
      <c r="E147" s="25"/>
      <c r="F147" s="25"/>
      <c r="G147" s="25"/>
    </row>
    <row r="148" spans="1:14" ht="38.450000000000003" customHeight="1" x14ac:dyDescent="0.2"/>
  </sheetData>
  <sheetProtection password="C74A" sheet="1" objects="1" scenarios="1" formatCells="0" formatColumns="0" formatRows="0"/>
  <mergeCells count="78">
    <mergeCell ref="A82:A87"/>
    <mergeCell ref="B82:B87"/>
    <mergeCell ref="H40:H44"/>
    <mergeCell ref="H58:H61"/>
    <mergeCell ref="H54:H57"/>
    <mergeCell ref="H46:H49"/>
    <mergeCell ref="H50:H53"/>
    <mergeCell ref="A50:A53"/>
    <mergeCell ref="B40:B44"/>
    <mergeCell ref="A77:A80"/>
    <mergeCell ref="A46:A49"/>
    <mergeCell ref="B88:B93"/>
    <mergeCell ref="B102:B107"/>
    <mergeCell ref="A3:A6"/>
    <mergeCell ref="A8:A15"/>
    <mergeCell ref="B3:B6"/>
    <mergeCell ref="B26:B29"/>
    <mergeCell ref="B16:B21"/>
    <mergeCell ref="B8:B15"/>
    <mergeCell ref="A88:A93"/>
    <mergeCell ref="A94:A98"/>
    <mergeCell ref="B94:B98"/>
    <mergeCell ref="B58:B61"/>
    <mergeCell ref="B68:B71"/>
    <mergeCell ref="B77:B80"/>
    <mergeCell ref="A22:A25"/>
    <mergeCell ref="A26:A29"/>
    <mergeCell ref="B22:B25"/>
    <mergeCell ref="B36:B38"/>
    <mergeCell ref="B54:B57"/>
    <mergeCell ref="B46:B49"/>
    <mergeCell ref="B50:B53"/>
    <mergeCell ref="E1:H1"/>
    <mergeCell ref="H94:H98"/>
    <mergeCell ref="H102:H107"/>
    <mergeCell ref="H22:H25"/>
    <mergeCell ref="H26:H29"/>
    <mergeCell ref="H30:H35"/>
    <mergeCell ref="H3:H6"/>
    <mergeCell ref="H36:H38"/>
    <mergeCell ref="H8:H15"/>
    <mergeCell ref="H16:H21"/>
    <mergeCell ref="H88:H93"/>
    <mergeCell ref="H77:H80"/>
    <mergeCell ref="H72:H76"/>
    <mergeCell ref="H68:H71"/>
    <mergeCell ref="H62:H67"/>
    <mergeCell ref="H82:H87"/>
    <mergeCell ref="A1:B1"/>
    <mergeCell ref="D119:F119"/>
    <mergeCell ref="A16:A21"/>
    <mergeCell ref="A54:A57"/>
    <mergeCell ref="A30:A35"/>
    <mergeCell ref="A36:A38"/>
    <mergeCell ref="B72:B76"/>
    <mergeCell ref="A68:A71"/>
    <mergeCell ref="A58:A61"/>
    <mergeCell ref="A72:A76"/>
    <mergeCell ref="B62:B67"/>
    <mergeCell ref="A62:A67"/>
    <mergeCell ref="B30:B35"/>
    <mergeCell ref="A40:A44"/>
    <mergeCell ref="A118:C123"/>
    <mergeCell ref="A102:A107"/>
    <mergeCell ref="C124:E124"/>
    <mergeCell ref="A108:A112"/>
    <mergeCell ref="B108:B112"/>
    <mergeCell ref="A114:A117"/>
    <mergeCell ref="D123:H123"/>
    <mergeCell ref="A124:B125"/>
    <mergeCell ref="C125:E125"/>
    <mergeCell ref="D122:F122"/>
    <mergeCell ref="H108:H112"/>
    <mergeCell ref="D121:F121"/>
    <mergeCell ref="B114:B117"/>
    <mergeCell ref="H114:H117"/>
    <mergeCell ref="D120:F120"/>
    <mergeCell ref="D118:H118"/>
  </mergeCells>
  <phoneticPr fontId="19" type="noConversion"/>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AO144"/>
  <sheetViews>
    <sheetView topLeftCell="A128" workbookViewId="0">
      <selection activeCell="A127" sqref="A127:C132"/>
    </sheetView>
  </sheetViews>
  <sheetFormatPr defaultColWidth="9.33203125" defaultRowHeight="15" customHeight="1" x14ac:dyDescent="0.2"/>
  <cols>
    <col min="1" max="1" width="5.83203125" style="8" customWidth="1"/>
    <col min="2" max="2" width="18.83203125" style="8" customWidth="1"/>
    <col min="3" max="3" width="75.83203125" style="8" customWidth="1"/>
    <col min="4" max="4" width="6.83203125" style="209" customWidth="1"/>
    <col min="5" max="5" width="7.6640625" style="209" customWidth="1"/>
    <col min="6" max="6" width="7.83203125" style="209" customWidth="1"/>
    <col min="7" max="7" width="9.83203125" style="358" customWidth="1"/>
    <col min="8" max="8" width="75.83203125" style="8" customWidth="1"/>
    <col min="9" max="9" width="15.6640625" style="8" customWidth="1"/>
    <col min="10" max="10" width="9.33203125" style="42"/>
    <col min="11" max="16384" width="9.33203125" style="8"/>
  </cols>
  <sheetData>
    <row r="1" spans="1:41" s="102" customFormat="1" ht="60" customHeight="1" thickBot="1" x14ac:dyDescent="0.25">
      <c r="A1" s="976" t="s">
        <v>3638</v>
      </c>
      <c r="B1" s="987"/>
      <c r="C1" s="68" t="s">
        <v>50</v>
      </c>
      <c r="D1" s="110" t="s">
        <v>51</v>
      </c>
      <c r="E1" s="884"/>
      <c r="F1" s="885"/>
      <c r="G1" s="885"/>
      <c r="H1" s="885"/>
      <c r="I1" s="111"/>
      <c r="J1" s="113"/>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row>
    <row r="2" spans="1:41" s="345" customFormat="1" ht="30" customHeight="1" thickBot="1" x14ac:dyDescent="0.25">
      <c r="A2" s="293" t="s">
        <v>770</v>
      </c>
      <c r="B2" s="288" t="s">
        <v>3636</v>
      </c>
      <c r="C2" s="289" t="s">
        <v>32</v>
      </c>
      <c r="D2" s="288" t="s">
        <v>805</v>
      </c>
      <c r="E2" s="290" t="s">
        <v>1017</v>
      </c>
      <c r="F2" s="291" t="s">
        <v>1018</v>
      </c>
      <c r="G2" s="292" t="s">
        <v>355</v>
      </c>
      <c r="H2" s="288" t="s">
        <v>60</v>
      </c>
      <c r="J2" s="346"/>
    </row>
    <row r="3" spans="1:41" s="20" customFormat="1" ht="30" customHeight="1" thickBot="1" x14ac:dyDescent="0.25">
      <c r="A3" s="909" t="str">
        <f>T!A10</f>
        <v>T3</v>
      </c>
      <c r="B3" s="908" t="str">
        <f>T!B10</f>
        <v>Low Marsh</v>
      </c>
      <c r="C3" s="275" t="str">
        <f>T!C10</f>
        <v>The percent of the vegetated part of the AA that is "low marsh" (covered by tidal water for part of almost every day) is:</v>
      </c>
      <c r="D3" s="338"/>
      <c r="E3" s="338"/>
      <c r="F3" s="359"/>
      <c r="G3" s="163">
        <f>MAX(F4:F10)/MAX(E4:E10)</f>
        <v>0.83333333333333337</v>
      </c>
      <c r="H3" s="908" t="s">
        <v>228</v>
      </c>
      <c r="I3" s="28" t="s">
        <v>436</v>
      </c>
      <c r="J3" s="78"/>
    </row>
    <row r="4" spans="1:41" s="20" customFormat="1" ht="15" customHeight="1" x14ac:dyDescent="0.2">
      <c r="A4" s="910"/>
      <c r="B4" s="907"/>
      <c r="C4" s="202" t="str">
        <f>T!C11</f>
        <v>none, or &lt;1%</v>
      </c>
      <c r="D4" s="325">
        <f>T!D11</f>
        <v>0</v>
      </c>
      <c r="E4" s="326">
        <v>0</v>
      </c>
      <c r="F4" s="327">
        <f t="shared" ref="F4:F10" si="0">D4*E4</f>
        <v>0</v>
      </c>
      <c r="G4" s="349"/>
      <c r="H4" s="907"/>
      <c r="I4" s="28"/>
      <c r="J4" s="78"/>
    </row>
    <row r="5" spans="1:41" s="20" customFormat="1" ht="15" customHeight="1" x14ac:dyDescent="0.2">
      <c r="A5" s="910"/>
      <c r="B5" s="907"/>
      <c r="C5" s="276" t="str">
        <f>T!C12</f>
        <v>1-10%</v>
      </c>
      <c r="D5" s="325">
        <f>T!D12</f>
        <v>0</v>
      </c>
      <c r="E5" s="326">
        <v>2</v>
      </c>
      <c r="F5" s="327">
        <f t="shared" si="0"/>
        <v>0</v>
      </c>
      <c r="G5" s="349"/>
      <c r="H5" s="907"/>
      <c r="I5" s="28"/>
      <c r="J5" s="78"/>
    </row>
    <row r="6" spans="1:41" s="20" customFormat="1" ht="15" customHeight="1" x14ac:dyDescent="0.2">
      <c r="A6" s="910"/>
      <c r="B6" s="907"/>
      <c r="C6" s="276" t="str">
        <f>T!C13</f>
        <v>10-25%</v>
      </c>
      <c r="D6" s="325">
        <f>T!D13</f>
        <v>0</v>
      </c>
      <c r="E6" s="326">
        <v>3</v>
      </c>
      <c r="F6" s="327">
        <f t="shared" si="0"/>
        <v>0</v>
      </c>
      <c r="G6" s="349"/>
      <c r="H6" s="907"/>
      <c r="I6" s="28"/>
      <c r="J6" s="78"/>
    </row>
    <row r="7" spans="1:41" s="20" customFormat="1" ht="15" customHeight="1" x14ac:dyDescent="0.2">
      <c r="A7" s="910"/>
      <c r="B7" s="907"/>
      <c r="C7" s="276" t="str">
        <f>T!C14</f>
        <v>25-50%</v>
      </c>
      <c r="D7" s="325">
        <f>T!D14</f>
        <v>0</v>
      </c>
      <c r="E7" s="326">
        <v>4</v>
      </c>
      <c r="F7" s="327">
        <f t="shared" si="0"/>
        <v>0</v>
      </c>
      <c r="G7" s="349"/>
      <c r="H7" s="907"/>
      <c r="I7" s="28"/>
      <c r="J7" s="78"/>
    </row>
    <row r="8" spans="1:41" s="20" customFormat="1" ht="15" customHeight="1" x14ac:dyDescent="0.2">
      <c r="A8" s="910"/>
      <c r="B8" s="907"/>
      <c r="C8" s="276" t="str">
        <f>T!C15</f>
        <v>50-75%</v>
      </c>
      <c r="D8" s="325">
        <f>T!D15</f>
        <v>0</v>
      </c>
      <c r="E8" s="326">
        <v>5</v>
      </c>
      <c r="F8" s="327">
        <f t="shared" si="0"/>
        <v>0</v>
      </c>
      <c r="G8" s="349"/>
      <c r="H8" s="907"/>
      <c r="I8" s="28"/>
      <c r="J8" s="78"/>
    </row>
    <row r="9" spans="1:41" s="20" customFormat="1" ht="15" customHeight="1" x14ac:dyDescent="0.2">
      <c r="A9" s="910"/>
      <c r="B9" s="907"/>
      <c r="C9" s="276" t="str">
        <f>T!C16</f>
        <v>75-90%</v>
      </c>
      <c r="D9" s="325">
        <f>T!D16</f>
        <v>0</v>
      </c>
      <c r="E9" s="326">
        <v>6</v>
      </c>
      <c r="F9" s="327">
        <f t="shared" si="0"/>
        <v>0</v>
      </c>
      <c r="G9" s="349"/>
      <c r="H9" s="907"/>
      <c r="I9" s="28"/>
      <c r="J9" s="78"/>
    </row>
    <row r="10" spans="1:41" s="20" customFormat="1" ht="15" customHeight="1" thickBot="1" x14ac:dyDescent="0.25">
      <c r="A10" s="768"/>
      <c r="B10" s="774"/>
      <c r="C10" s="277" t="str">
        <f>T!C17</f>
        <v>&gt;90%</v>
      </c>
      <c r="D10" s="328">
        <f>T!D17</f>
        <v>1</v>
      </c>
      <c r="E10" s="329">
        <v>5</v>
      </c>
      <c r="F10" s="330">
        <f t="shared" si="0"/>
        <v>5</v>
      </c>
      <c r="G10" s="350"/>
      <c r="H10" s="774"/>
      <c r="I10" s="28"/>
      <c r="J10" s="78"/>
    </row>
    <row r="11" spans="1:41" ht="45" customHeight="1" thickBot="1" x14ac:dyDescent="0.25">
      <c r="A11" s="992" t="str">
        <f>T!A18</f>
        <v>T4</v>
      </c>
      <c r="B11" s="897" t="str">
        <f>T!B18</f>
        <v>Width of Vegetated Zone at Daily Low Tide</v>
      </c>
      <c r="C11" s="191" t="str">
        <f>T!C18</f>
        <v>At daily low tide, the average width of vegetated area in the AA that separates adjoining uplands from most deepwater (subtidal water) within or adjoining the AA, or from the largest intersecting river or tributary (whichever is less), is:</v>
      </c>
      <c r="D11" s="323"/>
      <c r="E11" s="331"/>
      <c r="F11" s="332"/>
      <c r="G11" s="320">
        <f>MAX(F12:F16)/MAX(E12:E16)</f>
        <v>0.66666666666666663</v>
      </c>
      <c r="H11" s="897" t="s">
        <v>987</v>
      </c>
      <c r="I11" s="8" t="s">
        <v>618</v>
      </c>
    </row>
    <row r="12" spans="1:41" ht="15" customHeight="1" x14ac:dyDescent="0.2">
      <c r="A12" s="992"/>
      <c r="B12" s="897"/>
      <c r="C12" s="278" t="str">
        <f>T!C19</f>
        <v xml:space="preserve">1-5 ft </v>
      </c>
      <c r="D12" s="132">
        <f>T!D19</f>
        <v>0</v>
      </c>
      <c r="E12" s="333">
        <v>1</v>
      </c>
      <c r="F12" s="333">
        <f>D12*E12</f>
        <v>0</v>
      </c>
      <c r="G12" s="351"/>
      <c r="H12" s="897"/>
    </row>
    <row r="13" spans="1:41" ht="15" customHeight="1" x14ac:dyDescent="0.2">
      <c r="A13" s="992"/>
      <c r="B13" s="897"/>
      <c r="C13" s="195" t="str">
        <f>T!C20</f>
        <v>5-25 ft</v>
      </c>
      <c r="D13" s="132">
        <f>T!D20</f>
        <v>0</v>
      </c>
      <c r="E13" s="333">
        <v>2</v>
      </c>
      <c r="F13" s="333">
        <f>D13*E13</f>
        <v>0</v>
      </c>
      <c r="G13" s="352"/>
      <c r="H13" s="897"/>
    </row>
    <row r="14" spans="1:41" ht="15" customHeight="1" x14ac:dyDescent="0.2">
      <c r="A14" s="992"/>
      <c r="B14" s="897"/>
      <c r="C14" s="195" t="str">
        <f>T!C21</f>
        <v>25-100 ft</v>
      </c>
      <c r="D14" s="132">
        <f>T!D21</f>
        <v>0</v>
      </c>
      <c r="E14" s="333">
        <v>3</v>
      </c>
      <c r="F14" s="333">
        <f>D14*E14</f>
        <v>0</v>
      </c>
      <c r="G14" s="352"/>
      <c r="H14" s="897"/>
    </row>
    <row r="15" spans="1:41" ht="15" customHeight="1" x14ac:dyDescent="0.2">
      <c r="A15" s="992"/>
      <c r="B15" s="897"/>
      <c r="C15" s="195" t="str">
        <f>T!C22</f>
        <v>100-300 ft</v>
      </c>
      <c r="D15" s="132">
        <f>T!D22</f>
        <v>1</v>
      </c>
      <c r="E15" s="333">
        <v>4</v>
      </c>
      <c r="F15" s="333">
        <f>D15*E15</f>
        <v>4</v>
      </c>
      <c r="G15" s="352"/>
      <c r="H15" s="897"/>
    </row>
    <row r="16" spans="1:41" ht="15" customHeight="1" thickBot="1" x14ac:dyDescent="0.25">
      <c r="A16" s="992"/>
      <c r="B16" s="897"/>
      <c r="C16" s="276" t="str">
        <f>T!C23</f>
        <v>&gt;300 ft</v>
      </c>
      <c r="D16" s="334">
        <f>T!D23</f>
        <v>0</v>
      </c>
      <c r="E16" s="335">
        <v>6</v>
      </c>
      <c r="F16" s="335">
        <f>D16*E16</f>
        <v>0</v>
      </c>
      <c r="G16" s="349"/>
      <c r="H16" s="897"/>
    </row>
    <row r="17" spans="1:9" ht="45" customHeight="1" thickBot="1" x14ac:dyDescent="0.25">
      <c r="A17" s="902" t="str">
        <f>T!A24</f>
        <v>T5</v>
      </c>
      <c r="B17" s="905" t="str">
        <f>T!B24</f>
        <v>Width of Vegetated Zone at Daily High Tide</v>
      </c>
      <c r="C17" s="275" t="str">
        <f>T!C24</f>
        <v>At daily high tide, the average width of vegetated area in the AA that separates adjoining uplands from most deepwater (subtidal water) within or adjoining the AA, or from the largest intersecting river or tributary (whichever is less), is:</v>
      </c>
      <c r="D17" s="338"/>
      <c r="E17" s="339"/>
      <c r="F17" s="340"/>
      <c r="G17" s="163">
        <f>MAX(F18:F22)/MAX(E18:E22)</f>
        <v>0.33333333333333331</v>
      </c>
      <c r="H17" s="908" t="s">
        <v>988</v>
      </c>
      <c r="I17" s="8" t="s">
        <v>636</v>
      </c>
    </row>
    <row r="18" spans="1:9" ht="15" customHeight="1" x14ac:dyDescent="0.2">
      <c r="A18" s="903"/>
      <c r="B18" s="897"/>
      <c r="C18" s="278" t="str">
        <f>T!C25</f>
        <v xml:space="preserve">1-5 ft </v>
      </c>
      <c r="D18" s="454">
        <f>T!D25</f>
        <v>0</v>
      </c>
      <c r="E18" s="333">
        <v>1</v>
      </c>
      <c r="F18" s="333">
        <f>D18*E18</f>
        <v>0</v>
      </c>
      <c r="G18" s="423"/>
      <c r="H18" s="907"/>
    </row>
    <row r="19" spans="1:9" ht="15" customHeight="1" x14ac:dyDescent="0.2">
      <c r="A19" s="903"/>
      <c r="B19" s="897"/>
      <c r="C19" s="278" t="str">
        <f>T!C26</f>
        <v>5-25 ft</v>
      </c>
      <c r="D19" s="454">
        <f>T!D26</f>
        <v>1</v>
      </c>
      <c r="E19" s="333">
        <v>2</v>
      </c>
      <c r="F19" s="333">
        <f>D19*E19</f>
        <v>2</v>
      </c>
      <c r="G19" s="349"/>
      <c r="H19" s="907"/>
    </row>
    <row r="20" spans="1:9" ht="15" customHeight="1" x14ac:dyDescent="0.2">
      <c r="A20" s="903"/>
      <c r="B20" s="897"/>
      <c r="C20" s="278" t="str">
        <f>T!C27</f>
        <v>25-100 ft</v>
      </c>
      <c r="D20" s="454">
        <f>T!D27</f>
        <v>0</v>
      </c>
      <c r="E20" s="333">
        <v>3</v>
      </c>
      <c r="F20" s="333">
        <f>D20*E20</f>
        <v>0</v>
      </c>
      <c r="G20" s="349"/>
      <c r="H20" s="907"/>
    </row>
    <row r="21" spans="1:9" ht="15" customHeight="1" x14ac:dyDescent="0.2">
      <c r="A21" s="903"/>
      <c r="B21" s="897"/>
      <c r="C21" s="278" t="str">
        <f>T!C28</f>
        <v>100-300 ft</v>
      </c>
      <c r="D21" s="454">
        <f>T!D28</f>
        <v>0</v>
      </c>
      <c r="E21" s="333">
        <v>4</v>
      </c>
      <c r="F21" s="333">
        <f>D21*E21</f>
        <v>0</v>
      </c>
      <c r="G21" s="349"/>
      <c r="H21" s="907"/>
    </row>
    <row r="22" spans="1:9" ht="15" customHeight="1" thickBot="1" x14ac:dyDescent="0.25">
      <c r="A22" s="904"/>
      <c r="B22" s="906"/>
      <c r="C22" s="447" t="str">
        <f>T!C29</f>
        <v>&gt;300 ft</v>
      </c>
      <c r="D22" s="455">
        <f>T!D29</f>
        <v>0</v>
      </c>
      <c r="E22" s="341">
        <v>6</v>
      </c>
      <c r="F22" s="341">
        <f>D22*E22</f>
        <v>0</v>
      </c>
      <c r="G22" s="350"/>
      <c r="H22" s="774"/>
    </row>
    <row r="23" spans="1:9" ht="60" customHeight="1" thickBot="1" x14ac:dyDescent="0.25">
      <c r="A23" s="901" t="str">
        <f>T!A92</f>
        <v>T19</v>
      </c>
      <c r="B23" s="897" t="str">
        <f>T!B92</f>
        <v>Core Area 1</v>
      </c>
      <c r="C23" s="191" t="str">
        <f>T!C92</f>
        <v xml:space="preserve">The percentage of the AA almost never visited by humans during an average growing season probably comprises: [Note: Do not include visitors on trails outside of the AA unless more than half the wetland is visible from the trails and they are within 100 ft of the wetland edge.  In that case include only the area occupied by the trail]. </v>
      </c>
      <c r="D23" s="323"/>
      <c r="E23" s="331"/>
      <c r="F23" s="331"/>
      <c r="G23" s="320">
        <f>MAX(F24:F29)/MAX(E24:E29)</f>
        <v>0.16666666666666666</v>
      </c>
      <c r="H23" s="897" t="s">
        <v>990</v>
      </c>
      <c r="I23" s="8" t="s">
        <v>622</v>
      </c>
    </row>
    <row r="24" spans="1:9" ht="15" customHeight="1" x14ac:dyDescent="0.2">
      <c r="A24" s="901"/>
      <c r="B24" s="897"/>
      <c r="C24" s="278" t="str">
        <f>T!C93</f>
        <v>&lt;5% and no inhabited building is within 300 ft of the AA</v>
      </c>
      <c r="D24" s="132">
        <f>T!D93</f>
        <v>0</v>
      </c>
      <c r="E24" s="333">
        <v>2</v>
      </c>
      <c r="F24" s="333">
        <f t="shared" ref="F24:F29" si="1">D24*E24</f>
        <v>0</v>
      </c>
      <c r="G24" s="352"/>
      <c r="H24" s="897"/>
    </row>
    <row r="25" spans="1:9" ht="15" customHeight="1" x14ac:dyDescent="0.2">
      <c r="A25" s="901"/>
      <c r="B25" s="897"/>
      <c r="C25" s="195" t="str">
        <f>T!C94</f>
        <v>&lt;5% and inhabited building is within 300 ft of the AA</v>
      </c>
      <c r="D25" s="132">
        <f>T!D94</f>
        <v>1</v>
      </c>
      <c r="E25" s="333">
        <v>1</v>
      </c>
      <c r="F25" s="333">
        <f t="shared" si="1"/>
        <v>1</v>
      </c>
      <c r="G25" s="352"/>
      <c r="H25" s="897"/>
    </row>
    <row r="26" spans="1:9" ht="15" customHeight="1" x14ac:dyDescent="0.2">
      <c r="A26" s="901"/>
      <c r="B26" s="897"/>
      <c r="C26" s="448" t="str">
        <f>T!C95</f>
        <v>5-50% and no inhabited building is within 300 ft of the AA</v>
      </c>
      <c r="D26" s="132">
        <f>T!D95</f>
        <v>0</v>
      </c>
      <c r="E26" s="333">
        <v>4</v>
      </c>
      <c r="F26" s="333">
        <f t="shared" si="1"/>
        <v>0</v>
      </c>
      <c r="G26" s="352"/>
      <c r="H26" s="897"/>
    </row>
    <row r="27" spans="1:9" ht="15" customHeight="1" x14ac:dyDescent="0.2">
      <c r="A27" s="901"/>
      <c r="B27" s="897"/>
      <c r="C27" s="448" t="str">
        <f>T!C96</f>
        <v>5-50% and inhabited building is within 300 ft of the AA</v>
      </c>
      <c r="D27" s="132">
        <f>T!D96</f>
        <v>0</v>
      </c>
      <c r="E27" s="333">
        <v>3</v>
      </c>
      <c r="F27" s="333">
        <f t="shared" si="1"/>
        <v>0</v>
      </c>
      <c r="G27" s="352"/>
      <c r="H27" s="897"/>
    </row>
    <row r="28" spans="1:9" ht="15" customHeight="1" x14ac:dyDescent="0.2">
      <c r="A28" s="901"/>
      <c r="B28" s="897"/>
      <c r="C28" s="448" t="str">
        <f>T!C97</f>
        <v>50-95%</v>
      </c>
      <c r="D28" s="132">
        <f>T!D97</f>
        <v>0</v>
      </c>
      <c r="E28" s="333">
        <v>5</v>
      </c>
      <c r="F28" s="333">
        <f t="shared" si="1"/>
        <v>0</v>
      </c>
      <c r="G28" s="352"/>
      <c r="H28" s="897"/>
    </row>
    <row r="29" spans="1:9" ht="15" customHeight="1" thickBot="1" x14ac:dyDescent="0.25">
      <c r="A29" s="901"/>
      <c r="B29" s="897"/>
      <c r="C29" s="449" t="str">
        <f>T!C98</f>
        <v>&gt;95% of the AA</v>
      </c>
      <c r="D29" s="334">
        <f>T!D98</f>
        <v>0</v>
      </c>
      <c r="E29" s="335">
        <v>6</v>
      </c>
      <c r="F29" s="335">
        <f t="shared" si="1"/>
        <v>0</v>
      </c>
      <c r="G29" s="349"/>
      <c r="H29" s="897"/>
    </row>
    <row r="30" spans="1:9" ht="60" customHeight="1" thickBot="1" x14ac:dyDescent="0.25">
      <c r="A30" s="902" t="str">
        <f>T!A99</f>
        <v>T20</v>
      </c>
      <c r="B30" s="905" t="str">
        <f>T!B99</f>
        <v>Core Area 2</v>
      </c>
      <c r="C30" s="275" t="str">
        <f>T!C99</f>
        <v xml:space="preserve">The part of the AA visited by humans almost daily for several weeks during an average year probably comprises: [Note: Do not include visitors on trails outside of the AA unless more than half the wetland is visible from the trails and they are within 100 ft of the wetland edge.  In that case include only the area occupied by the trail]. </v>
      </c>
      <c r="D30" s="338"/>
      <c r="E30" s="339"/>
      <c r="F30" s="340"/>
      <c r="G30" s="163">
        <f>MAX(F31:F34)/MAX(E31:E34)</f>
        <v>0.2</v>
      </c>
      <c r="H30" s="905" t="s">
        <v>970</v>
      </c>
      <c r="I30" s="8" t="s">
        <v>623</v>
      </c>
    </row>
    <row r="31" spans="1:9" ht="15" customHeight="1" x14ac:dyDescent="0.2">
      <c r="A31" s="903"/>
      <c r="B31" s="897"/>
      <c r="C31" s="278" t="str">
        <f>T!C100</f>
        <v>&lt;5%</v>
      </c>
      <c r="D31" s="132">
        <f>T!D100</f>
        <v>0</v>
      </c>
      <c r="E31" s="333">
        <v>5</v>
      </c>
      <c r="F31" s="333">
        <f>D31*E31</f>
        <v>0</v>
      </c>
      <c r="G31" s="351"/>
      <c r="H31" s="897"/>
    </row>
    <row r="32" spans="1:9" ht="15" customHeight="1" x14ac:dyDescent="0.2">
      <c r="A32" s="903"/>
      <c r="B32" s="897"/>
      <c r="C32" s="195" t="str">
        <f>T!C101</f>
        <v>5-50%</v>
      </c>
      <c r="D32" s="132">
        <f>T!D101</f>
        <v>0</v>
      </c>
      <c r="E32" s="333">
        <v>4</v>
      </c>
      <c r="F32" s="333">
        <f>D32*E32</f>
        <v>0</v>
      </c>
      <c r="G32" s="352"/>
      <c r="H32" s="897"/>
    </row>
    <row r="33" spans="1:9" ht="15" customHeight="1" x14ac:dyDescent="0.2">
      <c r="A33" s="903"/>
      <c r="B33" s="897"/>
      <c r="C33" s="448" t="str">
        <f>T!C102</f>
        <v>50-95%</v>
      </c>
      <c r="D33" s="132">
        <f>T!D102</f>
        <v>0</v>
      </c>
      <c r="E33" s="333">
        <v>3</v>
      </c>
      <c r="F33" s="333">
        <f>D33*E33</f>
        <v>0</v>
      </c>
      <c r="G33" s="352"/>
      <c r="H33" s="897"/>
    </row>
    <row r="34" spans="1:9" ht="15" customHeight="1" thickBot="1" x14ac:dyDescent="0.25">
      <c r="A34" s="904"/>
      <c r="B34" s="906"/>
      <c r="C34" s="277" t="str">
        <f>T!C103</f>
        <v>&gt;95% of the AA</v>
      </c>
      <c r="D34" s="133">
        <f>T!D103</f>
        <v>1</v>
      </c>
      <c r="E34" s="341">
        <v>1</v>
      </c>
      <c r="F34" s="341">
        <f>D34*E34</f>
        <v>1</v>
      </c>
      <c r="G34" s="350"/>
      <c r="H34" s="906"/>
    </row>
    <row r="35" spans="1:9" ht="60" customHeight="1" thickBot="1" x14ac:dyDescent="0.25">
      <c r="A35" s="459" t="str">
        <f>T!A118</f>
        <v>T24</v>
      </c>
      <c r="B35" s="460" t="str">
        <f>T!B118</f>
        <v>BMP - Wildlife Protection</v>
      </c>
      <c r="C35" s="450" t="str">
        <f>T!C118</f>
        <v xml:space="preserve">Fences, observation blinds, platforms, paved trails, exclusion periods, and/or well-enforced prohibitions on motorized boats, off-leash pets, and off road vehicles appear to effectively exclude or divert visitors and their pets from the AA at critical times in order to minimize disturbance of wildlife (except during hunting seasons).  Enter "1" if true. </v>
      </c>
      <c r="D35" s="458">
        <f>T!D118</f>
        <v>0</v>
      </c>
      <c r="E35" s="403"/>
      <c r="F35" s="403"/>
      <c r="G35" s="461">
        <f>IF((NoDisturb=0),D35, "")</f>
        <v>0</v>
      </c>
      <c r="H35" s="460" t="s">
        <v>2</v>
      </c>
      <c r="I35" s="8" t="s">
        <v>1</v>
      </c>
    </row>
    <row r="36" spans="1:9" ht="60" customHeight="1" thickBot="1" x14ac:dyDescent="0.25">
      <c r="A36" s="446" t="str">
        <f>T!A125</f>
        <v>T26</v>
      </c>
      <c r="B36" s="6" t="str">
        <f>T!B125</f>
        <v>Blind Channel Presence &amp; Complexity</v>
      </c>
      <c r="C36" s="231" t="str">
        <f>T!C125</f>
        <v>The AA contains one or more branching internal (blind) channels.  These are channels that do not connect to streams originating in the uplands, except where those streams themselves are tidal.  Do not count channels that merely loop around and rejoin their source channel.  If blind channels present, enter 1.  If not, enter 0 and SKIP to T28.</v>
      </c>
      <c r="D36" s="336"/>
      <c r="E36" s="337"/>
      <c r="F36" s="336"/>
      <c r="G36" s="163">
        <f>T!D125</f>
        <v>1</v>
      </c>
      <c r="H36" s="6" t="s">
        <v>0</v>
      </c>
      <c r="I36" s="8" t="s">
        <v>619</v>
      </c>
    </row>
    <row r="37" spans="1:9" ht="30" customHeight="1" thickBot="1" x14ac:dyDescent="0.25">
      <c r="A37" s="901" t="str">
        <f>T!A126</f>
        <v>T27</v>
      </c>
      <c r="B37" s="897" t="str">
        <f>T!B126</f>
        <v>Internal Channel Network Complexity</v>
      </c>
      <c r="C37" s="191" t="str">
        <f>T!C126</f>
        <v>The largest number of visible channel junctions (forks where two channels join) belonging to any single blind channel network within the AA's wetland is:</v>
      </c>
      <c r="D37" s="323"/>
      <c r="E37" s="331"/>
      <c r="F37" s="332"/>
      <c r="G37" s="320">
        <f>IF((G36=0),"",MAX(F38:F41)/MAX(E38:E41))</f>
        <v>0.6</v>
      </c>
      <c r="H37" s="897" t="s">
        <v>970</v>
      </c>
      <c r="I37" s="8" t="s">
        <v>620</v>
      </c>
    </row>
    <row r="38" spans="1:9" ht="15" customHeight="1" x14ac:dyDescent="0.2">
      <c r="A38" s="901"/>
      <c r="B38" s="897"/>
      <c r="C38" s="280" t="str">
        <f>T!C127</f>
        <v>&lt;3</v>
      </c>
      <c r="D38" s="132">
        <f>T!D127</f>
        <v>0</v>
      </c>
      <c r="E38" s="333">
        <v>1</v>
      </c>
      <c r="F38" s="333">
        <f>D38*E38</f>
        <v>0</v>
      </c>
      <c r="G38" s="351"/>
      <c r="H38" s="897"/>
    </row>
    <row r="39" spans="1:9" ht="15" customHeight="1" x14ac:dyDescent="0.2">
      <c r="A39" s="901"/>
      <c r="B39" s="897"/>
      <c r="C39" s="282" t="str">
        <f>T!C128</f>
        <v>3-6</v>
      </c>
      <c r="D39" s="132">
        <f>T!D128</f>
        <v>1</v>
      </c>
      <c r="E39" s="333">
        <v>3</v>
      </c>
      <c r="F39" s="333">
        <f>D39*E39</f>
        <v>3</v>
      </c>
      <c r="G39" s="352"/>
      <c r="H39" s="897"/>
    </row>
    <row r="40" spans="1:9" ht="15" customHeight="1" x14ac:dyDescent="0.2">
      <c r="A40" s="901"/>
      <c r="B40" s="897"/>
      <c r="C40" s="282" t="str">
        <f>T!C129</f>
        <v>7-14</v>
      </c>
      <c r="D40" s="132">
        <f>T!D129</f>
        <v>0</v>
      </c>
      <c r="E40" s="333">
        <v>4</v>
      </c>
      <c r="F40" s="333">
        <f>D40*E40</f>
        <v>0</v>
      </c>
      <c r="G40" s="352"/>
      <c r="H40" s="897"/>
    </row>
    <row r="41" spans="1:9" ht="15" customHeight="1" thickBot="1" x14ac:dyDescent="0.25">
      <c r="A41" s="901"/>
      <c r="B41" s="897"/>
      <c r="C41" s="283" t="str">
        <f>T!C130</f>
        <v>&gt;14</v>
      </c>
      <c r="D41" s="334">
        <f>T!D130</f>
        <v>0</v>
      </c>
      <c r="E41" s="335">
        <v>5</v>
      </c>
      <c r="F41" s="335">
        <f>D41*E41</f>
        <v>0</v>
      </c>
      <c r="G41" s="349"/>
      <c r="H41" s="897"/>
    </row>
    <row r="42" spans="1:9" ht="30" customHeight="1" thickBot="1" x14ac:dyDescent="0.25">
      <c r="A42" s="446" t="str">
        <f>T!A135</f>
        <v>T29</v>
      </c>
      <c r="B42" s="6" t="str">
        <f>T!B135</f>
        <v>Nearby Fresh Ponded</v>
      </c>
      <c r="C42" s="231" t="str">
        <f>T!C135</f>
        <v>A pond, lake, or non-tidal wetland larger than 1 acre and with &gt;30% open water in summer is within 1 mile of the AA.  If so, enter "1" and continue, otherwise END HERE.</v>
      </c>
      <c r="D42" s="336"/>
      <c r="E42" s="337"/>
      <c r="F42" s="336"/>
      <c r="G42" s="163">
        <f>T!D135</f>
        <v>0</v>
      </c>
      <c r="H42" s="6" t="s">
        <v>989</v>
      </c>
      <c r="I42" s="8" t="s">
        <v>637</v>
      </c>
    </row>
    <row r="43" spans="1:9" ht="21" customHeight="1" thickBot="1" x14ac:dyDescent="0.25">
      <c r="A43" s="992" t="str">
        <f>T!A136</f>
        <v>T30</v>
      </c>
      <c r="B43" s="897" t="str">
        <f>T!B136</f>
        <v xml:space="preserve">Distance to Nontidal Pond </v>
      </c>
      <c r="C43" s="191" t="str">
        <f>T!C136</f>
        <v>The distance to the non-tidal ponded water identified above is:</v>
      </c>
      <c r="D43" s="323"/>
      <c r="E43" s="331"/>
      <c r="F43" s="332"/>
      <c r="G43" s="320" t="str">
        <f>IF((G42=0),"",MAX(F44:F46)/MAX(E44:E46))</f>
        <v/>
      </c>
      <c r="H43" s="897" t="s">
        <v>970</v>
      </c>
      <c r="I43" s="8" t="s">
        <v>621</v>
      </c>
    </row>
    <row r="44" spans="1:9" ht="15" customHeight="1" x14ac:dyDescent="0.2">
      <c r="A44" s="992"/>
      <c r="B44" s="897"/>
      <c r="C44" s="278" t="str">
        <f>T!C137</f>
        <v>&lt;300 ft</v>
      </c>
      <c r="D44" s="132">
        <f>T!D137</f>
        <v>0</v>
      </c>
      <c r="E44" s="333">
        <v>4</v>
      </c>
      <c r="F44" s="333">
        <f t="shared" ref="F44:F87" si="2">D44*E44</f>
        <v>0</v>
      </c>
      <c r="G44" s="351"/>
      <c r="H44" s="897"/>
    </row>
    <row r="45" spans="1:9" ht="15" customHeight="1" x14ac:dyDescent="0.2">
      <c r="A45" s="992"/>
      <c r="B45" s="897"/>
      <c r="C45" s="276" t="str">
        <f>T!C138</f>
        <v>300-1000 ft</v>
      </c>
      <c r="D45" s="132">
        <f>T!D138</f>
        <v>0</v>
      </c>
      <c r="E45" s="333">
        <v>3</v>
      </c>
      <c r="F45" s="333">
        <f t="shared" si="2"/>
        <v>0</v>
      </c>
      <c r="G45" s="352"/>
      <c r="H45" s="897"/>
    </row>
    <row r="46" spans="1:9" ht="15" customHeight="1" thickBot="1" x14ac:dyDescent="0.25">
      <c r="A46" s="992"/>
      <c r="B46" s="897"/>
      <c r="C46" s="276" t="str">
        <f>T!C139</f>
        <v>1000 ft - 1 mile</v>
      </c>
      <c r="D46" s="456">
        <f>T!D139</f>
        <v>0</v>
      </c>
      <c r="E46" s="335">
        <v>1</v>
      </c>
      <c r="F46" s="335">
        <f t="shared" si="2"/>
        <v>0</v>
      </c>
      <c r="G46" s="349"/>
      <c r="H46" s="897"/>
    </row>
    <row r="47" spans="1:9" ht="21" customHeight="1" thickBot="1" x14ac:dyDescent="0.25">
      <c r="A47" s="909" t="str">
        <f>OF!A4</f>
        <v>OF1</v>
      </c>
      <c r="B47" s="905" t="str">
        <f>OF!B4</f>
        <v>Geography</v>
      </c>
      <c r="C47" s="275" t="str">
        <f>OF!C4</f>
        <v>Enter 1 for ALL that are true.  The AA is located:</v>
      </c>
      <c r="D47" s="338"/>
      <c r="E47" s="339"/>
      <c r="F47" s="340"/>
      <c r="G47" s="163">
        <f>MAX(E48:E50)/MAX(E48:E50)</f>
        <v>1</v>
      </c>
      <c r="H47" s="908" t="s">
        <v>995</v>
      </c>
      <c r="I47" s="8" t="s">
        <v>640</v>
      </c>
    </row>
    <row r="48" spans="1:9" ht="15" customHeight="1" x14ac:dyDescent="0.2">
      <c r="A48" s="910"/>
      <c r="B48" s="897"/>
      <c r="C48" s="278" t="str">
        <f>OF!C5</f>
        <v>in the Stikine, Alsek, Taiya-Chilkat-Skagway, or Taku deltas or estuaries</v>
      </c>
      <c r="D48" s="131">
        <f>OF!D5</f>
        <v>0</v>
      </c>
      <c r="E48" s="333">
        <v>4</v>
      </c>
      <c r="F48" s="333">
        <f>D48*E48</f>
        <v>0</v>
      </c>
      <c r="G48" s="351"/>
      <c r="H48" s="907"/>
    </row>
    <row r="49" spans="1:9" ht="15" customHeight="1" x14ac:dyDescent="0.2">
      <c r="A49" s="910"/>
      <c r="B49" s="897"/>
      <c r="C49" s="195" t="str">
        <f>OF!C6</f>
        <v>in another mainland area or inner coast</v>
      </c>
      <c r="D49" s="131">
        <f>OF!D6</f>
        <v>1</v>
      </c>
      <c r="E49" s="333">
        <v>3</v>
      </c>
      <c r="F49" s="333">
        <f>D49*E49</f>
        <v>3</v>
      </c>
      <c r="G49" s="352"/>
      <c r="H49" s="907"/>
    </row>
    <row r="50" spans="1:9" ht="15" customHeight="1" thickBot="1" x14ac:dyDescent="0.25">
      <c r="A50" s="768"/>
      <c r="B50" s="906"/>
      <c r="C50" s="277" t="str">
        <f>OF!C7</f>
        <v>on or close to the outer coast</v>
      </c>
      <c r="D50" s="328">
        <f>OF!D7</f>
        <v>0</v>
      </c>
      <c r="E50" s="341">
        <v>1</v>
      </c>
      <c r="F50" s="341">
        <f>D50*E50</f>
        <v>0</v>
      </c>
      <c r="G50" s="350"/>
      <c r="H50" s="774"/>
    </row>
    <row r="51" spans="1:9" ht="21" customHeight="1" thickBot="1" x14ac:dyDescent="0.25">
      <c r="A51" s="901" t="str">
        <f>OF!A8</f>
        <v>OF2</v>
      </c>
      <c r="B51" s="897" t="str">
        <f>OF!B8</f>
        <v>Geomorphic Setting</v>
      </c>
      <c r="C51" s="191" t="str">
        <f>OF!C8</f>
        <v>As viewed at a coarse (e.g., 1:24000) scale, the AA is (select one):</v>
      </c>
      <c r="D51" s="323"/>
      <c r="E51" s="331"/>
      <c r="F51" s="331"/>
      <c r="G51" s="320">
        <f>IF((D56=1),"",MAX(F52:F55)/MAX(E52:E55))</f>
        <v>0.66666666666666663</v>
      </c>
      <c r="H51" s="897" t="s">
        <v>996</v>
      </c>
      <c r="I51" s="8" t="s">
        <v>631</v>
      </c>
    </row>
    <row r="52" spans="1:9" ht="27" customHeight="1" x14ac:dyDescent="0.2">
      <c r="A52" s="901"/>
      <c r="B52" s="897"/>
      <c r="C52" s="278" t="str">
        <f>OF!C9</f>
        <v>Adjoined by a major* river, and is closer to the upriver head-of-tide than to marine bays or ocean; if known, the water salinity is &lt;5 ppt at low tide nearly all the year.</v>
      </c>
      <c r="D52" s="131">
        <f>OF!D9</f>
        <v>0</v>
      </c>
      <c r="E52" s="333">
        <v>1</v>
      </c>
      <c r="F52" s="333">
        <f>D52*E52</f>
        <v>0</v>
      </c>
      <c r="G52" s="352"/>
      <c r="H52" s="897"/>
    </row>
    <row r="53" spans="1:9" ht="27" customHeight="1" x14ac:dyDescent="0.2">
      <c r="A53" s="901"/>
      <c r="B53" s="897"/>
      <c r="C53" s="195" t="str">
        <f>OF!C10</f>
        <v>Adjoined by a major* river, and is closer to marine bays or ocean than to upriver head-of-tide; may be in a river delta; if known, the water salinity is &gt;5 ppt at low tide nearly all the year.</v>
      </c>
      <c r="D53" s="131">
        <f>OF!D10</f>
        <v>1</v>
      </c>
      <c r="E53" s="333">
        <v>2</v>
      </c>
      <c r="F53" s="333">
        <f>D53*E53</f>
        <v>2</v>
      </c>
      <c r="G53" s="352"/>
      <c r="H53" s="897"/>
    </row>
    <row r="54" spans="1:9" ht="39.75" customHeight="1" x14ac:dyDescent="0.2">
      <c r="A54" s="901"/>
      <c r="B54" s="897"/>
      <c r="C54" s="195" t="str">
        <f>OF!C11</f>
        <v xml:space="preserve">In a sheltered fish-accessible lagoon, embayment, pocket beach, or tidal slough with a relatively narrow connection to other marine waters and no direct river inputs (a small tributary may be present). </v>
      </c>
      <c r="D54" s="131">
        <f>OF!D11</f>
        <v>0</v>
      </c>
      <c r="E54" s="333">
        <v>3</v>
      </c>
      <c r="F54" s="333">
        <f>D54*E54</f>
        <v>0</v>
      </c>
      <c r="G54" s="352"/>
      <c r="H54" s="897"/>
    </row>
    <row r="55" spans="1:9" ht="15" customHeight="1" x14ac:dyDescent="0.2">
      <c r="A55" s="901"/>
      <c r="B55" s="897"/>
      <c r="C55" s="195" t="str">
        <f>OF!C12</f>
        <v>On a marine fjord, canal, or strait with no major river adjoining the AA itself.</v>
      </c>
      <c r="D55" s="131">
        <f>OF!D12</f>
        <v>0</v>
      </c>
      <c r="E55" s="333">
        <v>2</v>
      </c>
      <c r="F55" s="333">
        <f>D55*E55</f>
        <v>0</v>
      </c>
      <c r="G55" s="352"/>
      <c r="H55" s="897"/>
    </row>
    <row r="56" spans="1:9" ht="15" customHeight="1" thickBot="1" x14ac:dyDescent="0.25">
      <c r="A56" s="901"/>
      <c r="B56" s="897"/>
      <c r="C56" s="276" t="str">
        <f>OF!C13</f>
        <v>Other setting</v>
      </c>
      <c r="D56" s="325">
        <f>OF!D13</f>
        <v>0</v>
      </c>
      <c r="E56" s="335"/>
      <c r="F56" s="335"/>
      <c r="G56" s="349"/>
      <c r="H56" s="897"/>
    </row>
    <row r="57" spans="1:9" ht="45" customHeight="1" thickBot="1" x14ac:dyDescent="0.25">
      <c r="A57" s="911" t="str">
        <f>OF!A49</f>
        <v>OF10</v>
      </c>
      <c r="B57" s="905" t="str">
        <f>OF!B49</f>
        <v>Ponded Water in Landscape</v>
      </c>
      <c r="C57" s="275" t="str">
        <f>OF!C49</f>
        <v>Draw a circle of radius of 2 miles centered on the AA. The number of separate ponds and lakes (excluding ones associated with this AA, but including other non-tidal wetlands if they have &gt;1 acre of ponded open water in one patch) is:</v>
      </c>
      <c r="D57" s="338"/>
      <c r="E57" s="339"/>
      <c r="F57" s="339"/>
      <c r="G57" s="163">
        <f>MAX(F58:F63)/MAX(E58:E63)</f>
        <v>0.2857142857142857</v>
      </c>
      <c r="H57" s="905" t="s">
        <v>143</v>
      </c>
      <c r="I57" s="8" t="s">
        <v>624</v>
      </c>
    </row>
    <row r="58" spans="1:9" ht="15" customHeight="1" x14ac:dyDescent="0.2">
      <c r="A58" s="912"/>
      <c r="B58" s="897"/>
      <c r="C58" s="207">
        <f>OF!C50</f>
        <v>0</v>
      </c>
      <c r="D58" s="131">
        <f>OF!D50</f>
        <v>0</v>
      </c>
      <c r="E58" s="333">
        <v>0</v>
      </c>
      <c r="F58" s="333">
        <f t="shared" si="2"/>
        <v>0</v>
      </c>
      <c r="G58" s="352"/>
      <c r="H58" s="897"/>
    </row>
    <row r="59" spans="1:9" ht="15" customHeight="1" x14ac:dyDescent="0.2">
      <c r="A59" s="912"/>
      <c r="B59" s="897"/>
      <c r="C59" s="195" t="str">
        <f>OF!C51</f>
        <v>1 or 2</v>
      </c>
      <c r="D59" s="131">
        <f>OF!D51</f>
        <v>1</v>
      </c>
      <c r="E59" s="333">
        <v>2</v>
      </c>
      <c r="F59" s="333">
        <f t="shared" si="2"/>
        <v>2</v>
      </c>
      <c r="G59" s="352"/>
      <c r="H59" s="897"/>
    </row>
    <row r="60" spans="1:9" ht="15" customHeight="1" x14ac:dyDescent="0.2">
      <c r="A60" s="912"/>
      <c r="B60" s="897"/>
      <c r="C60" s="195" t="str">
        <f>OF!C52</f>
        <v>3 to 6</v>
      </c>
      <c r="D60" s="131">
        <f>OF!D52</f>
        <v>0</v>
      </c>
      <c r="E60" s="333">
        <v>4</v>
      </c>
      <c r="F60" s="333">
        <f t="shared" si="2"/>
        <v>0</v>
      </c>
      <c r="G60" s="352"/>
      <c r="H60" s="897"/>
    </row>
    <row r="61" spans="1:9" ht="15" customHeight="1" x14ac:dyDescent="0.2">
      <c r="A61" s="912"/>
      <c r="B61" s="897"/>
      <c r="C61" s="195" t="str">
        <f>OF!C53</f>
        <v>7 to 9</v>
      </c>
      <c r="D61" s="131">
        <f>OF!D53</f>
        <v>0</v>
      </c>
      <c r="E61" s="333">
        <v>5</v>
      </c>
      <c r="F61" s="333">
        <f t="shared" si="2"/>
        <v>0</v>
      </c>
      <c r="G61" s="352"/>
      <c r="H61" s="897"/>
    </row>
    <row r="62" spans="1:9" ht="15" customHeight="1" x14ac:dyDescent="0.2">
      <c r="A62" s="912"/>
      <c r="B62" s="897"/>
      <c r="C62" s="195" t="str">
        <f>OF!C54</f>
        <v>10 to 12</v>
      </c>
      <c r="D62" s="131">
        <f>OF!D54</f>
        <v>0</v>
      </c>
      <c r="E62" s="333">
        <v>6</v>
      </c>
      <c r="F62" s="333">
        <f t="shared" si="2"/>
        <v>0</v>
      </c>
      <c r="G62" s="352"/>
      <c r="H62" s="897"/>
    </row>
    <row r="63" spans="1:9" ht="15" customHeight="1" thickBot="1" x14ac:dyDescent="0.25">
      <c r="A63" s="913"/>
      <c r="B63" s="906"/>
      <c r="C63" s="277" t="str">
        <f>OF!C55</f>
        <v>&gt;12</v>
      </c>
      <c r="D63" s="328">
        <f>OF!D55</f>
        <v>0</v>
      </c>
      <c r="E63" s="341">
        <v>7</v>
      </c>
      <c r="F63" s="341">
        <f t="shared" si="2"/>
        <v>0</v>
      </c>
      <c r="G63" s="350"/>
      <c r="H63" s="906"/>
    </row>
    <row r="64" spans="1:9" ht="40.5" customHeight="1" thickBot="1" x14ac:dyDescent="0.25">
      <c r="A64" s="992" t="str">
        <f>OF!A56</f>
        <v>OF11</v>
      </c>
      <c r="B64" s="897" t="str">
        <f>OF!B56</f>
        <v xml:space="preserve">Distance to Lake </v>
      </c>
      <c r="C64" s="191" t="str">
        <f>OF!C56</f>
        <v>The distance from the AA edge to the closest lake (a non-tidal body of water that is ponded during most of the year and is larger than 20 acres or about 1000 ft on a side) during most of a normal year is:</v>
      </c>
      <c r="D64" s="323"/>
      <c r="E64" s="331"/>
      <c r="F64" s="331"/>
      <c r="G64" s="320">
        <f>MAX(F65:F68)/MAX(E65:E68)</f>
        <v>1</v>
      </c>
      <c r="H64" s="897" t="s">
        <v>970</v>
      </c>
      <c r="I64" s="8" t="s">
        <v>625</v>
      </c>
    </row>
    <row r="65" spans="1:9" ht="15" customHeight="1" x14ac:dyDescent="0.2">
      <c r="A65" s="992"/>
      <c r="B65" s="897"/>
      <c r="C65" s="278" t="str">
        <f>OF!C57</f>
        <v>&lt;1 mile</v>
      </c>
      <c r="D65" s="131">
        <f>OF!D57</f>
        <v>1</v>
      </c>
      <c r="E65" s="333">
        <v>5</v>
      </c>
      <c r="F65" s="333">
        <f t="shared" si="2"/>
        <v>5</v>
      </c>
      <c r="G65" s="352"/>
      <c r="H65" s="897"/>
    </row>
    <row r="66" spans="1:9" ht="15" customHeight="1" x14ac:dyDescent="0.2">
      <c r="A66" s="992"/>
      <c r="B66" s="897"/>
      <c r="C66" s="195" t="str">
        <f>OF!C58</f>
        <v>1-5 miles</v>
      </c>
      <c r="D66" s="131">
        <f>OF!D58</f>
        <v>0</v>
      </c>
      <c r="E66" s="333">
        <v>4</v>
      </c>
      <c r="F66" s="333">
        <f t="shared" si="2"/>
        <v>0</v>
      </c>
      <c r="G66" s="352"/>
      <c r="H66" s="897"/>
    </row>
    <row r="67" spans="1:9" ht="15" customHeight="1" x14ac:dyDescent="0.2">
      <c r="A67" s="992"/>
      <c r="B67" s="897"/>
      <c r="C67" s="195" t="str">
        <f>OF!C59</f>
        <v>&gt;5 miles and on the mainland or the same island</v>
      </c>
      <c r="D67" s="131">
        <f>OF!D59</f>
        <v>0</v>
      </c>
      <c r="E67" s="333">
        <v>2</v>
      </c>
      <c r="F67" s="333">
        <f t="shared" si="2"/>
        <v>0</v>
      </c>
      <c r="G67" s="352"/>
      <c r="H67" s="897"/>
    </row>
    <row r="68" spans="1:9" ht="15" customHeight="1" thickBot="1" x14ac:dyDescent="0.25">
      <c r="A68" s="992"/>
      <c r="B68" s="897"/>
      <c r="C68" s="276" t="str">
        <f>OF!C60</f>
        <v>&gt;5 miles and on a different island</v>
      </c>
      <c r="D68" s="325">
        <f>OF!D60</f>
        <v>0</v>
      </c>
      <c r="E68" s="335">
        <v>1</v>
      </c>
      <c r="F68" s="335">
        <f t="shared" si="2"/>
        <v>0</v>
      </c>
      <c r="G68" s="349"/>
      <c r="H68" s="897"/>
    </row>
    <row r="69" spans="1:9" ht="30" customHeight="1" thickBot="1" x14ac:dyDescent="0.25">
      <c r="A69" s="902" t="str">
        <f>OF!A61</f>
        <v>OF12</v>
      </c>
      <c r="B69" s="905" t="str">
        <f>OF!B61</f>
        <v>ShoreZone Habitat Diversity</v>
      </c>
      <c r="C69" s="275" t="str">
        <f>OF!C61</f>
        <v xml:space="preserve">The number of "Coastal Classes" (colors) mapped within 1 water mile of the AA, including the AA itself, is (see directions in column E): </v>
      </c>
      <c r="D69" s="338"/>
      <c r="E69" s="339"/>
      <c r="F69" s="339"/>
      <c r="G69" s="163">
        <f>MAX(F70:F72)/MAX(E70:E72)</f>
        <v>0.25</v>
      </c>
      <c r="H69" s="905" t="s">
        <v>992</v>
      </c>
      <c r="I69" s="8" t="s">
        <v>626</v>
      </c>
    </row>
    <row r="70" spans="1:9" ht="15" customHeight="1" x14ac:dyDescent="0.2">
      <c r="A70" s="903"/>
      <c r="B70" s="897"/>
      <c r="C70" s="278" t="str">
        <f>OF!C62</f>
        <v>1 or 2</v>
      </c>
      <c r="D70" s="131">
        <f>OF!D62</f>
        <v>1</v>
      </c>
      <c r="E70" s="333">
        <v>1</v>
      </c>
      <c r="F70" s="333">
        <f t="shared" si="2"/>
        <v>1</v>
      </c>
      <c r="G70" s="352"/>
      <c r="H70" s="897"/>
    </row>
    <row r="71" spans="1:9" ht="15" customHeight="1" x14ac:dyDescent="0.2">
      <c r="A71" s="903"/>
      <c r="B71" s="897"/>
      <c r="C71" s="195" t="str">
        <f>OF!C66</f>
        <v>&gt;11</v>
      </c>
      <c r="D71" s="131">
        <f>OF!D66</f>
        <v>0</v>
      </c>
      <c r="E71" s="333">
        <v>3</v>
      </c>
      <c r="F71" s="333">
        <f t="shared" si="2"/>
        <v>0</v>
      </c>
      <c r="G71" s="352"/>
      <c r="H71" s="897"/>
    </row>
    <row r="72" spans="1:9" ht="15" customHeight="1" thickBot="1" x14ac:dyDescent="0.25">
      <c r="A72" s="904"/>
      <c r="B72" s="906"/>
      <c r="C72" s="277" t="str">
        <f>OF!C67</f>
        <v>not mapped</v>
      </c>
      <c r="D72" s="328">
        <f>OF!D67</f>
        <v>0</v>
      </c>
      <c r="E72" s="341">
        <v>4</v>
      </c>
      <c r="F72" s="341">
        <f t="shared" si="2"/>
        <v>0</v>
      </c>
      <c r="G72" s="350"/>
      <c r="H72" s="906"/>
    </row>
    <row r="73" spans="1:9" ht="21" customHeight="1" thickBot="1" x14ac:dyDescent="0.25">
      <c r="A73" s="901" t="str">
        <f>OF!A68</f>
        <v>OF13</v>
      </c>
      <c r="B73" s="897" t="str">
        <f>OF!B68</f>
        <v>Biological Wave Exposure</v>
      </c>
      <c r="C73" s="191" t="str">
        <f>OF!C68</f>
        <v>The Biological Wave Exposure of most of the AA is shown as: (see directions in column E)</v>
      </c>
      <c r="D73" s="323"/>
      <c r="E73" s="331"/>
      <c r="F73" s="331"/>
      <c r="G73" s="320">
        <f>MAX(F74:F78)/MAX(E74:E78)</f>
        <v>0.8</v>
      </c>
      <c r="H73" s="897" t="s">
        <v>998</v>
      </c>
      <c r="I73" s="8" t="s">
        <v>632</v>
      </c>
    </row>
    <row r="74" spans="1:9" ht="15" customHeight="1" x14ac:dyDescent="0.2">
      <c r="A74" s="901"/>
      <c r="B74" s="897"/>
      <c r="C74" s="195" t="str">
        <f>OF!C69</f>
        <v xml:space="preserve">very protected </v>
      </c>
      <c r="D74" s="131">
        <f>OF!D69</f>
        <v>0</v>
      </c>
      <c r="E74" s="333">
        <v>5</v>
      </c>
      <c r="F74" s="333">
        <f>D74*E74</f>
        <v>0</v>
      </c>
      <c r="G74" s="352"/>
      <c r="H74" s="897"/>
    </row>
    <row r="75" spans="1:9" ht="15" customHeight="1" x14ac:dyDescent="0.2">
      <c r="A75" s="901"/>
      <c r="B75" s="897"/>
      <c r="C75" s="195" t="str">
        <f>OF!C70</f>
        <v>protected</v>
      </c>
      <c r="D75" s="131">
        <f>OF!D70</f>
        <v>1</v>
      </c>
      <c r="E75" s="333">
        <v>4</v>
      </c>
      <c r="F75" s="333">
        <f>D75*E75</f>
        <v>4</v>
      </c>
      <c r="G75" s="352"/>
      <c r="H75" s="897"/>
    </row>
    <row r="76" spans="1:9" ht="15" customHeight="1" x14ac:dyDescent="0.2">
      <c r="A76" s="901"/>
      <c r="B76" s="897"/>
      <c r="C76" s="195" t="str">
        <f>OF!C71</f>
        <v>semi-protected</v>
      </c>
      <c r="D76" s="131">
        <f>OF!D71</f>
        <v>0</v>
      </c>
      <c r="E76" s="333">
        <v>3</v>
      </c>
      <c r="F76" s="333">
        <f>D76*E76</f>
        <v>0</v>
      </c>
      <c r="G76" s="352"/>
      <c r="H76" s="897"/>
    </row>
    <row r="77" spans="1:9" ht="15" customHeight="1" x14ac:dyDescent="0.2">
      <c r="A77" s="901"/>
      <c r="B77" s="897"/>
      <c r="C77" s="195" t="str">
        <f>OF!C72</f>
        <v>semi-exposed</v>
      </c>
      <c r="D77" s="131">
        <f>OF!D72</f>
        <v>0</v>
      </c>
      <c r="E77" s="333">
        <v>2</v>
      </c>
      <c r="F77" s="333">
        <f>D77*E77</f>
        <v>0</v>
      </c>
      <c r="G77" s="352"/>
      <c r="H77" s="897"/>
    </row>
    <row r="78" spans="1:9" ht="15" customHeight="1" thickBot="1" x14ac:dyDescent="0.25">
      <c r="A78" s="901"/>
      <c r="B78" s="897"/>
      <c r="C78" s="276" t="str">
        <f>OF!C73</f>
        <v>exposed or very exposed</v>
      </c>
      <c r="D78" s="325">
        <f>OF!D74</f>
        <v>0</v>
      </c>
      <c r="E78" s="335">
        <v>1</v>
      </c>
      <c r="F78" s="335">
        <f>D78*E78</f>
        <v>0</v>
      </c>
      <c r="G78" s="349"/>
      <c r="H78" s="897"/>
    </row>
    <row r="79" spans="1:9" ht="30" customHeight="1" thickBot="1" x14ac:dyDescent="0.25">
      <c r="A79" s="911" t="str">
        <f>OF!A75</f>
        <v>OF14</v>
      </c>
      <c r="B79" s="905" t="str">
        <f>OF!B75</f>
        <v>Distance to Separate Tidal Marsh</v>
      </c>
      <c r="C79" s="275" t="str">
        <f>OF!C75</f>
        <v>The distance by water to the closest tidal marsh that is distinct from the AA (&gt;150 ft away and separated by subtidal water, permanent channel, or upland) is:</v>
      </c>
      <c r="D79" s="338"/>
      <c r="E79" s="339"/>
      <c r="F79" s="339"/>
      <c r="G79" s="163">
        <f>MAX(F80:F83)/MAX(E80:E83)</f>
        <v>1</v>
      </c>
      <c r="H79" s="905" t="s">
        <v>993</v>
      </c>
      <c r="I79" s="8" t="s">
        <v>627</v>
      </c>
    </row>
    <row r="80" spans="1:9" ht="15" customHeight="1" x14ac:dyDescent="0.2">
      <c r="A80" s="912"/>
      <c r="B80" s="897"/>
      <c r="C80" s="278" t="str">
        <f>OF!C76</f>
        <v>150-1000 ft</v>
      </c>
      <c r="D80" s="131">
        <f>OF!D76</f>
        <v>1</v>
      </c>
      <c r="E80" s="333">
        <v>5</v>
      </c>
      <c r="F80" s="333">
        <f t="shared" si="2"/>
        <v>5</v>
      </c>
      <c r="G80" s="352"/>
      <c r="H80" s="897"/>
    </row>
    <row r="81" spans="1:9" ht="15" customHeight="1" x14ac:dyDescent="0.2">
      <c r="A81" s="912"/>
      <c r="B81" s="897"/>
      <c r="C81" s="195" t="str">
        <f>OF!C77</f>
        <v>1000 ft - 1 mile</v>
      </c>
      <c r="D81" s="131">
        <f>OF!D77</f>
        <v>0</v>
      </c>
      <c r="E81" s="333">
        <v>4</v>
      </c>
      <c r="F81" s="333">
        <f t="shared" si="2"/>
        <v>0</v>
      </c>
      <c r="G81" s="352"/>
      <c r="H81" s="897"/>
    </row>
    <row r="82" spans="1:9" ht="15" customHeight="1" x14ac:dyDescent="0.2">
      <c r="A82" s="912"/>
      <c r="B82" s="897"/>
      <c r="C82" s="195" t="str">
        <f>OF!C78</f>
        <v>1-5 miles</v>
      </c>
      <c r="D82" s="131">
        <f>OF!D78</f>
        <v>0</v>
      </c>
      <c r="E82" s="333">
        <v>3</v>
      </c>
      <c r="F82" s="333">
        <f t="shared" si="2"/>
        <v>0</v>
      </c>
      <c r="G82" s="352"/>
      <c r="H82" s="897"/>
    </row>
    <row r="83" spans="1:9" ht="15" customHeight="1" thickBot="1" x14ac:dyDescent="0.25">
      <c r="A83" s="913"/>
      <c r="B83" s="906"/>
      <c r="C83" s="277" t="str">
        <f>OF!C79</f>
        <v>&gt;5 miles</v>
      </c>
      <c r="D83" s="328">
        <f>OF!D79</f>
        <v>0</v>
      </c>
      <c r="E83" s="341">
        <v>1</v>
      </c>
      <c r="F83" s="341">
        <f t="shared" si="2"/>
        <v>0</v>
      </c>
      <c r="G83" s="350"/>
      <c r="H83" s="906"/>
    </row>
    <row r="84" spans="1:9" ht="21" customHeight="1" thickBot="1" x14ac:dyDescent="0.25">
      <c r="A84" s="901" t="str">
        <f>OF!A80</f>
        <v>OF15</v>
      </c>
      <c r="B84" s="897" t="str">
        <f>OF!B80</f>
        <v>Distance to Eelgrass or Kelp</v>
      </c>
      <c r="C84" s="191" t="str">
        <f>OF!C80</f>
        <v>The distance by water to the closest patch of eelgrass or kelp is [see directions in column E]:</v>
      </c>
      <c r="D84" s="323"/>
      <c r="E84" s="331"/>
      <c r="F84" s="331"/>
      <c r="G84" s="320">
        <f>MAX(F85:F87)/MAX(E85:E87)</f>
        <v>1</v>
      </c>
      <c r="H84" s="897" t="s">
        <v>994</v>
      </c>
      <c r="I84" s="8" t="s">
        <v>628</v>
      </c>
    </row>
    <row r="85" spans="1:9" ht="15" customHeight="1" x14ac:dyDescent="0.2">
      <c r="A85" s="901"/>
      <c r="B85" s="897"/>
      <c r="C85" s="278" t="str">
        <f>OF!C81</f>
        <v>&lt;150 ft, or present within the AA</v>
      </c>
      <c r="D85" s="131">
        <f>OF!D81</f>
        <v>1</v>
      </c>
      <c r="E85" s="333">
        <v>4</v>
      </c>
      <c r="F85" s="333">
        <f t="shared" si="2"/>
        <v>4</v>
      </c>
      <c r="G85" s="352"/>
      <c r="H85" s="897"/>
    </row>
    <row r="86" spans="1:9" ht="15" customHeight="1" x14ac:dyDescent="0.2">
      <c r="A86" s="901"/>
      <c r="B86" s="897"/>
      <c r="C86" s="195" t="str">
        <f>OF!C82</f>
        <v>150-1000 ft</v>
      </c>
      <c r="D86" s="131">
        <f>OF!D82</f>
        <v>0</v>
      </c>
      <c r="E86" s="333">
        <v>3</v>
      </c>
      <c r="F86" s="333">
        <f t="shared" si="2"/>
        <v>0</v>
      </c>
      <c r="G86" s="352"/>
      <c r="H86" s="897"/>
    </row>
    <row r="87" spans="1:9" ht="15" customHeight="1" thickBot="1" x14ac:dyDescent="0.25">
      <c r="A87" s="901"/>
      <c r="B87" s="897"/>
      <c r="C87" s="276" t="str">
        <f>OF!C83</f>
        <v>&gt;1000 ft</v>
      </c>
      <c r="D87" s="325">
        <f>OF!D83</f>
        <v>0</v>
      </c>
      <c r="E87" s="335">
        <v>1</v>
      </c>
      <c r="F87" s="335">
        <f t="shared" si="2"/>
        <v>0</v>
      </c>
      <c r="G87" s="349"/>
      <c r="H87" s="897"/>
    </row>
    <row r="88" spans="1:9" ht="30" customHeight="1" thickBot="1" x14ac:dyDescent="0.25">
      <c r="A88" s="902" t="str">
        <f>OF!A84</f>
        <v>OF16</v>
      </c>
      <c r="B88" s="905" t="str">
        <f>OF!B84</f>
        <v>Adjoining Mudflat Width</v>
      </c>
      <c r="C88" s="275" t="str">
        <f>OF!C84</f>
        <v>The width of mudflat, measured at its widest point along a transect between the vegetated wetland and adjoining water that remains during mean daily low tide, is [see directions in column E]:</v>
      </c>
      <c r="D88" s="338"/>
      <c r="E88" s="339"/>
      <c r="F88" s="339"/>
      <c r="G88" s="163">
        <f>MAX(F89:F93)/MAX(E89:E93)</f>
        <v>0.8</v>
      </c>
      <c r="H88" s="905" t="s">
        <v>361</v>
      </c>
      <c r="I88" s="8" t="s">
        <v>629</v>
      </c>
    </row>
    <row r="89" spans="1:9" ht="15" customHeight="1" x14ac:dyDescent="0.2">
      <c r="A89" s="903"/>
      <c r="B89" s="897"/>
      <c r="C89" s="278" t="str">
        <f>OF!C85</f>
        <v>none (no adjoining mud flat is apparent at low tide)</v>
      </c>
      <c r="D89" s="131">
        <f>OF!D85</f>
        <v>0</v>
      </c>
      <c r="E89" s="333">
        <v>0</v>
      </c>
      <c r="F89" s="333">
        <f>D89*E89</f>
        <v>0</v>
      </c>
      <c r="G89" s="352"/>
      <c r="H89" s="897"/>
    </row>
    <row r="90" spans="1:9" ht="15" customHeight="1" x14ac:dyDescent="0.2">
      <c r="A90" s="903"/>
      <c r="B90" s="897"/>
      <c r="C90" s="195" t="str">
        <f>OF!C86</f>
        <v>&lt;10 ft</v>
      </c>
      <c r="D90" s="131">
        <f>OF!D86</f>
        <v>0</v>
      </c>
      <c r="E90" s="333">
        <v>1</v>
      </c>
      <c r="F90" s="333">
        <f>D90*E90</f>
        <v>0</v>
      </c>
      <c r="G90" s="352"/>
      <c r="H90" s="897"/>
    </row>
    <row r="91" spans="1:9" ht="15" customHeight="1" x14ac:dyDescent="0.2">
      <c r="A91" s="903"/>
      <c r="B91" s="897"/>
      <c r="C91" s="195" t="str">
        <f>OF!C87</f>
        <v>10-100 ft</v>
      </c>
      <c r="D91" s="131">
        <f>OF!D87</f>
        <v>0</v>
      </c>
      <c r="E91" s="333">
        <v>3</v>
      </c>
      <c r="F91" s="333">
        <f>D91*E91</f>
        <v>0</v>
      </c>
      <c r="G91" s="352"/>
      <c r="H91" s="897"/>
    </row>
    <row r="92" spans="1:9" ht="15" customHeight="1" x14ac:dyDescent="0.2">
      <c r="A92" s="903"/>
      <c r="B92" s="897"/>
      <c r="C92" s="195" t="str">
        <f>OF!C88</f>
        <v>100-1000 ft</v>
      </c>
      <c r="D92" s="131">
        <f>OF!D88</f>
        <v>1</v>
      </c>
      <c r="E92" s="333">
        <v>4</v>
      </c>
      <c r="F92" s="333">
        <f>D92*E92</f>
        <v>4</v>
      </c>
      <c r="G92" s="352"/>
      <c r="H92" s="897"/>
    </row>
    <row r="93" spans="1:9" ht="15" customHeight="1" thickBot="1" x14ac:dyDescent="0.25">
      <c r="A93" s="904"/>
      <c r="B93" s="906"/>
      <c r="C93" s="277" t="str">
        <f>OF!C89</f>
        <v>&gt;1000 ft</v>
      </c>
      <c r="D93" s="328">
        <f>OF!D89</f>
        <v>0</v>
      </c>
      <c r="E93" s="341">
        <v>5</v>
      </c>
      <c r="F93" s="341">
        <f>D93*E93</f>
        <v>0</v>
      </c>
      <c r="G93" s="350"/>
      <c r="H93" s="906"/>
    </row>
    <row r="94" spans="1:9" ht="45" customHeight="1" thickBot="1" x14ac:dyDescent="0.25">
      <c r="A94" s="446" t="str">
        <f>OF!A90</f>
        <v>OF17</v>
      </c>
      <c r="B94" s="6" t="str">
        <f>OF!B90</f>
        <v>Input Tributary</v>
      </c>
      <c r="C94" s="451" t="str">
        <f>OF!C90</f>
        <v xml:space="preserve">The AA is intersected by a freshwater stream (tributary) that flows during most of the growing season and originates in the upland directly adjoining this wetland. Or the AA is a fringe wetland along a river.  If yes, enter 1 and continue.  If no, enter 0 and SKIP to OF19.  </v>
      </c>
      <c r="D94" s="336"/>
      <c r="E94" s="336"/>
      <c r="F94" s="336"/>
      <c r="G94" s="163">
        <f>OF!D90</f>
        <v>1</v>
      </c>
      <c r="H94" s="6" t="s">
        <v>997</v>
      </c>
      <c r="I94" s="8" t="s">
        <v>643</v>
      </c>
    </row>
    <row r="95" spans="1:9" ht="29.25" customHeight="1" thickBot="1" x14ac:dyDescent="0.25">
      <c r="A95" s="909" t="str">
        <f>OF!A110</f>
        <v>OF23</v>
      </c>
      <c r="B95" s="908" t="str">
        <f>OF!B110</f>
        <v>Glacier Fed</v>
      </c>
      <c r="C95" s="275" t="str">
        <f>OF!C110</f>
        <v>The distance from the AA to the nearest upstream glacier which partially feeds the AA is currently:</v>
      </c>
      <c r="D95" s="338"/>
      <c r="E95" s="339"/>
      <c r="F95" s="339"/>
      <c r="G95" s="163">
        <f>IF((D102=1),"",MAX(F96:F102)/MAX(E96:E102))</f>
        <v>0</v>
      </c>
      <c r="H95" s="908" t="s">
        <v>346</v>
      </c>
      <c r="I95" s="8" t="s">
        <v>347</v>
      </c>
    </row>
    <row r="96" spans="1:9" ht="15" customHeight="1" x14ac:dyDescent="0.2">
      <c r="A96" s="910"/>
      <c r="B96" s="907"/>
      <c r="C96" s="278" t="str">
        <f>OF!C111</f>
        <v>No upstream glacier feeds the AA.</v>
      </c>
      <c r="D96" s="131">
        <f>OF!D111</f>
        <v>1</v>
      </c>
      <c r="E96" s="333">
        <v>0</v>
      </c>
      <c r="F96" s="333">
        <f t="shared" ref="F96:F102" si="3">D96*E96</f>
        <v>0</v>
      </c>
      <c r="G96" s="352"/>
      <c r="H96" s="907"/>
    </row>
    <row r="97" spans="1:10" ht="15" customHeight="1" x14ac:dyDescent="0.2">
      <c r="A97" s="910"/>
      <c r="B97" s="907"/>
      <c r="C97" s="195" t="str">
        <f>OF!C112</f>
        <v>0 - 150 ft (i.e., a glacier is essentially contiguous with the tidal marsh AA).</v>
      </c>
      <c r="D97" s="131">
        <f>OF!D112</f>
        <v>0</v>
      </c>
      <c r="E97" s="333">
        <v>5</v>
      </c>
      <c r="F97" s="333">
        <f t="shared" si="3"/>
        <v>0</v>
      </c>
      <c r="G97" s="352"/>
      <c r="H97" s="907"/>
    </row>
    <row r="98" spans="1:10" ht="15" customHeight="1" x14ac:dyDescent="0.2">
      <c r="A98" s="910"/>
      <c r="B98" s="907"/>
      <c r="C98" s="195" t="str">
        <f>OF!C113</f>
        <v>150-1000 ft</v>
      </c>
      <c r="D98" s="131">
        <f>OF!D113</f>
        <v>0</v>
      </c>
      <c r="E98" s="333">
        <v>5</v>
      </c>
      <c r="F98" s="333">
        <f t="shared" si="3"/>
        <v>0</v>
      </c>
      <c r="G98" s="352"/>
      <c r="H98" s="907"/>
    </row>
    <row r="99" spans="1:10" ht="15" customHeight="1" x14ac:dyDescent="0.2">
      <c r="A99" s="910"/>
      <c r="B99" s="907"/>
      <c r="C99" s="195" t="str">
        <f>OF!C114</f>
        <v>1000 ft - 1 mile</v>
      </c>
      <c r="D99" s="131">
        <f>OF!D114</f>
        <v>0</v>
      </c>
      <c r="E99" s="333">
        <v>4</v>
      </c>
      <c r="F99" s="333">
        <f t="shared" si="3"/>
        <v>0</v>
      </c>
      <c r="G99" s="352"/>
      <c r="H99" s="907"/>
    </row>
    <row r="100" spans="1:10" ht="15" customHeight="1" x14ac:dyDescent="0.2">
      <c r="A100" s="910"/>
      <c r="B100" s="907"/>
      <c r="C100" s="195" t="str">
        <f>OF!C115</f>
        <v>1-5 miles</v>
      </c>
      <c r="D100" s="131">
        <f>OF!D115</f>
        <v>0</v>
      </c>
      <c r="E100" s="333">
        <v>3</v>
      </c>
      <c r="F100" s="333">
        <f t="shared" si="3"/>
        <v>0</v>
      </c>
      <c r="G100" s="352"/>
      <c r="H100" s="907"/>
    </row>
    <row r="101" spans="1:10" ht="15" customHeight="1" x14ac:dyDescent="0.2">
      <c r="A101" s="910"/>
      <c r="B101" s="907"/>
      <c r="C101" s="195" t="str">
        <f>OF!C116</f>
        <v>&gt;5 miles, and densely cloudy or greenish water due to glacier is apparent at least seasonally.</v>
      </c>
      <c r="D101" s="131">
        <f>OF!D116</f>
        <v>0</v>
      </c>
      <c r="E101" s="333">
        <v>1</v>
      </c>
      <c r="F101" s="333">
        <f t="shared" si="3"/>
        <v>0</v>
      </c>
      <c r="G101" s="352"/>
      <c r="H101" s="907"/>
    </row>
    <row r="102" spans="1:10" ht="15" customHeight="1" thickBot="1" x14ac:dyDescent="0.25">
      <c r="A102" s="768"/>
      <c r="B102" s="774"/>
      <c r="C102" s="277" t="str">
        <f>OF!C117</f>
        <v>&gt;5 miles, but no such water conditions are apparent, even seasonally, or conditions unknown.</v>
      </c>
      <c r="D102" s="328">
        <f>OF!D117</f>
        <v>0</v>
      </c>
      <c r="E102" s="341">
        <v>1</v>
      </c>
      <c r="F102" s="341">
        <f t="shared" si="3"/>
        <v>0</v>
      </c>
      <c r="G102" s="350"/>
      <c r="H102" s="774"/>
    </row>
    <row r="103" spans="1:10" ht="30" customHeight="1" thickBot="1" x14ac:dyDescent="0.25">
      <c r="A103" s="446" t="str">
        <f>OF!A151</f>
        <v>OF31</v>
      </c>
      <c r="B103" s="6" t="str">
        <f>OF!B151</f>
        <v>Large Estuarine Extent</v>
      </c>
      <c r="C103" s="231" t="str">
        <f>OF!C151</f>
        <v xml:space="preserve">In Manual, see Appendix B, Table B-1.  If the AA is not within any of the units listed, enter 0.  Otherwise enter the score indicated (3, 2, or 1, see table heading). </v>
      </c>
      <c r="D103" s="336"/>
      <c r="E103" s="337"/>
      <c r="F103" s="336"/>
      <c r="G103" s="163">
        <f>OF!D151/3</f>
        <v>0</v>
      </c>
      <c r="H103" s="6" t="s">
        <v>156</v>
      </c>
      <c r="I103" s="8" t="s">
        <v>639</v>
      </c>
    </row>
    <row r="104" spans="1:10" ht="30" customHeight="1" thickBot="1" x14ac:dyDescent="0.25">
      <c r="A104" s="208" t="str">
        <f>OF!A152</f>
        <v>OF33</v>
      </c>
      <c r="B104" s="453" t="str">
        <f>OF!B152</f>
        <v>Salmonid Watershed</v>
      </c>
      <c r="C104" s="232" t="str">
        <f>OF!C152</f>
        <v xml:space="preserve">Refer to map in the Manual (Appendix A, Fig. A-1).  Suitability surrounding the AA is: 3=Very High, 2= High, 1= Moderate, 0= all other. </v>
      </c>
      <c r="D104" s="336"/>
      <c r="E104" s="323"/>
      <c r="F104" s="331"/>
      <c r="G104" s="320">
        <f>OF!D152/3</f>
        <v>1</v>
      </c>
      <c r="H104" s="194" t="s">
        <v>157</v>
      </c>
      <c r="I104" s="8" t="s">
        <v>3</v>
      </c>
    </row>
    <row r="105" spans="1:10" s="436" customFormat="1" ht="30" customHeight="1" thickBot="1" x14ac:dyDescent="0.25">
      <c r="A105" s="188" t="s">
        <v>770</v>
      </c>
      <c r="B105" s="189" t="s">
        <v>3639</v>
      </c>
      <c r="C105" s="452" t="s">
        <v>32</v>
      </c>
      <c r="D105" s="67" t="s">
        <v>805</v>
      </c>
      <c r="E105" s="67" t="s">
        <v>1017</v>
      </c>
      <c r="F105" s="67" t="s">
        <v>1018</v>
      </c>
      <c r="G105" s="421" t="s">
        <v>355</v>
      </c>
      <c r="H105" s="189" t="s">
        <v>503</v>
      </c>
      <c r="J105" s="392"/>
    </row>
    <row r="106" spans="1:10" ht="45" customHeight="1" thickBot="1" x14ac:dyDescent="0.25">
      <c r="A106" s="902" t="str">
        <f>T!A104</f>
        <v>T21</v>
      </c>
      <c r="B106" s="905" t="str">
        <f>T!B104</f>
        <v>Visibility</v>
      </c>
      <c r="C106" s="275" t="str">
        <f>T!C104</f>
        <v>The maximum percent of the wetland that is visible from the best vantage point on public roads, public parking lots, public buildings, or public maintained trails that intersect, adjoin, or are within 300 ft of the AA (select one) is:</v>
      </c>
      <c r="D106" s="338"/>
      <c r="E106" s="339"/>
      <c r="F106" s="339"/>
      <c r="G106" s="401">
        <f>MAX(F107:F109)/MAX(E107:E109)</f>
        <v>1</v>
      </c>
      <c r="H106" s="905" t="s">
        <v>158</v>
      </c>
      <c r="I106" s="8" t="s">
        <v>633</v>
      </c>
    </row>
    <row r="107" spans="1:10" ht="15" customHeight="1" x14ac:dyDescent="0.2">
      <c r="A107" s="903"/>
      <c r="B107" s="897"/>
      <c r="C107" s="278" t="str">
        <f>T!C105</f>
        <v>&lt;25%</v>
      </c>
      <c r="D107" s="132">
        <f>T!D105</f>
        <v>0</v>
      </c>
      <c r="E107" s="333">
        <v>0</v>
      </c>
      <c r="F107" s="333">
        <f>D107*E107</f>
        <v>0</v>
      </c>
      <c r="G107" s="352"/>
      <c r="H107" s="897"/>
    </row>
    <row r="108" spans="1:10" ht="15" customHeight="1" x14ac:dyDescent="0.2">
      <c r="A108" s="903"/>
      <c r="B108" s="897"/>
      <c r="C108" s="195" t="str">
        <f>T!C106</f>
        <v>25-50%</v>
      </c>
      <c r="D108" s="132">
        <f>T!D106</f>
        <v>0</v>
      </c>
      <c r="E108" s="333">
        <v>1</v>
      </c>
      <c r="F108" s="333">
        <f>D108*E108</f>
        <v>0</v>
      </c>
      <c r="G108" s="352"/>
      <c r="H108" s="897"/>
    </row>
    <row r="109" spans="1:10" ht="15" customHeight="1" thickBot="1" x14ac:dyDescent="0.25">
      <c r="A109" s="904"/>
      <c r="B109" s="906"/>
      <c r="C109" s="277" t="str">
        <f>T!C107</f>
        <v>&gt;50%</v>
      </c>
      <c r="D109" s="133">
        <f>T!D107</f>
        <v>1</v>
      </c>
      <c r="E109" s="341">
        <v>2</v>
      </c>
      <c r="F109" s="341">
        <f>D109*E109</f>
        <v>2</v>
      </c>
      <c r="G109" s="350"/>
      <c r="H109" s="906"/>
    </row>
    <row r="110" spans="1:10" ht="28.5" customHeight="1" thickBot="1" x14ac:dyDescent="0.25">
      <c r="A110" s="901" t="str">
        <f>OF!A14</f>
        <v>OF3</v>
      </c>
      <c r="B110" s="897" t="str">
        <f>OF!B14</f>
        <v>Distance to Nearest Population Center</v>
      </c>
      <c r="C110" s="191" t="str">
        <f>OF!C14</f>
        <v>From the center of the AA, the distance to the nearest population center, via the nearest maintained road, is:</v>
      </c>
      <c r="D110" s="323"/>
      <c r="E110" s="331"/>
      <c r="F110" s="331"/>
      <c r="G110" s="399">
        <f>MAX(F111:F115)/MAX(E111:E115)</f>
        <v>0.6</v>
      </c>
      <c r="H110" s="897" t="s">
        <v>159</v>
      </c>
      <c r="I110" s="8" t="s">
        <v>634</v>
      </c>
    </row>
    <row r="111" spans="1:10" ht="15" customHeight="1" x14ac:dyDescent="0.2">
      <c r="A111" s="901"/>
      <c r="B111" s="897"/>
      <c r="C111" s="278" t="str">
        <f>OF!C15</f>
        <v>&lt;0.5 mile</v>
      </c>
      <c r="D111" s="131">
        <f>OF!D15</f>
        <v>0</v>
      </c>
      <c r="E111" s="333">
        <v>5</v>
      </c>
      <c r="F111" s="333">
        <f>D111*E111</f>
        <v>0</v>
      </c>
      <c r="G111" s="352"/>
      <c r="H111" s="897"/>
    </row>
    <row r="112" spans="1:10" ht="15" customHeight="1" x14ac:dyDescent="0.2">
      <c r="A112" s="901"/>
      <c r="B112" s="897"/>
      <c r="C112" s="195" t="str">
        <f>OF!C16</f>
        <v>0.5 - 2 miles</v>
      </c>
      <c r="D112" s="131">
        <f>OF!D16</f>
        <v>1</v>
      </c>
      <c r="E112" s="333">
        <v>3</v>
      </c>
      <c r="F112" s="333">
        <f>D112*E112</f>
        <v>3</v>
      </c>
      <c r="G112" s="352"/>
      <c r="H112" s="897"/>
    </row>
    <row r="113" spans="1:9" ht="15" customHeight="1" x14ac:dyDescent="0.2">
      <c r="A113" s="901"/>
      <c r="B113" s="897"/>
      <c r="C113" s="195" t="str">
        <f>OF!C17</f>
        <v>2-5 miles</v>
      </c>
      <c r="D113" s="131">
        <f>OF!D17</f>
        <v>0</v>
      </c>
      <c r="E113" s="333">
        <v>2</v>
      </c>
      <c r="F113" s="333">
        <f>D113*E113</f>
        <v>0</v>
      </c>
      <c r="G113" s="352"/>
      <c r="H113" s="897"/>
    </row>
    <row r="114" spans="1:9" ht="15" customHeight="1" x14ac:dyDescent="0.2">
      <c r="A114" s="901"/>
      <c r="B114" s="897"/>
      <c r="C114" s="195" t="str">
        <f>OF!C18</f>
        <v>5-10 miles</v>
      </c>
      <c r="D114" s="131">
        <f>OF!D18</f>
        <v>0</v>
      </c>
      <c r="E114" s="333">
        <v>1</v>
      </c>
      <c r="F114" s="333">
        <f>D114*E114</f>
        <v>0</v>
      </c>
      <c r="G114" s="352"/>
      <c r="H114" s="897"/>
    </row>
    <row r="115" spans="1:9" ht="15" customHeight="1" thickBot="1" x14ac:dyDescent="0.25">
      <c r="A115" s="901"/>
      <c r="B115" s="897"/>
      <c r="C115" s="276" t="str">
        <f>OF!C19</f>
        <v>&gt;10 miles</v>
      </c>
      <c r="D115" s="325">
        <f>OF!D19</f>
        <v>0</v>
      </c>
      <c r="E115" s="335">
        <v>0</v>
      </c>
      <c r="F115" s="335">
        <f>D115*E115</f>
        <v>0</v>
      </c>
      <c r="G115" s="349"/>
      <c r="H115" s="897"/>
    </row>
    <row r="116" spans="1:9" ht="30" customHeight="1" thickBot="1" x14ac:dyDescent="0.25">
      <c r="A116" s="891" t="str">
        <f>OF!A75</f>
        <v>OF14</v>
      </c>
      <c r="B116" s="966" t="str">
        <f>OF!B75</f>
        <v>Distance to Separate Tidal Marsh</v>
      </c>
      <c r="C116" s="284" t="str">
        <f>OF!C75</f>
        <v>The distance by water to the closest tidal marsh that is distinct from the AA (&gt;150 ft away and separated by subtidal water, permanent channel, or upland) is:</v>
      </c>
      <c r="D116" s="338"/>
      <c r="E116" s="339"/>
      <c r="F116" s="339"/>
      <c r="G116" s="401">
        <f>MAX(F117:F120)/MAX(E117:E120)</f>
        <v>0</v>
      </c>
      <c r="H116" s="908" t="s">
        <v>88</v>
      </c>
      <c r="I116" s="8" t="s">
        <v>90</v>
      </c>
    </row>
    <row r="117" spans="1:9" ht="15" customHeight="1" x14ac:dyDescent="0.2">
      <c r="A117" s="892"/>
      <c r="B117" s="967"/>
      <c r="C117" s="285" t="str">
        <f>OF!C76</f>
        <v>150-1000 ft</v>
      </c>
      <c r="D117" s="132">
        <f>OF!D76</f>
        <v>1</v>
      </c>
      <c r="E117" s="333">
        <v>0</v>
      </c>
      <c r="F117" s="333">
        <f>D117*E117</f>
        <v>0</v>
      </c>
      <c r="G117" s="352"/>
      <c r="H117" s="907"/>
    </row>
    <row r="118" spans="1:9" ht="15" customHeight="1" x14ac:dyDescent="0.2">
      <c r="A118" s="892"/>
      <c r="B118" s="967"/>
      <c r="C118" s="286" t="str">
        <f>OF!C77</f>
        <v>1000 ft - 1 mile</v>
      </c>
      <c r="D118" s="132">
        <f>OF!D77</f>
        <v>0</v>
      </c>
      <c r="E118" s="333">
        <v>1</v>
      </c>
      <c r="F118" s="333">
        <f>D118*E118</f>
        <v>0</v>
      </c>
      <c r="G118" s="352"/>
      <c r="H118" s="907"/>
    </row>
    <row r="119" spans="1:9" ht="15" customHeight="1" x14ac:dyDescent="0.2">
      <c r="A119" s="892"/>
      <c r="B119" s="967"/>
      <c r="C119" s="286" t="str">
        <f>OF!C78</f>
        <v>1-5 miles</v>
      </c>
      <c r="D119" s="132">
        <f>OF!D78</f>
        <v>0</v>
      </c>
      <c r="E119" s="333">
        <v>2</v>
      </c>
      <c r="F119" s="333">
        <f>D119*E119</f>
        <v>0</v>
      </c>
      <c r="G119" s="352"/>
      <c r="H119" s="907"/>
    </row>
    <row r="120" spans="1:9" ht="15" customHeight="1" thickBot="1" x14ac:dyDescent="0.25">
      <c r="A120" s="892"/>
      <c r="B120" s="967"/>
      <c r="C120" s="457" t="str">
        <f>OF!C79</f>
        <v>&gt;5 miles</v>
      </c>
      <c r="D120" s="334">
        <f>OF!D79</f>
        <v>0</v>
      </c>
      <c r="E120" s="335">
        <v>4</v>
      </c>
      <c r="F120" s="335">
        <f>D120*E120</f>
        <v>0</v>
      </c>
      <c r="G120" s="349"/>
      <c r="H120" s="907"/>
    </row>
    <row r="121" spans="1:9" ht="45" customHeight="1" thickBot="1" x14ac:dyDescent="0.25">
      <c r="A121" s="446" t="str">
        <f>OF!A109</f>
        <v>OF22</v>
      </c>
      <c r="B121" s="6" t="str">
        <f>OF!B109</f>
        <v>Designated IBA</v>
      </c>
      <c r="C121" s="231" t="str">
        <f>OF!C109</f>
        <v>The AA is within or contains part of an IBA (Important Bird Area) as officially designated by the American Bird Conservancy or local affiliates.  Enter 1= yes, 0= no.  See list on right, and online Wetlands Module&gt; Habitat Layers&gt; IBA for maps.</v>
      </c>
      <c r="D121" s="336"/>
      <c r="E121" s="337"/>
      <c r="F121" s="336"/>
      <c r="G121" s="401">
        <f>OF!D109</f>
        <v>0</v>
      </c>
      <c r="H121" s="6"/>
      <c r="I121" s="8" t="s">
        <v>630</v>
      </c>
    </row>
    <row r="122" spans="1:9" ht="45" customHeight="1" thickBot="1" x14ac:dyDescent="0.25">
      <c r="A122" s="903" t="str">
        <f>OF!A161</f>
        <v>OF38</v>
      </c>
      <c r="B122" s="897" t="str">
        <f>OF!B161</f>
        <v>Non-breeding (Feeding) Waterbird Species of Conservation Concern</v>
      </c>
      <c r="C122" s="191" t="str">
        <f>OF!C161</f>
        <v>Mark just the first choice below that is true. One or more of these species -- Pacific Loon, Yellow-billed Loon, Red-necked Grebe, Horned Grebe, Trumpeter Swan -- has been detected semi-annually under conditions similar to what now occur, by a qualified observer:</v>
      </c>
      <c r="D122" s="323"/>
      <c r="E122" s="331"/>
      <c r="F122" s="331"/>
      <c r="G122" s="399" t="str">
        <f>IF((D126=1),"",MAX(F123:F126)/MAX(E123:E126))</f>
        <v/>
      </c>
      <c r="H122" s="897" t="s">
        <v>160</v>
      </c>
      <c r="I122" s="8" t="s">
        <v>635</v>
      </c>
    </row>
    <row r="123" spans="1:9" ht="15" customHeight="1" x14ac:dyDescent="0.2">
      <c r="A123" s="903"/>
      <c r="B123" s="897"/>
      <c r="C123" s="278" t="str">
        <f>OF!C162</f>
        <v xml:space="preserve">in the AA </v>
      </c>
      <c r="D123" s="131">
        <f>OF!D162</f>
        <v>0</v>
      </c>
      <c r="E123" s="333">
        <v>5</v>
      </c>
      <c r="F123" s="333">
        <f>D123*E123</f>
        <v>0</v>
      </c>
      <c r="G123" s="352"/>
      <c r="H123" s="897"/>
    </row>
    <row r="124" spans="1:9" ht="15" customHeight="1" x14ac:dyDescent="0.2">
      <c r="A124" s="903"/>
      <c r="B124" s="897"/>
      <c r="C124" s="195" t="str">
        <f>OF!C163</f>
        <v>outside the AA but within 0.5 mile, in a generally similar wetland.</v>
      </c>
      <c r="D124" s="131">
        <f>OF!D163</f>
        <v>0</v>
      </c>
      <c r="E124" s="333">
        <v>2</v>
      </c>
      <c r="F124" s="333">
        <f>D124*E124</f>
        <v>0</v>
      </c>
      <c r="G124" s="352"/>
      <c r="H124" s="897"/>
    </row>
    <row r="125" spans="1:9" ht="15" customHeight="1" x14ac:dyDescent="0.2">
      <c r="A125" s="903"/>
      <c r="B125" s="897"/>
      <c r="C125" s="195" t="str">
        <f>OF!C164</f>
        <v>outside the AA and 0.5 to 2 miles away, in a generally similar wetland.</v>
      </c>
      <c r="D125" s="131">
        <f>OF!D164</f>
        <v>0</v>
      </c>
      <c r="E125" s="333">
        <v>1</v>
      </c>
      <c r="F125" s="333">
        <f>D125*E125</f>
        <v>0</v>
      </c>
      <c r="G125" s="352"/>
      <c r="H125" s="897"/>
    </row>
    <row r="126" spans="1:9" ht="27" customHeight="1" thickBot="1" x14ac:dyDescent="0.25">
      <c r="A126" s="904"/>
      <c r="B126" s="906"/>
      <c r="C126" s="277" t="str">
        <f>OF!C165</f>
        <v>beyond 2 miles, or no recent observation of these species by a qualified observer under conditions similar to what now occur, or no data.</v>
      </c>
      <c r="D126" s="328">
        <f>OF!D165</f>
        <v>1</v>
      </c>
      <c r="E126" s="341">
        <v>0</v>
      </c>
      <c r="F126" s="341">
        <f>D126*E126</f>
        <v>0</v>
      </c>
      <c r="G126" s="350"/>
      <c r="H126" s="906"/>
    </row>
    <row r="127" spans="1:9" ht="21" customHeight="1" thickBot="1" x14ac:dyDescent="0.25">
      <c r="A127" s="887"/>
      <c r="B127" s="887"/>
      <c r="C127" s="887"/>
      <c r="D127" s="951"/>
      <c r="E127" s="951"/>
      <c r="F127" s="951"/>
      <c r="G127" s="951"/>
      <c r="H127" s="951"/>
    </row>
    <row r="128" spans="1:9" ht="21" customHeight="1" x14ac:dyDescent="0.2">
      <c r="A128" s="707"/>
      <c r="B128" s="707"/>
      <c r="C128" s="707"/>
      <c r="D128" s="985" t="s">
        <v>641</v>
      </c>
      <c r="E128" s="986"/>
      <c r="F128" s="986"/>
      <c r="G128" s="354">
        <f>AVERAGE(LowMarshT5, AVERAGE(BlindChan5,ChanComplex5), Mudflat5)</f>
        <v>0.81111111111111123</v>
      </c>
      <c r="H128" s="117" t="s">
        <v>335</v>
      </c>
    </row>
    <row r="129" spans="1:13" ht="21" customHeight="1" x14ac:dyDescent="0.2">
      <c r="A129" s="707"/>
      <c r="B129" s="707"/>
      <c r="C129" s="707"/>
      <c r="D129" s="988" t="s">
        <v>577</v>
      </c>
      <c r="E129" s="989"/>
      <c r="F129" s="989"/>
      <c r="G129" s="355">
        <f>AVERAGE(VwidthLo5, VwidthHi5, Glacier5, ShoreZdiv5, EelgDis5, TribStream5,SalmoScape5)</f>
        <v>0.6071428571428571</v>
      </c>
      <c r="H129" s="118" t="s">
        <v>25</v>
      </c>
    </row>
    <row r="130" spans="1:13" ht="32.25" customHeight="1" x14ac:dyDescent="0.2">
      <c r="A130" s="707"/>
      <c r="B130" s="707"/>
      <c r="C130" s="707"/>
      <c r="D130" s="988" t="s">
        <v>642</v>
      </c>
      <c r="E130" s="989"/>
      <c r="F130" s="989"/>
      <c r="G130" s="355">
        <f>AVERAGE(AVERAGE(LakeDist5, PondDist5,Pondscape5), AVERAGE(Core1_5, Core2_5, BMPwild), Fetch5)</f>
        <v>0.52169312169312165</v>
      </c>
      <c r="H130" s="118" t="s">
        <v>344</v>
      </c>
    </row>
    <row r="131" spans="1:13" ht="21" customHeight="1" thickBot="1" x14ac:dyDescent="0.25">
      <c r="A131" s="707"/>
      <c r="B131" s="707"/>
      <c r="C131" s="707"/>
      <c r="D131" s="990" t="s">
        <v>611</v>
      </c>
      <c r="E131" s="991"/>
      <c r="F131" s="991"/>
      <c r="G131" s="356">
        <f>AVERAGE(Geog5, RiverBay5, MarshDis5, EstuScape5)</f>
        <v>0.66666666666666663</v>
      </c>
      <c r="H131" s="119" t="s">
        <v>26</v>
      </c>
    </row>
    <row r="132" spans="1:13" ht="21" customHeight="1" thickBot="1" x14ac:dyDescent="0.25">
      <c r="A132" s="707"/>
      <c r="B132" s="707"/>
      <c r="C132" s="707"/>
      <c r="D132" s="951"/>
      <c r="E132" s="951"/>
      <c r="F132" s="951"/>
      <c r="G132" s="951"/>
      <c r="H132" s="951"/>
    </row>
    <row r="133" spans="1:13" ht="30" customHeight="1" thickBot="1" x14ac:dyDescent="0.25">
      <c r="A133" s="707"/>
      <c r="B133" s="993"/>
      <c r="C133" s="894" t="s">
        <v>644</v>
      </c>
      <c r="D133" s="895"/>
      <c r="E133" s="896"/>
      <c r="F133" s="404" t="s">
        <v>552</v>
      </c>
      <c r="G133" s="357">
        <f>10*(Lscape5+AVERAGE(Water5, Produc5,Refugia5))/2</f>
        <v>6.5665784832451486</v>
      </c>
      <c r="H133" s="70" t="s">
        <v>345</v>
      </c>
    </row>
    <row r="134" spans="1:13" ht="30" customHeight="1" thickBot="1" x14ac:dyDescent="0.25">
      <c r="A134" s="707"/>
      <c r="B134" s="993"/>
      <c r="C134" s="894" t="s">
        <v>645</v>
      </c>
      <c r="D134" s="895"/>
      <c r="E134" s="896"/>
      <c r="F134" s="404" t="s">
        <v>554</v>
      </c>
      <c r="G134" s="406">
        <f>10*MAX(AVERAGE(Visib5,PopCtr5,DistTidal5v),_IBA5,RareSp5, 0.5)</f>
        <v>5.333333333333333</v>
      </c>
      <c r="H134" s="70" t="s">
        <v>91</v>
      </c>
    </row>
    <row r="135" spans="1:13" ht="21" customHeight="1" thickBot="1" x14ac:dyDescent="0.25">
      <c r="D135" s="8"/>
      <c r="E135" s="8"/>
      <c r="F135" s="8"/>
      <c r="G135" s="8"/>
    </row>
    <row r="136" spans="1:13" ht="21" customHeight="1" thickBot="1" x14ac:dyDescent="0.25">
      <c r="D136" s="8"/>
      <c r="E136" s="8"/>
      <c r="F136" s="8"/>
      <c r="G136" s="8"/>
      <c r="H136" s="80" t="s">
        <v>377</v>
      </c>
      <c r="I136" s="3"/>
      <c r="J136" s="113"/>
      <c r="K136" s="3"/>
      <c r="L136" s="3"/>
      <c r="M136" s="3"/>
    </row>
    <row r="137" spans="1:13" ht="27" customHeight="1" x14ac:dyDescent="0.2">
      <c r="D137" s="8"/>
      <c r="E137" s="8"/>
      <c r="F137" s="8"/>
      <c r="G137" s="8"/>
      <c r="H137" s="89" t="s">
        <v>421</v>
      </c>
      <c r="I137" s="39"/>
      <c r="J137" s="114"/>
      <c r="K137" s="39"/>
      <c r="L137" s="39"/>
      <c r="M137" s="39"/>
    </row>
    <row r="138" spans="1:13" ht="42" customHeight="1" x14ac:dyDescent="0.2">
      <c r="D138" s="8"/>
      <c r="E138" s="8"/>
      <c r="F138" s="8"/>
      <c r="G138" s="8"/>
      <c r="H138" s="86" t="s">
        <v>419</v>
      </c>
      <c r="I138" s="39"/>
      <c r="J138" s="114"/>
      <c r="K138" s="39"/>
      <c r="L138" s="39"/>
      <c r="M138" s="39"/>
    </row>
    <row r="139" spans="1:13" ht="57" customHeight="1" x14ac:dyDescent="0.2">
      <c r="D139" s="8"/>
      <c r="E139" s="8"/>
      <c r="F139" s="8"/>
      <c r="G139" s="8"/>
      <c r="H139" s="86" t="s">
        <v>1107</v>
      </c>
      <c r="I139" s="3"/>
      <c r="J139" s="113"/>
      <c r="K139" s="3"/>
      <c r="L139" s="3"/>
      <c r="M139" s="3"/>
    </row>
    <row r="140" spans="1:13" ht="42" customHeight="1" x14ac:dyDescent="0.2">
      <c r="D140" s="8"/>
      <c r="E140" s="8"/>
      <c r="F140" s="8"/>
      <c r="G140" s="8"/>
      <c r="H140" s="86" t="s">
        <v>4</v>
      </c>
      <c r="I140" s="3"/>
      <c r="J140" s="113"/>
      <c r="K140" s="3"/>
      <c r="L140" s="3"/>
      <c r="M140" s="3"/>
    </row>
    <row r="141" spans="1:13" ht="57" customHeight="1" thickBot="1" x14ac:dyDescent="0.25">
      <c r="D141" s="8"/>
      <c r="E141" s="8"/>
      <c r="F141" s="8"/>
      <c r="G141" s="8"/>
      <c r="H141" s="87" t="s">
        <v>1108</v>
      </c>
      <c r="I141" s="3"/>
      <c r="J141" s="113"/>
      <c r="K141" s="3"/>
      <c r="L141" s="3"/>
      <c r="M141" s="3"/>
    </row>
    <row r="142" spans="1:13" ht="15" customHeight="1" x14ac:dyDescent="0.2">
      <c r="H142" s="34"/>
      <c r="I142" s="3"/>
      <c r="J142" s="113"/>
      <c r="K142" s="3"/>
      <c r="L142" s="3"/>
      <c r="M142" s="3"/>
    </row>
    <row r="143" spans="1:13" ht="15" customHeight="1" x14ac:dyDescent="0.2">
      <c r="I143" s="3"/>
      <c r="J143" s="113"/>
      <c r="K143" s="3"/>
      <c r="L143" s="3"/>
      <c r="M143" s="3"/>
    </row>
    <row r="144" spans="1:13" ht="15" customHeight="1" x14ac:dyDescent="0.2">
      <c r="I144" s="3"/>
      <c r="J144" s="113"/>
      <c r="K144" s="3"/>
      <c r="L144" s="3"/>
      <c r="M144" s="3"/>
    </row>
  </sheetData>
  <sheetProtection password="C74A" sheet="1" objects="1" scenarios="1" formatCells="0" formatColumns="0" formatRows="0"/>
  <mergeCells count="75">
    <mergeCell ref="E1:H1"/>
    <mergeCell ref="A133:B134"/>
    <mergeCell ref="A127:C132"/>
    <mergeCell ref="D127:H127"/>
    <mergeCell ref="D132:H132"/>
    <mergeCell ref="H43:H46"/>
    <mergeCell ref="H73:H78"/>
    <mergeCell ref="A69:A72"/>
    <mergeCell ref="H57:H63"/>
    <mergeCell ref="A51:A56"/>
    <mergeCell ref="A57:A63"/>
    <mergeCell ref="A73:A78"/>
    <mergeCell ref="B43:B46"/>
    <mergeCell ref="H69:H72"/>
    <mergeCell ref="A43:A46"/>
    <mergeCell ref="B47:B50"/>
    <mergeCell ref="H106:H109"/>
    <mergeCell ref="H88:H93"/>
    <mergeCell ref="H95:H102"/>
    <mergeCell ref="H79:H83"/>
    <mergeCell ref="H64:H68"/>
    <mergeCell ref="H84:H87"/>
    <mergeCell ref="H51:H56"/>
    <mergeCell ref="H47:H50"/>
    <mergeCell ref="A84:A87"/>
    <mergeCell ref="A79:A83"/>
    <mergeCell ref="A11:A16"/>
    <mergeCell ref="B11:B16"/>
    <mergeCell ref="H23:H29"/>
    <mergeCell ref="H30:H34"/>
    <mergeCell ref="H37:H41"/>
    <mergeCell ref="H17:H22"/>
    <mergeCell ref="A37:A41"/>
    <mergeCell ref="B17:B22"/>
    <mergeCell ref="A23:A29"/>
    <mergeCell ref="A64:A68"/>
    <mergeCell ref="B84:B87"/>
    <mergeCell ref="B64:B68"/>
    <mergeCell ref="C133:E133"/>
    <mergeCell ref="C134:E134"/>
    <mergeCell ref="D129:F129"/>
    <mergeCell ref="D130:F130"/>
    <mergeCell ref="D131:F131"/>
    <mergeCell ref="H122:H126"/>
    <mergeCell ref="H116:H120"/>
    <mergeCell ref="H110:H115"/>
    <mergeCell ref="A1:B1"/>
    <mergeCell ref="A95:A102"/>
    <mergeCell ref="B95:B102"/>
    <mergeCell ref="A47:A50"/>
    <mergeCell ref="B3:B10"/>
    <mergeCell ref="H3:H10"/>
    <mergeCell ref="H11:H16"/>
    <mergeCell ref="A30:A34"/>
    <mergeCell ref="B37:B41"/>
    <mergeCell ref="B23:B29"/>
    <mergeCell ref="B30:B34"/>
    <mergeCell ref="A17:A22"/>
    <mergeCell ref="A3:A10"/>
    <mergeCell ref="D128:F128"/>
    <mergeCell ref="A122:A126"/>
    <mergeCell ref="B69:B72"/>
    <mergeCell ref="B122:B126"/>
    <mergeCell ref="B51:B56"/>
    <mergeCell ref="B73:B78"/>
    <mergeCell ref="B57:B63"/>
    <mergeCell ref="A116:A120"/>
    <mergeCell ref="B116:B120"/>
    <mergeCell ref="B110:B115"/>
    <mergeCell ref="A110:A115"/>
    <mergeCell ref="A106:A109"/>
    <mergeCell ref="B106:B109"/>
    <mergeCell ref="B88:B93"/>
    <mergeCell ref="B79:B83"/>
    <mergeCell ref="A88:A93"/>
  </mergeCells>
  <phoneticPr fontId="19" type="noConversion"/>
  <pageMargins left="0.75" right="0.75" top="1" bottom="1" header="0.5" footer="0.5"/>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260</vt:i4>
      </vt:variant>
    </vt:vector>
  </HeadingPairs>
  <TitlesOfParts>
    <vt:vector size="278" baseType="lpstr">
      <vt:lpstr>OF</vt:lpstr>
      <vt:lpstr>T</vt:lpstr>
      <vt:lpstr>S</vt:lpstr>
      <vt:lpstr>Scores</vt:lpstr>
      <vt:lpstr>SR</vt:lpstr>
      <vt:lpstr>CS</vt:lpstr>
      <vt:lpstr>OE</vt:lpstr>
      <vt:lpstr>FA</vt:lpstr>
      <vt:lpstr>WBF</vt:lpstr>
      <vt:lpstr>SBM</vt:lpstr>
      <vt:lpstr>PH</vt:lpstr>
      <vt:lpstr>PU</vt:lpstr>
      <vt:lpstr>Subsis</vt:lpstr>
      <vt:lpstr>Sens</vt:lpstr>
      <vt:lpstr>STR</vt:lpstr>
      <vt:lpstr>NonNtvPlants</vt:lpstr>
      <vt:lpstr>PlantList</vt:lpstr>
      <vt:lpstr>How Scored</vt:lpstr>
      <vt:lpstr>_IBA5</vt:lpstr>
      <vt:lpstr>_IBA6</vt:lpstr>
      <vt:lpstr>_Ice12</vt:lpstr>
      <vt:lpstr>_LWD7</vt:lpstr>
      <vt:lpstr>aa</vt:lpstr>
      <vt:lpstr>Access4</vt:lpstr>
      <vt:lpstr>Accum2</vt:lpstr>
      <vt:lpstr>Accum3</vt:lpstr>
      <vt:lpstr>AllLowMarsh9</vt:lpstr>
      <vt:lpstr>AltTiming</vt:lpstr>
      <vt:lpstr>AnadAccess</vt:lpstr>
      <vt:lpstr>AqCov4</vt:lpstr>
      <vt:lpstr>AreaTrend1</vt:lpstr>
      <vt:lpstr>AreaTrend2</vt:lpstr>
      <vt:lpstr>Aspect6</vt:lpstr>
      <vt:lpstr>Bare7</vt:lpstr>
      <vt:lpstr>Barrier6</vt:lpstr>
      <vt:lpstr>BarriersAlt</vt:lpstr>
      <vt:lpstr>BayRiver3</vt:lpstr>
      <vt:lpstr>BayRiver6</vt:lpstr>
      <vt:lpstr>BearShed4</vt:lpstr>
      <vt:lpstr>Bearshed6</vt:lpstr>
      <vt:lpstr>Bearshed7</vt:lpstr>
      <vt:lpstr>Beaver12</vt:lpstr>
      <vt:lpstr>BlindChan3</vt:lpstr>
      <vt:lpstr>BlindChan4</vt:lpstr>
      <vt:lpstr>BlindChan5</vt:lpstr>
      <vt:lpstr>BMP18s</vt:lpstr>
      <vt:lpstr>BMP6w</vt:lpstr>
      <vt:lpstr>BMPwild</vt:lpstr>
      <vt:lpstr>BuffCovPct1</vt:lpstr>
      <vt:lpstr>BuffLC6</vt:lpstr>
      <vt:lpstr>BuffLCpct4</vt:lpstr>
      <vt:lpstr>BuffLCtype4</vt:lpstr>
      <vt:lpstr>BuffLCtype6</vt:lpstr>
      <vt:lpstr>BuffLUtyp7</vt:lpstr>
      <vt:lpstr>BuffNatPct18</vt:lpstr>
      <vt:lpstr>BuffNatPct7</vt:lpstr>
      <vt:lpstr>BuffSlope1</vt:lpstr>
      <vt:lpstr>BuffSlope18</vt:lpstr>
      <vt:lpstr>BuffSlope2</vt:lpstr>
      <vt:lpstr>CAcover1</vt:lpstr>
      <vt:lpstr>ChanComplex3</vt:lpstr>
      <vt:lpstr>ChanComplex4</vt:lpstr>
      <vt:lpstr>ChanComplex5</vt:lpstr>
      <vt:lpstr>Cliffs6</vt:lpstr>
      <vt:lpstr>Climate12</vt:lpstr>
      <vt:lpstr>ConservSite</vt:lpstr>
      <vt:lpstr>Constric4</vt:lpstr>
      <vt:lpstr>ConsumpUse</vt:lpstr>
      <vt:lpstr>Convenience</vt:lpstr>
      <vt:lpstr>Core1_5</vt:lpstr>
      <vt:lpstr>Core1_7</vt:lpstr>
      <vt:lpstr>Core1alt</vt:lpstr>
      <vt:lpstr>Core1PU</vt:lpstr>
      <vt:lpstr>Core2_5</vt:lpstr>
      <vt:lpstr>Core2_7</vt:lpstr>
      <vt:lpstr>Core2alt</vt:lpstr>
      <vt:lpstr>Core2PU</vt:lpstr>
      <vt:lpstr>Dist2Nat7</vt:lpstr>
      <vt:lpstr>DistEelg4</vt:lpstr>
      <vt:lpstr>DistNatur6</vt:lpstr>
      <vt:lpstr>DistTidal4v</vt:lpstr>
      <vt:lpstr>DistTidal5v</vt:lpstr>
      <vt:lpstr>DistTidal7v</vt:lpstr>
      <vt:lpstr>DistTidalM4</vt:lpstr>
      <vt:lpstr>DistTidalPU</vt:lpstr>
      <vt:lpstr>DrierCA</vt:lpstr>
      <vt:lpstr>DrierIn</vt:lpstr>
      <vt:lpstr>DrierIn2</vt:lpstr>
      <vt:lpstr>DrierUp2</vt:lpstr>
      <vt:lpstr>Driftwd7</vt:lpstr>
      <vt:lpstr>EdgeShape6</vt:lpstr>
      <vt:lpstr>EelgDis5</vt:lpstr>
      <vt:lpstr>Eelgrass1</vt:lpstr>
      <vt:lpstr>Elev</vt:lpstr>
      <vt:lpstr>ErodAlt</vt:lpstr>
      <vt:lpstr>Erode1</vt:lpstr>
      <vt:lpstr>EstuScape5</vt:lpstr>
      <vt:lpstr>Exporting3</vt:lpstr>
      <vt:lpstr>Fetch1</vt:lpstr>
      <vt:lpstr>Fetch18</vt:lpstr>
      <vt:lpstr>Fetch2</vt:lpstr>
      <vt:lpstr>Fetch3</vt:lpstr>
      <vt:lpstr>Fetch5</vt:lpstr>
      <vt:lpstr>Fetch6</vt:lpstr>
      <vt:lpstr>FishAccess</vt:lpstr>
      <vt:lpstr>Fishblock</vt:lpstr>
      <vt:lpstr>Fishblock4</vt:lpstr>
      <vt:lpstr>FloodPct3</vt:lpstr>
      <vt:lpstr>FloodPct4</vt:lpstr>
      <vt:lpstr>Gcover1</vt:lpstr>
      <vt:lpstr>Gcover2</vt:lpstr>
      <vt:lpstr>Geog2</vt:lpstr>
      <vt:lpstr>Geog3</vt:lpstr>
      <vt:lpstr>Geog4</vt:lpstr>
      <vt:lpstr>Geog5</vt:lpstr>
      <vt:lpstr>Geog6</vt:lpstr>
      <vt:lpstr>Geograph5</vt:lpstr>
      <vt:lpstr>Glacier1</vt:lpstr>
      <vt:lpstr>Glacier2</vt:lpstr>
      <vt:lpstr>Glacier5</vt:lpstr>
      <vt:lpstr>GramForb7</vt:lpstr>
      <vt:lpstr>Groundw4</vt:lpstr>
      <vt:lpstr>Groundw7</vt:lpstr>
      <vt:lpstr>HerbDomin7</vt:lpstr>
      <vt:lpstr>HighMarsh2</vt:lpstr>
      <vt:lpstr>Hydro12</vt:lpstr>
      <vt:lpstr>IFDRY2</vt:lpstr>
      <vt:lpstr>IFNOOUT2</vt:lpstr>
      <vt:lpstr>IFOUT2</vt:lpstr>
      <vt:lpstr>ImpervAlt</vt:lpstr>
      <vt:lpstr>Inflo2</vt:lpstr>
      <vt:lpstr>InvasPot7</vt:lpstr>
      <vt:lpstr>Investment</vt:lpstr>
      <vt:lpstr>Lake12</vt:lpstr>
      <vt:lpstr>LakeDist5</vt:lpstr>
      <vt:lpstr>LCaltTyp7</vt:lpstr>
      <vt:lpstr>LCaltType6</vt:lpstr>
      <vt:lpstr>LowMarshT1</vt:lpstr>
      <vt:lpstr>LowMarshT2</vt:lpstr>
      <vt:lpstr>LowMarshT3</vt:lpstr>
      <vt:lpstr>LowMarshT4</vt:lpstr>
      <vt:lpstr>LowMarshT5</vt:lpstr>
      <vt:lpstr>LowMarshT6</vt:lpstr>
      <vt:lpstr>LowMarshT7</vt:lpstr>
      <vt:lpstr>Lscape12</vt:lpstr>
      <vt:lpstr>Lscape4</vt:lpstr>
      <vt:lpstr>Lscape5</vt:lpstr>
      <vt:lpstr>Lscape6</vt:lpstr>
      <vt:lpstr>Lscape7</vt:lpstr>
      <vt:lpstr>MarshAge18</vt:lpstr>
      <vt:lpstr>MarshAge2</vt:lpstr>
      <vt:lpstr>MarshAge6</vt:lpstr>
      <vt:lpstr>MarshDis5</vt:lpstr>
      <vt:lpstr>MarshDist18</vt:lpstr>
      <vt:lpstr>Meth2</vt:lpstr>
      <vt:lpstr>MethLimit2</vt:lpstr>
      <vt:lpstr>MitigSite</vt:lpstr>
      <vt:lpstr>Mtrend18</vt:lpstr>
      <vt:lpstr>Mudflat1</vt:lpstr>
      <vt:lpstr>Mudflat5</vt:lpstr>
      <vt:lpstr>NatDistAlt</vt:lpstr>
      <vt:lpstr>NatPct6</vt:lpstr>
      <vt:lpstr>NatPct7</vt:lpstr>
      <vt:lpstr>NatPctAlt</vt:lpstr>
      <vt:lpstr>NatTypeAlt</vt:lpstr>
      <vt:lpstr>NearLakeWet4</vt:lpstr>
      <vt:lpstr>NearNontidal4</vt:lpstr>
      <vt:lpstr>NearPond</vt:lpstr>
      <vt:lpstr>Nfix18</vt:lpstr>
      <vt:lpstr>NoDisturb</vt:lpstr>
      <vt:lpstr>NontidalNear5</vt:lpstr>
      <vt:lpstr>NoSubsist</vt:lpstr>
      <vt:lpstr>OppRarity1</vt:lpstr>
      <vt:lpstr>Subsis!OwnershpPU</vt:lpstr>
      <vt:lpstr>OwnershpPU</vt:lpstr>
      <vt:lpstr>PatchSize6</vt:lpstr>
      <vt:lpstr>PatchSize7</vt:lpstr>
      <vt:lpstr>PondConnec4</vt:lpstr>
      <vt:lpstr>PondDist4</vt:lpstr>
      <vt:lpstr>PondDist5</vt:lpstr>
      <vt:lpstr>PondPassage4</vt:lpstr>
      <vt:lpstr>Pondscape5</vt:lpstr>
      <vt:lpstr>PopCtr4</vt:lpstr>
      <vt:lpstr>PopCtr5</vt:lpstr>
      <vt:lpstr>PopCtr6</vt:lpstr>
      <vt:lpstr>PopCtr7</vt:lpstr>
      <vt:lpstr>PopCtrAlt</vt:lpstr>
      <vt:lpstr>Subsis!PopCtrPU</vt:lpstr>
      <vt:lpstr>PopCtrPU</vt:lpstr>
      <vt:lpstr>Scores!Print_Area</vt:lpstr>
      <vt:lpstr>T!Print_Area</vt:lpstr>
      <vt:lpstr>Produc12</vt:lpstr>
      <vt:lpstr>Produc2</vt:lpstr>
      <vt:lpstr>Produc3</vt:lpstr>
      <vt:lpstr>Produc4</vt:lpstr>
      <vt:lpstr>Produc5</vt:lpstr>
      <vt:lpstr>Productiv6</vt:lpstr>
      <vt:lpstr>RareBird6</vt:lpstr>
      <vt:lpstr>RarePlant18</vt:lpstr>
      <vt:lpstr>RarePlant7</vt:lpstr>
      <vt:lpstr>RareSp5</vt:lpstr>
      <vt:lpstr>RareWaterBird</vt:lpstr>
      <vt:lpstr>RareWildlife</vt:lpstr>
      <vt:lpstr>RecPoten1</vt:lpstr>
      <vt:lpstr>RecPotenPU</vt:lpstr>
      <vt:lpstr>Refugia5</vt:lpstr>
      <vt:lpstr>RiverBay2</vt:lpstr>
      <vt:lpstr>RiverBay4</vt:lpstr>
      <vt:lpstr>RiverBay5</vt:lpstr>
      <vt:lpstr>RiverBay7</vt:lpstr>
      <vt:lpstr>RoadDist6</vt:lpstr>
      <vt:lpstr>RoadDist7</vt:lpstr>
      <vt:lpstr>RoadsAlt</vt:lpstr>
      <vt:lpstr>Salin7</vt:lpstr>
      <vt:lpstr>SalmoScape5</vt:lpstr>
      <vt:lpstr>Salmoshed20</vt:lpstr>
      <vt:lpstr>SalmoShed4</vt:lpstr>
      <vt:lpstr>SciUse</vt:lpstr>
      <vt:lpstr>SedCA</vt:lpstr>
      <vt:lpstr>ShoreAnum4</vt:lpstr>
      <vt:lpstr>ShoreZdiv4</vt:lpstr>
      <vt:lpstr>ShoreZdiv5</vt:lpstr>
      <vt:lpstr>SizeAlt</vt:lpstr>
      <vt:lpstr>SoilAltIn</vt:lpstr>
      <vt:lpstr>SoilTex2</vt:lpstr>
      <vt:lpstr>SoilTex7</vt:lpstr>
      <vt:lpstr>StreamDist4</vt:lpstr>
      <vt:lpstr>StreamGrad3</vt:lpstr>
      <vt:lpstr>Stress12</vt:lpstr>
      <vt:lpstr>Struc12</vt:lpstr>
      <vt:lpstr>Struc4</vt:lpstr>
      <vt:lpstr>Struc7</vt:lpstr>
      <vt:lpstr>Structure6</vt:lpstr>
      <vt:lpstr>Subsis4</vt:lpstr>
      <vt:lpstr>Subsist20</vt:lpstr>
      <vt:lpstr>Substrate7</vt:lpstr>
      <vt:lpstr>TidePctDry7</vt:lpstr>
      <vt:lpstr>TidePctHi6</vt:lpstr>
      <vt:lpstr>TidePctLo5</vt:lpstr>
      <vt:lpstr>TidePctLow3</vt:lpstr>
      <vt:lpstr>TidePctLow4</vt:lpstr>
      <vt:lpstr>TidePd</vt:lpstr>
      <vt:lpstr>TideRegime2</vt:lpstr>
      <vt:lpstr>TmarshAge7</vt:lpstr>
      <vt:lpstr>TmarshShed4</vt:lpstr>
      <vt:lpstr>ToxData4</vt:lpstr>
      <vt:lpstr>ToxDoc</vt:lpstr>
      <vt:lpstr>ToxicsIn</vt:lpstr>
      <vt:lpstr>Transport1</vt:lpstr>
      <vt:lpstr>TransptAlt</vt:lpstr>
      <vt:lpstr>Trib4</vt:lpstr>
      <vt:lpstr>TribDist1</vt:lpstr>
      <vt:lpstr>TribFresh6</vt:lpstr>
      <vt:lpstr>TribGrad</vt:lpstr>
      <vt:lpstr>TribIn3</vt:lpstr>
      <vt:lpstr>TribInput5</vt:lpstr>
      <vt:lpstr>TribStream5</vt:lpstr>
      <vt:lpstr>TributaryIn</vt:lpstr>
      <vt:lpstr>VegClear</vt:lpstr>
      <vt:lpstr>VegConn6</vt:lpstr>
      <vt:lpstr>Visib5</vt:lpstr>
      <vt:lpstr>VisibAlt</vt:lpstr>
      <vt:lpstr>VisibPU</vt:lpstr>
      <vt:lpstr>Vwidth1</vt:lpstr>
      <vt:lpstr>VwidthHi18</vt:lpstr>
      <vt:lpstr>VwidthHi5</vt:lpstr>
      <vt:lpstr>VwidthHi6</vt:lpstr>
      <vt:lpstr>VwidthHi7</vt:lpstr>
      <vt:lpstr>VwidthHigh2</vt:lpstr>
      <vt:lpstr>VwidthHigh4</vt:lpstr>
      <vt:lpstr>VwidthLo5</vt:lpstr>
      <vt:lpstr>VwidthLow2</vt:lpstr>
      <vt:lpstr>VwidthLow3</vt:lpstr>
      <vt:lpstr>Water12</vt:lpstr>
      <vt:lpstr>Water5</vt:lpstr>
      <vt:lpstr>WetterCA</vt:lpstr>
      <vt:lpstr>WetterIn</vt:lpstr>
      <vt:lpstr>Wettype12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Adamus</dc:creator>
  <cp:lastModifiedBy>paul adamus</cp:lastModifiedBy>
  <cp:lastPrinted>2011-11-26T03:33:30Z</cp:lastPrinted>
  <dcterms:created xsi:type="dcterms:W3CDTF">2007-07-23T17:47:56Z</dcterms:created>
  <dcterms:modified xsi:type="dcterms:W3CDTF">2022-05-25T19:27:09Z</dcterms:modified>
</cp:coreProperties>
</file>