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D:\Paul\documents\Alaska_NearshoreTidal\FINAL\"/>
    </mc:Choice>
  </mc:AlternateContent>
  <xr:revisionPtr revIDLastSave="0" documentId="13_ncr:1_{7230F4C8-C323-4B4A-9E07-162A555B182D}" xr6:coauthVersionLast="47" xr6:coauthVersionMax="47" xr10:uidLastSave="{00000000-0000-0000-0000-000000000000}"/>
  <bookViews>
    <workbookView xWindow="-120" yWindow="-120" windowWidth="29040" windowHeight="15840" tabRatio="919" activeTab="6" xr2:uid="{00000000-000D-0000-FFFF-FFFF00000000}"/>
  </bookViews>
  <sheets>
    <sheet name="Intro" sheetId="20" r:id="rId1"/>
    <sheet name="DIRECTIONS" sheetId="19" r:id="rId2"/>
    <sheet name="1_FormDB" sheetId="1" r:id="rId3"/>
    <sheet name="2_FormM" sheetId="2" r:id="rId4"/>
    <sheet name="3_FormF" sheetId="3" r:id="rId5"/>
    <sheet name="4_Biosurvey" sheetId="4" r:id="rId6"/>
    <sheet name="RESULTS" sheetId="18" r:id="rId7"/>
    <sheet name="SubsidyFunction" sheetId="16" r:id="rId8"/>
    <sheet name="FoodWebDiversity" sheetId="8" r:id="rId9"/>
    <sheet name="FocalFish" sheetId="10" r:id="rId10"/>
    <sheet name="Sea&amp;ShoreBirds" sheetId="12" r:id="rId11"/>
    <sheet name="Pinnipeds" sheetId="11" r:id="rId12"/>
    <sheet name="BufferWildlife" sheetId="13" r:id="rId13"/>
    <sheet name="FilterFunction" sheetId="15" r:id="rId14"/>
  </sheets>
  <externalReferences>
    <externalReference r:id="rId15"/>
  </externalReferences>
  <definedNames>
    <definedName name="A4r">'Sea&amp;ShoreBirds'!$E$37</definedName>
    <definedName name="algapct">'3_FormF'!$F$12</definedName>
    <definedName name="altered">'3_FormF'!$F$39</definedName>
    <definedName name="armoring">'3_FormF'!$F$49</definedName>
    <definedName name="BarnacleMax">'4_Biosurvey'!$D$6</definedName>
    <definedName name="BCclass">'1_FormDB'!$C$4</definedName>
    <definedName name="BCclass2">FoodWebDiversity!$C$3</definedName>
    <definedName name="BCclassScore">FoodWebDiversity!$C$3</definedName>
    <definedName name="bearhab">'1_FormDB'!$C$22</definedName>
    <definedName name="berries">'3_FormF'!$F$76</definedName>
    <definedName name="BirdHotSpot" localSheetId="12">#REF!</definedName>
    <definedName name="BirdHotSpot" localSheetId="13">#REF!</definedName>
    <definedName name="BirdHotSpot" localSheetId="9">#REF!</definedName>
    <definedName name="BirdHotSpot" localSheetId="8">#REF!</definedName>
    <definedName name="BirdHotSpot" localSheetId="11">#REF!</definedName>
    <definedName name="BirdHotSpot" localSheetId="7">#REF!</definedName>
    <definedName name="BirdHotSpot">#REF!</definedName>
    <definedName name="birdspot">#REF!</definedName>
    <definedName name="boats">'3_FormF'!$F$57</definedName>
    <definedName name="BufferWildlifeScore">BufferWildlife!$E$27</definedName>
    <definedName name="buffwidth">'2_FormM'!$D$6</definedName>
    <definedName name="C_outF">'1_FormDB'!$C$31</definedName>
    <definedName name="C_outS">'1_FormDB'!$C$30</definedName>
    <definedName name="classfreq">'1_FormDB'!$C$5</definedName>
    <definedName name="deerhab">'1_FormDB'!$C$21</definedName>
    <definedName name="DidBiosurvey">'4_Biosurvey'!$C$2</definedName>
    <definedName name="distAnad">'1_FormDB'!$C$17</definedName>
    <definedName name="distbdg">'2_FormM'!$D$11</definedName>
    <definedName name="distpond">'2_FormM'!$D$9</definedName>
    <definedName name="distpop">'2_FormM'!$D$10</definedName>
    <definedName name="distsameclass">'2_FormM'!$D$12</definedName>
    <definedName name="diststream">'2_FormM'!$D$8</definedName>
    <definedName name="eaglenests">'2_FormM'!$D$15</definedName>
    <definedName name="eelgrass">'1_FormDB'!$C$11</definedName>
    <definedName name="eulachon">'1_FormDB'!$C$15</definedName>
    <definedName name="exposure">'1_FormDB'!$C$7</definedName>
    <definedName name="factorA1">SubsidyFunction!$E$20</definedName>
    <definedName name="factorA2">FoodWebDiversity!$E$29</definedName>
    <definedName name="factorA3">FocalFish!$E$20</definedName>
    <definedName name="factorA4">'Sea&amp;ShoreBirds'!$E$32</definedName>
    <definedName name="factorA4r">'Sea&amp;ShoreBirds'!$E$37</definedName>
    <definedName name="factorA5">BufferWildlife!$E$29</definedName>
    <definedName name="FactorB1">SubsidyFunction!$E$21</definedName>
    <definedName name="FactorB1r">SubsidyFunction!$E$24</definedName>
    <definedName name="factorB2">FoodWebDiversity!$E$30</definedName>
    <definedName name="factorB3">FocalFish!$E$21</definedName>
    <definedName name="factorB4">'Sea&amp;ShoreBirds'!$E$33</definedName>
    <definedName name="factorB5">BufferWildlife!$E$30</definedName>
    <definedName name="FactorC1">SubsidyFunction!$E$22</definedName>
    <definedName name="factorC2">FoodWebDiversity!$E$31</definedName>
    <definedName name="factorC3">FocalFish!$E$22</definedName>
    <definedName name="factorC4">'Sea&amp;ShoreBirds'!$E$34</definedName>
    <definedName name="factorC5">BufferWildlife!$E$31</definedName>
    <definedName name="factorD2">FoodWebDiversity!$E$32</definedName>
    <definedName name="factorD3">FocalFish!$E$23</definedName>
    <definedName name="factorD4">'Sea&amp;ShoreBirds'!$E$35</definedName>
    <definedName name="factorD5">BufferWildlife!$E$32</definedName>
    <definedName name="factorE2">FoodWebDiversity!$E$33</definedName>
    <definedName name="factorE3">FocalFish!$E$24</definedName>
    <definedName name="factorE5">BufferWildlife!$E$33</definedName>
    <definedName name="factorF2">FoodWebDiversity!$E$34</definedName>
    <definedName name="FFmapped" localSheetId="12">#REF!</definedName>
    <definedName name="FFmapped" localSheetId="13">#REF!</definedName>
    <definedName name="FFmapped" localSheetId="9">#REF!</definedName>
    <definedName name="FFmapped" localSheetId="8">#REF!</definedName>
    <definedName name="FFmapped" localSheetId="11">#REF!</definedName>
    <definedName name="FFmapped" localSheetId="7">#REF!</definedName>
    <definedName name="FFmapped">#REF!</definedName>
    <definedName name="FFmapped2">#REF!</definedName>
    <definedName name="FilterScore">FilterFunction!$D$11</definedName>
    <definedName name="floodpct">'3_FormF'!$F$3</definedName>
    <definedName name="FocalFishScore">FocalFish!$E$18</definedName>
    <definedName name="FoodWebScore">FoodWebDiversity!$E$26</definedName>
    <definedName name="FoodWebScoreR">FoodWebDiversity!$E$27</definedName>
    <definedName name="Freshw" localSheetId="12">#REF!</definedName>
    <definedName name="Freshw" localSheetId="13">#REF!</definedName>
    <definedName name="Freshw" localSheetId="9">#REF!</definedName>
    <definedName name="Freshw" localSheetId="8">#REF!</definedName>
    <definedName name="Freshw" localSheetId="11">#REF!</definedName>
    <definedName name="Freshw" localSheetId="7">#REF!</definedName>
    <definedName name="Freshw">#REF!</definedName>
    <definedName name="haulout">'1_FormDB'!$C$18</definedName>
    <definedName name="HauloutOnsite" localSheetId="12">#REF!</definedName>
    <definedName name="HauloutOnsite" localSheetId="13">#REF!</definedName>
    <definedName name="HauloutOnsite" localSheetId="9">#REF!</definedName>
    <definedName name="HauloutOnsite" localSheetId="8">#REF!</definedName>
    <definedName name="HauloutOnsite" localSheetId="11">#REF!</definedName>
    <definedName name="HauloutOnsite" localSheetId="7">#REF!</definedName>
    <definedName name="HauloutOnsite">#REF!</definedName>
    <definedName name="herring">'1_FormDB'!$C$16</definedName>
    <definedName name="intactness">'1_FormDB'!$C$29</definedName>
    <definedName name="InvertBiomass">'4_Biosurvey'!$D$11</definedName>
    <definedName name="INW" localSheetId="12">[1]OF!#REF!</definedName>
    <definedName name="INW" localSheetId="13">[1]OF!#REF!</definedName>
    <definedName name="INW" localSheetId="9">[1]OF!#REF!</definedName>
    <definedName name="INW" localSheetId="8">[1]OF!#REF!</definedName>
    <definedName name="INW" localSheetId="11">[1]OF!#REF!</definedName>
    <definedName name="INW" localSheetId="7">[1]OF!#REF!</definedName>
    <definedName name="INW">[1]OF!#REF!</definedName>
    <definedName name="karst">'1_FormDB'!$C$32</definedName>
    <definedName name="kelp">'1_FormDB'!$C$12</definedName>
    <definedName name="kelppct">'3_FormF'!$F$21</definedName>
    <definedName name="LimpetMax">'4_Biosurvey'!$D$7</definedName>
    <definedName name="Lwood">'3_FormF'!$F$31</definedName>
    <definedName name="marsh">'1_FormDB'!$C$13</definedName>
    <definedName name="marshwidth">'2_FormM'!$D$5</definedName>
    <definedName name="mussel">'1_FormDB'!$C$14</definedName>
    <definedName name="MusselMax">'4_Biosurvey'!$D$5</definedName>
    <definedName name="muting">'3_FormF'!$F$53</definedName>
    <definedName name="nfixers">'3_FormF'!$F$70</definedName>
    <definedName name="NoPlantSurvey" localSheetId="12">#REF!</definedName>
    <definedName name="NoPlantSurvey" localSheetId="13">#REF!</definedName>
    <definedName name="NoPlantSurvey" localSheetId="9">#REF!</definedName>
    <definedName name="NoPlantSurvey" localSheetId="8">#REF!</definedName>
    <definedName name="NoPlantSurvey" localSheetId="11">#REF!</definedName>
    <definedName name="NoPlantSurvey" localSheetId="7">#REF!</definedName>
    <definedName name="NoPlantSurvey">#REF!</definedName>
    <definedName name="num_inverts">#REF!</definedName>
    <definedName name="num_inverts1">'4_Biosurvey'!$C$4</definedName>
    <definedName name="num_seaweeds">'4_Biosurvey'!#REF!</definedName>
    <definedName name="num_seaweeds1">'4_Biosurvey'!$C$3</definedName>
    <definedName name="NumAlgaSpp">'4_Biosurvey'!$D$3</definedName>
    <definedName name="numbands1">'1_FormDB'!$C$9</definedName>
    <definedName name="numbandsall">'1_FormDB'!$C$10</definedName>
    <definedName name="numclasses">'2_FormM'!$D$13</definedName>
    <definedName name="numcovertypes">'1_FormDB'!$C$23</definedName>
    <definedName name="NumInvertSpp">'4_Biosurvey'!$C$4</definedName>
    <definedName name="NumInvSpp">'4_Biosurvey'!$D$4</definedName>
    <definedName name="numsameclass">'2_FormM'!$D$14</definedName>
    <definedName name="partIBA">'2_FormM'!$D$16</definedName>
    <definedName name="PinnipedScore">Pinnipeds!$E$11</definedName>
    <definedName name="_xlnm.Print_Area" localSheetId="6">RESULTS!$B$18:$I$26</definedName>
    <definedName name="rarebirds">'3_FormF'!$F$84</definedName>
    <definedName name="RarePlant" localSheetId="12">#REF!</definedName>
    <definedName name="RarePlant" localSheetId="13">#REF!</definedName>
    <definedName name="RarePlant" localSheetId="9">#REF!</definedName>
    <definedName name="RarePlant" localSheetId="8">#REF!</definedName>
    <definedName name="RarePlant" localSheetId="11">#REF!</definedName>
    <definedName name="RarePlant" localSheetId="7">#REF!</definedName>
    <definedName name="RarePlant">#REF!</definedName>
    <definedName name="salin">'3_FormF'!$F$83</definedName>
    <definedName name="salmoshedAll">'1_FormDB'!$C$24</definedName>
    <definedName name="salmoshedBest">'1_FormDB'!$C$25</definedName>
    <definedName name="SalmoSpawn" localSheetId="12">#REF!</definedName>
    <definedName name="SalmoSpawn" localSheetId="13">#REF!</definedName>
    <definedName name="SalmoSpawn" localSheetId="9">#REF!</definedName>
    <definedName name="SalmoSpawn" localSheetId="8">#REF!</definedName>
    <definedName name="SalmoSpawn" localSheetId="11">#REF!</definedName>
    <definedName name="SalmoSpawn" localSheetId="7">#REF!</definedName>
    <definedName name="SalmoSpawn">#REF!</definedName>
    <definedName name="seabird_S">'1_FormDB'!$C$19</definedName>
    <definedName name="seabird_W">'1_FormDB'!$C$20</definedName>
    <definedName name="SeabirdCol" localSheetId="12">#REF!</definedName>
    <definedName name="SeabirdCol" localSheetId="13">#REF!</definedName>
    <definedName name="SeabirdCol" localSheetId="9">#REF!</definedName>
    <definedName name="SeabirdCol" localSheetId="8">#REF!</definedName>
    <definedName name="SeabirdCol" localSheetId="11">#REF!</definedName>
    <definedName name="SeabirdCol" localSheetId="7">#REF!</definedName>
    <definedName name="SeabirdCol">#REF!</definedName>
    <definedName name="SeaShoreBirdScore">'Sea&amp;ShoreBirds'!$E$29</definedName>
    <definedName name="SeaShoreBirdScoreR">'Sea&amp;ShoreBirds'!$E$30</definedName>
    <definedName name="SeastarMax">'4_Biosurvey'!$D$10</definedName>
    <definedName name="shedbigtrees">'1_FormDB'!$C$28</definedName>
    <definedName name="shedestu">'1_FormDB'!$C$26</definedName>
    <definedName name="shedmamu">'1_FormDB'!$C$27</definedName>
    <definedName name="shedslope">'2_FormM'!$D$7</definedName>
    <definedName name="ShellfishMap" localSheetId="12">#REF!</definedName>
    <definedName name="ShellfishMap" localSheetId="13">#REF!</definedName>
    <definedName name="ShellfishMap" localSheetId="9">#REF!</definedName>
    <definedName name="ShellfishMap" localSheetId="8">#REF!</definedName>
    <definedName name="ShellfishMap" localSheetId="11">#REF!</definedName>
    <definedName name="ShellfishMap" localSheetId="7">#REF!</definedName>
    <definedName name="ShellfishMap">#REF!</definedName>
    <definedName name="SnailMax">'4_Biosurvey'!$D$8</definedName>
    <definedName name="Subregn">'1_FormDB'!$C$6</definedName>
    <definedName name="SubsidyScore">SubsidyFunction!$E$17</definedName>
    <definedName name="SubsidyScoreR">SubsidyFunction!$E$18</definedName>
    <definedName name="tidalslope">'1_FormDB'!$C$8</definedName>
    <definedName name="tidalwidth">'2_FormM'!$D$4</definedName>
    <definedName name="tidepools">'3_FormF'!$F$27</definedName>
    <definedName name="treedivers">'3_FormF'!$F$61</definedName>
    <definedName name="turbid">'3_FormF'!$F$35</definedName>
    <definedName name="UPLrich" localSheetId="12">#REF!</definedName>
    <definedName name="UPLrich" localSheetId="13">#REF!</definedName>
    <definedName name="UPLrich" localSheetId="9">#REF!</definedName>
    <definedName name="UPLrich" localSheetId="8">#REF!</definedName>
    <definedName name="UPLrich" localSheetId="11">#REF!</definedName>
    <definedName name="UPLrich" localSheetId="7">#REF!</definedName>
    <definedName name="UPLrich">#REF!</definedName>
    <definedName name="WETLrich" localSheetId="12">#REF!</definedName>
    <definedName name="WETLrich" localSheetId="13">#REF!</definedName>
    <definedName name="WETLrich" localSheetId="9">#REF!</definedName>
    <definedName name="WETLrich" localSheetId="8">#REF!</definedName>
    <definedName name="WETLrich" localSheetId="11">#REF!</definedName>
    <definedName name="WETLrich" localSheetId="7">#REF!</definedName>
    <definedName name="WETLrich">#REF!</definedName>
    <definedName name="wildsign">'3_FormF'!$F$82</definedName>
    <definedName name="WormMax">'4_Biosurvey'!$D$9</definedName>
    <definedName name="xx" localSheetId="8">#REF!</definedName>
    <definedName name="xx" localSheetId="11">#REF!</definedName>
    <definedName name="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0" i="18" l="1"/>
  <c r="M20" i="18"/>
  <c r="P23" i="18"/>
  <c r="M23" i="18"/>
  <c r="P24" i="18"/>
  <c r="M24" i="18"/>
  <c r="P21" i="18"/>
  <c r="M21" i="18"/>
  <c r="P22" i="18"/>
  <c r="M22" i="18"/>
  <c r="P26" i="18"/>
  <c r="M26" i="18"/>
  <c r="P25" i="18"/>
  <c r="M25" i="18"/>
  <c r="E35" i="12"/>
  <c r="E34" i="8"/>
  <c r="E22" i="16"/>
  <c r="C25" i="18"/>
  <c r="D25" i="18" s="1"/>
  <c r="E25" i="18" s="1"/>
  <c r="C24" i="18"/>
  <c r="F26" i="18"/>
  <c r="F25" i="18"/>
  <c r="G25" i="18" s="1"/>
  <c r="H25" i="18" s="1"/>
  <c r="F24" i="18"/>
  <c r="G24" i="18" s="1"/>
  <c r="H24" i="18" s="1"/>
  <c r="F23" i="18"/>
  <c r="G23" i="18" s="1"/>
  <c r="F22" i="18"/>
  <c r="F21" i="18"/>
  <c r="F20" i="18"/>
  <c r="G20" i="18" s="1"/>
  <c r="H20" i="18" s="1"/>
  <c r="E37" i="12"/>
  <c r="D10" i="4"/>
  <c r="D9" i="4"/>
  <c r="D8" i="4"/>
  <c r="D7" i="4"/>
  <c r="D6" i="4"/>
  <c r="D5" i="4"/>
  <c r="D3" i="4"/>
  <c r="D4" i="4"/>
  <c r="G22" i="18" l="1"/>
  <c r="D24" i="18"/>
  <c r="E24" i="18" s="1"/>
  <c r="H23" i="18"/>
  <c r="G37" i="18"/>
  <c r="H37" i="18" s="1"/>
  <c r="G34" i="18"/>
  <c r="H34" i="18" s="1"/>
  <c r="G39" i="18"/>
  <c r="H39" i="18" s="1"/>
  <c r="G21" i="18"/>
  <c r="G26" i="18"/>
  <c r="D39" i="18"/>
  <c r="E39" i="18" s="1"/>
  <c r="G38" i="18"/>
  <c r="H38" i="18" s="1"/>
  <c r="D11" i="4"/>
  <c r="C26" i="18"/>
  <c r="D26" i="18" s="1"/>
  <c r="C23" i="18"/>
  <c r="D23" i="18" s="1"/>
  <c r="C22" i="18"/>
  <c r="D22" i="18" s="1"/>
  <c r="C21" i="18"/>
  <c r="D21" i="18" s="1"/>
  <c r="C20" i="18"/>
  <c r="D20" i="18" s="1"/>
  <c r="D38" i="18" l="1"/>
  <c r="E38" i="18" s="1"/>
  <c r="H22" i="18"/>
  <c r="G36" i="18"/>
  <c r="H36" i="18" s="1"/>
  <c r="E26" i="18"/>
  <c r="D40" i="18"/>
  <c r="E40" i="18" s="1"/>
  <c r="E21" i="18"/>
  <c r="D35" i="18"/>
  <c r="E35" i="18" s="1"/>
  <c r="H21" i="18"/>
  <c r="G35" i="18"/>
  <c r="H35" i="18" s="1"/>
  <c r="H41" i="18" s="1"/>
  <c r="E20" i="18"/>
  <c r="D34" i="18"/>
  <c r="E34" i="18" s="1"/>
  <c r="E41" i="18" s="1"/>
  <c r="H26" i="18"/>
  <c r="G40" i="18"/>
  <c r="H40" i="18" s="1"/>
  <c r="E22" i="18"/>
  <c r="D36" i="18"/>
  <c r="E36" i="18" s="1"/>
  <c r="E23" i="18"/>
  <c r="D37" i="18"/>
  <c r="E37" i="18" s="1"/>
  <c r="E29" i="12"/>
  <c r="E26" i="8"/>
  <c r="E17" i="16"/>
  <c r="C14" i="16"/>
  <c r="C3" i="8" l="1"/>
  <c r="C10" i="13"/>
  <c r="C6" i="13"/>
  <c r="C5" i="13"/>
  <c r="C9" i="13"/>
  <c r="C8" i="13"/>
  <c r="C6" i="11"/>
  <c r="C4" i="11"/>
  <c r="C3" i="11"/>
  <c r="C22" i="12"/>
  <c r="C15" i="12"/>
  <c r="C14" i="12"/>
  <c r="C13" i="12"/>
  <c r="C12" i="12"/>
  <c r="C11" i="12"/>
  <c r="E23" i="10"/>
  <c r="C11" i="10"/>
  <c r="C7" i="10"/>
  <c r="C6" i="10"/>
  <c r="C10" i="10"/>
  <c r="C9" i="10"/>
  <c r="C24" i="8"/>
  <c r="C23" i="8"/>
  <c r="E29" i="8"/>
  <c r="C11" i="8"/>
  <c r="C5" i="16"/>
  <c r="C7" i="16"/>
  <c r="C6" i="16"/>
  <c r="F83" i="3"/>
  <c r="E30" i="8" s="1"/>
  <c r="C3" i="12"/>
  <c r="C5" i="12"/>
  <c r="C3" i="13"/>
  <c r="C3" i="10"/>
  <c r="C5" i="8"/>
  <c r="C15" i="8"/>
  <c r="C5" i="11"/>
  <c r="E20" i="10"/>
  <c r="E20" i="16"/>
  <c r="F61" i="3"/>
  <c r="C22" i="13" s="1"/>
  <c r="F53" i="3"/>
  <c r="C12" i="16" s="1"/>
  <c r="F49" i="3"/>
  <c r="C21" i="13" s="1"/>
  <c r="F84" i="3"/>
  <c r="C26" i="12" s="1"/>
  <c r="F82" i="3"/>
  <c r="E31" i="13" s="1"/>
  <c r="F81" i="3"/>
  <c r="F80" i="3"/>
  <c r="F75" i="3"/>
  <c r="F74" i="3"/>
  <c r="F48" i="3"/>
  <c r="F47" i="3"/>
  <c r="F46" i="3"/>
  <c r="F45" i="3"/>
  <c r="F44" i="3"/>
  <c r="F43" i="3"/>
  <c r="F26" i="3"/>
  <c r="F25" i="3"/>
  <c r="F20" i="3"/>
  <c r="F19" i="3"/>
  <c r="F18" i="3"/>
  <c r="F17" i="3"/>
  <c r="F16" i="3"/>
  <c r="F79" i="3"/>
  <c r="F78" i="3"/>
  <c r="F77" i="3"/>
  <c r="F73" i="3"/>
  <c r="F72" i="3"/>
  <c r="F71" i="3"/>
  <c r="F60" i="3"/>
  <c r="F59" i="3"/>
  <c r="F58" i="3"/>
  <c r="F56" i="3"/>
  <c r="F55" i="3"/>
  <c r="F54" i="3"/>
  <c r="F52" i="3"/>
  <c r="F51" i="3"/>
  <c r="F50" i="3"/>
  <c r="F42" i="3"/>
  <c r="F41" i="3"/>
  <c r="F40" i="3"/>
  <c r="F38" i="3"/>
  <c r="F37" i="3"/>
  <c r="F36" i="3"/>
  <c r="F34" i="3"/>
  <c r="F33" i="3"/>
  <c r="F32" i="3"/>
  <c r="F30" i="3"/>
  <c r="F29" i="3"/>
  <c r="F28" i="3"/>
  <c r="F24" i="3"/>
  <c r="F23" i="3"/>
  <c r="F22" i="3"/>
  <c r="F15" i="3"/>
  <c r="F14" i="3"/>
  <c r="F13" i="3"/>
  <c r="F11" i="3"/>
  <c r="F10" i="3"/>
  <c r="F9" i="3"/>
  <c r="F8" i="3"/>
  <c r="F7" i="3"/>
  <c r="F6" i="3"/>
  <c r="F5" i="3"/>
  <c r="F4" i="3"/>
  <c r="C6" i="15"/>
  <c r="C7" i="15"/>
  <c r="C5" i="15"/>
  <c r="C4" i="15"/>
  <c r="C3" i="15"/>
  <c r="C25" i="13"/>
  <c r="C17" i="13"/>
  <c r="C16" i="13"/>
  <c r="C15" i="13"/>
  <c r="C14" i="13"/>
  <c r="C13" i="13"/>
  <c r="C12" i="13"/>
  <c r="C11" i="13"/>
  <c r="C7" i="13"/>
  <c r="C4" i="13"/>
  <c r="C7" i="11"/>
  <c r="C21" i="12"/>
  <c r="C20" i="12"/>
  <c r="C19" i="12"/>
  <c r="C18" i="12"/>
  <c r="C17" i="12"/>
  <c r="C16" i="12"/>
  <c r="C10" i="12"/>
  <c r="C9" i="12"/>
  <c r="C8" i="12"/>
  <c r="C7" i="12"/>
  <c r="C6" i="12"/>
  <c r="C4" i="12"/>
  <c r="C12" i="10"/>
  <c r="C5" i="10"/>
  <c r="C4" i="10"/>
  <c r="C8" i="10"/>
  <c r="C13" i="8"/>
  <c r="C14" i="8"/>
  <c r="C12" i="8"/>
  <c r="C10" i="8"/>
  <c r="C9" i="8"/>
  <c r="C8" i="8"/>
  <c r="C7" i="8"/>
  <c r="C4" i="8"/>
  <c r="C6" i="8"/>
  <c r="C8" i="16"/>
  <c r="C4" i="16"/>
  <c r="C3" i="16"/>
  <c r="C15" i="16" l="1"/>
  <c r="F3" i="3"/>
  <c r="E32" i="12"/>
  <c r="C27" i="12"/>
  <c r="F31" i="3"/>
  <c r="C15" i="10" s="1"/>
  <c r="F12" i="3"/>
  <c r="F39" i="3"/>
  <c r="F35" i="3"/>
  <c r="F21" i="3"/>
  <c r="E21" i="10" s="1"/>
  <c r="F27" i="3"/>
  <c r="C19" i="8" s="1"/>
  <c r="F70" i="3"/>
  <c r="C13" i="16" s="1"/>
  <c r="F76" i="3"/>
  <c r="C24" i="13" s="1"/>
  <c r="C22" i="8"/>
  <c r="C9" i="16"/>
  <c r="C9" i="15"/>
  <c r="F57" i="3"/>
  <c r="C25" i="12" s="1"/>
  <c r="C21" i="8"/>
  <c r="C23" i="12"/>
  <c r="E21" i="16" l="1"/>
  <c r="C10" i="16"/>
  <c r="E24" i="16"/>
  <c r="E18" i="16" s="1"/>
  <c r="E33" i="13"/>
  <c r="D11" i="15"/>
  <c r="C17" i="8"/>
  <c r="E31" i="8"/>
  <c r="E33" i="8"/>
  <c r="C20" i="13"/>
  <c r="C16" i="10"/>
  <c r="C8" i="15"/>
  <c r="C20" i="8"/>
  <c r="C19" i="13"/>
  <c r="E32" i="13"/>
  <c r="E22" i="10"/>
  <c r="C9" i="11"/>
  <c r="E30" i="13"/>
  <c r="C16" i="8"/>
  <c r="C23" i="13"/>
  <c r="C13" i="10"/>
  <c r="C18" i="8"/>
  <c r="E33" i="12"/>
  <c r="E32" i="8"/>
  <c r="C11" i="16"/>
  <c r="C8" i="11"/>
  <c r="C24" i="12"/>
  <c r="C14" i="10"/>
  <c r="E34" i="12"/>
  <c r="E11" i="11"/>
  <c r="C18" i="13"/>
  <c r="E29" i="13"/>
  <c r="E24" i="10"/>
  <c r="E30" i="12" l="1"/>
  <c r="E27" i="8"/>
  <c r="E27" i="13"/>
  <c r="E18" i="10"/>
</calcChain>
</file>

<file path=xl/sharedStrings.xml><?xml version="1.0" encoding="utf-8"?>
<sst xmlns="http://schemas.openxmlformats.org/spreadsheetml/2006/main" count="1037" uniqueCount="598">
  <si>
    <t>Q#</t>
  </si>
  <si>
    <t>Indicator</t>
  </si>
  <si>
    <t>Data</t>
  </si>
  <si>
    <t>Subregion</t>
  </si>
  <si>
    <t>Eelgrass</t>
  </si>
  <si>
    <t>Canopy Kelp</t>
  </si>
  <si>
    <t xml:space="preserve">Herring Spawning </t>
  </si>
  <si>
    <t>Number of Biobands (main)</t>
  </si>
  <si>
    <t>Number of Biobands (all)</t>
  </si>
  <si>
    <t>Segment ID#:</t>
  </si>
  <si>
    <t>Seabird Density: Summer</t>
  </si>
  <si>
    <t>Seabird Density: Winter</t>
  </si>
  <si>
    <t>Karst Geology</t>
  </si>
  <si>
    <t>Deer Wintering Suitability</t>
  </si>
  <si>
    <t>Bear Habitat Suitability</t>
  </si>
  <si>
    <t>Watershed Carbon Output, Spring</t>
  </si>
  <si>
    <t xml:space="preserve">Watershed Carbon Output, Fall </t>
  </si>
  <si>
    <t>Scarcity of This Coastal Class in Region</t>
  </si>
  <si>
    <t>Percent-Slope of Contributing Area</t>
  </si>
  <si>
    <t>m1</t>
  </si>
  <si>
    <t>m2</t>
  </si>
  <si>
    <t>m3</t>
  </si>
  <si>
    <t>m4</t>
  </si>
  <si>
    <t>m5</t>
  </si>
  <si>
    <t>m6</t>
  </si>
  <si>
    <t>m7</t>
  </si>
  <si>
    <t>m8</t>
  </si>
  <si>
    <t>m9</t>
  </si>
  <si>
    <t>m10</t>
  </si>
  <si>
    <t>m11</t>
  </si>
  <si>
    <t>m12</t>
  </si>
  <si>
    <t>m13</t>
  </si>
  <si>
    <t>Exposure Class</t>
  </si>
  <si>
    <t>&lt;1%</t>
  </si>
  <si>
    <t>1-9%</t>
  </si>
  <si>
    <t>10-24%</t>
  </si>
  <si>
    <t>25-49%</t>
  </si>
  <si>
    <t>50-74%</t>
  </si>
  <si>
    <t>75-89%</t>
  </si>
  <si>
    <t>90-99%</t>
  </si>
  <si>
    <t>&gt;99%</t>
  </si>
  <si>
    <t>Condition Choices</t>
  </si>
  <si>
    <t>SegID#:</t>
  </si>
  <si>
    <t>Explanation</t>
  </si>
  <si>
    <t>Within the part that is alternately flooded and unflooded daily (i.e., the lower elevations), how much appears to be covered by macro-algae (seaweed)?  Estimate the cover as it would exist at its annual maximum.</t>
  </si>
  <si>
    <t>none (absent or trace)</t>
  </si>
  <si>
    <t>1-24%</t>
  </si>
  <si>
    <t>&gt;75%</t>
  </si>
  <si>
    <t>50-75%</t>
  </si>
  <si>
    <t>No</t>
  </si>
  <si>
    <t>Yes, but only a few</t>
  </si>
  <si>
    <t>Yes, and numerous</t>
  </si>
  <si>
    <t>Trees Fallen in Water</t>
  </si>
  <si>
    <t>Human Use Indicators</t>
  </si>
  <si>
    <t>Maintained trails</t>
  </si>
  <si>
    <t>Tire tracks or evidence of compaction by off-road machinery use</t>
  </si>
  <si>
    <t>Docks or piers : with probable impact on longshore currents or waves</t>
  </si>
  <si>
    <t>Docks or piers : with little/no impact on longshore currents or waves</t>
  </si>
  <si>
    <t>Berms or dikes: with probable impact on tidal timing or amplitude in blocked area.</t>
  </si>
  <si>
    <t>Berms or dikes: with little/no impact on tidal timing or amplitude in blocked area.</t>
  </si>
  <si>
    <t>Log transfer facility</t>
  </si>
  <si>
    <t>Bulkheads, Seawalls, and Levees (Shoreline Armoring)</t>
  </si>
  <si>
    <t>none</t>
  </si>
  <si>
    <t>Artificial Muting of Tidal Prism</t>
  </si>
  <si>
    <t>no</t>
  </si>
  <si>
    <t>yes, and alterating feature was installed more than 10 years ago</t>
  </si>
  <si>
    <t>yes, and alterating feature was installed recently (&lt;10 years ago)</t>
  </si>
  <si>
    <t>Marine debris (plastics, styrofoam, etc. carried in by water)</t>
  </si>
  <si>
    <t>Litter (decay-resistant items left onsite by people)</t>
  </si>
  <si>
    <t>less than half</t>
  </si>
  <si>
    <t>more than half</t>
  </si>
  <si>
    <t>Woody Diameter Classes</t>
  </si>
  <si>
    <t>evergreen 1-4" diameter and &gt;3 ft tall</t>
  </si>
  <si>
    <t>deciduous 1-4" diameter and &gt;3 ft tall</t>
  </si>
  <si>
    <t>evergreen 4-9" diameter</t>
  </si>
  <si>
    <t>deciduous 4-9" diameter</t>
  </si>
  <si>
    <t>evergreen 9-21" diameter</t>
  </si>
  <si>
    <t>deciduous 9-21" diameter</t>
  </si>
  <si>
    <t>evergreen &gt;21" diameter</t>
  </si>
  <si>
    <t>deciduous &gt;21" diameter</t>
  </si>
  <si>
    <t>Berry Producers</t>
  </si>
  <si>
    <t>Alder &amp; Sweetgale Cover</t>
  </si>
  <si>
    <t>Sandhill crane &gt;10 individuals</t>
  </si>
  <si>
    <t>Loons &amp; Grebes &gt;20 individuals</t>
  </si>
  <si>
    <t>Shorebirds &gt;100 individuals or any nesting Black Oystercatcher</t>
  </si>
  <si>
    <t>Short-eared Owl (any)</t>
  </si>
  <si>
    <t>No information available</t>
  </si>
  <si>
    <t>intermediate</t>
  </si>
  <si>
    <t>Tide Pools</t>
  </si>
  <si>
    <t>F1</t>
  </si>
  <si>
    <t>F2</t>
  </si>
  <si>
    <t>F3</t>
  </si>
  <si>
    <t>F4</t>
  </si>
  <si>
    <t>F5</t>
  </si>
  <si>
    <t>F6</t>
  </si>
  <si>
    <t>F7</t>
  </si>
  <si>
    <t>F8</t>
  </si>
  <si>
    <t>F9</t>
  </si>
  <si>
    <t>F10</t>
  </si>
  <si>
    <t>F11</t>
  </si>
  <si>
    <t>F12</t>
  </si>
  <si>
    <t>F13</t>
  </si>
  <si>
    <t>F14</t>
  </si>
  <si>
    <t>F15</t>
  </si>
  <si>
    <t>Wildlife Sign</t>
  </si>
  <si>
    <t>Salinity</t>
  </si>
  <si>
    <t xml:space="preserve">Eulachon Spawning </t>
  </si>
  <si>
    <t>Cumulative Index of Human Activity (TNC index)</t>
  </si>
  <si>
    <t>Distance to Anadromous Stream (in meters)</t>
  </si>
  <si>
    <t>Distance to Nearest Mapped Stream (in feet)</t>
  </si>
  <si>
    <t>Select one:</t>
  </si>
  <si>
    <t>Cloudy Water</t>
  </si>
  <si>
    <t>IBA (Important Bird Area).  Enter 1 if yes, 0 if no.</t>
  </si>
  <si>
    <t>Distance to Nearest Lake/Pond (in miles)</t>
  </si>
  <si>
    <t>Distance to Nearest Residence or Busy Access Point (in ft)</t>
  </si>
  <si>
    <t xml:space="preserve"> </t>
  </si>
  <si>
    <t>DB1</t>
  </si>
  <si>
    <t>DB2</t>
  </si>
  <si>
    <t>DB3</t>
  </si>
  <si>
    <t>DB4</t>
  </si>
  <si>
    <t>DB5</t>
  </si>
  <si>
    <t>DB6</t>
  </si>
  <si>
    <t>DB7</t>
  </si>
  <si>
    <t>DB8</t>
  </si>
  <si>
    <t>DB9</t>
  </si>
  <si>
    <t>DB10</t>
  </si>
  <si>
    <t>DB11</t>
  </si>
  <si>
    <t>DB12</t>
  </si>
  <si>
    <t>DB13</t>
  </si>
  <si>
    <t>DB14</t>
  </si>
  <si>
    <t>DB15</t>
  </si>
  <si>
    <t>DB16</t>
  </si>
  <si>
    <t>DB17</t>
  </si>
  <si>
    <t>DB18</t>
  </si>
  <si>
    <t>DB19</t>
  </si>
  <si>
    <t>DB20</t>
  </si>
  <si>
    <t>DB21</t>
  </si>
  <si>
    <t>DB22</t>
  </si>
  <si>
    <t>DB23</t>
  </si>
  <si>
    <t>Rationale</t>
  </si>
  <si>
    <t>SUBSIDY</t>
  </si>
  <si>
    <t>Resource or Function</t>
  </si>
  <si>
    <t>Raw Score</t>
  </si>
  <si>
    <t>Definition</t>
  </si>
  <si>
    <t>Pinnipeds</t>
  </si>
  <si>
    <t>Mussel Bioband</t>
  </si>
  <si>
    <t>DB24</t>
  </si>
  <si>
    <t>DB25</t>
  </si>
  <si>
    <t>DB26</t>
  </si>
  <si>
    <t>DB27</t>
  </si>
  <si>
    <t>DB28</t>
  </si>
  <si>
    <t>subregn</t>
  </si>
  <si>
    <t>exposure</t>
  </si>
  <si>
    <t>classfreq</t>
  </si>
  <si>
    <t>numbands1</t>
  </si>
  <si>
    <t>numbandsall</t>
  </si>
  <si>
    <t>BCclass</t>
  </si>
  <si>
    <t>eelgrass</t>
  </si>
  <si>
    <t>kelp</t>
  </si>
  <si>
    <t>marsh</t>
  </si>
  <si>
    <t>Marsh</t>
  </si>
  <si>
    <t>mussel</t>
  </si>
  <si>
    <t>salmoshedAll</t>
  </si>
  <si>
    <t>salmoshedBest</t>
  </si>
  <si>
    <t>eulachon</t>
  </si>
  <si>
    <t>herring</t>
  </si>
  <si>
    <t>haulout</t>
  </si>
  <si>
    <t>seabird_S</t>
  </si>
  <si>
    <t>seabird_W</t>
  </si>
  <si>
    <t>deerhab</t>
  </si>
  <si>
    <t>bearhab</t>
  </si>
  <si>
    <t>numcovertypes</t>
  </si>
  <si>
    <t>C_outS</t>
  </si>
  <si>
    <t>C_outF</t>
  </si>
  <si>
    <t>shedmamu</t>
  </si>
  <si>
    <t>shedestu</t>
  </si>
  <si>
    <t>shedbigtrees</t>
  </si>
  <si>
    <t>karst</t>
  </si>
  <si>
    <t>intactness</t>
  </si>
  <si>
    <t>buffwidth</t>
  </si>
  <si>
    <t>tidalwidth</t>
  </si>
  <si>
    <t>marshwidth</t>
  </si>
  <si>
    <t>shedslope</t>
  </si>
  <si>
    <t>diststream</t>
  </si>
  <si>
    <t>distpond</t>
  </si>
  <si>
    <t>distpop</t>
  </si>
  <si>
    <t>distbdg</t>
  </si>
  <si>
    <t>distsameclass</t>
  </si>
  <si>
    <t>numclasses</t>
  </si>
  <si>
    <t>numsameclass</t>
  </si>
  <si>
    <t>eaglenests</t>
  </si>
  <si>
    <t>partIBA</t>
  </si>
  <si>
    <t xml:space="preserve">What percentage of the substrate downgradient of the annual HHW line is likely to be flooded by tide once daily during MOST days of the month? </t>
  </si>
  <si>
    <t>distAnad</t>
  </si>
  <si>
    <t>B1</t>
  </si>
  <si>
    <t>Number of Different Intertidal Seaweeds</t>
  </si>
  <si>
    <t>B2</t>
  </si>
  <si>
    <t>Number of Different Intertidal Macroinvertebrates</t>
  </si>
  <si>
    <t>Name</t>
  </si>
  <si>
    <t>nfixers</t>
  </si>
  <si>
    <t>algapct</t>
  </si>
  <si>
    <t>kelppct</t>
  </si>
  <si>
    <t>muting</t>
  </si>
  <si>
    <t>Model:</t>
  </si>
  <si>
    <t>Food Web Diversity</t>
  </si>
  <si>
    <t>floodpct</t>
  </si>
  <si>
    <t>salin</t>
  </si>
  <si>
    <t>tidepools</t>
  </si>
  <si>
    <t>turbid</t>
  </si>
  <si>
    <t>armoring</t>
  </si>
  <si>
    <t>Lwood</t>
  </si>
  <si>
    <t>Focal Fish</t>
  </si>
  <si>
    <t>Seabirds &amp; Shorebirds</t>
  </si>
  <si>
    <t>Potential Disturbance of Wildlife by Boats</t>
  </si>
  <si>
    <t>F16</t>
  </si>
  <si>
    <t>seaweedpct</t>
  </si>
  <si>
    <t>boats</t>
  </si>
  <si>
    <t>rarebirds</t>
  </si>
  <si>
    <t>Pinniped Habitat</t>
  </si>
  <si>
    <t>Woody Diameter Class Diversity</t>
  </si>
  <si>
    <t>Buffer Wildlife</t>
  </si>
  <si>
    <t>altered</t>
  </si>
  <si>
    <t>treedivers</t>
  </si>
  <si>
    <t>berries</t>
  </si>
  <si>
    <t>wildsign</t>
  </si>
  <si>
    <t>Filter Function</t>
  </si>
  <si>
    <t>Percent of Intertidal Flooded by High Tide (most days)</t>
  </si>
  <si>
    <t>Seaweed Cover: Percent of Intertidal</t>
  </si>
  <si>
    <t>average (C_outS, C_outF, shedslope, shedestu)</t>
  </si>
  <si>
    <t>Where:</t>
  </si>
  <si>
    <t>AVERAGE(subregn, salin)</t>
  </si>
  <si>
    <t>AVERAGE(turbid, tidepools, karst)</t>
  </si>
  <si>
    <t>MAX(distAnad, eulachon, herring)</t>
  </si>
  <si>
    <t>MAX(salmoshedAll, salmoshedBest, shedestu)</t>
  </si>
  <si>
    <t>AVERAGE(numsameclass, distsameclass, numclasses, classfreq)</t>
  </si>
  <si>
    <t>AVERAGE(eaglenests, shedbigtrees, wildsign)</t>
  </si>
  <si>
    <t>AVERAGE(bearhab,berries, tidepools, distAnad, salmoshedAll, salmoshedBest)</t>
  </si>
  <si>
    <t>Mussels filter measurable amounts of suspended sediment and some toxic substances attached to the sediment.</t>
  </si>
  <si>
    <t>Wider is better because it increases the time available for processing pollutants in runoff.</t>
  </si>
  <si>
    <t>see above</t>
  </si>
  <si>
    <t>see above.  This is especially true if the runoff flow path is densely vegetated.</t>
  </si>
  <si>
    <t>Flatter is better because it increases the time available for processing pollutants in runoff.</t>
  </si>
  <si>
    <t>Sea &amp; Shore Birds</t>
  </si>
  <si>
    <t>Food Web Diversity Score</t>
  </si>
  <si>
    <t>Focal Fish Score</t>
  </si>
  <si>
    <t>Pinniped Score</t>
  </si>
  <si>
    <t>Sea &amp; Shore Bird Score</t>
  </si>
  <si>
    <t>Buffer Wildlife Score</t>
  </si>
  <si>
    <t>Conditions that support large number of intertidal macroinvertebrate and seaweed species per unit area.</t>
  </si>
  <si>
    <t>IF((kelp=1),kelppct, IF((marsh=1), marshwidth, ELSE: BLANK</t>
  </si>
  <si>
    <t>Greater seaweed cover implies more carbon available to subsidize coastal food chains.</t>
  </si>
  <si>
    <t>Greater cover of these plants indicates potential for greater export of nitrogen (a key nutrient) to coastal food chains.</t>
  </si>
  <si>
    <t>Numbers of seaweed and invertebrate species are likely greater where more biobands are present because each bioband hosts a different assemblage of species.</t>
  </si>
  <si>
    <t>see above.</t>
  </si>
  <si>
    <t xml:space="preserve">Other factors being equal, wider intertidal zones are likely to have more microenvironments and thus a greater variety of marine invertebrates.  </t>
  </si>
  <si>
    <t>Fewer segments of the same class within 1 mile implies that class may be locally uncommon.  Locally uncommon classes contribute more significantly to cumulative biodiversity at that local scale.</t>
  </si>
  <si>
    <t>Potential for regular export of intertidal seaweed and organisms is greater where flushed daily by tides. However, large amounts of carbon can also be flushed from supratidal areas during annual floods (spring tides).</t>
  </si>
  <si>
    <r>
      <rPr>
        <b/>
        <sz val="10"/>
        <color theme="1"/>
        <rFont val="Calibri"/>
        <family val="2"/>
        <scheme val="minor"/>
      </rPr>
      <t xml:space="preserve">0 </t>
    </r>
    <r>
      <rPr>
        <sz val="10"/>
        <color theme="1"/>
        <rFont val="Calibri"/>
        <family val="2"/>
        <scheme val="minor"/>
      </rPr>
      <t xml:space="preserve">if &lt;150',  </t>
    </r>
    <r>
      <rPr>
        <b/>
        <sz val="10"/>
        <color theme="1"/>
        <rFont val="Calibri"/>
        <family val="2"/>
        <scheme val="minor"/>
      </rPr>
      <t>0.25</t>
    </r>
    <r>
      <rPr>
        <sz val="10"/>
        <color theme="1"/>
        <rFont val="Calibri"/>
        <family val="2"/>
        <scheme val="minor"/>
      </rPr>
      <t xml:space="preserve"> if 150-300',  </t>
    </r>
    <r>
      <rPr>
        <b/>
        <sz val="10"/>
        <color theme="1"/>
        <rFont val="Calibri"/>
        <family val="2"/>
        <scheme val="minor"/>
      </rPr>
      <t>0.5</t>
    </r>
    <r>
      <rPr>
        <sz val="10"/>
        <color theme="1"/>
        <rFont val="Calibri"/>
        <family val="2"/>
        <scheme val="minor"/>
      </rPr>
      <t xml:space="preserve"> if 300-500',  </t>
    </r>
    <r>
      <rPr>
        <b/>
        <sz val="10"/>
        <color theme="1"/>
        <rFont val="Calibri"/>
        <family val="2"/>
        <scheme val="minor"/>
      </rPr>
      <t>0.75</t>
    </r>
    <r>
      <rPr>
        <sz val="10"/>
        <color theme="1"/>
        <rFont val="Calibri"/>
        <family val="2"/>
        <scheme val="minor"/>
      </rPr>
      <t xml:space="preserve"> if 500-3000',  </t>
    </r>
    <r>
      <rPr>
        <b/>
        <sz val="10"/>
        <color theme="1"/>
        <rFont val="Calibri"/>
        <family val="2"/>
        <scheme val="minor"/>
      </rPr>
      <t>1</t>
    </r>
    <r>
      <rPr>
        <sz val="10"/>
        <color theme="1"/>
        <rFont val="Calibri"/>
        <family val="2"/>
        <scheme val="minor"/>
      </rPr>
      <t xml:space="preserve"> if &gt;3000'.  </t>
    </r>
  </si>
  <si>
    <r>
      <rPr>
        <b/>
        <sz val="10"/>
        <color theme="1"/>
        <rFont val="Calibri"/>
        <family val="2"/>
        <scheme val="minor"/>
      </rPr>
      <t>0</t>
    </r>
    <r>
      <rPr>
        <sz val="10"/>
        <color theme="1"/>
        <rFont val="Calibri"/>
        <family val="2"/>
        <scheme val="minor"/>
      </rPr>
      <t xml:space="preserve"> if &lt;10' or none,  </t>
    </r>
    <r>
      <rPr>
        <b/>
        <sz val="10"/>
        <color theme="1"/>
        <rFont val="Calibri"/>
        <family val="2"/>
        <scheme val="minor"/>
      </rPr>
      <t>0.25</t>
    </r>
    <r>
      <rPr>
        <sz val="10"/>
        <color theme="1"/>
        <rFont val="Calibri"/>
        <family val="2"/>
        <scheme val="minor"/>
      </rPr>
      <t xml:space="preserve"> if 10-50',  </t>
    </r>
    <r>
      <rPr>
        <b/>
        <sz val="10"/>
        <color theme="1"/>
        <rFont val="Calibri"/>
        <family val="2"/>
        <scheme val="minor"/>
      </rPr>
      <t>0.5</t>
    </r>
    <r>
      <rPr>
        <sz val="10"/>
        <color theme="1"/>
        <rFont val="Calibri"/>
        <family val="2"/>
        <scheme val="minor"/>
      </rPr>
      <t xml:space="preserve"> if 50-100',  </t>
    </r>
    <r>
      <rPr>
        <b/>
        <sz val="10"/>
        <color theme="1"/>
        <rFont val="Calibri"/>
        <family val="2"/>
        <scheme val="minor"/>
      </rPr>
      <t>0.75</t>
    </r>
    <r>
      <rPr>
        <sz val="10"/>
        <color theme="1"/>
        <rFont val="Calibri"/>
        <family val="2"/>
        <scheme val="minor"/>
      </rPr>
      <t xml:space="preserve"> if 100-1000',  </t>
    </r>
    <r>
      <rPr>
        <b/>
        <sz val="10"/>
        <color theme="1"/>
        <rFont val="Calibri"/>
        <family val="2"/>
        <scheme val="minor"/>
      </rPr>
      <t>1</t>
    </r>
    <r>
      <rPr>
        <sz val="10"/>
        <color theme="1"/>
        <rFont val="Calibri"/>
        <family val="2"/>
        <scheme val="minor"/>
      </rPr>
      <t xml:space="preserve"> if &gt;1000'. </t>
    </r>
  </si>
  <si>
    <r>
      <rPr>
        <b/>
        <sz val="10"/>
        <color theme="1"/>
        <rFont val="Calibri"/>
        <family val="2"/>
        <scheme val="minor"/>
      </rPr>
      <t>0</t>
    </r>
    <r>
      <rPr>
        <sz val="10"/>
        <color theme="1"/>
        <rFont val="Calibri"/>
        <family val="2"/>
        <scheme val="minor"/>
      </rPr>
      <t xml:space="preserve"> if &lt;10' or none,  </t>
    </r>
    <r>
      <rPr>
        <b/>
        <sz val="10"/>
        <color theme="1"/>
        <rFont val="Calibri"/>
        <family val="2"/>
        <scheme val="minor"/>
      </rPr>
      <t>0.25</t>
    </r>
    <r>
      <rPr>
        <sz val="10"/>
        <color theme="1"/>
        <rFont val="Calibri"/>
        <family val="2"/>
        <scheme val="minor"/>
      </rPr>
      <t xml:space="preserve"> if 10-50',  </t>
    </r>
    <r>
      <rPr>
        <b/>
        <sz val="10"/>
        <color theme="1"/>
        <rFont val="Calibri"/>
        <family val="2"/>
        <scheme val="minor"/>
      </rPr>
      <t>0.5</t>
    </r>
    <r>
      <rPr>
        <sz val="10"/>
        <color theme="1"/>
        <rFont val="Calibri"/>
        <family val="2"/>
        <scheme val="minor"/>
      </rPr>
      <t xml:space="preserve"> if 50-500',  </t>
    </r>
    <r>
      <rPr>
        <b/>
        <sz val="10"/>
        <color theme="1"/>
        <rFont val="Calibri"/>
        <family val="2"/>
        <scheme val="minor"/>
      </rPr>
      <t>0.75</t>
    </r>
    <r>
      <rPr>
        <sz val="10"/>
        <color theme="1"/>
        <rFont val="Calibri"/>
        <family val="2"/>
        <scheme val="minor"/>
      </rPr>
      <t xml:space="preserve"> if 500-1000',  </t>
    </r>
    <r>
      <rPr>
        <b/>
        <sz val="10"/>
        <color theme="1"/>
        <rFont val="Calibri"/>
        <family val="2"/>
        <scheme val="minor"/>
      </rPr>
      <t>1</t>
    </r>
    <r>
      <rPr>
        <sz val="10"/>
        <color theme="1"/>
        <rFont val="Calibri"/>
        <family val="2"/>
        <scheme val="minor"/>
      </rPr>
      <t xml:space="preserve"> if &gt;1000'. </t>
    </r>
  </si>
  <si>
    <r>
      <rPr>
        <b/>
        <sz val="10"/>
        <color theme="1"/>
        <rFont val="Calibri"/>
        <family val="2"/>
        <scheme val="minor"/>
      </rPr>
      <t>1</t>
    </r>
    <r>
      <rPr>
        <sz val="10"/>
        <color theme="1"/>
        <rFont val="Calibri"/>
        <family val="2"/>
        <scheme val="minor"/>
      </rPr>
      <t xml:space="preserve"> if &lt;0.5 mi,  </t>
    </r>
    <r>
      <rPr>
        <b/>
        <sz val="10"/>
        <color theme="1"/>
        <rFont val="Calibri"/>
        <family val="2"/>
        <scheme val="minor"/>
      </rPr>
      <t>0.75</t>
    </r>
    <r>
      <rPr>
        <sz val="10"/>
        <color theme="1"/>
        <rFont val="Calibri"/>
        <family val="2"/>
        <scheme val="minor"/>
      </rPr>
      <t xml:space="preserve"> if 0.5-1 mi,  </t>
    </r>
    <r>
      <rPr>
        <b/>
        <sz val="10"/>
        <color theme="1"/>
        <rFont val="Calibri"/>
        <family val="2"/>
        <scheme val="minor"/>
      </rPr>
      <t>0.5</t>
    </r>
    <r>
      <rPr>
        <sz val="10"/>
        <color theme="1"/>
        <rFont val="Calibri"/>
        <family val="2"/>
        <scheme val="minor"/>
      </rPr>
      <t xml:space="preserve"> if 1-2 mi,  </t>
    </r>
    <r>
      <rPr>
        <b/>
        <sz val="10"/>
        <color theme="1"/>
        <rFont val="Calibri"/>
        <family val="2"/>
        <scheme val="minor"/>
      </rPr>
      <t>0.25</t>
    </r>
    <r>
      <rPr>
        <sz val="10"/>
        <color theme="1"/>
        <rFont val="Calibri"/>
        <family val="2"/>
        <scheme val="minor"/>
      </rPr>
      <t xml:space="preserve"> if 2-5 mi,  </t>
    </r>
    <r>
      <rPr>
        <b/>
        <sz val="10"/>
        <color theme="1"/>
        <rFont val="Calibri"/>
        <family val="2"/>
        <scheme val="minor"/>
      </rPr>
      <t>0</t>
    </r>
    <r>
      <rPr>
        <sz val="10"/>
        <color theme="1"/>
        <rFont val="Calibri"/>
        <family val="2"/>
        <scheme val="minor"/>
      </rPr>
      <t xml:space="preserve"> if &gt;5 miles.</t>
    </r>
  </si>
  <si>
    <r>
      <rPr>
        <b/>
        <sz val="10"/>
        <color theme="1"/>
        <rFont val="Calibri"/>
        <family val="2"/>
        <scheme val="minor"/>
      </rPr>
      <t>1</t>
    </r>
    <r>
      <rPr>
        <sz val="10"/>
        <color theme="1"/>
        <rFont val="Calibri"/>
        <family val="2"/>
        <scheme val="minor"/>
      </rPr>
      <t xml:space="preserve"> if &lt;0.5 mi,  </t>
    </r>
    <r>
      <rPr>
        <b/>
        <sz val="10"/>
        <color theme="1"/>
        <rFont val="Calibri"/>
        <family val="2"/>
        <scheme val="minor"/>
      </rPr>
      <t>0.75</t>
    </r>
    <r>
      <rPr>
        <sz val="10"/>
        <color theme="1"/>
        <rFont val="Calibri"/>
        <family val="2"/>
        <scheme val="minor"/>
      </rPr>
      <t xml:space="preserve"> if 0.5-2 mi,  </t>
    </r>
    <r>
      <rPr>
        <b/>
        <sz val="10"/>
        <color theme="1"/>
        <rFont val="Calibri"/>
        <family val="2"/>
        <scheme val="minor"/>
      </rPr>
      <t>0.5</t>
    </r>
    <r>
      <rPr>
        <sz val="10"/>
        <color theme="1"/>
        <rFont val="Calibri"/>
        <family val="2"/>
        <scheme val="minor"/>
      </rPr>
      <t xml:space="preserve"> if 2-5 mi,  </t>
    </r>
    <r>
      <rPr>
        <b/>
        <sz val="10"/>
        <color theme="1"/>
        <rFont val="Calibri"/>
        <family val="2"/>
        <scheme val="minor"/>
      </rPr>
      <t>0.25</t>
    </r>
    <r>
      <rPr>
        <sz val="10"/>
        <color theme="1"/>
        <rFont val="Calibri"/>
        <family val="2"/>
        <scheme val="minor"/>
      </rPr>
      <t xml:space="preserve"> if 5-10 mi,  </t>
    </r>
    <r>
      <rPr>
        <b/>
        <sz val="10"/>
        <color theme="1"/>
        <rFont val="Calibri"/>
        <family val="2"/>
        <scheme val="minor"/>
      </rPr>
      <t xml:space="preserve">0 </t>
    </r>
    <r>
      <rPr>
        <sz val="10"/>
        <color theme="1"/>
        <rFont val="Calibri"/>
        <family val="2"/>
        <scheme val="minor"/>
      </rPr>
      <t>if &gt;5 miles.</t>
    </r>
  </si>
  <si>
    <r>
      <rPr>
        <b/>
        <sz val="10"/>
        <rFont val="Calibri"/>
        <family val="2"/>
        <scheme val="minor"/>
      </rPr>
      <t>0</t>
    </r>
    <r>
      <rPr>
        <sz val="10"/>
        <rFont val="Calibri"/>
        <family val="2"/>
        <scheme val="minor"/>
      </rPr>
      <t xml:space="preserve"> if &lt;1000',  </t>
    </r>
    <r>
      <rPr>
        <b/>
        <sz val="10"/>
        <rFont val="Calibri"/>
        <family val="2"/>
        <scheme val="minor"/>
      </rPr>
      <t>0.25</t>
    </r>
    <r>
      <rPr>
        <sz val="10"/>
        <rFont val="Calibri"/>
        <family val="2"/>
        <scheme val="minor"/>
      </rPr>
      <t xml:space="preserve"> if 1000-2000',  </t>
    </r>
    <r>
      <rPr>
        <b/>
        <sz val="10"/>
        <rFont val="Calibri"/>
        <family val="2"/>
        <scheme val="minor"/>
      </rPr>
      <t>0.5</t>
    </r>
    <r>
      <rPr>
        <sz val="10"/>
        <rFont val="Calibri"/>
        <family val="2"/>
        <scheme val="minor"/>
      </rPr>
      <t xml:space="preserve"> if 2000-3000', </t>
    </r>
    <r>
      <rPr>
        <b/>
        <sz val="10"/>
        <rFont val="Calibri"/>
        <family val="2"/>
        <scheme val="minor"/>
      </rPr>
      <t>0.75</t>
    </r>
    <r>
      <rPr>
        <sz val="10"/>
        <rFont val="Calibri"/>
        <family val="2"/>
        <scheme val="minor"/>
      </rPr>
      <t xml:space="preserve"> if 3000'-1 mile, </t>
    </r>
    <r>
      <rPr>
        <b/>
        <sz val="10"/>
        <rFont val="Calibri"/>
        <family val="2"/>
        <scheme val="minor"/>
      </rPr>
      <t>1</t>
    </r>
    <r>
      <rPr>
        <sz val="10"/>
        <rFont val="Calibri"/>
        <family val="2"/>
        <scheme val="minor"/>
      </rPr>
      <t xml:space="preserve"> if &gt;1 mile.</t>
    </r>
  </si>
  <si>
    <r>
      <rPr>
        <b/>
        <sz val="10"/>
        <color theme="1"/>
        <rFont val="Calibri"/>
        <family val="2"/>
        <scheme val="minor"/>
      </rPr>
      <t>0</t>
    </r>
    <r>
      <rPr>
        <sz val="10"/>
        <color theme="1"/>
        <rFont val="Calibri"/>
        <family val="2"/>
        <scheme val="minor"/>
      </rPr>
      <t xml:space="preserve"> if &lt;3,  </t>
    </r>
    <r>
      <rPr>
        <b/>
        <sz val="10"/>
        <color theme="1"/>
        <rFont val="Calibri"/>
        <family val="2"/>
        <scheme val="minor"/>
      </rPr>
      <t>0.25</t>
    </r>
    <r>
      <rPr>
        <sz val="10"/>
        <color theme="1"/>
        <rFont val="Calibri"/>
        <family val="2"/>
        <scheme val="minor"/>
      </rPr>
      <t xml:space="preserve"> if 3-5,  </t>
    </r>
    <r>
      <rPr>
        <b/>
        <sz val="10"/>
        <color theme="1"/>
        <rFont val="Calibri"/>
        <family val="2"/>
        <scheme val="minor"/>
      </rPr>
      <t>0.5</t>
    </r>
    <r>
      <rPr>
        <sz val="10"/>
        <color theme="1"/>
        <rFont val="Calibri"/>
        <family val="2"/>
        <scheme val="minor"/>
      </rPr>
      <t xml:space="preserve"> if 6-8,  </t>
    </r>
    <r>
      <rPr>
        <b/>
        <sz val="10"/>
        <color theme="1"/>
        <rFont val="Calibri"/>
        <family val="2"/>
        <scheme val="minor"/>
      </rPr>
      <t>0.75</t>
    </r>
    <r>
      <rPr>
        <sz val="10"/>
        <color theme="1"/>
        <rFont val="Calibri"/>
        <family val="2"/>
        <scheme val="minor"/>
      </rPr>
      <t xml:space="preserve"> if 9 to 11,  </t>
    </r>
    <r>
      <rPr>
        <b/>
        <sz val="10"/>
        <color theme="1"/>
        <rFont val="Calibri"/>
        <family val="2"/>
        <scheme val="minor"/>
      </rPr>
      <t>1</t>
    </r>
    <r>
      <rPr>
        <sz val="10"/>
        <color theme="1"/>
        <rFont val="Calibri"/>
        <family val="2"/>
        <scheme val="minor"/>
      </rPr>
      <t xml:space="preserve"> if &gt;11</t>
    </r>
  </si>
  <si>
    <r>
      <rPr>
        <b/>
        <sz val="10"/>
        <color theme="1"/>
        <rFont val="Calibri"/>
        <family val="2"/>
        <scheme val="minor"/>
      </rPr>
      <t>0</t>
    </r>
    <r>
      <rPr>
        <sz val="10"/>
        <color theme="1"/>
        <rFont val="Calibri"/>
        <family val="2"/>
        <scheme val="minor"/>
      </rPr>
      <t xml:space="preserve"> if 0,  </t>
    </r>
    <r>
      <rPr>
        <b/>
        <sz val="10"/>
        <color theme="1"/>
        <rFont val="Calibri"/>
        <family val="2"/>
        <scheme val="minor"/>
      </rPr>
      <t>0.25</t>
    </r>
    <r>
      <rPr>
        <sz val="10"/>
        <color theme="1"/>
        <rFont val="Calibri"/>
        <family val="2"/>
        <scheme val="minor"/>
      </rPr>
      <t xml:space="preserve"> if 1, </t>
    </r>
    <r>
      <rPr>
        <b/>
        <sz val="10"/>
        <color theme="1"/>
        <rFont val="Calibri"/>
        <family val="2"/>
        <scheme val="minor"/>
      </rPr>
      <t>0.5</t>
    </r>
    <r>
      <rPr>
        <sz val="10"/>
        <color theme="1"/>
        <rFont val="Calibri"/>
        <family val="2"/>
        <scheme val="minor"/>
      </rPr>
      <t xml:space="preserve"> if 2-5, </t>
    </r>
    <r>
      <rPr>
        <b/>
        <sz val="10"/>
        <color theme="1"/>
        <rFont val="Calibri"/>
        <family val="2"/>
        <scheme val="minor"/>
      </rPr>
      <t>0.75</t>
    </r>
    <r>
      <rPr>
        <sz val="10"/>
        <color theme="1"/>
        <rFont val="Calibri"/>
        <family val="2"/>
        <scheme val="minor"/>
      </rPr>
      <t xml:space="preserve"> if 6-17, </t>
    </r>
    <r>
      <rPr>
        <b/>
        <sz val="10"/>
        <color theme="1"/>
        <rFont val="Calibri"/>
        <family val="2"/>
        <scheme val="minor"/>
      </rPr>
      <t>1</t>
    </r>
    <r>
      <rPr>
        <sz val="10"/>
        <color theme="1"/>
        <rFont val="Calibri"/>
        <family val="2"/>
        <scheme val="minor"/>
      </rPr>
      <t xml:space="preserve"> if &gt;17</t>
    </r>
  </si>
  <si>
    <t>See instructions in Manual and use Google Earth Pro to measure.</t>
  </si>
  <si>
    <t>Poor light transmission through water limits the growth of benthic algae and thus suppresses macroinvertebrate abundance and diversity.</t>
  </si>
  <si>
    <t xml:space="preserve">The attachment surfaces provided by these features are generally less complex and thus support few species of invertebrates and seaweed. </t>
  </si>
  <si>
    <t xml:space="preserve">In this region, the diversity of both seaweeds and invertebrates declines as salinity declines (water gets fresher), other factors being equal. </t>
  </si>
  <si>
    <t>Score</t>
  </si>
  <si>
    <t>Kelp is an extremely productive carbon source in coastal waters.</t>
  </si>
  <si>
    <t>Distance to Nearest Mapped Stream (in ft)</t>
  </si>
  <si>
    <r>
      <t xml:space="preserve">Do not edit.  </t>
    </r>
    <r>
      <rPr>
        <b/>
        <sz val="11"/>
        <rFont val="Calibri"/>
        <family val="2"/>
      </rPr>
      <t xml:space="preserve">0 </t>
    </r>
    <r>
      <rPr>
        <sz val="11"/>
        <rFont val="Calibri"/>
        <family val="2"/>
      </rPr>
      <t xml:space="preserve">if 1,  </t>
    </r>
    <r>
      <rPr>
        <b/>
        <sz val="11"/>
        <rFont val="Calibri"/>
        <family val="2"/>
      </rPr>
      <t>0.33</t>
    </r>
    <r>
      <rPr>
        <sz val="11"/>
        <rFont val="Calibri"/>
        <family val="2"/>
      </rPr>
      <t xml:space="preserve"> if 2,  </t>
    </r>
    <r>
      <rPr>
        <b/>
        <sz val="11"/>
        <rFont val="Calibri"/>
        <family val="2"/>
      </rPr>
      <t>0.66</t>
    </r>
    <r>
      <rPr>
        <sz val="11"/>
        <rFont val="Calibri"/>
        <family val="2"/>
      </rPr>
      <t xml:space="preserve"> if 3,  </t>
    </r>
    <r>
      <rPr>
        <b/>
        <sz val="11"/>
        <rFont val="Calibri"/>
        <family val="2"/>
      </rPr>
      <t>1.00</t>
    </r>
    <r>
      <rPr>
        <sz val="11"/>
        <rFont val="Calibri"/>
        <family val="2"/>
      </rPr>
      <t xml:space="preserve"> if 4 (of 4 possible).</t>
    </r>
  </si>
  <si>
    <r>
      <t xml:space="preserve">Do not edit.  </t>
    </r>
    <r>
      <rPr>
        <b/>
        <sz val="11"/>
        <rFont val="Calibri"/>
        <family val="2"/>
      </rPr>
      <t>0</t>
    </r>
    <r>
      <rPr>
        <sz val="11"/>
        <rFont val="Calibri"/>
        <family val="2"/>
      </rPr>
      <t xml:space="preserve"> if &lt;3,  </t>
    </r>
    <r>
      <rPr>
        <b/>
        <sz val="11"/>
        <rFont val="Calibri"/>
        <family val="2"/>
      </rPr>
      <t>0.25</t>
    </r>
    <r>
      <rPr>
        <sz val="11"/>
        <rFont val="Calibri"/>
        <family val="2"/>
      </rPr>
      <t xml:space="preserve"> if 3-4,  </t>
    </r>
    <r>
      <rPr>
        <b/>
        <sz val="11"/>
        <rFont val="Calibri"/>
        <family val="2"/>
      </rPr>
      <t>0.50</t>
    </r>
    <r>
      <rPr>
        <sz val="11"/>
        <rFont val="Calibri"/>
        <family val="2"/>
      </rPr>
      <t xml:space="preserve"> if 5-6,  </t>
    </r>
    <r>
      <rPr>
        <b/>
        <sz val="11"/>
        <rFont val="Calibri"/>
        <family val="2"/>
      </rPr>
      <t xml:space="preserve">0.75 </t>
    </r>
    <r>
      <rPr>
        <sz val="11"/>
        <rFont val="Calibri"/>
        <family val="2"/>
      </rPr>
      <t xml:space="preserve">if 7-8,  </t>
    </r>
    <r>
      <rPr>
        <b/>
        <sz val="11"/>
        <rFont val="Calibri"/>
        <family val="2"/>
      </rPr>
      <t>1.00</t>
    </r>
    <r>
      <rPr>
        <sz val="11"/>
        <rFont val="Calibri"/>
        <family val="2"/>
      </rPr>
      <t xml:space="preserve"> if &gt;8</t>
    </r>
  </si>
  <si>
    <r>
      <t xml:space="preserve">Do not edit.  </t>
    </r>
    <r>
      <rPr>
        <b/>
        <sz val="11"/>
        <rFont val="Calibri"/>
        <family val="2"/>
      </rPr>
      <t>0</t>
    </r>
    <r>
      <rPr>
        <sz val="11"/>
        <rFont val="Calibri"/>
        <family val="2"/>
      </rPr>
      <t xml:space="preserve"> if 0,  </t>
    </r>
    <r>
      <rPr>
        <b/>
        <sz val="11"/>
        <rFont val="Calibri"/>
        <family val="2"/>
      </rPr>
      <t>0.25</t>
    </r>
    <r>
      <rPr>
        <sz val="11"/>
        <rFont val="Calibri"/>
        <family val="2"/>
      </rPr>
      <t xml:space="preserve"> if 0.01-0.30,  </t>
    </r>
    <r>
      <rPr>
        <b/>
        <sz val="11"/>
        <rFont val="Calibri"/>
        <family val="2"/>
      </rPr>
      <t>0.50</t>
    </r>
    <r>
      <rPr>
        <sz val="11"/>
        <rFont val="Calibri"/>
        <family val="2"/>
      </rPr>
      <t xml:space="preserve"> if 0.31-0.50,  </t>
    </r>
    <r>
      <rPr>
        <b/>
        <sz val="11"/>
        <rFont val="Calibri"/>
        <family val="2"/>
      </rPr>
      <t>0.75</t>
    </r>
    <r>
      <rPr>
        <sz val="11"/>
        <rFont val="Calibri"/>
        <family val="2"/>
      </rPr>
      <t xml:space="preserve"> if 0.51-0.80,  </t>
    </r>
    <r>
      <rPr>
        <b/>
        <sz val="11"/>
        <rFont val="Calibri"/>
        <family val="2"/>
      </rPr>
      <t>1.00</t>
    </r>
    <r>
      <rPr>
        <sz val="11"/>
        <rFont val="Calibri"/>
        <family val="2"/>
      </rPr>
      <t xml:space="preserve"> if &gt;0.80</t>
    </r>
  </si>
  <si>
    <r>
      <t xml:space="preserve">Do not edit.  </t>
    </r>
    <r>
      <rPr>
        <b/>
        <sz val="11"/>
        <rFont val="Calibri"/>
        <family val="2"/>
      </rPr>
      <t xml:space="preserve">0 </t>
    </r>
    <r>
      <rPr>
        <sz val="11"/>
        <rFont val="Calibri"/>
        <family val="2"/>
      </rPr>
      <t xml:space="preserve">if &lt;4.85; </t>
    </r>
    <r>
      <rPr>
        <b/>
        <sz val="11"/>
        <rFont val="Calibri"/>
        <family val="2"/>
      </rPr>
      <t>0.25</t>
    </r>
    <r>
      <rPr>
        <sz val="11"/>
        <rFont val="Calibri"/>
        <family val="2"/>
      </rPr>
      <t xml:space="preserve"> if 4.85-6.27, </t>
    </r>
    <r>
      <rPr>
        <b/>
        <sz val="11"/>
        <rFont val="Calibri"/>
        <family val="2"/>
      </rPr>
      <t>0.50</t>
    </r>
    <r>
      <rPr>
        <sz val="11"/>
        <rFont val="Calibri"/>
        <family val="2"/>
      </rPr>
      <t xml:space="preserve"> if 6.28-8.16, </t>
    </r>
    <r>
      <rPr>
        <b/>
        <sz val="11"/>
        <rFont val="Calibri"/>
        <family val="2"/>
      </rPr>
      <t>0.75</t>
    </r>
    <r>
      <rPr>
        <sz val="11"/>
        <rFont val="Calibri"/>
        <family val="2"/>
      </rPr>
      <t xml:space="preserve"> if 8.17-11.22, </t>
    </r>
    <r>
      <rPr>
        <b/>
        <sz val="11"/>
        <rFont val="Calibri"/>
        <family val="2"/>
      </rPr>
      <t>1.00</t>
    </r>
    <r>
      <rPr>
        <sz val="11"/>
        <rFont val="Calibri"/>
        <family val="2"/>
      </rPr>
      <t xml:space="preserve"> if &gt;11.22</t>
    </r>
  </si>
  <si>
    <r>
      <t xml:space="preserve">Do not edit.  </t>
    </r>
    <r>
      <rPr>
        <b/>
        <sz val="11"/>
        <rFont val="Calibri"/>
        <family val="2"/>
      </rPr>
      <t>0</t>
    </r>
    <r>
      <rPr>
        <sz val="11"/>
        <rFont val="Calibri"/>
        <family val="2"/>
      </rPr>
      <t xml:space="preserve"> if &lt;7.08; </t>
    </r>
    <r>
      <rPr>
        <b/>
        <sz val="11"/>
        <rFont val="Calibri"/>
        <family val="2"/>
      </rPr>
      <t>0.25</t>
    </r>
    <r>
      <rPr>
        <sz val="11"/>
        <rFont val="Calibri"/>
        <family val="2"/>
      </rPr>
      <t xml:space="preserve"> if 7.08-8.77,  </t>
    </r>
    <r>
      <rPr>
        <b/>
        <sz val="11"/>
        <rFont val="Calibri"/>
        <family val="2"/>
      </rPr>
      <t>0.50</t>
    </r>
    <r>
      <rPr>
        <sz val="11"/>
        <rFont val="Calibri"/>
        <family val="2"/>
      </rPr>
      <t xml:space="preserve"> if 8.78-10.83, </t>
    </r>
    <r>
      <rPr>
        <b/>
        <sz val="11"/>
        <rFont val="Calibri"/>
        <family val="2"/>
      </rPr>
      <t>0.75</t>
    </r>
    <r>
      <rPr>
        <sz val="11"/>
        <rFont val="Calibri"/>
        <family val="2"/>
      </rPr>
      <t xml:space="preserve"> if 10.84-14.27, </t>
    </r>
    <r>
      <rPr>
        <b/>
        <sz val="11"/>
        <rFont val="Calibri"/>
        <family val="2"/>
      </rPr>
      <t>1.00</t>
    </r>
    <r>
      <rPr>
        <sz val="11"/>
        <rFont val="Calibri"/>
        <family val="2"/>
      </rPr>
      <t xml:space="preserve"> if &gt;14.27</t>
    </r>
  </si>
  <si>
    <r>
      <t xml:space="preserve">Do not edit.  </t>
    </r>
    <r>
      <rPr>
        <b/>
        <sz val="11"/>
        <rFont val="Calibri"/>
        <family val="2"/>
      </rPr>
      <t>1.00</t>
    </r>
    <r>
      <rPr>
        <sz val="11"/>
        <rFont val="Calibri"/>
        <family val="2"/>
      </rPr>
      <t xml:space="preserve"> if &lt;0.18; </t>
    </r>
    <r>
      <rPr>
        <b/>
        <sz val="11"/>
        <rFont val="Calibri"/>
        <family val="2"/>
      </rPr>
      <t>0.75</t>
    </r>
    <r>
      <rPr>
        <sz val="11"/>
        <rFont val="Calibri"/>
        <family val="2"/>
      </rPr>
      <t xml:space="preserve"> if 0.18-0.57, </t>
    </r>
    <r>
      <rPr>
        <b/>
        <sz val="11"/>
        <rFont val="Calibri"/>
        <family val="2"/>
      </rPr>
      <t xml:space="preserve">0.50 </t>
    </r>
    <r>
      <rPr>
        <sz val="11"/>
        <rFont val="Calibri"/>
        <family val="2"/>
      </rPr>
      <t xml:space="preserve">if 0.58-1.04, </t>
    </r>
    <r>
      <rPr>
        <b/>
        <sz val="11"/>
        <rFont val="Calibri"/>
        <family val="2"/>
      </rPr>
      <t>0.25</t>
    </r>
    <r>
      <rPr>
        <sz val="11"/>
        <rFont val="Calibri"/>
        <family val="2"/>
      </rPr>
      <t xml:space="preserve"> if 1.05-1.78, </t>
    </r>
    <r>
      <rPr>
        <b/>
        <sz val="11"/>
        <rFont val="Calibri"/>
        <family val="2"/>
      </rPr>
      <t xml:space="preserve">0 </t>
    </r>
    <r>
      <rPr>
        <sz val="11"/>
        <rFont val="Calibri"/>
        <family val="2"/>
      </rPr>
      <t>if &gt;1.78</t>
    </r>
  </si>
  <si>
    <r>
      <rPr>
        <b/>
        <sz val="11"/>
        <color theme="1"/>
        <rFont val="Calibri"/>
        <family val="2"/>
      </rPr>
      <t>0</t>
    </r>
    <r>
      <rPr>
        <sz val="11"/>
        <color theme="1"/>
        <rFont val="Calibri"/>
        <family val="2"/>
      </rPr>
      <t xml:space="preserve"> if none shown on map &amp; none observed, </t>
    </r>
    <r>
      <rPr>
        <b/>
        <sz val="11"/>
        <color theme="1"/>
        <rFont val="Calibri"/>
        <family val="2"/>
      </rPr>
      <t>1</t>
    </r>
    <r>
      <rPr>
        <sz val="11"/>
        <color theme="1"/>
        <rFont val="Calibri"/>
        <family val="2"/>
      </rPr>
      <t xml:space="preserve"> if map or your observations indicate karst</t>
    </r>
  </si>
  <si>
    <r>
      <rPr>
        <b/>
        <sz val="11"/>
        <color theme="1"/>
        <rFont val="Calibri"/>
        <family val="2"/>
      </rPr>
      <t>0</t>
    </r>
    <r>
      <rPr>
        <sz val="11"/>
        <color theme="1"/>
        <rFont val="Calibri"/>
        <family val="2"/>
      </rPr>
      <t xml:space="preserve">= none or no data, </t>
    </r>
    <r>
      <rPr>
        <b/>
        <sz val="11"/>
        <color theme="1"/>
        <rFont val="Calibri"/>
        <family val="2"/>
      </rPr>
      <t>1</t>
    </r>
    <r>
      <rPr>
        <sz val="11"/>
        <color theme="1"/>
        <rFont val="Calibri"/>
        <family val="2"/>
      </rPr>
      <t>= present</t>
    </r>
  </si>
  <si>
    <r>
      <rPr>
        <b/>
        <sz val="11"/>
        <color theme="1"/>
        <rFont val="Calibri"/>
        <family val="2"/>
      </rPr>
      <t>0</t>
    </r>
    <r>
      <rPr>
        <sz val="11"/>
        <color theme="1"/>
        <rFont val="Calibri"/>
        <family val="2"/>
      </rPr>
      <t xml:space="preserve">= absent, </t>
    </r>
    <r>
      <rPr>
        <b/>
        <sz val="11"/>
        <color theme="1"/>
        <rFont val="Calibri"/>
        <family val="2"/>
      </rPr>
      <t>0.75</t>
    </r>
    <r>
      <rPr>
        <sz val="11"/>
        <color theme="1"/>
        <rFont val="Calibri"/>
        <family val="2"/>
      </rPr>
      <t xml:space="preserve">= patchy, </t>
    </r>
    <r>
      <rPr>
        <b/>
        <sz val="11"/>
        <color theme="1"/>
        <rFont val="Calibri"/>
        <family val="2"/>
      </rPr>
      <t>1</t>
    </r>
    <r>
      <rPr>
        <sz val="11"/>
        <color theme="1"/>
        <rFont val="Calibri"/>
        <family val="2"/>
      </rPr>
      <t>= mostly continuous along segment shore</t>
    </r>
  </si>
  <si>
    <t>Other factors being equal, seaweed and marine invertebrate samples from the higher-salinity Outer Coast tend to be more diverse.  In data conversions to scores, does not detract from score if Southern Inside or Northern Inside, but increases the score if Outer Coast.</t>
  </si>
  <si>
    <t>Shore segments that are closer to spawning streams are expected to be visited for longer by anadromous species, other factors being equal.</t>
  </si>
  <si>
    <t>Shore segments located in watersheds that are among the highest-rated for salmon within their subregion are expected to be visited more often by salmon, other factors being equal.</t>
  </si>
  <si>
    <t>Shore segments located in watersheds that are among the highest-rated within their subregion for any individual salmon species are expected to be visited more often by those salmon species, other factors being equal.</t>
  </si>
  <si>
    <t>Eulachon is an important anadromous species in the region.</t>
  </si>
  <si>
    <t>Shore segments located in watersheds that are among the highest-rated within their subregion for estuarine habitat (e.g., major river outflows) are expected to be more important to anadromous fish in general because of their preference for this land form.</t>
  </si>
  <si>
    <t>Even if a stream that is in or near a shore segment is not accessible to anadromous fish, it may still be important to other fish species and provides a flow of nutrients into the intertidal zone from the watershed.</t>
  </si>
  <si>
    <r>
      <t xml:space="preserve">Do not edit.  </t>
    </r>
    <r>
      <rPr>
        <b/>
        <sz val="11"/>
        <rFont val="Calibri"/>
        <family val="2"/>
      </rPr>
      <t>0</t>
    </r>
    <r>
      <rPr>
        <sz val="11"/>
        <rFont val="Calibri"/>
        <family val="2"/>
      </rPr>
      <t xml:space="preserve"> if 0,  </t>
    </r>
    <r>
      <rPr>
        <b/>
        <sz val="11"/>
        <rFont val="Calibri"/>
        <family val="2"/>
      </rPr>
      <t>0.25</t>
    </r>
    <r>
      <rPr>
        <sz val="11"/>
        <rFont val="Calibri"/>
        <family val="2"/>
      </rPr>
      <t xml:space="preserve"> if 1-16, </t>
    </r>
    <r>
      <rPr>
        <b/>
        <sz val="11"/>
        <rFont val="Calibri"/>
        <family val="2"/>
      </rPr>
      <t>0.50</t>
    </r>
    <r>
      <rPr>
        <sz val="11"/>
        <rFont val="Calibri"/>
        <family val="2"/>
      </rPr>
      <t xml:space="preserve"> if 17-47, </t>
    </r>
    <r>
      <rPr>
        <b/>
        <sz val="11"/>
        <rFont val="Calibri"/>
        <family val="2"/>
      </rPr>
      <t>0.75</t>
    </r>
    <r>
      <rPr>
        <sz val="11"/>
        <rFont val="Calibri"/>
        <family val="2"/>
      </rPr>
      <t xml:space="preserve"> if 48-70, </t>
    </r>
    <r>
      <rPr>
        <b/>
        <sz val="11"/>
        <rFont val="Calibri"/>
        <family val="2"/>
      </rPr>
      <t xml:space="preserve">1.00 </t>
    </r>
    <r>
      <rPr>
        <sz val="11"/>
        <rFont val="Calibri"/>
        <family val="2"/>
      </rPr>
      <t>if &gt;70</t>
    </r>
  </si>
  <si>
    <t>The greater the proportion of the shore segment that is flooded by tide regularly, the more that is accessible to fish.</t>
  </si>
  <si>
    <t>Large woody debris in the intertidal zone provides cover for small fish and an additional attachment surface for marine invertebrates.</t>
  </si>
  <si>
    <t>Although fish commonly inhabit cloudy water, invertebrate foods are more plentiful and visible in non-cloudy waters.</t>
  </si>
  <si>
    <t>Many studies (e.g., Johnson et al. 2012) have documented disproportionate use of canopy kelp by a wide variety of salmonid prey species (invertebrates and forage fish).</t>
  </si>
  <si>
    <t>Many studies (e.g., Johnson et al. 2012) have documented disproportionate use of eelgrass substrates by a wide variety of salmonid prey species (invertebrates and forage fish).</t>
  </si>
  <si>
    <t>Biosurveys (Johnson et al. 2012) suggest that the Northern Inside subregion may support more fish species than anywhere else in Alaska, but this estimate may be biased by there being greater survey effort (sites, hauls, catch) in that subregion.</t>
  </si>
  <si>
    <t>AVERAGE(subregn, turbid, diststream, Lwood)</t>
  </si>
  <si>
    <t xml:space="preserve">IBA (Important Bird Area).  </t>
  </si>
  <si>
    <t>IF no kelp or eelgrass, turns blank.  Else: AVERAGE(kelppct, eelgrass).</t>
  </si>
  <si>
    <t>AVERAGE(algapct, mussel, eelgrass, tidalwidth, boats, distpond)</t>
  </si>
  <si>
    <t>Different species associate with different classes.  Thus, the rarer substrate types may be more likely to host seaweed or macroinvertebrate species not found widely.  If so, they are likely to contribute more significantly to regional biodiversity.</t>
  </si>
  <si>
    <t>Different species associate with different classes.  Thus, the rarer substrate types may be more likely to host bird species not found widely in the region.  If so, they are likely to contribute more significantly to regional biodiversity.</t>
  </si>
  <si>
    <t>Marshes are used more than rocky substrates by most shorebirds, geese, swans, ducks, and wading birds.</t>
  </si>
  <si>
    <t>Mussels are a major food source for scoters and other sea ducks.</t>
  </si>
  <si>
    <t>Anadromous fish are prey for cormorants, gulls, herons, and several other coastal bird species.</t>
  </si>
  <si>
    <t>Herring are a major food source for scoters, gulls, and several other coastal bird species.</t>
  </si>
  <si>
    <t>Hodges, J. I., D.J. Groves, and B.P. Conant. 2008. Distribution and abundance of waterbirds near shore in southeast Alaska, 1997-2002. Northwest Naturalist 89:85-96</t>
  </si>
  <si>
    <t>The score is from a direct estimate of seabird abundance in the vicinity of (but not in) the shoreline segment, based on surveys by Hodges et al. 2008.</t>
  </si>
  <si>
    <t>Wider intertidal areas provide shorebirds with better visibility to see approaching predators and thus tend to be used more.</t>
  </si>
  <si>
    <t>In particular, wider vegetated areas provide more cover and are used by some species that avoid unvegetated substrates.</t>
  </si>
  <si>
    <t>Several coastal species, e.g., gulls, waterfowl, require lakes and ponds for roosting and/or during moulting periods and major storms.</t>
  </si>
  <si>
    <t>These areas have been documented as having regionally outstanding concentrations of one or more sea or shorebird species.</t>
  </si>
  <si>
    <t>Intermediate-to-high levels of seaweed cover probably provide the most diverse feeding conditions for sea and shore birds.</t>
  </si>
  <si>
    <t>Many studies have documented disproportionate use of kelp by a wide variety of invertebrates and fish, which in turn are important foods for seabirds.</t>
  </si>
  <si>
    <t>Many studies (e.g., Johnson et al. 2012) have documented disproportionate use of kelp by a wide variety of invertebrates and fish, which in turn are important foods for seabirds. This indicator is coded as either present (scored 1) or absent (scored 0).</t>
  </si>
  <si>
    <t>Many studies (e.g., Johnson et al. 2012) have documented disproportionate use of eelgrass by a wide variety of invertebrates and fish, which in turn are important foods for seabirds. This indicator is coded as either present (scored 1) or absent (scored 0).</t>
  </si>
  <si>
    <t>Notable Bird Concentrations</t>
  </si>
  <si>
    <t>Wt</t>
  </si>
  <si>
    <t>Anadromous fish are regularly preyed upon by seals and sea lions.</t>
  </si>
  <si>
    <t>Eulachon are prey for seals and sea lions.</t>
  </si>
  <si>
    <t>Herring are prey for seals and sea lions.</t>
  </si>
  <si>
    <t>Although seals and sea lions readily occupy steep shores, wider intertidal areas allow better detection of approaching predators and thus may be used more when available.</t>
  </si>
  <si>
    <t>Because kelp attracts many of their prey foods, seals and sea lions may feed disproportionately in kelp beds during some times of the year.</t>
  </si>
  <si>
    <t>10* (IF((haulout=1),1, [3*MAX(kelppct, herring, eulachon, distAnad) + AVERAGE(tidalwidth,boats)] /4</t>
  </si>
  <si>
    <t>Anadromous fish attract bear and many other species to marine riparian areas.</t>
  </si>
  <si>
    <t>AVERAGE(marsh, floodpct)</t>
  </si>
  <si>
    <t>Shore segments located in watersheds that are among the highest-rated for salmon within their subregion are expected to be used more by wildlife, other factors being equal.</t>
  </si>
  <si>
    <t>Shore segments located in watersheds that are among the highest-rated within their subregion for any individual salmon species are expected to be visited more by wildlife, other factors being equal.</t>
  </si>
  <si>
    <t>calculation method and source similar to above, but based on model for bear.</t>
  </si>
  <si>
    <t>Marine buffer areas in watersheds with more older-growth riparian forest (as mapped by the 2007 Southeast Alaska Conservation Assessment) may be more likely to be used by species that tend to occur disproportionately in such relatively uncommon habitats.</t>
  </si>
  <si>
    <t>Habitat capability score (adjusted to 0-1 scale) calculated as the maximum value for all units within 100 m of the shore segment and based on model in Suring et al. (1990) as implemented by the 2007 Southeast Alaska Conservation Assessment.  For deer, areas at lower elevations with more southerly exposures, and with a forest canopy that provides snow interception and thermal cover, were assumed to constitute good habitat during potentially limiting periods of severe winter weather.  All areas near Haines and Yakutat are scored 0 because deer populations do not persist there in significant numbers.</t>
  </si>
  <si>
    <t>Wooded buffers help filter excess sediment and other pollutants before they reach the intertidal zone, and also provide habitat for many species that use adjoining intertidal areas often.</t>
  </si>
  <si>
    <t>Some larger mammals such as deer appear to favor flatter topography which allows easier movements.</t>
  </si>
  <si>
    <t>Wildlife in shore segments closer to populated areas experience more disturbance from hunters and other recreationists.</t>
  </si>
  <si>
    <t>This is a direct measure of use (at least of areas in the general vicinity) by one marine riparian species.</t>
  </si>
  <si>
    <t>Tidepools provide excellent foraging areas for bear, herons, and some other wildlife.</t>
  </si>
  <si>
    <t>The disturbances described by these indicators all have the capacity to harm some wildlife species.</t>
  </si>
  <si>
    <t>A greater variety of cover types (from Tongass NF spatial data, potentially 10 types) suggests a greater variety of bird and mammal species are likely to be present because different species use different types.</t>
  </si>
  <si>
    <t>A greater variety of tree diameter classes suggests a greater variety of bird and mammal species are likely to be present because different species use different sizes/ages of trees.</t>
  </si>
  <si>
    <t>These help enrich soils with nitrogen and along with other deciduous trees and shrubs, support species not found frequently in coniferous forests.</t>
  </si>
  <si>
    <t>Berries are consumed by many songbird species as well as bear and humans, so marine buffers with abundant berries are more likely to host diverse wildlife communities.</t>
  </si>
  <si>
    <t>This is a direct measure of use by just a few of the many wildlife species that use marine riparian areas.</t>
  </si>
  <si>
    <t>AVERAGE(deerhab, numcovertypes, treedivers, nfixers, karst, shedslope)</t>
  </si>
  <si>
    <t>AVERAGE(buffwidth, intactness, distpop, distbdg, altered, armoring)</t>
  </si>
  <si>
    <r>
      <rPr>
        <b/>
        <sz val="11"/>
        <color theme="1"/>
        <rFont val="Calibri"/>
        <family val="2"/>
      </rPr>
      <t>1</t>
    </r>
    <r>
      <rPr>
        <sz val="11"/>
        <color theme="1"/>
        <rFont val="Calibri"/>
        <family val="2"/>
      </rPr>
      <t xml:space="preserve">= Outer Coast (high salinity, cool sea surface temperature); </t>
    </r>
    <r>
      <rPr>
        <b/>
        <sz val="11"/>
        <color theme="1"/>
        <rFont val="Calibri"/>
        <family val="2"/>
      </rPr>
      <t>0.5</t>
    </r>
    <r>
      <rPr>
        <sz val="11"/>
        <color theme="1"/>
        <rFont val="Calibri"/>
        <family val="2"/>
      </rPr>
      <t xml:space="preserve">= North Inside Passage (low salinity, cool sea surface temperature); </t>
    </r>
    <r>
      <rPr>
        <b/>
        <sz val="11"/>
        <color theme="1"/>
        <rFont val="Calibri"/>
        <family val="2"/>
      </rPr>
      <t>0</t>
    </r>
    <r>
      <rPr>
        <sz val="11"/>
        <color theme="1"/>
        <rFont val="Calibri"/>
        <family val="2"/>
      </rPr>
      <t>= South Inside Passage (low salinity, warm sea surface temperature).</t>
    </r>
  </si>
  <si>
    <t>Slope of Intertidal</t>
  </si>
  <si>
    <t>tidalslope</t>
  </si>
  <si>
    <r>
      <rPr>
        <b/>
        <sz val="10"/>
        <color theme="1"/>
        <rFont val="Calibri"/>
        <family val="2"/>
        <scheme val="minor"/>
      </rPr>
      <t>1</t>
    </r>
    <r>
      <rPr>
        <sz val="10"/>
        <color theme="1"/>
        <rFont val="Calibri"/>
        <family val="2"/>
        <scheme val="minor"/>
      </rPr>
      <t xml:space="preserve"> if flat, </t>
    </r>
    <r>
      <rPr>
        <b/>
        <sz val="10"/>
        <color theme="1"/>
        <rFont val="Calibri"/>
        <family val="2"/>
        <scheme val="minor"/>
      </rPr>
      <t>0.5</t>
    </r>
    <r>
      <rPr>
        <sz val="10"/>
        <color theme="1"/>
        <rFont val="Calibri"/>
        <family val="2"/>
        <scheme val="minor"/>
      </rPr>
      <t xml:space="preserve"> if inclined, </t>
    </r>
    <r>
      <rPr>
        <b/>
        <sz val="10"/>
        <color theme="1"/>
        <rFont val="Calibri"/>
        <family val="2"/>
        <scheme val="minor"/>
      </rPr>
      <t>0</t>
    </r>
    <r>
      <rPr>
        <sz val="10"/>
        <color theme="1"/>
        <rFont val="Calibri"/>
        <family val="2"/>
        <scheme val="minor"/>
      </rPr>
      <t xml:space="preserve"> if steep.</t>
    </r>
  </si>
  <si>
    <t>Although many seabirds nest and roost on cliffs (mostly on islands), flat shorelines tend to host a larger number of species, especially shorebird species.  Thus, flat intertidal segments are scored highest (1), inclined segments nearly as high (0.75), and steep are scored 0.</t>
  </si>
  <si>
    <t>Although fishing boats are often followed by gulls (which consume wasted catch), heavy boat traffic increases disturbance of many seabirds thus increasing their metabolic demands.</t>
  </si>
  <si>
    <t>Seal/SeaLion/SeaOtter Concentration</t>
  </si>
  <si>
    <r>
      <rPr>
        <b/>
        <sz val="10"/>
        <color theme="1"/>
        <rFont val="Calibri"/>
        <family val="2"/>
        <scheme val="minor"/>
      </rPr>
      <t>1</t>
    </r>
    <r>
      <rPr>
        <sz val="10"/>
        <color theme="1"/>
        <rFont val="Calibri"/>
        <family val="2"/>
        <scheme val="minor"/>
      </rPr>
      <t xml:space="preserve"> if &lt;10%, </t>
    </r>
    <r>
      <rPr>
        <b/>
        <sz val="10"/>
        <color theme="1"/>
        <rFont val="Calibri"/>
        <family val="2"/>
        <scheme val="minor"/>
      </rPr>
      <t>0.75</t>
    </r>
    <r>
      <rPr>
        <sz val="10"/>
        <color theme="1"/>
        <rFont val="Calibri"/>
        <family val="2"/>
        <scheme val="minor"/>
      </rPr>
      <t xml:space="preserve"> if 10-25%,  </t>
    </r>
    <r>
      <rPr>
        <b/>
        <sz val="10"/>
        <color theme="1"/>
        <rFont val="Calibri"/>
        <family val="2"/>
        <scheme val="minor"/>
      </rPr>
      <t>0.5</t>
    </r>
    <r>
      <rPr>
        <sz val="10"/>
        <color theme="1"/>
        <rFont val="Calibri"/>
        <family val="2"/>
        <scheme val="minor"/>
      </rPr>
      <t xml:space="preserve"> if 25-35%,  </t>
    </r>
    <r>
      <rPr>
        <b/>
        <sz val="10"/>
        <color theme="1"/>
        <rFont val="Calibri"/>
        <family val="2"/>
        <scheme val="minor"/>
      </rPr>
      <t>0.25</t>
    </r>
    <r>
      <rPr>
        <sz val="10"/>
        <color theme="1"/>
        <rFont val="Calibri"/>
        <family val="2"/>
        <scheme val="minor"/>
      </rPr>
      <t xml:space="preserve"> if 35-45%, </t>
    </r>
    <r>
      <rPr>
        <b/>
        <sz val="10"/>
        <color theme="1"/>
        <rFont val="Calibri"/>
        <family val="2"/>
        <scheme val="minor"/>
      </rPr>
      <t xml:space="preserve">0 </t>
    </r>
    <r>
      <rPr>
        <sz val="10"/>
        <color theme="1"/>
        <rFont val="Calibri"/>
        <family val="2"/>
        <scheme val="minor"/>
      </rPr>
      <t>if &gt;45%</t>
    </r>
  </si>
  <si>
    <r>
      <rPr>
        <b/>
        <sz val="10"/>
        <color theme="1"/>
        <rFont val="Calibri"/>
        <family val="2"/>
        <scheme val="minor"/>
      </rPr>
      <t>0</t>
    </r>
    <r>
      <rPr>
        <sz val="10"/>
        <color theme="1"/>
        <rFont val="Calibri"/>
        <family val="2"/>
        <scheme val="minor"/>
      </rPr>
      <t xml:space="preserve"> if &gt;6,  </t>
    </r>
    <r>
      <rPr>
        <b/>
        <sz val="10"/>
        <color theme="1"/>
        <rFont val="Calibri"/>
        <family val="2"/>
        <scheme val="minor"/>
      </rPr>
      <t>0.25</t>
    </r>
    <r>
      <rPr>
        <sz val="10"/>
        <color theme="1"/>
        <rFont val="Calibri"/>
        <family val="2"/>
        <scheme val="minor"/>
      </rPr>
      <t xml:space="preserve"> if 5-6,  </t>
    </r>
    <r>
      <rPr>
        <b/>
        <sz val="10"/>
        <color theme="1"/>
        <rFont val="Calibri"/>
        <family val="2"/>
        <scheme val="minor"/>
      </rPr>
      <t>0.5</t>
    </r>
    <r>
      <rPr>
        <sz val="10"/>
        <color theme="1"/>
        <rFont val="Calibri"/>
        <family val="2"/>
        <scheme val="minor"/>
      </rPr>
      <t xml:space="preserve"> if 3-4,  </t>
    </r>
    <r>
      <rPr>
        <b/>
        <sz val="10"/>
        <color theme="1"/>
        <rFont val="Calibri"/>
        <family val="2"/>
        <scheme val="minor"/>
      </rPr>
      <t>0.75</t>
    </r>
    <r>
      <rPr>
        <sz val="10"/>
        <color theme="1"/>
        <rFont val="Calibri"/>
        <family val="2"/>
        <scheme val="minor"/>
      </rPr>
      <t xml:space="preserve"> if 1-2,  </t>
    </r>
    <r>
      <rPr>
        <b/>
        <sz val="10"/>
        <color theme="1"/>
        <rFont val="Calibri"/>
        <family val="2"/>
        <scheme val="minor"/>
      </rPr>
      <t>1</t>
    </r>
    <r>
      <rPr>
        <sz val="10"/>
        <color theme="1"/>
        <rFont val="Calibri"/>
        <family val="2"/>
        <scheme val="minor"/>
      </rPr>
      <t xml:space="preserve"> if none</t>
    </r>
  </si>
  <si>
    <r>
      <t xml:space="preserve">What was the greatest number of </t>
    </r>
    <r>
      <rPr>
        <b/>
        <sz val="11"/>
        <color theme="1"/>
        <rFont val="Calibri"/>
        <family val="2"/>
        <scheme val="minor"/>
      </rPr>
      <t>barnacles</t>
    </r>
    <r>
      <rPr>
        <sz val="11"/>
        <color theme="1"/>
        <rFont val="Calibri"/>
        <family val="2"/>
        <scheme val="minor"/>
      </rPr>
      <t>?</t>
    </r>
  </si>
  <si>
    <r>
      <t xml:space="preserve">What was the greatest number of </t>
    </r>
    <r>
      <rPr>
        <b/>
        <sz val="11"/>
        <color theme="1"/>
        <rFont val="Calibri"/>
        <family val="2"/>
        <scheme val="minor"/>
      </rPr>
      <t>limpets</t>
    </r>
    <r>
      <rPr>
        <sz val="11"/>
        <color theme="1"/>
        <rFont val="Calibri"/>
        <family val="2"/>
        <scheme val="minor"/>
      </rPr>
      <t>?</t>
    </r>
  </si>
  <si>
    <r>
      <t xml:space="preserve">What was the greatest number of </t>
    </r>
    <r>
      <rPr>
        <b/>
        <sz val="11"/>
        <color theme="1"/>
        <rFont val="Calibri"/>
        <family val="2"/>
        <scheme val="minor"/>
      </rPr>
      <t>periwinkles</t>
    </r>
    <r>
      <rPr>
        <sz val="11"/>
        <color theme="1"/>
        <rFont val="Calibri"/>
        <family val="2"/>
        <scheme val="minor"/>
      </rPr>
      <t xml:space="preserve"> (snails)?</t>
    </r>
  </si>
  <si>
    <r>
      <t xml:space="preserve">In the quadrats you did in this shore segment, what was the greatest number of </t>
    </r>
    <r>
      <rPr>
        <b/>
        <sz val="11"/>
        <color theme="1"/>
        <rFont val="Calibri"/>
        <family val="2"/>
        <scheme val="minor"/>
      </rPr>
      <t>mussels</t>
    </r>
    <r>
      <rPr>
        <sz val="11"/>
        <color theme="1"/>
        <rFont val="Calibri"/>
        <family val="2"/>
        <scheme val="minor"/>
      </rPr>
      <t>?</t>
    </r>
  </si>
  <si>
    <r>
      <t xml:space="preserve">In the </t>
    </r>
    <r>
      <rPr>
        <b/>
        <sz val="11"/>
        <color theme="1"/>
        <rFont val="Calibri"/>
        <family val="2"/>
        <scheme val="minor"/>
      </rPr>
      <t>pits</t>
    </r>
    <r>
      <rPr>
        <sz val="11"/>
        <color theme="1"/>
        <rFont val="Calibri"/>
        <family val="2"/>
        <scheme val="minor"/>
      </rPr>
      <t xml:space="preserve"> you dug, what was the greatest number of </t>
    </r>
    <r>
      <rPr>
        <b/>
        <sz val="11"/>
        <color theme="1"/>
        <rFont val="Calibri"/>
        <family val="2"/>
        <scheme val="minor"/>
      </rPr>
      <t>worms</t>
    </r>
    <r>
      <rPr>
        <sz val="11"/>
        <color theme="1"/>
        <rFont val="Calibri"/>
        <family val="2"/>
        <scheme val="minor"/>
      </rPr>
      <t xml:space="preserve"> (&gt;0.5 cm long)?  If unable to dig any pits, leave this blank.</t>
    </r>
  </si>
  <si>
    <t>See table in Manual for names associated with the number codes.</t>
  </si>
  <si>
    <t>Number of Mapped Cover Types in Buffer</t>
  </si>
  <si>
    <t>DB29</t>
  </si>
  <si>
    <r>
      <t xml:space="preserve">Sandy substrates are less stable and thus tend to support fewer intertidal macroinvertebrate species and have simpler food webs. Scores </t>
    </r>
    <r>
      <rPr>
        <b/>
        <sz val="10"/>
        <rFont val="Arial Narrow"/>
        <family val="2"/>
      </rPr>
      <t>0</t>
    </r>
    <r>
      <rPr>
        <sz val="10"/>
        <rFont val="Arial Narrow"/>
        <family val="2"/>
      </rPr>
      <t xml:space="preserve"> if BC class is 27, 28, or 30.  Otherwise goes </t>
    </r>
    <r>
      <rPr>
        <b/>
        <sz val="10"/>
        <rFont val="Arial Narrow"/>
        <family val="2"/>
      </rPr>
      <t>blank</t>
    </r>
    <r>
      <rPr>
        <sz val="10"/>
        <rFont val="Arial Narrow"/>
        <family val="2"/>
      </rPr>
      <t xml:space="preserve"> and is ignored in calculations.</t>
    </r>
  </si>
  <si>
    <r>
      <t xml:space="preserve">Although different intertidal bird species associate with different classes, mudflats are critical to migratory shorebirds, and those species comprise the largest portion of avian intertidal diversity.  Scores </t>
    </r>
    <r>
      <rPr>
        <b/>
        <sz val="10"/>
        <color theme="1"/>
        <rFont val="Arial Narrow"/>
        <family val="2"/>
      </rPr>
      <t>1.00</t>
    </r>
    <r>
      <rPr>
        <sz val="10"/>
        <color theme="1"/>
        <rFont val="Arial Narrow"/>
        <family val="2"/>
      </rPr>
      <t xml:space="preserve"> if BC class is 29 or 31.  Otherwise goes blank and is ignored in calculations.</t>
    </r>
  </si>
  <si>
    <t xml:space="preserve">If you changed DB1, you must change this number too.  See directions in Manual. </t>
  </si>
  <si>
    <t>Automated Scoring Explanation</t>
  </si>
  <si>
    <t>Estuarine Predominance, Watershed Scale</t>
  </si>
  <si>
    <t>Marbled Murrelet Nesting Habitat, Watershed Scale</t>
  </si>
  <si>
    <r>
      <t xml:space="preserve">Do not edit.  </t>
    </r>
    <r>
      <rPr>
        <sz val="11"/>
        <rFont val="Calibri"/>
        <family val="2"/>
      </rPr>
      <t>Number of types divided by potential number of types (10).</t>
    </r>
  </si>
  <si>
    <t>Salmon Habitat (score for all species), Watershed Scale</t>
  </si>
  <si>
    <t>Salmon Habitat (score for species with best habitat), Watershed Scale</t>
  </si>
  <si>
    <r>
      <t xml:space="preserve">Do not edit.  </t>
    </r>
    <r>
      <rPr>
        <b/>
        <sz val="11"/>
        <rFont val="Calibri"/>
        <family val="2"/>
      </rPr>
      <t>0</t>
    </r>
    <r>
      <rPr>
        <sz val="11"/>
        <rFont val="Calibri"/>
        <family val="2"/>
      </rPr>
      <t xml:space="preserve"> if &lt;7.10,  </t>
    </r>
    <r>
      <rPr>
        <b/>
        <sz val="11"/>
        <rFont val="Calibri"/>
        <family val="2"/>
      </rPr>
      <t>0.25</t>
    </r>
    <r>
      <rPr>
        <sz val="11"/>
        <rFont val="Calibri"/>
        <family val="2"/>
      </rPr>
      <t xml:space="preserve"> if 7.10-18.74,  </t>
    </r>
    <r>
      <rPr>
        <b/>
        <sz val="11"/>
        <rFont val="Calibri"/>
        <family val="2"/>
      </rPr>
      <t>0.50</t>
    </r>
    <r>
      <rPr>
        <sz val="11"/>
        <rFont val="Calibri"/>
        <family val="2"/>
      </rPr>
      <t xml:space="preserve"> if 18.75-40.05,  </t>
    </r>
    <r>
      <rPr>
        <b/>
        <sz val="11"/>
        <rFont val="Calibri"/>
        <family val="2"/>
      </rPr>
      <t>0.75</t>
    </r>
    <r>
      <rPr>
        <sz val="11"/>
        <rFont val="Calibri"/>
        <family val="2"/>
      </rPr>
      <t xml:space="preserve"> if 40.06-98.24,  </t>
    </r>
    <r>
      <rPr>
        <b/>
        <sz val="11"/>
        <rFont val="Calibri"/>
        <family val="2"/>
      </rPr>
      <t>1.00</t>
    </r>
    <r>
      <rPr>
        <sz val="11"/>
        <rFont val="Calibri"/>
        <family val="2"/>
      </rPr>
      <t xml:space="preserve"> if &gt;98.24</t>
    </r>
  </si>
  <si>
    <r>
      <t xml:space="preserve">Do not edit.  </t>
    </r>
    <r>
      <rPr>
        <b/>
        <sz val="11"/>
        <rFont val="Calibri"/>
        <family val="2"/>
      </rPr>
      <t>0</t>
    </r>
    <r>
      <rPr>
        <sz val="11"/>
        <rFont val="Calibri"/>
        <family val="2"/>
      </rPr>
      <t xml:space="preserve"> if &lt;4.94,  </t>
    </r>
    <r>
      <rPr>
        <b/>
        <sz val="11"/>
        <rFont val="Calibri"/>
        <family val="2"/>
      </rPr>
      <t>0.25</t>
    </r>
    <r>
      <rPr>
        <sz val="11"/>
        <rFont val="Calibri"/>
        <family val="2"/>
      </rPr>
      <t xml:space="preserve"> if 4.94-10.64,  </t>
    </r>
    <r>
      <rPr>
        <b/>
        <sz val="11"/>
        <rFont val="Calibri"/>
        <family val="2"/>
      </rPr>
      <t>0.50</t>
    </r>
    <r>
      <rPr>
        <sz val="11"/>
        <rFont val="Calibri"/>
        <family val="2"/>
      </rPr>
      <t xml:space="preserve"> if 10.65-18.42,  </t>
    </r>
    <r>
      <rPr>
        <b/>
        <sz val="11"/>
        <rFont val="Calibri"/>
        <family val="2"/>
      </rPr>
      <t>0.75</t>
    </r>
    <r>
      <rPr>
        <sz val="11"/>
        <rFont val="Calibri"/>
        <family val="2"/>
      </rPr>
      <t xml:space="preserve"> if 18.43-30.50,  </t>
    </r>
    <r>
      <rPr>
        <b/>
        <sz val="11"/>
        <rFont val="Calibri"/>
        <family val="2"/>
      </rPr>
      <t>1.00</t>
    </r>
    <r>
      <rPr>
        <sz val="11"/>
        <rFont val="Calibri"/>
        <family val="2"/>
      </rPr>
      <t xml:space="preserve"> if &gt;30.50</t>
    </r>
  </si>
  <si>
    <t>TNC score normalized by subregional maximum.</t>
  </si>
  <si>
    <t>Code Choices (select one and enter in next column)</t>
  </si>
  <si>
    <r>
      <rPr>
        <b/>
        <sz val="10"/>
        <color theme="1"/>
        <rFont val="Calibri"/>
        <family val="2"/>
        <scheme val="minor"/>
      </rPr>
      <t>1</t>
    </r>
    <r>
      <rPr>
        <sz val="10"/>
        <color theme="1"/>
        <rFont val="Calibri"/>
        <family val="2"/>
        <scheme val="minor"/>
      </rPr>
      <t xml:space="preserve"> if &lt;100' or stream intersects the shore segment, </t>
    </r>
    <r>
      <rPr>
        <b/>
        <sz val="10"/>
        <color theme="1"/>
        <rFont val="Calibri"/>
        <family val="2"/>
        <scheme val="minor"/>
      </rPr>
      <t>0.75</t>
    </r>
    <r>
      <rPr>
        <sz val="10"/>
        <color theme="1"/>
        <rFont val="Calibri"/>
        <family val="2"/>
        <scheme val="minor"/>
      </rPr>
      <t xml:space="preserve"> if 100-300', </t>
    </r>
    <r>
      <rPr>
        <b/>
        <sz val="10"/>
        <color theme="1"/>
        <rFont val="Calibri"/>
        <family val="2"/>
        <scheme val="minor"/>
      </rPr>
      <t xml:space="preserve"> 0.5</t>
    </r>
    <r>
      <rPr>
        <sz val="10"/>
        <color theme="1"/>
        <rFont val="Calibri"/>
        <family val="2"/>
        <scheme val="minor"/>
      </rPr>
      <t xml:space="preserve"> if 300-1000',  </t>
    </r>
    <r>
      <rPr>
        <b/>
        <sz val="10"/>
        <color theme="1"/>
        <rFont val="Calibri"/>
        <family val="2"/>
        <scheme val="minor"/>
      </rPr>
      <t>0.25</t>
    </r>
    <r>
      <rPr>
        <sz val="10"/>
        <color theme="1"/>
        <rFont val="Calibri"/>
        <family val="2"/>
        <scheme val="minor"/>
      </rPr>
      <t xml:space="preserve"> if 1000'-1 mile,  </t>
    </r>
    <r>
      <rPr>
        <b/>
        <sz val="10"/>
        <color theme="1"/>
        <rFont val="Calibri"/>
        <family val="2"/>
        <scheme val="minor"/>
      </rPr>
      <t>0</t>
    </r>
    <r>
      <rPr>
        <sz val="10"/>
        <color theme="1"/>
        <rFont val="Calibri"/>
        <family val="2"/>
        <scheme val="minor"/>
      </rPr>
      <t xml:space="preserve"> if &gt;1 mile.</t>
    </r>
  </si>
  <si>
    <r>
      <rPr>
        <b/>
        <sz val="10"/>
        <color theme="1"/>
        <rFont val="Calibri"/>
        <family val="2"/>
        <scheme val="minor"/>
      </rPr>
      <t xml:space="preserve">0 </t>
    </r>
    <r>
      <rPr>
        <sz val="10"/>
        <color theme="1"/>
        <rFont val="Calibri"/>
        <family val="2"/>
        <scheme val="minor"/>
      </rPr>
      <t xml:space="preserve">if &lt;100 ft or is present in the shore segment,  </t>
    </r>
    <r>
      <rPr>
        <b/>
        <sz val="10"/>
        <color theme="1"/>
        <rFont val="Calibri"/>
        <family val="2"/>
        <scheme val="minor"/>
      </rPr>
      <t xml:space="preserve">0.5 </t>
    </r>
    <r>
      <rPr>
        <sz val="10"/>
        <color theme="1"/>
        <rFont val="Calibri"/>
        <family val="2"/>
        <scheme val="minor"/>
      </rPr>
      <t xml:space="preserve">if 100-1000 ft, </t>
    </r>
    <r>
      <rPr>
        <b/>
        <sz val="10"/>
        <color theme="1"/>
        <rFont val="Calibri"/>
        <family val="2"/>
        <scheme val="minor"/>
      </rPr>
      <t xml:space="preserve"> 1</t>
    </r>
    <r>
      <rPr>
        <sz val="10"/>
        <color theme="1"/>
        <rFont val="Calibri"/>
        <family val="2"/>
        <scheme val="minor"/>
      </rPr>
      <t xml:space="preserve"> if &gt;1000 ft.</t>
    </r>
  </si>
  <si>
    <t>High confidence that the segment's water is cloudy most of the year as a result of nearby glacier meltwater, erosion, or mining.</t>
  </si>
  <si>
    <t>Low confidence that the segment's water is cloudy most of the year (or high confidence that it is cloudy only infrequently) as a result of nearby glacier meltwater, erosion, or mining.  These sediment sources are usually close to tidewater in this estuary.</t>
  </si>
  <si>
    <t>The segment's water is almost never cloudy as a result of nearby glacier meltwater, erosion, or mining.</t>
  </si>
  <si>
    <t>Mark ALL features with likely impacts on the vegetation, sediments, water flow, water quality, or hazards to wildlife in a large portion of the segment.  The features may be either in or out of the segment.</t>
  </si>
  <si>
    <t>The percentage of this segment's Supratidal edge length that is armored (protected from erosion) by vertical bulkheads/ riprap, is:</t>
  </si>
  <si>
    <t xml:space="preserve">Compared to historical conditions, does any tidal part of the segment receive tidal water less frequently, or with a time delay of minutes to hours, as a result of human alterations either within the segment or downgradient, e.g., berms, dikes, inadequate culverts, tidegates?  Or, the daily tidal prism within the segment is now more muted (less amplitude than historically, delayed inflow outflow) as a result of human alterations?  </t>
  </si>
  <si>
    <t>During late summer (waterbird molting time), motorized boat traffic in the vicinity of the segment is:</t>
  </si>
  <si>
    <t>infrequent (few or none daily) and mostly distant (&gt;300 ft) from the segment.</t>
  </si>
  <si>
    <t>frequent (multiple incursions per day) and/or within the segment.</t>
  </si>
  <si>
    <t>At or near high tide, the salinity of water at the segment's subtidal edge, in parts per thousand, is:  [change to blank if no measurement possible]</t>
  </si>
  <si>
    <t>Does the segment contain tide pools, salt pannes, or tidal ponds?  Include only those that contain some water of 2-12 inch depth at low tide.</t>
  </si>
  <si>
    <t>Does the segment's intertidal zone contain trees, still with branches, that have fallen into or been carried into this segment by currents?  Do not include branchless driftwood or trees that have been cut.</t>
  </si>
  <si>
    <t>What percentage of the segment's 100-foot buffer contains blueberry, salmonberry, or other woody plants with fleshy fruit?</t>
  </si>
  <si>
    <t>What percentage of the segment's 100-foot buffer contains alder or sweetgale?</t>
  </si>
  <si>
    <t xml:space="preserve">Mark all the classes of woody plants within the segment's 100-foot buffer, but only IF they comprise more than 5% of the woody canopy or subcanopy within the buffer.  </t>
  </si>
  <si>
    <r>
      <t xml:space="preserve">Does the segment have cliffs or structures used by nesting seabirds, kingfishers, or swallows?  Or are there signs of bear or deer visiting the segment, e.g., trails, scat, tracks, or sighting? Enter </t>
    </r>
    <r>
      <rPr>
        <b/>
        <sz val="11"/>
        <color theme="1"/>
        <rFont val="Calibri"/>
        <family val="2"/>
      </rPr>
      <t>1</t>
    </r>
    <r>
      <rPr>
        <sz val="11"/>
        <color theme="1"/>
        <rFont val="Calibri"/>
        <family val="2"/>
      </rPr>
      <t xml:space="preserve"> if either is true, </t>
    </r>
    <r>
      <rPr>
        <b/>
        <sz val="11"/>
        <color theme="1"/>
        <rFont val="Calibri"/>
        <family val="2"/>
      </rPr>
      <t>0</t>
    </r>
    <r>
      <rPr>
        <sz val="11"/>
        <color theme="1"/>
        <rFont val="Calibri"/>
        <family val="2"/>
      </rPr>
      <t xml:space="preserve"> if none observed.</t>
    </r>
  </si>
  <si>
    <t>Detritus from sedges and other intertidal plants is a rich source of carbon and is easily exported by tides.</t>
  </si>
  <si>
    <t>Flatter slopes that adjoin a shore segment are more likely to be wetland-dominated and thus more likely to have significant amounts of carbon available for export to marine food webs.</t>
  </si>
  <si>
    <t>numinvspp</t>
  </si>
  <si>
    <t>Restriction of tidal connectivity reduces the potential for carbon export to coastal food chains. If the shore segment has not been altered as described, this indicator goes blank (is ignored in the calculations). Otherwise, it is scored 0 if alteration is significant or 0.1 if minor.</t>
  </si>
  <si>
    <t>Greater extent of these implies more carbon available to subsidize coastal food chains.</t>
  </si>
  <si>
    <t>Other factors being equal, marine invertebrate and especially seaweed communities tend to be more diverse where exposure to waves is greater, but not very exposed.</t>
  </si>
  <si>
    <r>
      <t xml:space="preserve">Karst (limestone) substrates tend to have more crevices and thus potentially support a greater variety of marine invertebrates. </t>
    </r>
    <r>
      <rPr>
        <b/>
        <sz val="10"/>
        <color theme="1"/>
        <rFont val="Arial Narrow"/>
        <family val="2"/>
      </rPr>
      <t>1.00</t>
    </r>
    <r>
      <rPr>
        <sz val="10"/>
        <color theme="1"/>
        <rFont val="Arial Narrow"/>
        <family val="2"/>
      </rPr>
      <t xml:space="preserve"> if present (coded 1), </t>
    </r>
    <r>
      <rPr>
        <b/>
        <sz val="10"/>
        <color theme="1"/>
        <rFont val="Arial Narrow"/>
        <family val="2"/>
      </rPr>
      <t>blank</t>
    </r>
    <r>
      <rPr>
        <sz val="10"/>
        <color theme="1"/>
        <rFont val="Arial Narrow"/>
        <family val="2"/>
      </rPr>
      <t xml:space="preserve"> if absent (coded 0).</t>
    </r>
  </si>
  <si>
    <t>Greater distance to another shore segment of the same class implies that class may be locally uncommon.  Locally uncommon classes contribute more significantly to cumulative biodiversity at that local scale.</t>
  </si>
  <si>
    <t>Because different classes host different species assemblages, a wider variety of classes in the segment's vicinity suggests a larger pool of species may be available to recolonize the shore segment after disturbances.</t>
  </si>
  <si>
    <t>Organisms flooded by tides regularly are provided with a more constant flow of nutrients and risks of dessication are less, so diversity of macroinvertebrates and seaweed is greatest in the more regularly flooded zones. However, presence of some infrequently flooded substrate diversifies the segment overall because some organisms cannot tolerate regular inundation by tides.</t>
  </si>
  <si>
    <t>Carbon and other nutrients in seaweed helps support marinel food webs. Seaweed also provides cover for many invertebrates, thus increasing food web diversity within the shore segment.</t>
  </si>
  <si>
    <t>This is a direct measure of the segment's biodiversity.</t>
  </si>
  <si>
    <t>AVERAGE(kelppct, MAX(kelp, eelgrass))</t>
  </si>
  <si>
    <t>NumAlgaSpp</t>
  </si>
  <si>
    <t>NumInvSpp</t>
  </si>
  <si>
    <t>average(NumAlgaSpp, NumInvSpp)</t>
  </si>
  <si>
    <t>Many studies have documented disproportionate use of canopy kelp and eelgrass by salmonid prey species (invertebrates and forage fish).</t>
  </si>
  <si>
    <t>Canopy-forming kelp and eelgrass provides extensive substrate and supports some marine organisms found in no other intertidal habitats.</t>
  </si>
  <si>
    <t>MAX(kelppct, marshwidth, herring, distAnad, shedestu, shedmamu,rarebirds, shedestu, shedmamu)</t>
  </si>
  <si>
    <t>Although seals and sea lions are often present in harbors, frequent boat traffic disrupts some behaviors and increases metabolic demands.</t>
  </si>
  <si>
    <t>Karst areas tend to have caves and more complex topography which provides denning areas for some mammal species that feed in intertidal areas.</t>
  </si>
  <si>
    <t>Chronic disturbance in the general vicinity of the shore segment and from multiple sources is likely to reduce use of the segment's buffer by some sensitive species. This index was calculated by The Nature Conservancy and adjusted to the 0-1 scale, with 1 representing the least disturbed condition.</t>
  </si>
  <si>
    <t>IF the shore segment has not been altered as described, this indicator goes blank (is ignored in the calculations). Otherwise, it is scored 0 if alteration is significant or 0.1 if minor.</t>
  </si>
  <si>
    <t>Conditions that indicate the capacity of a shore segment and its associated watershed to produce and/or export carbon and associated micronutrients to subtidal waters on a net annual basis.</t>
  </si>
  <si>
    <t>Conditions that support relatively high density (concentrations) of seals or sea lions.</t>
  </si>
  <si>
    <t>Conditions that indicate the capacity of a shore segment to detain sediment and/or process some pollutants before those enter subtidal waters.</t>
  </si>
  <si>
    <t>Tide pools extend the daily period during which some water is present within the shore segment, thus allowing low-intertidal and subtidal organisms to be present in the shore segment even during daily low tides. This diversifies the within-segment flora and fauna.</t>
  </si>
  <si>
    <t>Higher scores indicate the shore segment is in a watershed that ranks among the highest in its subregion for extent of estuarine habitat (freshwater influence). Such habitat supports a disproportionate abundance and diversity of sea and shore birds.</t>
  </si>
  <si>
    <t>Because different classes host different species assemblages, a wider variety of classes in the shore segment's vicinity suggests a larger pool of species may be available to feed opportunistically as different food sources become available at different seasonal times in different areas.</t>
  </si>
  <si>
    <t>This is a direct representation of the use of this shore segment by regionally notable concentrations of some sea and shore bird species.</t>
  </si>
  <si>
    <t>This is a direct measure of use in the vicinity of the shore segment, though not necessarily within the shore segment.</t>
  </si>
  <si>
    <t>Terrestrial mammals are more likely to be present if sedge marshes, which provide early spring food for bear and cover for small mammals, adjoin the intertidal part of the shore segment.</t>
  </si>
  <si>
    <t>Most songbirds do not nest in areas flooded by daily or semi-daily tides, so the highest score here is given to segments whose infrequently-flooded (supratidal) area comprises at least 10% of the shore segment's intertidal zone.</t>
  </si>
  <si>
    <t>See instructions above.</t>
  </si>
  <si>
    <t>Distance to Nearest Town (in miles)</t>
  </si>
  <si>
    <r>
      <rPr>
        <sz val="10"/>
        <rFont val="Calibri"/>
        <family val="2"/>
        <scheme val="minor"/>
      </rPr>
      <t xml:space="preserve">Use Google Earth and local knowledge.  "Busy access point" can include harbors, boat landings, public docks, picnic areas visited semi-daily during busiest times of the year.  </t>
    </r>
    <r>
      <rPr>
        <sz val="10"/>
        <color theme="1"/>
        <rFont val="Calibri"/>
        <family val="2"/>
        <scheme val="minor"/>
      </rPr>
      <t xml:space="preserve">Do not measure further than 1000 ft.  </t>
    </r>
    <r>
      <rPr>
        <b/>
        <sz val="10"/>
        <color theme="1"/>
        <rFont val="Calibri"/>
        <family val="2"/>
        <scheme val="minor"/>
      </rPr>
      <t/>
    </r>
  </si>
  <si>
    <t>Use Google Earth or topo map.  Measure the direct distance but not farther than 5 miles.</t>
  </si>
  <si>
    <r>
      <t xml:space="preserve">Go to the UAS web site: http://seakgis.alaska.edu/flex/wetlands/   Scroll to the bottom of the menu on the right and check "Towns".  Measure the direct distance.  </t>
    </r>
    <r>
      <rPr>
        <b/>
        <sz val="10"/>
        <color theme="1"/>
        <rFont val="Calibri"/>
        <family val="2"/>
        <scheme val="minor"/>
      </rPr>
      <t/>
    </r>
  </si>
  <si>
    <t xml:space="preserve">Go to the UAS web site: http://seakgis.alaska.edu/flex/wetlands/   Scroll to near the bottom of the menu on the right and check "ShoreZone".  Then check "Units" to show the shore segments.  Also check "Derived ShoreZone Attributes"&gt; "Coastal Class" (NOT Habitat Class).  Uncheck other boxes.  The "segment of same class" means segment of the same COLOR.  Do not measure further than 1 mile.  If no others within 1 mile, enter a 1. </t>
  </si>
  <si>
    <t>see above, and the Manual.</t>
  </si>
  <si>
    <t>To show streams, view a topo map or go to the UAS web site: http://seakgis.alaska.edu/flex/wetlands/   In menu on right, check the box next to National Hydrography Data Set and check the box having a "+" to expand the menu.  Then check High Resolution&gt; Flow Direction.  Measure the direct distance but not farther than 1 mile.</t>
  </si>
  <si>
    <t>At the UAS web site, in the menu on the right check "Habitat Layers".  Expand the menu and check "Documented Eagle Nest Sites".</t>
  </si>
  <si>
    <t>coded 1 if true, 0 if false.  See boundaries on UAS website if the shore segment may be within these areas: Mendenhall Wetlands (Juneau), Berners Bay (Juneau), Port Snettisham (Juneau), Blacksand Spit (Yakutat), Icy Bay (Yakutat), Chilkat Bald Eagle Preserve (Haines), St. Alaria Island (Sitka), Forrester Island (Prince of Wales-Outer Ketchikan), Stikine River Delta (Wrangell-Petersburg).</t>
  </si>
  <si>
    <t>What percent of the segment's length, measured parallel to the shore, is comprised of canopy kelps, eelgrass, and/or surfgrass?  Estimate the cover as it would exist at the time of annual maximum growth.</t>
  </si>
  <si>
    <t>Enter a "1" for each of the following bird species if you know they have been documented at these levels by qualified wildlife biologists or your own survey in the segment, or in subtidal waters within 100 m, or in the upland buffer.  Do not speculate.  Exclude birds that only fly over and do not land in this segment.</t>
  </si>
  <si>
    <t>Scoters &gt;250, Goldeneye &gt;150, or Harlequin Duck &gt;100 individuals</t>
  </si>
  <si>
    <t>Snow Goose &gt;100, Canada Goose &gt;500, or Mallard &gt;150 individuals</t>
  </si>
  <si>
    <t>Enter Numeric Code Here</t>
  </si>
  <si>
    <r>
      <t xml:space="preserve">The score was determined by dividing by 1709 the distance (in m) to nearest anadromous stream shown in ADFG Catalog (unless better data identified) and subtracting that number from 1 so that shore segments intersected or close to anadromous streams score higher.  If nearest is farther than 1 mile, the score was set to </t>
    </r>
    <r>
      <rPr>
        <b/>
        <sz val="11"/>
        <color theme="1"/>
        <rFont val="Calibri"/>
        <family val="2"/>
      </rPr>
      <t>0</t>
    </r>
    <r>
      <rPr>
        <sz val="11"/>
        <color theme="1"/>
        <rFont val="Calibri"/>
        <family val="2"/>
      </rPr>
      <t>.</t>
    </r>
  </si>
  <si>
    <t>Conditions that support relatively large number of focal fish species (salmonids, eulachon, herring).</t>
  </si>
  <si>
    <t>Conditions that support relatively high density (concentrations) or large number of bird species that regularly use shoreline habitats: geese, gulls, shorebirds, cranes, some ducks, loons, grebes, cormorants, and alcids).</t>
  </si>
  <si>
    <t>For songbirds and raptors that regularly use shoreline habitats (shoreline forests &amp; meadows that are within 100 ft landward of annual HHW):  Conditions that support relatively high density &amp; productivity, large number of taxa, and/or taxa that contribute the most to regional avifauna due to their restricted distribution.  Also, conditions that support relatively high density of deer and/or bears at any season.</t>
  </si>
  <si>
    <t>*</t>
  </si>
  <si>
    <t>Predominant Coastal Class (BC Class)</t>
  </si>
  <si>
    <r>
      <t xml:space="preserve">On any transect you surveyed, what was the greatest number of </t>
    </r>
    <r>
      <rPr>
        <b/>
        <sz val="11"/>
        <color theme="1"/>
        <rFont val="Calibri"/>
        <family val="2"/>
        <scheme val="minor"/>
      </rPr>
      <t>sea stars</t>
    </r>
    <r>
      <rPr>
        <sz val="11"/>
        <color theme="1"/>
        <rFont val="Calibri"/>
        <family val="2"/>
        <scheme val="minor"/>
      </rPr>
      <t>?</t>
    </r>
  </si>
  <si>
    <r>
      <rPr>
        <b/>
        <sz val="11"/>
        <color theme="1"/>
        <rFont val="Calibri"/>
        <family val="2"/>
        <scheme val="minor"/>
      </rPr>
      <t xml:space="preserve">Indicator Score </t>
    </r>
    <r>
      <rPr>
        <sz val="11"/>
        <color theme="1"/>
        <rFont val="Calibri"/>
        <family val="2"/>
        <scheme val="minor"/>
      </rPr>
      <t>(calculates automatically)</t>
    </r>
  </si>
  <si>
    <t>B3</t>
  </si>
  <si>
    <t>B4</t>
  </si>
  <si>
    <t>B5</t>
  </si>
  <si>
    <t>B6</t>
  </si>
  <si>
    <t>B7</t>
  </si>
  <si>
    <t>B8</t>
  </si>
  <si>
    <t>B9</t>
  </si>
  <si>
    <t>B10</t>
  </si>
  <si>
    <t>B12</t>
  </si>
  <si>
    <t>InvertBiomass</t>
  </si>
  <si>
    <t xml:space="preserve">Greater density of focal macro-invertebrates suggests that a shore segment is relatively productive and thus has the potential to provide more energy for fish and/or other consuming marine groups. </t>
  </si>
  <si>
    <t>Greater richness of macro-invertebrate taxa suggests that a key energy source for fish and/or other consuming marine groups may be available and subsidizing the energy needs of those groups for longer periods of the growing season.</t>
  </si>
  <si>
    <t>average(InvertBiomass, NumInvSpp, algapct, floodpct, nfixers,muting)</t>
  </si>
  <si>
    <t>MAX(seabird_S, seabird_W, partIBA, InvertBiomass)</t>
  </si>
  <si>
    <t>Greater density of key macro-invertebrates suggests that a shore segment is relatively productive and thus has the potential to provide more energy for feeding shorebirds and/or seabirds.</t>
  </si>
  <si>
    <r>
      <rPr>
        <b/>
        <sz val="10"/>
        <color theme="1"/>
        <rFont val="Calibri"/>
        <family val="2"/>
        <scheme val="minor"/>
      </rPr>
      <t>1</t>
    </r>
    <r>
      <rPr>
        <sz val="10"/>
        <color theme="1"/>
        <rFont val="Calibri"/>
        <family val="2"/>
        <scheme val="minor"/>
      </rPr>
      <t xml:space="preserve"> if Exposed, </t>
    </r>
    <r>
      <rPr>
        <b/>
        <sz val="10"/>
        <color theme="1"/>
        <rFont val="Calibri"/>
        <family val="2"/>
        <scheme val="minor"/>
      </rPr>
      <t xml:space="preserve">0.75 </t>
    </r>
    <r>
      <rPr>
        <sz val="10"/>
        <color theme="1"/>
        <rFont val="Calibri"/>
        <family val="2"/>
        <scheme val="minor"/>
      </rPr>
      <t xml:space="preserve">if Very Exposed or Semi-exposed, </t>
    </r>
    <r>
      <rPr>
        <b/>
        <sz val="10"/>
        <color theme="1"/>
        <rFont val="Calibri"/>
        <family val="2"/>
        <scheme val="minor"/>
      </rPr>
      <t>0.5</t>
    </r>
    <r>
      <rPr>
        <sz val="10"/>
        <color theme="1"/>
        <rFont val="Calibri"/>
        <family val="2"/>
        <scheme val="minor"/>
      </rPr>
      <t xml:space="preserve"> if Semi-Protected, </t>
    </r>
    <r>
      <rPr>
        <b/>
        <sz val="10"/>
        <color theme="1"/>
        <rFont val="Calibri"/>
        <family val="2"/>
        <scheme val="minor"/>
      </rPr>
      <t>0.25</t>
    </r>
    <r>
      <rPr>
        <sz val="10"/>
        <color theme="1"/>
        <rFont val="Calibri"/>
        <family val="2"/>
        <scheme val="minor"/>
      </rPr>
      <t xml:space="preserve"> if Protected, </t>
    </r>
    <r>
      <rPr>
        <b/>
        <sz val="10"/>
        <color theme="1"/>
        <rFont val="Calibri"/>
        <family val="2"/>
        <scheme val="minor"/>
      </rPr>
      <t xml:space="preserve">0 </t>
    </r>
    <r>
      <rPr>
        <sz val="10"/>
        <color theme="1"/>
        <rFont val="Calibri"/>
        <family val="2"/>
        <scheme val="minor"/>
      </rPr>
      <t xml:space="preserve">if Very Protected. </t>
    </r>
    <r>
      <rPr>
        <sz val="10"/>
        <color rgb="FFFF0000"/>
        <rFont val="Calibri"/>
        <family val="2"/>
        <scheme val="minor"/>
      </rPr>
      <t xml:space="preserve"> If no data for this segment, select one of these scores based on your observations.</t>
    </r>
  </si>
  <si>
    <t>Please cite as:  Adamus, P.R. and P. Harris.  Nearshore Assessment Tool for Southeast Alaska (NAT-SE).</t>
  </si>
  <si>
    <t>Subsidy Function</t>
  </si>
  <si>
    <t>Date Visited:</t>
  </si>
  <si>
    <t>Time of Visit (begin):</t>
  </si>
  <si>
    <t>Time of Visit (end):</t>
  </si>
  <si>
    <t>Time of Low Tide:</t>
  </si>
  <si>
    <t>Observer Initials:</t>
  </si>
  <si>
    <t>10* AVERAGE(tidalwidth, marshwidth, buffwidth, shedslope, mussel, altered, armoring)</t>
  </si>
  <si>
    <t>Invertebrate Biomass Indicator</t>
  </si>
  <si>
    <t>Canopy Kelp, Eelgrass, &amp; Surfgrass: Percent of Segment Length</t>
  </si>
  <si>
    <t>Shore segments in watersheds whose rivers are large for their subregion are more likely to export carbon.</t>
  </si>
  <si>
    <t>from Edwards et al. 2015 statistical model, normalized to 0-1 relative scale.</t>
  </si>
  <si>
    <t>Number of Eagle Nests within 2 miles</t>
  </si>
  <si>
    <t>Width of Intertidal Zone: Maximum (in feet)</t>
  </si>
  <si>
    <t>Width of Vegetated Intertidal (marsh, NOT seaweed): Maximum ft.</t>
  </si>
  <si>
    <t>Width of Vegetated Intertidal (marsh, NOT seaweed): Maximum feet.</t>
  </si>
  <si>
    <t>Older Growth Riparian Forest, Watershed Scale</t>
  </si>
  <si>
    <t>Width of Wooded Buffer: Minimum ft.</t>
  </si>
  <si>
    <t>Rapid + Biosurvey</t>
  </si>
  <si>
    <t>Rapid Only</t>
  </si>
  <si>
    <t>Seagrass</t>
  </si>
  <si>
    <t>Number of Different Coastal Classes within 1 mile</t>
  </si>
  <si>
    <t>Distance to Nearest Segment of Same Coastal Class (in ft)</t>
  </si>
  <si>
    <t>Number of Segments of Same Coastal Class within 1 mile</t>
  </si>
  <si>
    <t>Distance to Nearest Segment of Same Coastal Class (in feet)</t>
  </si>
  <si>
    <r>
      <t xml:space="preserve">Eelgrass and surfgrass host an enormous variety of invertebrates including several not usually found on other substrates. </t>
    </r>
    <r>
      <rPr>
        <b/>
        <sz val="10"/>
        <color theme="1"/>
        <rFont val="Arial Narrow"/>
        <family val="2"/>
      </rPr>
      <t>1.00</t>
    </r>
    <r>
      <rPr>
        <sz val="10"/>
        <color theme="1"/>
        <rFont val="Arial Narrow"/>
        <family val="2"/>
      </rPr>
      <t xml:space="preserve"> if Continuous, </t>
    </r>
    <r>
      <rPr>
        <b/>
        <sz val="10"/>
        <color theme="1"/>
        <rFont val="Arial Narrow"/>
        <family val="2"/>
      </rPr>
      <t>0.75</t>
    </r>
    <r>
      <rPr>
        <sz val="10"/>
        <color theme="1"/>
        <rFont val="Arial Narrow"/>
        <family val="2"/>
      </rPr>
      <t xml:space="preserve"> if Patchy, </t>
    </r>
    <r>
      <rPr>
        <b/>
        <sz val="10"/>
        <color theme="1"/>
        <rFont val="Arial Narrow"/>
        <family val="2"/>
      </rPr>
      <t>0</t>
    </r>
    <r>
      <rPr>
        <sz val="10"/>
        <color theme="1"/>
        <rFont val="Arial Narrow"/>
        <family val="2"/>
      </rPr>
      <t xml:space="preserve"> if absent.</t>
    </r>
  </si>
  <si>
    <r>
      <t xml:space="preserve">Canopy kelps host an enormous variety of invertebrates including several not usually found on other substrates. </t>
    </r>
    <r>
      <rPr>
        <b/>
        <sz val="10"/>
        <color theme="1"/>
        <rFont val="Arial Narrow"/>
        <family val="2"/>
      </rPr>
      <t>1.00</t>
    </r>
    <r>
      <rPr>
        <sz val="10"/>
        <color theme="1"/>
        <rFont val="Arial Narrow"/>
        <family val="2"/>
      </rPr>
      <t xml:space="preserve"> if Continuous, </t>
    </r>
    <r>
      <rPr>
        <b/>
        <sz val="10"/>
        <color theme="1"/>
        <rFont val="Arial Narrow"/>
        <family val="2"/>
      </rPr>
      <t>0.75</t>
    </r>
    <r>
      <rPr>
        <sz val="10"/>
        <color theme="1"/>
        <rFont val="Arial Narrow"/>
        <family val="2"/>
      </rPr>
      <t xml:space="preserve"> if Patchy, </t>
    </r>
    <r>
      <rPr>
        <b/>
        <sz val="10"/>
        <color theme="1"/>
        <rFont val="Arial Narrow"/>
        <family val="2"/>
      </rPr>
      <t>0</t>
    </r>
    <r>
      <rPr>
        <sz val="10"/>
        <color theme="1"/>
        <rFont val="Arial Narrow"/>
        <family val="2"/>
      </rPr>
      <t xml:space="preserve"> if absent.</t>
    </r>
  </si>
  <si>
    <t>Pacific herring is an important species in the region and is among the most susceptible to changes in nearshore conditions.</t>
  </si>
  <si>
    <t>Canopy Kelp &amp; Seagrasses: Percent of Segment Length</t>
  </si>
  <si>
    <t>Biosurvey Questions</t>
  </si>
  <si>
    <t>Length (m) of Shore Segment</t>
  </si>
  <si>
    <t>Was a Biosurvey Done?  (if yes, report the following):</t>
  </si>
  <si>
    <t>Length (m) of Low Zone</t>
  </si>
  <si>
    <t>Length (m) of Mid Zone</t>
  </si>
  <si>
    <t>Length (m) of High Zone</t>
  </si>
  <si>
    <t>Transect 1</t>
  </si>
  <si>
    <t>Transect 2</t>
  </si>
  <si>
    <t>Transect 3</t>
  </si>
  <si>
    <t>Latitude (decimal degrees)</t>
  </si>
  <si>
    <t>Longitude (decimal degrees)</t>
  </si>
  <si>
    <t>In Google Earth (or other imagery), determine the segment's maximum width (in ft) measured approximately perpendicular to the tree line.  However, if less than 10% of the segment is that wide (i.e., that maximum is only associated with a narrow protrusion), report a maximum width that represents more of the shore segment.</t>
  </si>
  <si>
    <t>Determine the buffer's minimum width (in ft) measured approximately perpendicular to the HHW line.  Proceeding uphill, stop the measurement where a linear feature (e.g., road, clearcut) interrupts forest along more than half of the shore segment's length.</t>
  </si>
  <si>
    <t>Canopy Kelp &amp; Seagrasses:  Percent of Segment Length</t>
  </si>
  <si>
    <t>Mark "1" for Choice(s) Here</t>
  </si>
  <si>
    <r>
      <t xml:space="preserve">FormDB:  </t>
    </r>
    <r>
      <rPr>
        <sz val="14"/>
        <color indexed="8"/>
        <rFont val="Calibri"/>
        <family val="2"/>
      </rPr>
      <t>Information Copy-pasted from worksheet DBpaste.</t>
    </r>
  </si>
  <si>
    <r>
      <t xml:space="preserve">Did you survey the shore segment following the </t>
    </r>
    <r>
      <rPr>
        <b/>
        <sz val="11"/>
        <color theme="1"/>
        <rFont val="Calibri"/>
        <family val="2"/>
        <scheme val="minor"/>
      </rPr>
      <t>Biosurvey Protocol</t>
    </r>
    <r>
      <rPr>
        <sz val="11"/>
        <color theme="1"/>
        <rFont val="Calibri"/>
        <family val="2"/>
        <scheme val="minor"/>
      </rPr>
      <t xml:space="preserve"> as instructed in the Manual?  (3 transects, surveyed for 3+ hours around low tide, etc.).  If not used, enter 0 in the next column and STOP.  If yes, enter "1" in next column and continue; if no, enter "0".  The Protocol is optional but will improve accuracy of the scores shown in the Results worksheet.</t>
    </r>
  </si>
  <si>
    <t>factorB1</t>
  </si>
  <si>
    <t>average(algapct, floodpct, nfixers,muting)</t>
  </si>
  <si>
    <t>factorB1r</t>
  </si>
  <si>
    <t>factorA1</t>
  </si>
  <si>
    <t>factorC1</t>
  </si>
  <si>
    <t>10* AVERAGE(factorA1, factorB1, FactorC1)</t>
  </si>
  <si>
    <t>10* AVERAGE(factorA1, factorB1r, FactorC1)</t>
  </si>
  <si>
    <t>10* AVERAGE(FactorA2, FactorB2, FactorC2, FactorD2, FactorE2, Factor2F)</t>
  </si>
  <si>
    <t>10* AVERAGE(FactorB2, FactorC2, FactorD2, FactorE2, Factor2F)</t>
  </si>
  <si>
    <t>seabird data are from:</t>
  </si>
  <si>
    <t>factorA4r</t>
  </si>
  <si>
    <t>factorA4</t>
  </si>
  <si>
    <t>factorB4</t>
  </si>
  <si>
    <t>factorC4</t>
  </si>
  <si>
    <t>factorD4</t>
  </si>
  <si>
    <t>10* AVERAGE(factorA4, factorB4, factorC4, factorD4)</t>
  </si>
  <si>
    <t>MAX(seabird_S, seabird_W, partIBA)</t>
  </si>
  <si>
    <t>(either protocol):</t>
  </si>
  <si>
    <t>10* AVERAGE(factorA4r, factorB4, factorC4, factorD4)</t>
  </si>
  <si>
    <t>(either protocolP</t>
  </si>
  <si>
    <t>(either protocol)</t>
  </si>
  <si>
    <t>Step</t>
  </si>
  <si>
    <r>
      <t xml:space="preserve">Determine the Phys_ID of your shore segment.  To do so, go online to </t>
    </r>
    <r>
      <rPr>
        <b/>
        <sz val="11"/>
        <color theme="1"/>
        <rFont val="Calibri"/>
        <family val="2"/>
        <scheme val="minor"/>
      </rPr>
      <t xml:space="preserve">http://seakgis.alaska.edu/flex/wetlands/    </t>
    </r>
    <r>
      <rPr>
        <sz val="11"/>
        <color theme="1"/>
        <rFont val="Calibri"/>
        <family val="2"/>
        <scheme val="minor"/>
      </rPr>
      <t xml:space="preserve">In the menu on the right, scroll down and check the </t>
    </r>
    <r>
      <rPr>
        <b/>
        <sz val="11"/>
        <color theme="1"/>
        <rFont val="Calibri"/>
        <family val="2"/>
        <scheme val="minor"/>
      </rPr>
      <t>ShoreZone</t>
    </r>
    <r>
      <rPr>
        <sz val="11"/>
        <color theme="1"/>
        <rFont val="Calibri"/>
        <family val="2"/>
        <scheme val="minor"/>
      </rPr>
      <t xml:space="preserve"> box, then expand the ShoreZone menu by clicking on the "+".  Scroll down and check </t>
    </r>
    <r>
      <rPr>
        <b/>
        <sz val="11"/>
        <color theme="1"/>
        <rFont val="Calibri"/>
        <family val="2"/>
        <scheme val="minor"/>
      </rPr>
      <t>Units</t>
    </r>
    <r>
      <rPr>
        <sz val="11"/>
        <color theme="1"/>
        <rFont val="Calibri"/>
        <family val="2"/>
        <scheme val="minor"/>
      </rPr>
      <t xml:space="preserve">.  Then in the map portion, navigate to your site and notice the rectangular box that bounds it.  That is its </t>
    </r>
    <r>
      <rPr>
        <b/>
        <sz val="11"/>
        <color theme="1"/>
        <rFont val="Calibri"/>
        <family val="2"/>
        <scheme val="minor"/>
      </rPr>
      <t>shore segment</t>
    </r>
    <r>
      <rPr>
        <sz val="11"/>
        <color theme="1"/>
        <rFont val="Calibri"/>
        <family val="2"/>
        <scheme val="minor"/>
      </rPr>
      <t xml:space="preserve">.  At the top of the web page, click on the </t>
    </r>
    <r>
      <rPr>
        <b/>
        <sz val="11"/>
        <color theme="1"/>
        <rFont val="Calibri"/>
        <family val="2"/>
        <scheme val="minor"/>
      </rPr>
      <t>Identify</t>
    </r>
    <r>
      <rPr>
        <sz val="11"/>
        <color theme="1"/>
        <rFont val="Calibri"/>
        <family val="2"/>
        <scheme val="minor"/>
      </rPr>
      <t xml:space="preserve"> icon, then click on the shore segment.  A pop-up Identify box will contain an item called PHYS_IDENT.  That is your shore segment ID -- write it down.</t>
    </r>
  </si>
  <si>
    <r>
      <t xml:space="preserve">At the bottom of this spreadsheet, click on the </t>
    </r>
    <r>
      <rPr>
        <b/>
        <sz val="11"/>
        <color theme="1"/>
        <rFont val="Calibri"/>
        <family val="2"/>
        <scheme val="minor"/>
      </rPr>
      <t>DBpaste tab</t>
    </r>
    <r>
      <rPr>
        <sz val="11"/>
        <color theme="1"/>
        <rFont val="Calibri"/>
        <family val="2"/>
        <scheme val="minor"/>
      </rPr>
      <t xml:space="preserve">.  Find the row containing data for your shore segment by inserting its Phys_ID in the Find (CTR-F) tool.  Going across that row, copy all the data (except the Phys_ID) and open the tab called </t>
    </r>
    <r>
      <rPr>
        <b/>
        <sz val="11"/>
        <color theme="1"/>
        <rFont val="Calibri"/>
        <family val="2"/>
        <scheme val="minor"/>
      </rPr>
      <t>1_FormDB</t>
    </r>
    <r>
      <rPr>
        <sz val="11"/>
        <color theme="1"/>
        <rFont val="Calibri"/>
        <family val="2"/>
        <scheme val="minor"/>
      </rPr>
      <t>.  Paste the data you just copied into column C using the TRANSPOSE command (see Manual if you're unfamiliar with that command).</t>
    </r>
  </si>
  <si>
    <r>
      <t xml:space="preserve">Directions.  </t>
    </r>
    <r>
      <rPr>
        <sz val="11"/>
        <color rgb="FFFF0000"/>
        <rFont val="Calibri"/>
        <family val="2"/>
        <scheme val="minor"/>
      </rPr>
      <t xml:space="preserve">The actual protocol is described with full details and illustrations in the accompanying short </t>
    </r>
    <r>
      <rPr>
        <b/>
        <sz val="11"/>
        <color rgb="FFFF0000"/>
        <rFont val="Calibri"/>
        <family val="2"/>
        <scheme val="minor"/>
      </rPr>
      <t>NATAK-SE Manual</t>
    </r>
    <r>
      <rPr>
        <sz val="11"/>
        <color rgb="FFFF0000"/>
        <rFont val="Calibri"/>
        <family val="2"/>
        <scheme val="minor"/>
      </rPr>
      <t xml:space="preserve"> (pdf).  Be sure to read that.  The instructions below are only a simplified summary and omit important details.</t>
    </r>
  </si>
  <si>
    <r>
      <t xml:space="preserve">Open the </t>
    </r>
    <r>
      <rPr>
        <b/>
        <sz val="11"/>
        <color theme="1"/>
        <rFont val="Calibri"/>
        <family val="2"/>
        <scheme val="minor"/>
      </rPr>
      <t>2_FormM</t>
    </r>
    <r>
      <rPr>
        <sz val="11"/>
        <color theme="1"/>
        <rFont val="Calibri"/>
        <family val="2"/>
        <scheme val="minor"/>
      </rPr>
      <t xml:space="preserve"> worksheet tab.  For each indicator (row), do the measurement described in the last column.  Enter the numeric code associated with it (choices from column C) into column D.</t>
    </r>
  </si>
  <si>
    <r>
      <t xml:space="preserve">Check local tide tables and plan to arrive at your shore segment at least 1 hour before the daytime low tide.  In addition to the a clipboard and the usual field gear, bring </t>
    </r>
    <r>
      <rPr>
        <b/>
        <sz val="11"/>
        <color theme="1"/>
        <rFont val="Calibri"/>
        <family val="2"/>
        <scheme val="minor"/>
      </rPr>
      <t>Form F</t>
    </r>
    <r>
      <rPr>
        <sz val="11"/>
        <color theme="1"/>
        <rFont val="Calibri"/>
        <family val="2"/>
        <scheme val="minor"/>
      </rPr>
      <t xml:space="preserve"> as printed from the Manual and (if possible) a tool to measure salinity, e.g., a refractometer.  If you intend to do the </t>
    </r>
    <r>
      <rPr>
        <b/>
        <sz val="11"/>
        <color theme="1"/>
        <rFont val="Calibri"/>
        <family val="2"/>
        <scheme val="minor"/>
      </rPr>
      <t>Biosurvey Protocol</t>
    </r>
    <r>
      <rPr>
        <sz val="11"/>
        <color theme="1"/>
        <rFont val="Calibri"/>
        <family val="2"/>
        <scheme val="minor"/>
      </rPr>
      <t xml:space="preserve"> in addition, take a quadrat frame, meter tape, and shovel.  Specifications for these three items and a list of other helpful but optional items are found in the Manual.</t>
    </r>
  </si>
  <si>
    <r>
      <t xml:space="preserve">If you will </t>
    </r>
    <r>
      <rPr>
        <b/>
        <sz val="11"/>
        <color theme="1"/>
        <rFont val="Calibri"/>
        <family val="2"/>
        <scheme val="minor"/>
      </rPr>
      <t>not</t>
    </r>
    <r>
      <rPr>
        <sz val="11"/>
        <color theme="1"/>
        <rFont val="Calibri"/>
        <family val="2"/>
        <scheme val="minor"/>
      </rPr>
      <t xml:space="preserve"> be doing the Biosurvey Protocol, you can find the scores resulting from this assessment in the </t>
    </r>
    <r>
      <rPr>
        <b/>
        <sz val="11"/>
        <color theme="1"/>
        <rFont val="Calibri"/>
        <family val="2"/>
        <scheme val="minor"/>
      </rPr>
      <t>RESULTS</t>
    </r>
    <r>
      <rPr>
        <sz val="11"/>
        <color theme="1"/>
        <rFont val="Calibri"/>
        <family val="2"/>
        <scheme val="minor"/>
      </rPr>
      <t xml:space="preserve"> worksheet, </t>
    </r>
    <r>
      <rPr>
        <b/>
        <sz val="11"/>
        <color theme="1"/>
        <rFont val="Calibri"/>
        <family val="2"/>
        <scheme val="minor"/>
      </rPr>
      <t>column F</t>
    </r>
    <r>
      <rPr>
        <sz val="11"/>
        <color theme="1"/>
        <rFont val="Calibri"/>
        <family val="2"/>
        <scheme val="minor"/>
      </rPr>
      <t xml:space="preserve">.  If you implement the Biosurvey Protocol in addition, enter those data in the worksheet called </t>
    </r>
    <r>
      <rPr>
        <b/>
        <sz val="11"/>
        <color theme="1"/>
        <rFont val="Calibri"/>
        <family val="2"/>
        <scheme val="minor"/>
      </rPr>
      <t xml:space="preserve">4_Biosurvey.  </t>
    </r>
    <r>
      <rPr>
        <sz val="11"/>
        <color theme="1"/>
        <rFont val="Calibri"/>
        <family val="2"/>
        <scheme val="minor"/>
      </rPr>
      <t xml:space="preserve">After doing so, the scores generated by that assessment will be in the RESULTS worksheet, </t>
    </r>
    <r>
      <rPr>
        <b/>
        <sz val="11"/>
        <color theme="1"/>
        <rFont val="Calibri"/>
        <family val="2"/>
        <scheme val="minor"/>
      </rPr>
      <t>column D.</t>
    </r>
  </si>
  <si>
    <r>
      <t xml:space="preserve">Answer the questions on the printed copy of Form F, then enter those responses in the </t>
    </r>
    <r>
      <rPr>
        <b/>
        <sz val="11"/>
        <color theme="1"/>
        <rFont val="Calibri"/>
        <family val="2"/>
        <scheme val="minor"/>
      </rPr>
      <t>3_FormF</t>
    </r>
    <r>
      <rPr>
        <sz val="11"/>
        <color theme="1"/>
        <rFont val="Calibri"/>
        <family val="2"/>
        <scheme val="minor"/>
      </rPr>
      <t xml:space="preserve"> worksheet when you return to the office.  Also, fill out the information requested in the header at the top of the RESULTS worksheet. </t>
    </r>
    <r>
      <rPr>
        <b/>
        <sz val="11"/>
        <color theme="1"/>
        <rFont val="Calibri"/>
        <family val="2"/>
        <scheme val="minor"/>
      </rPr>
      <t xml:space="preserve"> All</t>
    </r>
    <r>
      <rPr>
        <sz val="11"/>
        <color theme="1"/>
        <rFont val="Calibri"/>
        <family val="2"/>
        <scheme val="minor"/>
      </rPr>
      <t xml:space="preserve"> questions in 1_FormDB, 2_FormM, and 3_FormF </t>
    </r>
    <r>
      <rPr>
        <b/>
        <sz val="11"/>
        <color theme="1"/>
        <rFont val="Calibri"/>
        <family val="2"/>
        <scheme val="minor"/>
      </rPr>
      <t>must</t>
    </r>
    <r>
      <rPr>
        <sz val="11"/>
        <color theme="1"/>
        <rFont val="Calibri"/>
        <family val="2"/>
        <scheme val="minor"/>
      </rPr>
      <t xml:space="preserve"> be answered or results will not be valid.</t>
    </r>
  </si>
  <si>
    <t>funded in part with qualified Outer Continental Shelf oil and gas revenues by the Coastal Impact Assistance Program, U.S. Fish &amp; Wildlife Service, through the Alaska Department of Commerce, Community, and Economic Development, Grant #10-CIAP-0009</t>
  </si>
  <si>
    <t>Nearshore Assessment Tool for Southeast Alaska (NATAK-SE version 1.0)</t>
  </si>
  <si>
    <t>10* (AVERAGE(factorA3,factorB3, AVERAGE(factorC3, factorD3, factorE3)</t>
  </si>
  <si>
    <t>10* AVERAGE(factorA5, factorB5, factorC5, factorD5, factorE5)</t>
  </si>
  <si>
    <t>factorA5</t>
  </si>
  <si>
    <t>factorB5</t>
  </si>
  <si>
    <t>factorC5</t>
  </si>
  <si>
    <t>factorD5</t>
  </si>
  <si>
    <t>factorE5</t>
  </si>
  <si>
    <t>factorA2</t>
  </si>
  <si>
    <t>factorB2</t>
  </si>
  <si>
    <t>factorC2</t>
  </si>
  <si>
    <t>factorD2</t>
  </si>
  <si>
    <t>factorE2</t>
  </si>
  <si>
    <t>factorF2</t>
  </si>
  <si>
    <t>factorA3</t>
  </si>
  <si>
    <t>factorB3</t>
  </si>
  <si>
    <t>factorC3</t>
  </si>
  <si>
    <t>factorD3</t>
  </si>
  <si>
    <t>factorE3</t>
  </si>
  <si>
    <t>Invertebrate Biomass indicator.  The maximum score among questions B4-B9 (computes automatically):</t>
  </si>
  <si>
    <t>(Scored only if data entered for B4-B9).</t>
  </si>
  <si>
    <r>
      <t xml:space="preserve">Criteria </t>
    </r>
    <r>
      <rPr>
        <sz val="11"/>
        <color theme="1"/>
        <rFont val="Calibri"/>
        <family val="2"/>
        <scheme val="minor"/>
      </rPr>
      <t>(based mainly on data from the 47 calibration sites surveyed in 2015)</t>
    </r>
  </si>
  <si>
    <t>Paste Transposed Numbers Starting in Cell Below</t>
  </si>
  <si>
    <t>Filter Function Score</t>
  </si>
  <si>
    <t>Subsidy Function Score</t>
  </si>
  <si>
    <t xml:space="preserve">* A majority of those you encounter should be identified to species or genus.  Identify others to family or higher taxonomic and denote ones that appear different, e.g., Ulva 1, Ulva 2, Polychaete 1, Polychaete 2.  </t>
  </si>
  <si>
    <r>
      <rPr>
        <b/>
        <sz val="10"/>
        <color theme="1"/>
        <rFont val="Calibri"/>
        <family val="2"/>
        <scheme val="minor"/>
      </rPr>
      <t xml:space="preserve">0 </t>
    </r>
    <r>
      <rPr>
        <sz val="10"/>
        <color theme="1"/>
        <rFont val="Calibri"/>
        <family val="2"/>
        <scheme val="minor"/>
      </rPr>
      <t xml:space="preserve">if &lt;23,  </t>
    </r>
    <r>
      <rPr>
        <b/>
        <sz val="10"/>
        <color theme="1"/>
        <rFont val="Calibri"/>
        <family val="2"/>
        <scheme val="minor"/>
      </rPr>
      <t>0.25</t>
    </r>
    <r>
      <rPr>
        <sz val="10"/>
        <color theme="1"/>
        <rFont val="Calibri"/>
        <family val="2"/>
        <scheme val="minor"/>
      </rPr>
      <t xml:space="preserve"> if 23-35,  </t>
    </r>
    <r>
      <rPr>
        <b/>
        <sz val="10"/>
        <color theme="1"/>
        <rFont val="Calibri"/>
        <family val="2"/>
        <scheme val="minor"/>
      </rPr>
      <t>0.5</t>
    </r>
    <r>
      <rPr>
        <sz val="10"/>
        <color theme="1"/>
        <rFont val="Calibri"/>
        <family val="2"/>
        <scheme val="minor"/>
      </rPr>
      <t xml:space="preserve"> if 36-47,  </t>
    </r>
    <r>
      <rPr>
        <b/>
        <sz val="10"/>
        <color theme="1"/>
        <rFont val="Calibri"/>
        <family val="2"/>
        <scheme val="minor"/>
      </rPr>
      <t>0.75</t>
    </r>
    <r>
      <rPr>
        <sz val="10"/>
        <color theme="1"/>
        <rFont val="Calibri"/>
        <family val="2"/>
        <scheme val="minor"/>
      </rPr>
      <t xml:space="preserve"> if 48-56,  </t>
    </r>
    <r>
      <rPr>
        <b/>
        <sz val="10"/>
        <color theme="1"/>
        <rFont val="Calibri"/>
        <family val="2"/>
        <scheme val="minor"/>
      </rPr>
      <t>1</t>
    </r>
    <r>
      <rPr>
        <sz val="10"/>
        <color theme="1"/>
        <rFont val="Calibri"/>
        <family val="2"/>
        <scheme val="minor"/>
      </rPr>
      <t xml:space="preserve"> if &gt;56 macro-invertebrate species.  Data from 81 NOAA sites in Southeast Alaska which came from a survey using a less intensive protocol suggested a scale of 0 if &lt;9,  0.25 if 9-16,  0.5 if 17-22,  0.75 if 23-30,  1.00 if &gt;30 macro-invertebrate species.</t>
    </r>
  </si>
  <si>
    <t>Phys_Iden (from ShoreZone):</t>
  </si>
  <si>
    <t>Calculator created by Dr. Paul Adamus (adamus7@comcast.net) for the Southeast Alaska Land Trust, April 2016, with funding from the Coastal Impact Assistance Program, U.S. Fish &amp; Wildlife Service, through the Alaska Department of Commerce, Community, and Economic Development, Grant #10-CIAP-0009, “Habitat Mapping and Analysis Project”.</t>
  </si>
  <si>
    <t>AVERAGE(exposure, BCclassScore ,tidalwidth, floodpct, numbands1, numbandsall)</t>
  </si>
  <si>
    <t>AVERAGE(numsameclass, distsameclass, numclasses)</t>
  </si>
  <si>
    <t>Higher scores indicate the shore segment is in a watershed that ranks among the highest in its subregion for potential nesting habitat of this seabird species.</t>
  </si>
  <si>
    <r>
      <rPr>
        <b/>
        <sz val="10"/>
        <color theme="1"/>
        <rFont val="Calibri"/>
        <family val="2"/>
        <scheme val="minor"/>
      </rPr>
      <t xml:space="preserve">0 </t>
    </r>
    <r>
      <rPr>
        <sz val="10"/>
        <color theme="1"/>
        <rFont val="Calibri"/>
        <family val="2"/>
        <scheme val="minor"/>
      </rPr>
      <t xml:space="preserve">if &lt;11,  </t>
    </r>
    <r>
      <rPr>
        <b/>
        <sz val="10"/>
        <color theme="1"/>
        <rFont val="Calibri"/>
        <family val="2"/>
        <scheme val="minor"/>
      </rPr>
      <t>0.25</t>
    </r>
    <r>
      <rPr>
        <sz val="10"/>
        <color theme="1"/>
        <rFont val="Calibri"/>
        <family val="2"/>
        <scheme val="minor"/>
      </rPr>
      <t xml:space="preserve"> if 11-17,  </t>
    </r>
    <r>
      <rPr>
        <b/>
        <sz val="10"/>
        <color theme="1"/>
        <rFont val="Calibri"/>
        <family val="2"/>
        <scheme val="minor"/>
      </rPr>
      <t>0.5</t>
    </r>
    <r>
      <rPr>
        <sz val="10"/>
        <color theme="1"/>
        <rFont val="Calibri"/>
        <family val="2"/>
        <scheme val="minor"/>
      </rPr>
      <t xml:space="preserve"> if 18-24,  </t>
    </r>
    <r>
      <rPr>
        <b/>
        <sz val="10"/>
        <color theme="1"/>
        <rFont val="Calibri"/>
        <family val="2"/>
        <scheme val="minor"/>
      </rPr>
      <t>0.75</t>
    </r>
    <r>
      <rPr>
        <sz val="10"/>
        <color theme="1"/>
        <rFont val="Calibri"/>
        <family val="2"/>
        <scheme val="minor"/>
      </rPr>
      <t xml:space="preserve"> if 25-35,  </t>
    </r>
    <r>
      <rPr>
        <b/>
        <sz val="10"/>
        <color theme="1"/>
        <rFont val="Calibri"/>
        <family val="2"/>
        <scheme val="minor"/>
      </rPr>
      <t>1</t>
    </r>
    <r>
      <rPr>
        <sz val="10"/>
        <color theme="1"/>
        <rFont val="Calibri"/>
        <family val="2"/>
        <scheme val="minor"/>
      </rPr>
      <t xml:space="preserve"> if &gt;35 seaweed species.  Data from 78 NOAA sites in Southeast Alaska which came from a survey using a less intensive protocol suggested a scale of 0 if &lt;6,  0.25 if 6-10,  0.5 if 11-16,  0.75 if 17-22,  1.00 if &gt;22 seaweed species.</t>
    </r>
  </si>
  <si>
    <r>
      <rPr>
        <b/>
        <sz val="11"/>
        <rFont val="Calibri"/>
        <family val="2"/>
        <scheme val="minor"/>
      </rPr>
      <t>0</t>
    </r>
    <r>
      <rPr>
        <sz val="11"/>
        <rFont val="Calibri"/>
        <family val="2"/>
        <scheme val="minor"/>
      </rPr>
      <t xml:space="preserve"> if &lt;68,  </t>
    </r>
    <r>
      <rPr>
        <b/>
        <sz val="11"/>
        <rFont val="Calibri"/>
        <family val="2"/>
        <scheme val="minor"/>
      </rPr>
      <t>0.25</t>
    </r>
    <r>
      <rPr>
        <sz val="11"/>
        <rFont val="Calibri"/>
        <family val="2"/>
        <scheme val="minor"/>
      </rPr>
      <t xml:space="preserve"> if 68-217,  </t>
    </r>
    <r>
      <rPr>
        <b/>
        <sz val="11"/>
        <rFont val="Calibri"/>
        <family val="2"/>
        <scheme val="minor"/>
      </rPr>
      <t>0.5</t>
    </r>
    <r>
      <rPr>
        <sz val="11"/>
        <rFont val="Calibri"/>
        <family val="2"/>
        <scheme val="minor"/>
      </rPr>
      <t xml:space="preserve"> if 218-351,  </t>
    </r>
    <r>
      <rPr>
        <b/>
        <sz val="11"/>
        <rFont val="Calibri"/>
        <family val="2"/>
        <scheme val="minor"/>
      </rPr>
      <t>0.75</t>
    </r>
    <r>
      <rPr>
        <sz val="11"/>
        <rFont val="Calibri"/>
        <family val="2"/>
        <scheme val="minor"/>
      </rPr>
      <t xml:space="preserve"> if 352-630,  </t>
    </r>
    <r>
      <rPr>
        <b/>
        <sz val="11"/>
        <rFont val="Calibri"/>
        <family val="2"/>
        <scheme val="minor"/>
      </rPr>
      <t>1</t>
    </r>
    <r>
      <rPr>
        <sz val="11"/>
        <rFont val="Calibri"/>
        <family val="2"/>
        <scheme val="minor"/>
      </rPr>
      <t xml:space="preserve"> if &gt;630 mussels per quadrat. </t>
    </r>
  </si>
  <si>
    <r>
      <rPr>
        <b/>
        <sz val="11"/>
        <rFont val="Calibri"/>
        <family val="2"/>
        <scheme val="minor"/>
      </rPr>
      <t>0</t>
    </r>
    <r>
      <rPr>
        <sz val="11"/>
        <rFont val="Calibri"/>
        <family val="2"/>
        <scheme val="minor"/>
      </rPr>
      <t xml:space="preserve"> if &lt;214,  </t>
    </r>
    <r>
      <rPr>
        <b/>
        <sz val="11"/>
        <rFont val="Calibri"/>
        <family val="2"/>
        <scheme val="minor"/>
      </rPr>
      <t>0.25</t>
    </r>
    <r>
      <rPr>
        <sz val="11"/>
        <rFont val="Calibri"/>
        <family val="2"/>
        <scheme val="minor"/>
      </rPr>
      <t xml:space="preserve"> if 214-471,  </t>
    </r>
    <r>
      <rPr>
        <b/>
        <sz val="11"/>
        <rFont val="Calibri"/>
        <family val="2"/>
        <scheme val="minor"/>
      </rPr>
      <t>0.5</t>
    </r>
    <r>
      <rPr>
        <sz val="11"/>
        <rFont val="Calibri"/>
        <family val="2"/>
        <scheme val="minor"/>
      </rPr>
      <t xml:space="preserve"> if 472-773,  </t>
    </r>
    <r>
      <rPr>
        <b/>
        <sz val="11"/>
        <rFont val="Calibri"/>
        <family val="2"/>
        <scheme val="minor"/>
      </rPr>
      <t>0.75</t>
    </r>
    <r>
      <rPr>
        <sz val="11"/>
        <rFont val="Calibri"/>
        <family val="2"/>
        <scheme val="minor"/>
      </rPr>
      <t xml:space="preserve"> if 774-1240,  </t>
    </r>
    <r>
      <rPr>
        <b/>
        <sz val="11"/>
        <rFont val="Calibri"/>
        <family val="2"/>
        <scheme val="minor"/>
      </rPr>
      <t>1</t>
    </r>
    <r>
      <rPr>
        <sz val="11"/>
        <rFont val="Calibri"/>
        <family val="2"/>
        <scheme val="minor"/>
      </rPr>
      <t xml:space="preserve"> if &gt;1240 barnacles per quadrat. </t>
    </r>
  </si>
  <si>
    <r>
      <rPr>
        <b/>
        <sz val="11"/>
        <rFont val="Calibri"/>
        <family val="2"/>
        <scheme val="minor"/>
      </rPr>
      <t>0</t>
    </r>
    <r>
      <rPr>
        <sz val="11"/>
        <rFont val="Calibri"/>
        <family val="2"/>
        <scheme val="minor"/>
      </rPr>
      <t xml:space="preserve"> if &lt;6,  </t>
    </r>
    <r>
      <rPr>
        <b/>
        <sz val="11"/>
        <rFont val="Calibri"/>
        <family val="2"/>
        <scheme val="minor"/>
      </rPr>
      <t>0.25</t>
    </r>
    <r>
      <rPr>
        <sz val="11"/>
        <rFont val="Calibri"/>
        <family val="2"/>
        <scheme val="minor"/>
      </rPr>
      <t xml:space="preserve"> if 7-17,  </t>
    </r>
    <r>
      <rPr>
        <b/>
        <sz val="11"/>
        <rFont val="Calibri"/>
        <family val="2"/>
        <scheme val="minor"/>
      </rPr>
      <t>0.5</t>
    </r>
    <r>
      <rPr>
        <sz val="11"/>
        <rFont val="Calibri"/>
        <family val="2"/>
        <scheme val="minor"/>
      </rPr>
      <t xml:space="preserve"> if 18-42,  </t>
    </r>
    <r>
      <rPr>
        <b/>
        <sz val="11"/>
        <rFont val="Calibri"/>
        <family val="2"/>
        <scheme val="minor"/>
      </rPr>
      <t>0.75</t>
    </r>
    <r>
      <rPr>
        <sz val="11"/>
        <rFont val="Calibri"/>
        <family val="2"/>
        <scheme val="minor"/>
      </rPr>
      <t xml:space="preserve"> if 43-130,  </t>
    </r>
    <r>
      <rPr>
        <b/>
        <sz val="11"/>
        <rFont val="Calibri"/>
        <family val="2"/>
        <scheme val="minor"/>
      </rPr>
      <t>1</t>
    </r>
    <r>
      <rPr>
        <sz val="11"/>
        <rFont val="Calibri"/>
        <family val="2"/>
        <scheme val="minor"/>
      </rPr>
      <t xml:space="preserve"> if &gt;130 limpets per quadrat. </t>
    </r>
  </si>
  <si>
    <r>
      <rPr>
        <b/>
        <sz val="11"/>
        <rFont val="Calibri"/>
        <family val="2"/>
        <scheme val="minor"/>
      </rPr>
      <t>0</t>
    </r>
    <r>
      <rPr>
        <sz val="11"/>
        <rFont val="Calibri"/>
        <family val="2"/>
        <scheme val="minor"/>
      </rPr>
      <t xml:space="preserve"> if &lt;7,  </t>
    </r>
    <r>
      <rPr>
        <b/>
        <sz val="11"/>
        <rFont val="Calibri"/>
        <family val="2"/>
        <scheme val="minor"/>
      </rPr>
      <t>0.25</t>
    </r>
    <r>
      <rPr>
        <sz val="11"/>
        <rFont val="Calibri"/>
        <family val="2"/>
        <scheme val="minor"/>
      </rPr>
      <t xml:space="preserve"> if 7-21,  </t>
    </r>
    <r>
      <rPr>
        <b/>
        <sz val="11"/>
        <rFont val="Calibri"/>
        <family val="2"/>
        <scheme val="minor"/>
      </rPr>
      <t>0.5</t>
    </r>
    <r>
      <rPr>
        <sz val="11"/>
        <rFont val="Calibri"/>
        <family val="2"/>
        <scheme val="minor"/>
      </rPr>
      <t xml:space="preserve"> if 22-35,  </t>
    </r>
    <r>
      <rPr>
        <b/>
        <sz val="11"/>
        <rFont val="Calibri"/>
        <family val="2"/>
        <scheme val="minor"/>
      </rPr>
      <t>0.75</t>
    </r>
    <r>
      <rPr>
        <sz val="11"/>
        <rFont val="Calibri"/>
        <family val="2"/>
        <scheme val="minor"/>
      </rPr>
      <t xml:space="preserve"> if 36-55,  </t>
    </r>
    <r>
      <rPr>
        <b/>
        <sz val="11"/>
        <rFont val="Calibri"/>
        <family val="2"/>
        <scheme val="minor"/>
      </rPr>
      <t>1</t>
    </r>
    <r>
      <rPr>
        <sz val="11"/>
        <rFont val="Calibri"/>
        <family val="2"/>
        <scheme val="minor"/>
      </rPr>
      <t xml:space="preserve"> if &gt;55 periwinkles per quadrat. </t>
    </r>
  </si>
  <si>
    <r>
      <rPr>
        <b/>
        <sz val="11"/>
        <rFont val="Calibri"/>
        <family val="2"/>
        <scheme val="minor"/>
      </rPr>
      <t>0</t>
    </r>
    <r>
      <rPr>
        <sz val="11"/>
        <rFont val="Calibri"/>
        <family val="2"/>
        <scheme val="minor"/>
      </rPr>
      <t xml:space="preserve"> if &lt;53,  </t>
    </r>
    <r>
      <rPr>
        <b/>
        <sz val="11"/>
        <rFont val="Calibri"/>
        <family val="2"/>
        <scheme val="minor"/>
      </rPr>
      <t>0.25</t>
    </r>
    <r>
      <rPr>
        <sz val="11"/>
        <rFont val="Calibri"/>
        <family val="2"/>
        <scheme val="minor"/>
      </rPr>
      <t xml:space="preserve"> if 53-140,  </t>
    </r>
    <r>
      <rPr>
        <b/>
        <sz val="11"/>
        <rFont val="Calibri"/>
        <family val="2"/>
        <scheme val="minor"/>
      </rPr>
      <t>0.5</t>
    </r>
    <r>
      <rPr>
        <sz val="11"/>
        <rFont val="Calibri"/>
        <family val="2"/>
        <scheme val="minor"/>
      </rPr>
      <t xml:space="preserve"> if 141-193,  </t>
    </r>
    <r>
      <rPr>
        <b/>
        <sz val="11"/>
        <rFont val="Calibri"/>
        <family val="2"/>
        <scheme val="minor"/>
      </rPr>
      <t>0.75</t>
    </r>
    <r>
      <rPr>
        <sz val="11"/>
        <rFont val="Calibri"/>
        <family val="2"/>
        <scheme val="minor"/>
      </rPr>
      <t xml:space="preserve"> if 194-280,  </t>
    </r>
    <r>
      <rPr>
        <b/>
        <sz val="11"/>
        <rFont val="Calibri"/>
        <family val="2"/>
        <scheme val="minor"/>
      </rPr>
      <t>1</t>
    </r>
    <r>
      <rPr>
        <sz val="11"/>
        <rFont val="Calibri"/>
        <family val="2"/>
        <scheme val="minor"/>
      </rPr>
      <t xml:space="preserve"> if &gt;280 worms per pit. </t>
    </r>
  </si>
  <si>
    <r>
      <rPr>
        <b/>
        <sz val="11"/>
        <rFont val="Calibri"/>
        <family val="2"/>
        <scheme val="minor"/>
      </rPr>
      <t>0</t>
    </r>
    <r>
      <rPr>
        <sz val="11"/>
        <rFont val="Calibri"/>
        <family val="2"/>
        <scheme val="minor"/>
      </rPr>
      <t xml:space="preserve"> if 0,  </t>
    </r>
    <r>
      <rPr>
        <b/>
        <sz val="11"/>
        <rFont val="Calibri"/>
        <family val="2"/>
        <scheme val="minor"/>
      </rPr>
      <t>0.25</t>
    </r>
    <r>
      <rPr>
        <sz val="11"/>
        <rFont val="Calibri"/>
        <family val="2"/>
        <scheme val="minor"/>
      </rPr>
      <t xml:space="preserve"> if 1-6,  </t>
    </r>
    <r>
      <rPr>
        <b/>
        <sz val="11"/>
        <rFont val="Calibri"/>
        <family val="2"/>
        <scheme val="minor"/>
      </rPr>
      <t>0.5</t>
    </r>
    <r>
      <rPr>
        <sz val="11"/>
        <rFont val="Calibri"/>
        <family val="2"/>
        <scheme val="minor"/>
      </rPr>
      <t xml:space="preserve"> if 7-14,  </t>
    </r>
    <r>
      <rPr>
        <b/>
        <sz val="11"/>
        <rFont val="Calibri"/>
        <family val="2"/>
        <scheme val="minor"/>
      </rPr>
      <t>0.75</t>
    </r>
    <r>
      <rPr>
        <sz val="11"/>
        <rFont val="Calibri"/>
        <family val="2"/>
        <scheme val="minor"/>
      </rPr>
      <t xml:space="preserve"> if 15-27,  </t>
    </r>
    <r>
      <rPr>
        <b/>
        <sz val="11"/>
        <rFont val="Calibri"/>
        <family val="2"/>
        <scheme val="minor"/>
      </rPr>
      <t>1</t>
    </r>
    <r>
      <rPr>
        <sz val="11"/>
        <rFont val="Calibri"/>
        <family val="2"/>
        <scheme val="minor"/>
      </rPr>
      <t xml:space="preserve"> if &gt;27 sea stars per quadrat. </t>
    </r>
  </si>
  <si>
    <r>
      <t xml:space="preserve">Were you able to identify, preferably to species*, a probable majority of the </t>
    </r>
    <r>
      <rPr>
        <b/>
        <sz val="11"/>
        <color theme="1"/>
        <rFont val="Calibri"/>
        <family val="2"/>
        <scheme val="minor"/>
      </rPr>
      <t>macroalgae (seaweeds)</t>
    </r>
    <r>
      <rPr>
        <sz val="11"/>
        <color theme="1"/>
        <rFont val="Calibri"/>
        <family val="2"/>
        <scheme val="minor"/>
      </rPr>
      <t xml:space="preserve"> you found?  If yes, list them in a field notebook or data sheet.  Then, in the next column enter the number of kinds.  If no identifications, go to next question.</t>
    </r>
  </si>
  <si>
    <r>
      <t xml:space="preserve">Were you able to identify, preferably to species*, a probable majority of the </t>
    </r>
    <r>
      <rPr>
        <b/>
        <sz val="11"/>
        <color theme="1"/>
        <rFont val="Calibri"/>
        <family val="2"/>
        <scheme val="minor"/>
      </rPr>
      <t>intertidal macroinvertebrates</t>
    </r>
    <r>
      <rPr>
        <sz val="11"/>
        <color theme="1"/>
        <rFont val="Calibri"/>
        <family val="2"/>
        <scheme val="minor"/>
      </rPr>
      <t xml:space="preserve"> you found?  If yes, list them in a field notebook or data sheet.  Then, in the next column enter the number of kinds</t>
    </r>
    <r>
      <rPr>
        <sz val="11"/>
        <rFont val="Calibri"/>
        <family val="2"/>
        <scheme val="minor"/>
      </rPr>
      <t xml:space="preserve">. </t>
    </r>
    <r>
      <rPr>
        <sz val="11"/>
        <color theme="1"/>
        <rFont val="Calibri"/>
        <family val="2"/>
        <scheme val="minor"/>
      </rPr>
      <t xml:space="preserve"> If no identifications, go to next question.</t>
    </r>
  </si>
  <si>
    <r>
      <t xml:space="preserve">Width of </t>
    </r>
    <r>
      <rPr>
        <b/>
        <sz val="10"/>
        <rFont val="Calibri"/>
        <family val="2"/>
        <scheme val="minor"/>
      </rPr>
      <t>Vegetated</t>
    </r>
    <r>
      <rPr>
        <sz val="10"/>
        <rFont val="Calibri"/>
        <family val="2"/>
        <scheme val="minor"/>
      </rPr>
      <t xml:space="preserve"> Intertidal (marsh, NOT seaweed): Maximum ft.</t>
    </r>
  </si>
  <si>
    <r>
      <rPr>
        <b/>
        <sz val="10"/>
        <rFont val="Calibri"/>
        <family val="2"/>
        <scheme val="minor"/>
      </rPr>
      <t>1</t>
    </r>
    <r>
      <rPr>
        <sz val="10"/>
        <rFont val="Calibri"/>
        <family val="2"/>
        <scheme val="minor"/>
      </rPr>
      <t xml:space="preserve"> if true, </t>
    </r>
    <r>
      <rPr>
        <b/>
        <sz val="10"/>
        <rFont val="Calibri"/>
        <family val="2"/>
        <scheme val="minor"/>
      </rPr>
      <t>0</t>
    </r>
    <r>
      <rPr>
        <sz val="10"/>
        <rFont val="Calibri"/>
        <family val="2"/>
        <scheme val="minor"/>
      </rPr>
      <t xml:space="preserve"> if false. </t>
    </r>
  </si>
  <si>
    <t>Form M.  Indicators measured at UAS web site or with Google Earth Pro</t>
  </si>
  <si>
    <t>**</t>
  </si>
  <si>
    <t>This tool allows users to rapidly assess the potential of any Southeast Alaska shore segment to support a set of focal biological resources and functions.  This assessment is based on easily observable indicators in the nearshore environment (a shore segment's intertidal zone, upland buffer, and proximate subtidal waters visible from shore).  The shore segment must be visited once during daily low tide.  In addition to observing features during that visit, users must obtain information from a row in a table (DBpaste tab below) and copy-paste it into the spreadsheet, make a few measurements while viewing aerial imagery, and obtain other data from a web site.  After the user enters all data, this spreadsheet automatically generates scores for seven important nearshore attributes:  Subsidy Function, Food Web Diversity, Focal Fish, Sea &amp; Shore Birds, Pinnipeds, Buffer Wildlife, and Filter Function (see Results worksheet tab).  These are not combined into a single score for the segment.  Also, scores are not absolute measures of these nearshore attributes, but rather represent an automated comparison with scores from 47 carefully-selected reference segments spanning the region's geography and shoreline types surveyed in 2015.  Although optional, users with some level of skill identifying different seaweeds and/or intertidal macro-invertebrates are strongly encouraged to additionally follow the Biosurvey Protocol described in the accompanying Manual.  Doing so is anticipated to improve the meaning and quality of the scores.  This tool does not assess the quality or capacity of a nearshore segment for any individual species, nor can it detect biological impairment from chronic chemical pollution or ocean acidification.  It is intended to increase the consistency and comparability of coastal resource assessments and geographic rankings in the context of conservation or development decisions.  It is intended to complement assessments done at a coarser scale using GIS queries of existing spatial data, as well as complementing assessments that could involve more labor-intensive or repeat-visit methods, e.g., fish surveys, wildlife surveys, water quality analyses, surveys that require laboratory sorting and keying of small invertebrates.</t>
  </si>
  <si>
    <r>
      <rPr>
        <b/>
        <sz val="11"/>
        <color theme="1"/>
        <rFont val="Arial Narrow"/>
        <family val="2"/>
      </rPr>
      <t>normalized</t>
    </r>
    <r>
      <rPr>
        <sz val="11"/>
        <color theme="1"/>
        <rFont val="Arial Narrow"/>
        <family val="2"/>
      </rPr>
      <t xml:space="preserve"> means the raw scores were automatically converted to scale of 0 to 10 by comparing to the range of scores found among the regional sample of 47 shore segments, using this formula: 10*(raw score - regional minimum) / (regional maximum - regional minimum).  Rating categories were defined by natural breaks in the score distribution of each resource or function among the 47 shore segments.</t>
    </r>
  </si>
  <si>
    <r>
      <t xml:space="preserve">A score of </t>
    </r>
    <r>
      <rPr>
        <b/>
        <sz val="11"/>
        <color theme="1"/>
        <rFont val="Arial Narrow"/>
        <family val="2"/>
      </rPr>
      <t>0</t>
    </r>
    <r>
      <rPr>
        <sz val="11"/>
        <color theme="1"/>
        <rFont val="Arial Narrow"/>
        <family val="2"/>
      </rPr>
      <t xml:space="preserve"> does </t>
    </r>
    <r>
      <rPr>
        <b/>
        <sz val="11"/>
        <color theme="1"/>
        <rFont val="Arial Narrow"/>
        <family val="2"/>
      </rPr>
      <t xml:space="preserve">not </t>
    </r>
    <r>
      <rPr>
        <sz val="11"/>
        <color theme="1"/>
        <rFont val="Arial Narrow"/>
        <family val="2"/>
      </rPr>
      <t>mean the resource or function is absent from a segment.  It only means that segment may have equal or less capacity than the lowest-scoring one, for that resource or function, among the 47 segments that were assessed to calibrate its model.</t>
    </r>
  </si>
  <si>
    <t>min</t>
  </si>
  <si>
    <t>max</t>
  </si>
  <si>
    <t>range</t>
  </si>
  <si>
    <t>Rating</t>
  </si>
  <si>
    <t>Normalized* Score</t>
  </si>
  <si>
    <t>Weight</t>
  </si>
  <si>
    <t>Normalized (from above)</t>
  </si>
  <si>
    <t>Product</t>
  </si>
  <si>
    <t xml:space="preserve">Overall </t>
  </si>
  <si>
    <t xml:space="preserve">The default weight (1.00) treats all 7 functions as equally valuable and/or equally influential ecologically. If you deem some to be less in a particular local context, in column D (or G if you used only the rapid method) you may assign a weight to those that is slightly less than 1.00  </t>
  </si>
  <si>
    <r>
      <t xml:space="preserve">OVERALL SCORE.  </t>
    </r>
    <r>
      <rPr>
        <sz val="10"/>
        <color theme="1"/>
        <rFont val="Calibri"/>
        <family val="2"/>
        <scheme val="minor"/>
      </rPr>
      <t>After accounting for any weights you assign, this adds the maximum of the 7 scores to their average and divides by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</si>
</sst>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b/>
      <sz val="12"/>
      <color indexed="8"/>
      <name val="Calibri"/>
      <family val="2"/>
    </font>
    <font>
      <sz val="10"/>
      <color indexed="8"/>
      <name val="Calibri"/>
      <family val="2"/>
    </font>
    <font>
      <b/>
      <sz val="10"/>
      <color indexed="8"/>
      <name val="Calibri"/>
      <family val="2"/>
    </font>
    <font>
      <b/>
      <sz val="10"/>
      <name val="Calibri"/>
      <family val="2"/>
    </font>
    <font>
      <sz val="11"/>
      <name val="Calibri"/>
      <family val="2"/>
    </font>
    <font>
      <sz val="11"/>
      <color theme="1"/>
      <name val="Calibri"/>
      <family val="2"/>
    </font>
    <font>
      <sz val="11"/>
      <name val="Calibri"/>
      <family val="2"/>
      <scheme val="minor"/>
    </font>
    <font>
      <sz val="11"/>
      <color rgb="FFFF0000"/>
      <name val="Calibri"/>
      <family val="2"/>
    </font>
    <font>
      <sz val="10"/>
      <name val="Calibri"/>
      <family val="2"/>
    </font>
    <font>
      <sz val="10"/>
      <color theme="1"/>
      <name val="Calibri"/>
      <family val="2"/>
      <scheme val="minor"/>
    </font>
    <font>
      <b/>
      <sz val="11"/>
      <name val="Calibri"/>
      <family val="2"/>
    </font>
    <font>
      <sz val="10"/>
      <name val="Calibri"/>
      <family val="2"/>
      <scheme val="minor"/>
    </font>
    <font>
      <b/>
      <sz val="10"/>
      <name val="Calibri"/>
      <family val="2"/>
      <scheme val="minor"/>
    </font>
    <font>
      <b/>
      <sz val="11"/>
      <color theme="1"/>
      <name val="Calibri"/>
      <family val="2"/>
    </font>
    <font>
      <b/>
      <sz val="12"/>
      <color theme="1"/>
      <name val="Calibri"/>
      <family val="2"/>
    </font>
    <font>
      <b/>
      <sz val="10"/>
      <color theme="1"/>
      <name val="Calibri"/>
      <family val="2"/>
      <scheme val="minor"/>
    </font>
    <font>
      <sz val="10"/>
      <color rgb="FFFF0000"/>
      <name val="Calibri"/>
      <family val="2"/>
      <scheme val="minor"/>
    </font>
    <font>
      <sz val="11"/>
      <color rgb="FFFF0000"/>
      <name val="Calibri"/>
      <family val="2"/>
      <scheme val="minor"/>
    </font>
    <font>
      <sz val="10"/>
      <color theme="1"/>
      <name val="Arial Narrow"/>
      <family val="2"/>
    </font>
    <font>
      <b/>
      <sz val="10"/>
      <color theme="1"/>
      <name val="Arial Narrow"/>
      <family val="2"/>
    </font>
    <font>
      <sz val="10"/>
      <color rgb="FFFF0000"/>
      <name val="Arial Narrow"/>
      <family val="2"/>
    </font>
    <font>
      <sz val="10"/>
      <color rgb="FF000000"/>
      <name val="Arial Narrow"/>
      <family val="2"/>
    </font>
    <font>
      <b/>
      <sz val="16"/>
      <color theme="1"/>
      <name val="Arial Narrow"/>
      <family val="2"/>
    </font>
    <font>
      <i/>
      <sz val="12"/>
      <color rgb="FFFF0000"/>
      <name val="Calibri"/>
      <family val="2"/>
      <scheme val="minor"/>
    </font>
    <font>
      <sz val="12"/>
      <color theme="1"/>
      <name val="Calibri"/>
      <family val="2"/>
      <scheme val="minor"/>
    </font>
    <font>
      <b/>
      <sz val="12"/>
      <color theme="1"/>
      <name val="Calibri"/>
      <family val="2"/>
      <scheme val="minor"/>
    </font>
    <font>
      <b/>
      <sz val="10"/>
      <color rgb="FFFF0000"/>
      <name val="Calibri"/>
      <family val="2"/>
    </font>
    <font>
      <sz val="11"/>
      <color theme="1"/>
      <name val="Arial Narrow"/>
      <family val="2"/>
    </font>
    <font>
      <sz val="11"/>
      <name val="Arial Narrow"/>
      <family val="2"/>
    </font>
    <font>
      <sz val="10"/>
      <color indexed="8"/>
      <name val="Arial Narrow"/>
      <family val="2"/>
    </font>
    <font>
      <sz val="10"/>
      <name val="Arial Narrow"/>
      <family val="2"/>
    </font>
    <font>
      <b/>
      <sz val="11"/>
      <name val="Calibri"/>
      <family val="2"/>
      <scheme val="minor"/>
    </font>
    <font>
      <b/>
      <sz val="11"/>
      <color theme="1"/>
      <name val="Calibri"/>
      <family val="2"/>
      <scheme val="minor"/>
    </font>
    <font>
      <b/>
      <sz val="10"/>
      <name val="Arial Narrow"/>
      <family val="2"/>
    </font>
    <font>
      <b/>
      <sz val="11"/>
      <color indexed="8"/>
      <name val="Calibri"/>
      <family val="2"/>
    </font>
    <font>
      <sz val="11"/>
      <color indexed="8"/>
      <name val="Calibri"/>
      <family val="2"/>
      <scheme val="minor"/>
    </font>
    <font>
      <sz val="11"/>
      <color indexed="8"/>
      <name val="Calibri"/>
      <family val="2"/>
    </font>
    <font>
      <b/>
      <sz val="11"/>
      <color rgb="FFFF0000"/>
      <name val="Calibri"/>
      <family val="2"/>
    </font>
    <font>
      <sz val="11"/>
      <color rgb="FF000000"/>
      <name val="Calibri"/>
      <family val="2"/>
    </font>
    <font>
      <sz val="16"/>
      <color theme="1"/>
      <name val="Arial Narrow"/>
      <family val="2"/>
    </font>
    <font>
      <b/>
      <sz val="16"/>
      <color theme="1"/>
      <name val="Calibri"/>
      <family val="2"/>
      <scheme val="minor"/>
    </font>
    <font>
      <b/>
      <sz val="14"/>
      <color indexed="8"/>
      <name val="Calibri"/>
      <family val="2"/>
    </font>
    <font>
      <sz val="14"/>
      <color indexed="8"/>
      <name val="Calibri"/>
      <family val="2"/>
    </font>
    <font>
      <b/>
      <sz val="11"/>
      <color rgb="FFFF0000"/>
      <name val="Calibri"/>
      <family val="2"/>
      <scheme val="minor"/>
    </font>
    <font>
      <i/>
      <sz val="9"/>
      <color theme="1"/>
      <name val="Calibri"/>
      <family val="2"/>
      <scheme val="minor"/>
    </font>
    <font>
      <sz val="11"/>
      <color theme="1"/>
      <name val="Cambria"/>
      <family val="1"/>
    </font>
    <font>
      <b/>
      <sz val="16"/>
      <color theme="1"/>
      <name val="Cambria"/>
      <family val="1"/>
      <scheme val="major"/>
    </font>
    <font>
      <i/>
      <sz val="10"/>
      <color theme="1"/>
      <name val="Calibri"/>
      <family val="2"/>
      <scheme val="minor"/>
    </font>
    <font>
      <sz val="11"/>
      <color theme="1"/>
      <name val="Cambria"/>
      <family val="1"/>
      <scheme val="major"/>
    </font>
    <font>
      <b/>
      <sz val="11"/>
      <color theme="1"/>
      <name val="Arial Narrow"/>
      <family val="2"/>
    </font>
    <font>
      <b/>
      <sz val="8"/>
      <name val="Calibri"/>
      <family val="2"/>
      <scheme val="minor"/>
    </font>
    <font>
      <sz val="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indexed="55"/>
        <bgColor indexed="64"/>
      </patternFill>
    </fill>
    <fill>
      <patternFill patternType="solid">
        <fgColor theme="0" tint="-0.14999847407452621"/>
        <bgColor indexed="64"/>
      </patternFill>
    </fill>
    <fill>
      <patternFill patternType="solid">
        <fgColor rgb="FF66FF33"/>
        <bgColor indexed="64"/>
      </patternFill>
    </fill>
    <fill>
      <patternFill patternType="solid">
        <fgColor rgb="FFCCFF3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CC"/>
        <bgColor indexed="64"/>
      </patternFill>
    </fill>
    <fill>
      <patternFill patternType="solid">
        <fgColor theme="8" tint="0.79998168889431442"/>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0" fontId="19" fillId="0" borderId="0"/>
    <xf numFmtId="9" fontId="19" fillId="0" borderId="0" applyFont="0" applyFill="0" applyBorder="0" applyAlignment="0" applyProtection="0"/>
  </cellStyleXfs>
  <cellXfs count="620">
    <xf numFmtId="0" fontId="0" fillId="0" borderId="0" xfId="0"/>
    <xf numFmtId="0" fontId="6" fillId="0" borderId="0" xfId="0" applyFont="1" applyAlignment="1">
      <alignment vertical="top"/>
    </xf>
    <xf numFmtId="0" fontId="6" fillId="0" borderId="0" xfId="0" applyFont="1" applyAlignment="1">
      <alignment vertical="top" wrapText="1"/>
    </xf>
    <xf numFmtId="0" fontId="2" fillId="0" borderId="0" xfId="0" applyFont="1" applyAlignment="1">
      <alignment vertical="top" wrapText="1"/>
    </xf>
    <xf numFmtId="0" fontId="6" fillId="0" borderId="0" xfId="0" applyFont="1" applyAlignment="1">
      <alignment horizontal="center" vertical="top"/>
    </xf>
    <xf numFmtId="0" fontId="14" fillId="0" borderId="0" xfId="0" applyFont="1" applyAlignment="1">
      <alignment vertical="top" wrapText="1"/>
    </xf>
    <xf numFmtId="0" fontId="14" fillId="0" borderId="40" xfId="0" applyFont="1" applyBorder="1" applyAlignment="1">
      <alignment vertical="top" wrapText="1"/>
    </xf>
    <xf numFmtId="0" fontId="6" fillId="0" borderId="4" xfId="0" applyFont="1" applyBorder="1" applyAlignment="1">
      <alignment horizontal="center" vertical="top"/>
    </xf>
    <xf numFmtId="0" fontId="14" fillId="0" borderId="39" xfId="0" applyFont="1" applyBorder="1" applyAlignment="1">
      <alignment vertical="top" wrapText="1"/>
    </xf>
    <xf numFmtId="0" fontId="6" fillId="0" borderId="36" xfId="0" applyFont="1" applyBorder="1" applyAlignment="1">
      <alignment vertical="top" wrapText="1"/>
    </xf>
    <xf numFmtId="0" fontId="6" fillId="0" borderId="15" xfId="0" applyFont="1" applyBorder="1" applyAlignment="1">
      <alignment vertical="top" wrapText="1"/>
    </xf>
    <xf numFmtId="0" fontId="15" fillId="0" borderId="0" xfId="0" applyFont="1" applyAlignment="1"/>
    <xf numFmtId="0" fontId="0" fillId="0" borderId="0" xfId="0" applyAlignment="1">
      <alignment vertical="top"/>
    </xf>
    <xf numFmtId="0" fontId="0" fillId="0" borderId="0" xfId="0" applyAlignment="1"/>
    <xf numFmtId="0" fontId="3" fillId="0" borderId="8" xfId="0" applyFont="1" applyFill="1" applyBorder="1" applyAlignment="1">
      <alignment vertical="top" wrapText="1"/>
    </xf>
    <xf numFmtId="0" fontId="10" fillId="0" borderId="0" xfId="0" applyFont="1" applyAlignment="1">
      <alignment vertical="top" wrapText="1"/>
    </xf>
    <xf numFmtId="0" fontId="19" fillId="0" borderId="5" xfId="1" applyBorder="1" applyAlignment="1">
      <alignment horizontal="center" vertical="top" wrapText="1"/>
    </xf>
    <xf numFmtId="0" fontId="19" fillId="0" borderId="0" xfId="1" applyBorder="1" applyAlignment="1">
      <alignment vertical="top" wrapText="1"/>
    </xf>
    <xf numFmtId="0" fontId="19" fillId="0" borderId="0" xfId="1" applyAlignment="1">
      <alignment vertical="top" wrapText="1"/>
    </xf>
    <xf numFmtId="0" fontId="3" fillId="2" borderId="7" xfId="1" applyFont="1" applyFill="1" applyBorder="1" applyAlignment="1">
      <alignment horizontal="left" wrapText="1"/>
    </xf>
    <xf numFmtId="1" fontId="19" fillId="0" borderId="6" xfId="1" applyNumberFormat="1" applyFill="1" applyBorder="1" applyAlignment="1">
      <alignment horizontal="center" vertical="top" wrapText="1"/>
    </xf>
    <xf numFmtId="0" fontId="19" fillId="0" borderId="6" xfId="1" applyBorder="1" applyAlignment="1">
      <alignment vertical="top" wrapText="1"/>
    </xf>
    <xf numFmtId="0" fontId="19" fillId="0" borderId="6" xfId="1" applyBorder="1" applyAlignment="1">
      <alignment horizontal="center" vertical="top" wrapText="1"/>
    </xf>
    <xf numFmtId="0" fontId="19" fillId="0" borderId="0" xfId="1" applyAlignment="1">
      <alignment horizontal="center" vertical="top" wrapText="1"/>
    </xf>
    <xf numFmtId="1" fontId="19" fillId="0" borderId="0" xfId="1" applyNumberFormat="1" applyFill="1" applyAlignment="1">
      <alignment horizontal="center" vertical="top" wrapText="1"/>
    </xf>
    <xf numFmtId="0" fontId="19" fillId="0" borderId="0" xfId="1" applyFill="1" applyAlignment="1">
      <alignment vertical="top" wrapText="1"/>
    </xf>
    <xf numFmtId="2" fontId="19" fillId="0" borderId="5" xfId="1" applyNumberFormat="1" applyBorder="1" applyAlignment="1">
      <alignment horizontal="center" vertical="top" wrapText="1"/>
    </xf>
    <xf numFmtId="2" fontId="19" fillId="0" borderId="0" xfId="1" applyNumberFormat="1" applyAlignment="1">
      <alignment horizontal="center" vertical="top" wrapText="1"/>
    </xf>
    <xf numFmtId="0" fontId="19" fillId="0" borderId="0" xfId="1" applyAlignment="1">
      <alignment wrapText="1"/>
    </xf>
    <xf numFmtId="0" fontId="3" fillId="2" borderId="8" xfId="1" applyFont="1" applyFill="1" applyBorder="1" applyAlignment="1">
      <alignment horizontal="left" vertical="top" wrapText="1"/>
    </xf>
    <xf numFmtId="2" fontId="19" fillId="0" borderId="6" xfId="1" applyNumberFormat="1" applyFill="1" applyBorder="1" applyAlignment="1">
      <alignment horizontal="center" vertical="top" wrapText="1"/>
    </xf>
    <xf numFmtId="0" fontId="19" fillId="0" borderId="0" xfId="1"/>
    <xf numFmtId="0" fontId="19" fillId="0" borderId="0" xfId="1" applyAlignment="1">
      <alignment vertical="top"/>
    </xf>
    <xf numFmtId="0" fontId="25" fillId="0" borderId="0" xfId="1" applyFont="1" applyAlignment="1">
      <alignment vertical="top"/>
    </xf>
    <xf numFmtId="2" fontId="19" fillId="0" borderId="0" xfId="1" applyNumberFormat="1" applyAlignment="1">
      <alignment horizontal="center"/>
    </xf>
    <xf numFmtId="0" fontId="5" fillId="0" borderId="6" xfId="0" applyFont="1" applyBorder="1" applyAlignment="1">
      <alignment horizontal="left" vertical="top" readingOrder="1"/>
    </xf>
    <xf numFmtId="0" fontId="6" fillId="0" borderId="0" xfId="0" applyFont="1" applyAlignment="1"/>
    <xf numFmtId="0" fontId="5" fillId="0" borderId="13" xfId="0" applyFont="1" applyBorder="1" applyAlignment="1">
      <alignment horizontal="left" vertical="top" readingOrder="1"/>
    </xf>
    <xf numFmtId="0" fontId="2" fillId="0" borderId="13" xfId="0" applyFont="1" applyFill="1" applyBorder="1" applyAlignment="1">
      <alignment horizontal="left" vertical="top" wrapText="1"/>
    </xf>
    <xf numFmtId="0" fontId="5" fillId="0" borderId="6" xfId="0" applyFont="1" applyFill="1" applyBorder="1" applyAlignment="1">
      <alignment horizontal="left" vertical="top" readingOrder="1"/>
    </xf>
    <xf numFmtId="0" fontId="2" fillId="0" borderId="6" xfId="0" applyFont="1" applyFill="1" applyBorder="1" applyAlignment="1">
      <alignment horizontal="left" vertical="top" wrapText="1"/>
    </xf>
    <xf numFmtId="0" fontId="10" fillId="0" borderId="13" xfId="0" applyFont="1" applyFill="1" applyBorder="1" applyAlignment="1">
      <alignment vertical="top" wrapText="1"/>
    </xf>
    <xf numFmtId="0" fontId="6" fillId="0" borderId="13" xfId="0" applyFont="1" applyBorder="1" applyAlignment="1">
      <alignment vertical="top"/>
    </xf>
    <xf numFmtId="0" fontId="2" fillId="0" borderId="13" xfId="0" applyFont="1" applyFill="1" applyBorder="1" applyAlignment="1">
      <alignment vertical="top" wrapText="1"/>
    </xf>
    <xf numFmtId="0" fontId="5" fillId="0" borderId="13" xfId="0" applyFont="1" applyBorder="1" applyAlignment="1">
      <alignment vertical="top" wrapText="1" readingOrder="1"/>
    </xf>
    <xf numFmtId="0" fontId="7" fillId="0" borderId="13" xfId="0" applyFont="1" applyBorder="1" applyAlignment="1">
      <alignment horizontal="left" vertical="top"/>
    </xf>
    <xf numFmtId="0" fontId="2" fillId="0" borderId="6" xfId="0" applyFont="1" applyFill="1" applyBorder="1" applyAlignment="1">
      <alignment vertical="top" wrapText="1"/>
    </xf>
    <xf numFmtId="0" fontId="4" fillId="2" borderId="7" xfId="1" applyFont="1" applyFill="1" applyBorder="1" applyAlignment="1">
      <alignment horizontal="center" vertical="top" wrapText="1"/>
    </xf>
    <xf numFmtId="0" fontId="5" fillId="0" borderId="6" xfId="0" applyFont="1" applyBorder="1" applyAlignment="1">
      <alignment vertical="top" wrapText="1" readingOrder="1"/>
    </xf>
    <xf numFmtId="2" fontId="19" fillId="0" borderId="0" xfId="1" applyNumberFormat="1" applyBorder="1" applyAlignment="1">
      <alignment horizontal="center" vertical="top" wrapText="1"/>
    </xf>
    <xf numFmtId="0" fontId="0" fillId="0" borderId="6" xfId="0" applyBorder="1" applyAlignment="1">
      <alignment vertical="top" wrapText="1"/>
    </xf>
    <xf numFmtId="1" fontId="19" fillId="0" borderId="0" xfId="1" applyNumberFormat="1" applyFill="1" applyBorder="1" applyAlignment="1">
      <alignment horizontal="center" vertical="top" wrapText="1"/>
    </xf>
    <xf numFmtId="0" fontId="28" fillId="0" borderId="6" xfId="0" applyFont="1" applyBorder="1" applyAlignment="1">
      <alignment horizontal="center" vertical="top"/>
    </xf>
    <xf numFmtId="0" fontId="19" fillId="0" borderId="0" xfId="1" applyFill="1" applyBorder="1" applyAlignment="1">
      <alignment horizontal="left" vertical="top" wrapText="1"/>
    </xf>
    <xf numFmtId="0" fontId="19" fillId="0" borderId="0" xfId="1" applyFill="1" applyBorder="1" applyAlignment="1">
      <alignment vertical="top" wrapText="1"/>
    </xf>
    <xf numFmtId="0" fontId="19" fillId="0" borderId="0" xfId="1" applyFill="1" applyBorder="1" applyAlignment="1">
      <alignment horizontal="center" vertical="top" wrapText="1"/>
    </xf>
    <xf numFmtId="0" fontId="20" fillId="0" borderId="0" xfId="1" applyFont="1" applyFill="1" applyBorder="1" applyAlignment="1">
      <alignment wrapText="1"/>
    </xf>
    <xf numFmtId="9" fontId="20" fillId="0" borderId="0" xfId="2" applyFont="1" applyFill="1" applyBorder="1" applyAlignment="1">
      <alignment horizontal="center" wrapText="1"/>
    </xf>
    <xf numFmtId="2" fontId="19" fillId="0" borderId="0" xfId="1" applyNumberFormat="1" applyFill="1" applyBorder="1" applyAlignment="1">
      <alignment horizontal="center" vertical="top" wrapText="1"/>
    </xf>
    <xf numFmtId="9" fontId="0" fillId="0" borderId="0" xfId="2" applyFont="1" applyFill="1" applyBorder="1" applyAlignment="1">
      <alignment horizontal="center" vertical="top" wrapText="1"/>
    </xf>
    <xf numFmtId="0" fontId="21" fillId="0" borderId="0" xfId="1" applyFont="1" applyFill="1" applyBorder="1" applyAlignment="1">
      <alignment horizontal="left" vertical="top" wrapText="1"/>
    </xf>
    <xf numFmtId="0" fontId="22" fillId="0" borderId="0" xfId="1" applyFont="1" applyFill="1" applyBorder="1" applyAlignment="1">
      <alignment vertical="top" wrapText="1"/>
    </xf>
    <xf numFmtId="0" fontId="22" fillId="0" borderId="0" xfId="1" applyFont="1" applyFill="1" applyBorder="1" applyAlignment="1">
      <alignment horizontal="center" vertical="top" wrapText="1"/>
    </xf>
    <xf numFmtId="1" fontId="19" fillId="0" borderId="0" xfId="1" applyNumberFormat="1" applyFill="1" applyBorder="1" applyAlignment="1">
      <alignment vertical="top" wrapText="1"/>
    </xf>
    <xf numFmtId="2" fontId="19" fillId="0" borderId="0" xfId="1" applyNumberFormat="1" applyFill="1" applyBorder="1" applyAlignment="1">
      <alignment vertical="top" wrapText="1"/>
    </xf>
    <xf numFmtId="0" fontId="19" fillId="0" borderId="6" xfId="1" applyFill="1" applyBorder="1" applyAlignment="1">
      <alignment horizontal="center" vertical="top" wrapText="1"/>
    </xf>
    <xf numFmtId="2" fontId="28" fillId="0" borderId="6" xfId="0" applyNumberFormat="1" applyFont="1" applyBorder="1" applyAlignment="1">
      <alignment horizontal="center" vertical="top"/>
    </xf>
    <xf numFmtId="1" fontId="19" fillId="0" borderId="6" xfId="1" applyNumberFormat="1" applyFont="1" applyFill="1" applyBorder="1" applyAlignment="1">
      <alignment horizontal="center" vertical="top" wrapText="1"/>
    </xf>
    <xf numFmtId="0" fontId="19" fillId="0" borderId="6" xfId="1" applyFont="1" applyFill="1" applyBorder="1" applyAlignment="1">
      <alignment horizontal="center" vertical="top" wrapText="1"/>
    </xf>
    <xf numFmtId="2" fontId="19" fillId="0" borderId="6" xfId="1" applyNumberFormat="1" applyFont="1" applyFill="1" applyBorder="1" applyAlignment="1">
      <alignment horizontal="center" vertical="top" wrapText="1"/>
    </xf>
    <xf numFmtId="0" fontId="22" fillId="0" borderId="0" xfId="1" applyFont="1" applyFill="1" applyBorder="1" applyAlignment="1">
      <alignment horizontal="left" vertical="top" wrapText="1"/>
    </xf>
    <xf numFmtId="0" fontId="19" fillId="0" borderId="0" xfId="1" applyFill="1" applyBorder="1" applyAlignment="1">
      <alignment horizontal="right" vertical="top" wrapText="1"/>
    </xf>
    <xf numFmtId="9" fontId="20" fillId="0" borderId="0" xfId="2" applyFont="1" applyFill="1" applyBorder="1" applyAlignment="1">
      <alignment horizontal="center" vertical="top" wrapText="1"/>
    </xf>
    <xf numFmtId="2" fontId="22" fillId="0" borderId="0" xfId="1" applyNumberFormat="1" applyFont="1" applyFill="1" applyBorder="1" applyAlignment="1">
      <alignment horizontal="center" vertical="top" wrapText="1"/>
    </xf>
    <xf numFmtId="0" fontId="12" fillId="0" borderId="13" xfId="0" applyFont="1" applyFill="1" applyBorder="1" applyAlignment="1">
      <alignment vertical="top" wrapText="1"/>
    </xf>
    <xf numFmtId="0" fontId="7" fillId="0" borderId="15" xfId="0" applyFont="1" applyBorder="1" applyAlignment="1">
      <alignment horizontal="left" vertical="top"/>
    </xf>
    <xf numFmtId="0" fontId="19" fillId="0" borderId="0" xfId="1" applyFont="1" applyFill="1" applyBorder="1" applyAlignment="1">
      <alignment horizontal="center" vertical="top" wrapText="1"/>
    </xf>
    <xf numFmtId="1" fontId="19" fillId="0" borderId="0" xfId="1" applyNumberFormat="1" applyFont="1" applyFill="1" applyBorder="1" applyAlignment="1">
      <alignment horizontal="center" vertical="top" wrapText="1"/>
    </xf>
    <xf numFmtId="2" fontId="19" fillId="0" borderId="0" xfId="1" applyNumberFormat="1" applyFont="1" applyFill="1" applyBorder="1" applyAlignment="1">
      <alignment horizontal="center" vertical="top" wrapText="1"/>
    </xf>
    <xf numFmtId="0" fontId="30" fillId="0" borderId="13" xfId="0" applyFont="1" applyFill="1" applyBorder="1" applyAlignment="1">
      <alignment horizontal="center" vertical="top" wrapText="1"/>
    </xf>
    <xf numFmtId="0" fontId="31" fillId="0" borderId="13" xfId="0" applyFont="1" applyFill="1" applyBorder="1" applyAlignment="1">
      <alignment horizontal="center" vertical="top" wrapText="1"/>
    </xf>
    <xf numFmtId="1" fontId="19" fillId="0" borderId="6" xfId="1" applyNumberFormat="1" applyFill="1" applyBorder="1" applyAlignment="1">
      <alignment horizontal="left" vertical="top" wrapText="1"/>
    </xf>
    <xf numFmtId="1" fontId="19" fillId="0" borderId="0" xfId="1" applyNumberFormat="1" applyFill="1" applyBorder="1" applyAlignment="1">
      <alignment horizontal="left" vertical="top" wrapText="1"/>
    </xf>
    <xf numFmtId="2" fontId="19" fillId="0" borderId="0" xfId="1" applyNumberFormat="1" applyFill="1" applyBorder="1" applyAlignment="1">
      <alignment horizontal="left" vertical="top" wrapText="1"/>
    </xf>
    <xf numFmtId="0" fontId="21" fillId="0" borderId="0" xfId="1" applyFont="1" applyFill="1" applyBorder="1" applyAlignment="1">
      <alignment vertical="top" wrapText="1"/>
    </xf>
    <xf numFmtId="0" fontId="5" fillId="0" borderId="53" xfId="0" applyFont="1" applyBorder="1" applyAlignment="1">
      <alignment vertical="top" wrapText="1" readingOrder="1"/>
    </xf>
    <xf numFmtId="2" fontId="19" fillId="0" borderId="6" xfId="1" applyNumberFormat="1" applyBorder="1" applyAlignment="1">
      <alignment horizontal="center" vertical="top" wrapText="1"/>
    </xf>
    <xf numFmtId="2" fontId="19" fillId="8" borderId="6" xfId="1" applyNumberFormat="1" applyFill="1" applyBorder="1" applyAlignment="1">
      <alignment horizontal="center" vertical="top" wrapText="1"/>
    </xf>
    <xf numFmtId="2" fontId="19" fillId="9" borderId="6" xfId="1" applyNumberFormat="1" applyFill="1" applyBorder="1" applyAlignment="1">
      <alignment horizontal="center" vertical="top" wrapText="1"/>
    </xf>
    <xf numFmtId="0" fontId="19" fillId="9" borderId="6" xfId="1" applyFill="1" applyBorder="1" applyAlignment="1">
      <alignment vertical="top" wrapText="1"/>
    </xf>
    <xf numFmtId="0" fontId="21" fillId="0" borderId="0" xfId="1" applyFont="1" applyFill="1" applyAlignment="1">
      <alignment horizontal="right" vertical="top" wrapText="1"/>
    </xf>
    <xf numFmtId="2" fontId="19" fillId="0" borderId="0" xfId="1" applyNumberFormat="1" applyFill="1" applyAlignment="1">
      <alignment horizontal="center" vertical="top" wrapText="1"/>
    </xf>
    <xf numFmtId="0" fontId="19" fillId="0" borderId="3" xfId="1" applyBorder="1" applyAlignment="1">
      <alignment vertical="top" wrapText="1"/>
    </xf>
    <xf numFmtId="2" fontId="19" fillId="9" borderId="44" xfId="1" applyNumberFormat="1" applyFill="1" applyBorder="1" applyAlignment="1">
      <alignment horizontal="center" vertical="top" wrapText="1"/>
    </xf>
    <xf numFmtId="2" fontId="19" fillId="8" borderId="57" xfId="1" applyNumberFormat="1" applyFont="1" applyFill="1" applyBorder="1" applyAlignment="1">
      <alignment horizontal="center" vertical="top" wrapText="1"/>
    </xf>
    <xf numFmtId="2" fontId="19" fillId="9" borderId="45" xfId="1" applyNumberFormat="1" applyFill="1" applyBorder="1" applyAlignment="1">
      <alignment horizontal="center" vertical="top" wrapText="1"/>
    </xf>
    <xf numFmtId="1" fontId="19" fillId="0" borderId="59" xfId="1" applyNumberFormat="1" applyFill="1" applyBorder="1" applyAlignment="1">
      <alignment horizontal="left" vertical="top" wrapText="1"/>
    </xf>
    <xf numFmtId="2" fontId="19" fillId="9" borderId="50" xfId="1" applyNumberFormat="1" applyFill="1" applyBorder="1" applyAlignment="1">
      <alignment horizontal="center" vertical="top" wrapText="1"/>
    </xf>
    <xf numFmtId="2" fontId="19" fillId="8" borderId="55" xfId="1" applyNumberFormat="1" applyFill="1" applyBorder="1" applyAlignment="1">
      <alignment horizontal="center" vertical="top" wrapText="1"/>
    </xf>
    <xf numFmtId="1" fontId="19" fillId="0" borderId="60" xfId="1" applyNumberFormat="1" applyFill="1" applyBorder="1" applyAlignment="1">
      <alignment horizontal="left" vertical="top" wrapText="1"/>
    </xf>
    <xf numFmtId="0" fontId="19" fillId="0" borderId="10" xfId="1" applyBorder="1" applyAlignment="1">
      <alignment vertical="top" wrapText="1"/>
    </xf>
    <xf numFmtId="0" fontId="6" fillId="0" borderId="45" xfId="0" applyFont="1" applyBorder="1" applyAlignment="1">
      <alignment horizontal="center" vertical="top"/>
    </xf>
    <xf numFmtId="0" fontId="0" fillId="0" borderId="45" xfId="0" applyFont="1" applyBorder="1" applyAlignment="1">
      <alignment horizontal="center" vertical="top"/>
    </xf>
    <xf numFmtId="0" fontId="6" fillId="0" borderId="50" xfId="0" applyFont="1" applyBorder="1" applyAlignment="1">
      <alignment horizontal="center" vertical="top"/>
    </xf>
    <xf numFmtId="0" fontId="2" fillId="0" borderId="16" xfId="0" applyFont="1" applyFill="1" applyBorder="1" applyAlignment="1">
      <alignment vertical="top" wrapText="1"/>
    </xf>
    <xf numFmtId="2" fontId="19" fillId="0" borderId="55" xfId="1" applyNumberFormat="1" applyFill="1" applyBorder="1" applyAlignment="1">
      <alignment horizontal="center" vertical="top" wrapText="1"/>
    </xf>
    <xf numFmtId="0" fontId="6" fillId="0" borderId="62" xfId="0" applyFont="1" applyBorder="1" applyAlignment="1">
      <alignment horizontal="center" vertical="top"/>
    </xf>
    <xf numFmtId="0" fontId="2" fillId="0" borderId="14" xfId="0" applyFont="1" applyFill="1" applyBorder="1" applyAlignment="1">
      <alignment vertical="top" wrapText="1"/>
    </xf>
    <xf numFmtId="2" fontId="19" fillId="0" borderId="54" xfId="1" applyNumberFormat="1" applyFont="1" applyFill="1" applyBorder="1" applyAlignment="1">
      <alignment horizontal="center" vertical="top" wrapText="1"/>
    </xf>
    <xf numFmtId="2" fontId="19" fillId="0" borderId="54" xfId="1" applyNumberFormat="1" applyFill="1" applyBorder="1" applyAlignment="1">
      <alignment horizontal="center" vertical="top" wrapText="1"/>
    </xf>
    <xf numFmtId="0" fontId="19" fillId="0" borderId="54" xfId="1" applyFont="1" applyFill="1" applyBorder="1" applyAlignment="1">
      <alignment horizontal="center" vertical="top" wrapText="1"/>
    </xf>
    <xf numFmtId="0" fontId="19" fillId="0" borderId="6" xfId="1" applyFill="1" applyBorder="1" applyAlignment="1">
      <alignment horizontal="left" vertical="top" wrapText="1"/>
    </xf>
    <xf numFmtId="0" fontId="20" fillId="0" borderId="0" xfId="1" applyFont="1" applyFill="1" applyBorder="1" applyAlignment="1">
      <alignment horizontal="center" vertical="top" wrapText="1"/>
    </xf>
    <xf numFmtId="0" fontId="19" fillId="0" borderId="64" xfId="1" applyBorder="1" applyAlignment="1">
      <alignment vertical="top" wrapText="1"/>
    </xf>
    <xf numFmtId="0" fontId="20" fillId="0" borderId="0" xfId="1" applyFont="1" applyAlignment="1">
      <alignment horizontal="center" vertical="top" wrapText="1"/>
    </xf>
    <xf numFmtId="0" fontId="20" fillId="0" borderId="61" xfId="1" applyFont="1" applyBorder="1" applyAlignment="1">
      <alignment vertical="top" wrapText="1"/>
    </xf>
    <xf numFmtId="1" fontId="19" fillId="0" borderId="13" xfId="1" applyNumberFormat="1" applyFill="1" applyBorder="1" applyAlignment="1">
      <alignment horizontal="center" vertical="top" wrapText="1"/>
    </xf>
    <xf numFmtId="2" fontId="30" fillId="0" borderId="13" xfId="0" applyNumberFormat="1" applyFont="1" applyFill="1" applyBorder="1" applyAlignment="1">
      <alignment horizontal="center" vertical="top" wrapText="1"/>
    </xf>
    <xf numFmtId="0" fontId="5" fillId="0" borderId="14" xfId="0" applyFont="1" applyBorder="1" applyAlignment="1">
      <alignment horizontal="left" vertical="top" readingOrder="1"/>
    </xf>
    <xf numFmtId="0" fontId="19" fillId="0" borderId="54" xfId="1" applyFill="1" applyBorder="1" applyAlignment="1">
      <alignment horizontal="center" vertical="top" wrapText="1"/>
    </xf>
    <xf numFmtId="0" fontId="5" fillId="0" borderId="12" xfId="0" applyFont="1" applyBorder="1" applyAlignment="1">
      <alignment vertical="top" wrapText="1" readingOrder="1"/>
    </xf>
    <xf numFmtId="0" fontId="19" fillId="0" borderId="9" xfId="1" applyFill="1" applyBorder="1" applyAlignment="1">
      <alignment horizontal="center" vertical="top" wrapText="1"/>
    </xf>
    <xf numFmtId="0" fontId="29" fillId="0" borderId="9" xfId="0" applyFont="1" applyBorder="1" applyAlignment="1">
      <alignment horizontal="center" vertical="top" wrapText="1" readingOrder="1"/>
    </xf>
    <xf numFmtId="0" fontId="7" fillId="0" borderId="53" xfId="0" applyFont="1" applyBorder="1" applyAlignment="1">
      <alignment horizontal="left" vertical="top"/>
    </xf>
    <xf numFmtId="2" fontId="28" fillId="0" borderId="57" xfId="0" applyNumberFormat="1" applyFont="1" applyBorder="1" applyAlignment="1">
      <alignment horizontal="center" vertical="top"/>
    </xf>
    <xf numFmtId="0" fontId="28" fillId="0" borderId="57" xfId="0" applyFont="1" applyBorder="1" applyAlignment="1">
      <alignment horizontal="center" vertical="top"/>
    </xf>
    <xf numFmtId="1" fontId="19" fillId="0" borderId="58" xfId="1" applyNumberFormat="1" applyFill="1" applyBorder="1" applyAlignment="1">
      <alignment horizontal="left" vertical="top" wrapText="1"/>
    </xf>
    <xf numFmtId="0" fontId="7" fillId="0" borderId="16" xfId="0" applyFont="1" applyBorder="1" applyAlignment="1">
      <alignment horizontal="left" vertical="top"/>
    </xf>
    <xf numFmtId="2" fontId="28" fillId="0" borderId="55" xfId="0" applyNumberFormat="1" applyFont="1" applyBorder="1" applyAlignment="1">
      <alignment horizontal="center" vertical="top"/>
    </xf>
    <xf numFmtId="0" fontId="19" fillId="0" borderId="55" xfId="1" applyFill="1" applyBorder="1" applyAlignment="1">
      <alignment horizontal="center" vertical="top" wrapText="1"/>
    </xf>
    <xf numFmtId="0" fontId="28" fillId="0" borderId="55" xfId="0" applyFont="1" applyBorder="1" applyAlignment="1">
      <alignment horizontal="center" vertical="top"/>
    </xf>
    <xf numFmtId="0" fontId="6" fillId="0" borderId="6" xfId="0" applyFont="1" applyBorder="1" applyAlignment="1">
      <alignment horizontal="left" vertical="top"/>
    </xf>
    <xf numFmtId="0" fontId="0" fillId="0" borderId="44" xfId="0" applyFont="1" applyBorder="1" applyAlignment="1">
      <alignment horizontal="left" vertical="top"/>
    </xf>
    <xf numFmtId="0" fontId="0" fillId="0" borderId="45" xfId="0" applyFont="1" applyBorder="1" applyAlignment="1">
      <alignment horizontal="left" vertical="top"/>
    </xf>
    <xf numFmtId="0" fontId="0" fillId="0" borderId="50" xfId="0" applyFont="1" applyBorder="1" applyAlignment="1">
      <alignment horizontal="left" vertical="top"/>
    </xf>
    <xf numFmtId="2" fontId="31" fillId="0" borderId="13" xfId="0" applyNumberFormat="1" applyFont="1" applyFill="1" applyBorder="1" applyAlignment="1">
      <alignment horizontal="center" vertical="top" wrapText="1"/>
    </xf>
    <xf numFmtId="0" fontId="28" fillId="0" borderId="13" xfId="0" applyFont="1" applyBorder="1" applyAlignment="1">
      <alignment horizontal="center" vertical="top"/>
    </xf>
    <xf numFmtId="1" fontId="19" fillId="6" borderId="6" xfId="1" applyNumberFormat="1" applyFill="1" applyBorder="1" applyAlignment="1">
      <alignment horizontal="center" vertical="top" wrapText="1"/>
    </xf>
    <xf numFmtId="2" fontId="19" fillId="6" borderId="6" xfId="1" applyNumberFormat="1" applyFill="1" applyBorder="1" applyAlignment="1">
      <alignment horizontal="center" vertical="top" wrapText="1"/>
    </xf>
    <xf numFmtId="1" fontId="19" fillId="6" borderId="6" xfId="1" applyNumberFormat="1" applyFont="1" applyFill="1" applyBorder="1" applyAlignment="1">
      <alignment horizontal="center" vertical="top" wrapText="1"/>
    </xf>
    <xf numFmtId="0" fontId="19" fillId="6" borderId="6" xfId="1" applyFont="1" applyFill="1" applyBorder="1" applyAlignment="1">
      <alignment horizontal="center" vertical="top" wrapText="1"/>
    </xf>
    <xf numFmtId="0" fontId="28" fillId="6" borderId="6" xfId="0" applyFont="1" applyFill="1" applyBorder="1" applyAlignment="1">
      <alignment horizontal="center" vertical="top"/>
    </xf>
    <xf numFmtId="0" fontId="19" fillId="6" borderId="54" xfId="1" applyFont="1" applyFill="1" applyBorder="1" applyAlignment="1">
      <alignment horizontal="center" vertical="top" wrapText="1"/>
    </xf>
    <xf numFmtId="0" fontId="20" fillId="2" borderId="10" xfId="1" applyFont="1" applyFill="1" applyBorder="1" applyAlignment="1">
      <alignment vertical="top" wrapText="1"/>
    </xf>
    <xf numFmtId="0" fontId="19" fillId="6" borderId="6" xfId="1" applyFill="1" applyBorder="1" applyAlignment="1">
      <alignment horizontal="center" vertical="top" wrapText="1"/>
    </xf>
    <xf numFmtId="0" fontId="20" fillId="0" borderId="9" xfId="1" applyFont="1" applyBorder="1" applyAlignment="1">
      <alignment vertical="top" wrapText="1"/>
    </xf>
    <xf numFmtId="0" fontId="6" fillId="0" borderId="65" xfId="0" applyFont="1" applyBorder="1" applyAlignment="1">
      <alignment horizontal="center" vertical="top"/>
    </xf>
    <xf numFmtId="2" fontId="19" fillId="0" borderId="9" xfId="1" applyNumberFormat="1" applyFill="1" applyBorder="1" applyAlignment="1">
      <alignment horizontal="center" vertical="top" wrapText="1"/>
    </xf>
    <xf numFmtId="0" fontId="0" fillId="0" borderId="67" xfId="0" applyFont="1" applyBorder="1" applyAlignment="1">
      <alignment horizontal="center" vertical="top"/>
    </xf>
    <xf numFmtId="0" fontId="7" fillId="0" borderId="36" xfId="0" applyFont="1" applyBorder="1" applyAlignment="1">
      <alignment horizontal="left" vertical="top"/>
    </xf>
    <xf numFmtId="2" fontId="19" fillId="0" borderId="68" xfId="1" applyNumberFormat="1" applyFill="1" applyBorder="1" applyAlignment="1">
      <alignment horizontal="center" vertical="top" wrapText="1"/>
    </xf>
    <xf numFmtId="0" fontId="19" fillId="0" borderId="68" xfId="1" applyFill="1" applyBorder="1" applyAlignment="1">
      <alignment horizontal="center" vertical="top" wrapText="1"/>
    </xf>
    <xf numFmtId="0" fontId="19" fillId="6" borderId="54" xfId="1" applyFill="1" applyBorder="1" applyAlignment="1">
      <alignment horizontal="center" vertical="top" wrapText="1"/>
    </xf>
    <xf numFmtId="0" fontId="19" fillId="6" borderId="68" xfId="1" applyFill="1" applyBorder="1" applyAlignment="1">
      <alignment horizontal="center" vertical="top" wrapText="1"/>
    </xf>
    <xf numFmtId="0" fontId="19" fillId="6" borderId="9" xfId="1" applyFill="1" applyBorder="1" applyAlignment="1">
      <alignment horizontal="center" vertical="top" wrapText="1"/>
    </xf>
    <xf numFmtId="0" fontId="19" fillId="6" borderId="55" xfId="1" applyFill="1" applyBorder="1" applyAlignment="1">
      <alignment horizontal="center" vertical="top" wrapText="1"/>
    </xf>
    <xf numFmtId="0" fontId="28" fillId="6" borderId="57" xfId="0" applyFont="1" applyFill="1" applyBorder="1" applyAlignment="1">
      <alignment horizontal="center" vertical="top"/>
    </xf>
    <xf numFmtId="0" fontId="28" fillId="6" borderId="55" xfId="0" applyFont="1" applyFill="1" applyBorder="1" applyAlignment="1">
      <alignment horizontal="center" vertical="top"/>
    </xf>
    <xf numFmtId="0" fontId="29" fillId="6" borderId="9" xfId="0" applyFont="1" applyFill="1" applyBorder="1" applyAlignment="1">
      <alignment horizontal="center" vertical="top" wrapText="1" readingOrder="1"/>
    </xf>
    <xf numFmtId="0" fontId="30" fillId="6" borderId="13" xfId="0" applyFont="1" applyFill="1" applyBorder="1" applyAlignment="1">
      <alignment horizontal="center" vertical="top" wrapText="1"/>
    </xf>
    <xf numFmtId="0" fontId="31" fillId="6" borderId="13" xfId="0" applyFont="1" applyFill="1" applyBorder="1" applyAlignment="1">
      <alignment horizontal="center" vertical="top" wrapText="1"/>
    </xf>
    <xf numFmtId="2" fontId="19" fillId="0" borderId="5" xfId="1" applyNumberFormat="1" applyFont="1" applyBorder="1" applyAlignment="1">
      <alignment horizontal="center" vertical="top" wrapText="1"/>
    </xf>
    <xf numFmtId="0" fontId="19" fillId="0" borderId="10" xfId="1" applyBorder="1" applyAlignment="1">
      <alignment horizontal="left" vertical="top" wrapText="1"/>
    </xf>
    <xf numFmtId="0" fontId="6" fillId="0" borderId="45" xfId="0" applyFont="1" applyBorder="1" applyAlignment="1">
      <alignment horizontal="left" vertical="top"/>
    </xf>
    <xf numFmtId="2" fontId="19" fillId="0" borderId="59" xfId="1" applyNumberFormat="1" applyFill="1" applyBorder="1" applyAlignment="1">
      <alignment horizontal="left" vertical="top" wrapText="1"/>
    </xf>
    <xf numFmtId="0" fontId="6" fillId="0" borderId="62" xfId="0" applyFont="1" applyBorder="1" applyAlignment="1">
      <alignment horizontal="left" vertical="top"/>
    </xf>
    <xf numFmtId="1" fontId="19" fillId="0" borderId="63" xfId="1" applyNumberFormat="1" applyFill="1" applyBorder="1" applyAlignment="1">
      <alignment horizontal="left" vertical="top" wrapText="1"/>
    </xf>
    <xf numFmtId="0" fontId="6" fillId="0" borderId="65" xfId="0" applyFont="1" applyBorder="1" applyAlignment="1">
      <alignment horizontal="left" vertical="top"/>
    </xf>
    <xf numFmtId="1" fontId="19" fillId="0" borderId="66" xfId="1" applyNumberFormat="1" applyFill="1" applyBorder="1" applyAlignment="1">
      <alignment horizontal="left" vertical="top" wrapText="1"/>
    </xf>
    <xf numFmtId="0" fontId="6" fillId="0" borderId="50" xfId="0" applyFont="1" applyBorder="1" applyAlignment="1">
      <alignment horizontal="left" vertical="top"/>
    </xf>
    <xf numFmtId="0" fontId="6" fillId="0" borderId="16" xfId="0" applyFont="1" applyBorder="1" applyAlignment="1">
      <alignment vertical="top" wrapText="1"/>
    </xf>
    <xf numFmtId="2" fontId="28" fillId="0" borderId="16" xfId="0" applyNumberFormat="1" applyFont="1" applyBorder="1" applyAlignment="1">
      <alignment horizontal="center" vertical="top" wrapText="1"/>
    </xf>
    <xf numFmtId="0" fontId="28" fillId="0" borderId="16" xfId="0" applyFont="1" applyBorder="1" applyAlignment="1">
      <alignment horizontal="center" vertical="top" wrapText="1"/>
    </xf>
    <xf numFmtId="0" fontId="28" fillId="6" borderId="16" xfId="0" applyFont="1" applyFill="1" applyBorder="1" applyAlignment="1">
      <alignment horizontal="center" vertical="top" wrapText="1"/>
    </xf>
    <xf numFmtId="1" fontId="19" fillId="0" borderId="59" xfId="1" applyNumberFormat="1" applyFill="1" applyBorder="1" applyAlignment="1">
      <alignment vertical="top" wrapText="1"/>
    </xf>
    <xf numFmtId="1" fontId="19" fillId="0" borderId="60" xfId="1" applyNumberFormat="1" applyFill="1" applyBorder="1" applyAlignment="1">
      <alignment vertical="top" wrapText="1"/>
    </xf>
    <xf numFmtId="0" fontId="19" fillId="0" borderId="6" xfId="1" applyFill="1" applyBorder="1" applyAlignment="1">
      <alignment vertical="top" wrapText="1"/>
    </xf>
    <xf numFmtId="0" fontId="19" fillId="0" borderId="59" xfId="1" applyBorder="1" applyAlignment="1">
      <alignment horizontal="left" vertical="top" wrapText="1"/>
    </xf>
    <xf numFmtId="0" fontId="19" fillId="0" borderId="60" xfId="1" applyBorder="1" applyAlignment="1">
      <alignment horizontal="left" vertical="top" wrapText="1"/>
    </xf>
    <xf numFmtId="2" fontId="20" fillId="2" borderId="57" xfId="1" applyNumberFormat="1" applyFont="1" applyFill="1" applyBorder="1" applyAlignment="1">
      <alignment horizontal="center" vertical="top"/>
    </xf>
    <xf numFmtId="2" fontId="19" fillId="6" borderId="57" xfId="1" applyNumberFormat="1" applyFill="1" applyBorder="1" applyAlignment="1">
      <alignment horizontal="center" vertical="top" wrapText="1"/>
    </xf>
    <xf numFmtId="0" fontId="5" fillId="0" borderId="54" xfId="0" applyFont="1" applyFill="1" applyBorder="1" applyAlignment="1">
      <alignment horizontal="left" vertical="top" readingOrder="1"/>
    </xf>
    <xf numFmtId="2" fontId="19" fillId="6" borderId="54" xfId="1" applyNumberFormat="1" applyFill="1" applyBorder="1" applyAlignment="1">
      <alignment horizontal="center" vertical="top" wrapText="1"/>
    </xf>
    <xf numFmtId="0" fontId="19" fillId="0" borderId="63" xfId="1" applyBorder="1" applyAlignment="1">
      <alignment horizontal="left" vertical="top" wrapText="1"/>
    </xf>
    <xf numFmtId="0" fontId="5" fillId="0" borderId="9" xfId="0" applyFont="1" applyBorder="1" applyAlignment="1">
      <alignment vertical="top" wrapText="1" readingOrder="1"/>
    </xf>
    <xf numFmtId="2" fontId="19" fillId="6" borderId="9" xfId="1" applyNumberFormat="1" applyFill="1" applyBorder="1" applyAlignment="1">
      <alignment horizontal="center" vertical="top" wrapText="1"/>
    </xf>
    <xf numFmtId="0" fontId="19" fillId="0" borderId="66" xfId="1" applyBorder="1" applyAlignment="1">
      <alignment horizontal="left" vertical="top" wrapText="1"/>
    </xf>
    <xf numFmtId="0" fontId="7" fillId="0" borderId="68" xfId="0" applyFont="1" applyBorder="1" applyAlignment="1">
      <alignment horizontal="left" vertical="top"/>
    </xf>
    <xf numFmtId="2" fontId="19" fillId="6" borderId="68" xfId="1" applyNumberFormat="1" applyFill="1" applyBorder="1" applyAlignment="1">
      <alignment horizontal="center" vertical="top" wrapText="1"/>
    </xf>
    <xf numFmtId="0" fontId="19" fillId="0" borderId="56" xfId="1" applyBorder="1" applyAlignment="1">
      <alignment horizontal="left" vertical="top" wrapText="1"/>
    </xf>
    <xf numFmtId="0" fontId="3" fillId="2" borderId="7" xfId="1" applyFont="1" applyFill="1" applyBorder="1" applyAlignment="1">
      <alignment vertical="top" wrapText="1"/>
    </xf>
    <xf numFmtId="0" fontId="6" fillId="0" borderId="45" xfId="0" applyFont="1" applyBorder="1" applyAlignment="1">
      <alignment vertical="top"/>
    </xf>
    <xf numFmtId="0" fontId="6" fillId="0" borderId="62" xfId="0" applyFont="1" applyBorder="1" applyAlignment="1">
      <alignment vertical="top"/>
    </xf>
    <xf numFmtId="0" fontId="0" fillId="0" borderId="67" xfId="0" applyFont="1" applyBorder="1" applyAlignment="1">
      <alignment vertical="top"/>
    </xf>
    <xf numFmtId="0" fontId="6" fillId="0" borderId="65" xfId="0" applyFont="1" applyBorder="1" applyAlignment="1">
      <alignment vertical="top"/>
    </xf>
    <xf numFmtId="0" fontId="0" fillId="0" borderId="50" xfId="0" applyBorder="1" applyAlignment="1">
      <alignment vertical="top"/>
    </xf>
    <xf numFmtId="0" fontId="3" fillId="2" borderId="7" xfId="1" applyFont="1" applyFill="1" applyBorder="1" applyAlignment="1">
      <alignment wrapText="1"/>
    </xf>
    <xf numFmtId="1" fontId="19" fillId="0" borderId="14" xfId="1" applyNumberFormat="1" applyFill="1" applyBorder="1" applyAlignment="1">
      <alignment horizontal="center" vertical="top" wrapText="1"/>
    </xf>
    <xf numFmtId="1" fontId="19" fillId="6" borderId="54" xfId="1" applyNumberFormat="1" applyFill="1" applyBorder="1" applyAlignment="1">
      <alignment horizontal="center" vertical="top" wrapText="1"/>
    </xf>
    <xf numFmtId="1" fontId="19" fillId="0" borderId="12" xfId="1" applyNumberFormat="1" applyFill="1" applyBorder="1" applyAlignment="1">
      <alignment horizontal="center" vertical="top" wrapText="1"/>
    </xf>
    <xf numFmtId="1" fontId="19" fillId="6" borderId="9" xfId="1" applyNumberFormat="1" applyFill="1" applyBorder="1" applyAlignment="1">
      <alignment horizontal="center" vertical="top" wrapText="1"/>
    </xf>
    <xf numFmtId="0" fontId="0" fillId="0" borderId="44" xfId="0" applyFont="1" applyBorder="1" applyAlignment="1">
      <alignment vertical="top"/>
    </xf>
    <xf numFmtId="0" fontId="28" fillId="0" borderId="53" xfId="0" applyFont="1" applyBorder="1" applyAlignment="1">
      <alignment horizontal="center" vertical="top"/>
    </xf>
    <xf numFmtId="1" fontId="19" fillId="6" borderId="57" xfId="1" applyNumberFormat="1" applyFill="1" applyBorder="1" applyAlignment="1">
      <alignment horizontal="center" vertical="top" wrapText="1"/>
    </xf>
    <xf numFmtId="0" fontId="19" fillId="0" borderId="32" xfId="1" applyBorder="1" applyAlignment="1">
      <alignment vertical="top" wrapText="1"/>
    </xf>
    <xf numFmtId="0" fontId="19" fillId="0" borderId="23" xfId="1" applyBorder="1" applyAlignment="1">
      <alignment vertical="top" wrapText="1"/>
    </xf>
    <xf numFmtId="0" fontId="0" fillId="0" borderId="45" xfId="0" applyFont="1" applyBorder="1" applyAlignment="1">
      <alignment vertical="top"/>
    </xf>
    <xf numFmtId="0" fontId="0" fillId="0" borderId="50" xfId="0" applyFont="1" applyBorder="1" applyAlignment="1">
      <alignment vertical="top"/>
    </xf>
    <xf numFmtId="1" fontId="19" fillId="6" borderId="55" xfId="1" applyNumberFormat="1" applyFill="1" applyBorder="1" applyAlignment="1">
      <alignment horizontal="center" vertical="top" wrapText="1"/>
    </xf>
    <xf numFmtId="0" fontId="0" fillId="0" borderId="44" xfId="0" applyBorder="1" applyAlignment="1">
      <alignment vertical="top"/>
    </xf>
    <xf numFmtId="0" fontId="2" fillId="0" borderId="53" xfId="0" applyFont="1" applyFill="1" applyBorder="1" applyAlignment="1">
      <alignment vertical="top" wrapText="1"/>
    </xf>
    <xf numFmtId="2" fontId="19" fillId="0" borderId="57" xfId="1" applyNumberFormat="1" applyFill="1" applyBorder="1" applyAlignment="1">
      <alignment horizontal="center" vertical="top" wrapText="1"/>
    </xf>
    <xf numFmtId="1" fontId="19" fillId="0" borderId="53" xfId="1" applyNumberFormat="1" applyFill="1" applyBorder="1" applyAlignment="1">
      <alignment horizontal="center" vertical="top" wrapText="1"/>
    </xf>
    <xf numFmtId="1" fontId="19" fillId="0" borderId="16" xfId="1" applyNumberFormat="1" applyFill="1" applyBorder="1" applyAlignment="1">
      <alignment horizontal="center" vertical="top" wrapText="1"/>
    </xf>
    <xf numFmtId="0" fontId="19" fillId="0" borderId="42" xfId="1" applyBorder="1" applyAlignment="1">
      <alignment vertical="top" wrapText="1"/>
    </xf>
    <xf numFmtId="0" fontId="4" fillId="2" borderId="57" xfId="1" applyFont="1" applyFill="1" applyBorder="1" applyAlignment="1">
      <alignment horizontal="center" wrapText="1"/>
    </xf>
    <xf numFmtId="2" fontId="20" fillId="2" borderId="53" xfId="1" applyNumberFormat="1" applyFont="1" applyFill="1" applyBorder="1" applyAlignment="1">
      <alignment horizontal="center"/>
    </xf>
    <xf numFmtId="0" fontId="19" fillId="6" borderId="57" xfId="1" applyFill="1" applyBorder="1" applyAlignment="1">
      <alignment wrapText="1"/>
    </xf>
    <xf numFmtId="0" fontId="20" fillId="2" borderId="32" xfId="1" applyFont="1" applyFill="1" applyBorder="1" applyAlignment="1">
      <alignment wrapText="1"/>
    </xf>
    <xf numFmtId="0" fontId="19" fillId="0" borderId="33" xfId="1" applyBorder="1" applyAlignment="1">
      <alignment vertical="top" wrapText="1"/>
    </xf>
    <xf numFmtId="0" fontId="19" fillId="0" borderId="51" xfId="1" applyBorder="1" applyAlignment="1">
      <alignment vertical="top" wrapText="1"/>
    </xf>
    <xf numFmtId="0" fontId="5" fillId="9" borderId="13" xfId="0" applyFont="1" applyFill="1" applyBorder="1" applyAlignment="1">
      <alignment horizontal="left" vertical="top" readingOrder="1"/>
    </xf>
    <xf numFmtId="0" fontId="6" fillId="0" borderId="0" xfId="0" applyFont="1" applyAlignment="1">
      <alignment horizontal="left" vertical="top"/>
    </xf>
    <xf numFmtId="0" fontId="6" fillId="0" borderId="19" xfId="0" applyFont="1" applyBorder="1" applyAlignment="1">
      <alignment vertical="top" wrapText="1"/>
    </xf>
    <xf numFmtId="0" fontId="10" fillId="0" borderId="19" xfId="0" applyFont="1" applyFill="1" applyBorder="1" applyAlignment="1">
      <alignment vertical="top" wrapText="1"/>
    </xf>
    <xf numFmtId="0" fontId="6" fillId="0" borderId="19" xfId="0" applyFont="1" applyBorder="1" applyAlignment="1">
      <alignment vertical="top"/>
    </xf>
    <xf numFmtId="0" fontId="8" fillId="0" borderId="19" xfId="0" applyFont="1" applyBorder="1" applyAlignment="1">
      <alignment vertical="top"/>
    </xf>
    <xf numFmtId="0" fontId="6" fillId="9" borderId="19" xfId="0" applyFont="1" applyFill="1" applyBorder="1" applyAlignment="1">
      <alignment vertical="top"/>
    </xf>
    <xf numFmtId="0" fontId="6" fillId="0" borderId="22" xfId="0" applyFont="1" applyBorder="1" applyAlignment="1">
      <alignment vertical="top"/>
    </xf>
    <xf numFmtId="0" fontId="3" fillId="0" borderId="54" xfId="0" applyFont="1" applyFill="1" applyBorder="1" applyAlignment="1">
      <alignment vertical="top" wrapText="1"/>
    </xf>
    <xf numFmtId="0" fontId="3" fillId="2" borderId="44" xfId="0" applyFont="1" applyFill="1" applyBorder="1" applyAlignment="1">
      <alignment horizontal="center" wrapText="1"/>
    </xf>
    <xf numFmtId="0" fontId="3" fillId="2" borderId="57" xfId="0" applyFont="1" applyFill="1" applyBorder="1" applyAlignment="1">
      <alignment horizontal="left" wrapText="1"/>
    </xf>
    <xf numFmtId="0" fontId="3" fillId="2" borderId="58" xfId="0" applyFont="1" applyFill="1" applyBorder="1" applyAlignment="1">
      <alignment horizontal="center" wrapText="1"/>
    </xf>
    <xf numFmtId="0" fontId="10" fillId="0" borderId="66" xfId="0" applyFont="1" applyBorder="1" applyAlignment="1">
      <alignment vertical="top" wrapText="1"/>
    </xf>
    <xf numFmtId="0" fontId="10" fillId="0" borderId="59" xfId="0" applyFont="1" applyBorder="1" applyAlignment="1">
      <alignment vertical="top" wrapText="1"/>
    </xf>
    <xf numFmtId="0" fontId="12" fillId="0" borderId="59" xfId="0" applyFont="1" applyBorder="1" applyAlignment="1">
      <alignment vertical="top" wrapText="1"/>
    </xf>
    <xf numFmtId="0" fontId="10" fillId="0" borderId="60" xfId="0" applyFont="1" applyBorder="1" applyAlignment="1">
      <alignment vertical="top" wrapText="1"/>
    </xf>
    <xf numFmtId="1" fontId="19" fillId="0" borderId="54" xfId="1" applyNumberFormat="1" applyFill="1" applyBorder="1" applyAlignment="1">
      <alignment horizontal="center" vertical="top" wrapText="1"/>
    </xf>
    <xf numFmtId="2" fontId="19" fillId="0" borderId="63" xfId="1" applyNumberFormat="1" applyFill="1" applyBorder="1" applyAlignment="1">
      <alignment vertical="top" wrapText="1"/>
    </xf>
    <xf numFmtId="1" fontId="19" fillId="0" borderId="66" xfId="1" applyNumberFormat="1" applyFill="1" applyBorder="1" applyAlignment="1">
      <alignment vertical="top" wrapText="1"/>
    </xf>
    <xf numFmtId="0" fontId="0" fillId="0" borderId="44" xfId="0" applyFont="1" applyBorder="1" applyAlignment="1">
      <alignment horizontal="center" vertical="top"/>
    </xf>
    <xf numFmtId="0" fontId="19" fillId="0" borderId="57" xfId="1" applyFill="1" applyBorder="1" applyAlignment="1">
      <alignment horizontal="center" vertical="top" wrapText="1"/>
    </xf>
    <xf numFmtId="1" fontId="19" fillId="0" borderId="58" xfId="1" applyNumberFormat="1" applyFill="1" applyBorder="1" applyAlignment="1">
      <alignment vertical="top" wrapText="1"/>
    </xf>
    <xf numFmtId="0" fontId="0" fillId="0" borderId="50" xfId="0" applyFont="1" applyBorder="1" applyAlignment="1">
      <alignment horizontal="center" vertical="top"/>
    </xf>
    <xf numFmtId="1" fontId="19" fillId="0" borderId="55" xfId="1" applyNumberFormat="1" applyFill="1" applyBorder="1" applyAlignment="1">
      <alignment horizontal="center" vertical="top" wrapText="1"/>
    </xf>
    <xf numFmtId="0" fontId="28" fillId="0" borderId="14" xfId="0" applyFont="1" applyBorder="1" applyAlignment="1">
      <alignment horizontal="center" vertical="top"/>
    </xf>
    <xf numFmtId="0" fontId="6" fillId="0" borderId="44" xfId="0" applyFont="1" applyBorder="1" applyAlignment="1">
      <alignment vertical="top"/>
    </xf>
    <xf numFmtId="0" fontId="6" fillId="0" borderId="50" xfId="0" applyFont="1" applyBorder="1" applyAlignment="1">
      <alignment vertical="top"/>
    </xf>
    <xf numFmtId="0" fontId="31" fillId="0" borderId="23" xfId="1" applyFont="1" applyBorder="1" applyAlignment="1">
      <alignment vertical="top" wrapText="1"/>
    </xf>
    <xf numFmtId="0" fontId="31" fillId="0" borderId="33" xfId="1" applyFont="1" applyBorder="1" applyAlignment="1">
      <alignment vertical="top" wrapText="1"/>
    </xf>
    <xf numFmtId="0" fontId="5" fillId="0" borderId="19" xfId="0" applyFont="1" applyBorder="1" applyAlignment="1">
      <alignment vertical="top"/>
    </xf>
    <xf numFmtId="0" fontId="20" fillId="0" borderId="61" xfId="1" applyFont="1" applyBorder="1" applyAlignment="1">
      <alignment horizontal="left" vertical="top" wrapText="1"/>
    </xf>
    <xf numFmtId="0" fontId="19" fillId="0" borderId="4" xfId="1" applyBorder="1" applyAlignment="1">
      <alignment horizontal="left" vertical="top" wrapText="1"/>
    </xf>
    <xf numFmtId="0" fontId="20" fillId="0" borderId="0" xfId="1" applyFont="1" applyAlignment="1">
      <alignment horizontal="left" vertical="top" wrapText="1"/>
    </xf>
    <xf numFmtId="0" fontId="19" fillId="0" borderId="58" xfId="1" applyFont="1" applyBorder="1" applyAlignment="1">
      <alignment horizontal="left" vertical="top" wrapText="1"/>
    </xf>
    <xf numFmtId="0" fontId="19" fillId="9" borderId="59" xfId="1" applyFill="1" applyBorder="1" applyAlignment="1">
      <alignment horizontal="left" vertical="top" wrapText="1"/>
    </xf>
    <xf numFmtId="0" fontId="6" fillId="10" borderId="6" xfId="0" applyFont="1" applyFill="1" applyBorder="1" applyAlignment="1">
      <alignment horizontal="center" vertical="top"/>
    </xf>
    <xf numFmtId="2" fontId="19" fillId="0" borderId="9" xfId="1" applyNumberFormat="1" applyFont="1" applyFill="1" applyBorder="1" applyAlignment="1">
      <alignment horizontal="center" vertical="top" wrapText="1"/>
    </xf>
    <xf numFmtId="0" fontId="19" fillId="0" borderId="9" xfId="1" applyFont="1" applyFill="1" applyBorder="1" applyAlignment="1">
      <alignment horizontal="center" vertical="top" wrapText="1"/>
    </xf>
    <xf numFmtId="0" fontId="19" fillId="6" borderId="9" xfId="1" applyFont="1" applyFill="1" applyBorder="1" applyAlignment="1">
      <alignment horizontal="center" vertical="top" wrapText="1"/>
    </xf>
    <xf numFmtId="2" fontId="19" fillId="0" borderId="68" xfId="1" applyNumberFormat="1" applyFont="1" applyFill="1" applyBorder="1" applyAlignment="1">
      <alignment horizontal="center" vertical="top" wrapText="1"/>
    </xf>
    <xf numFmtId="1" fontId="19" fillId="0" borderId="68" xfId="1" applyNumberFormat="1" applyFont="1" applyFill="1" applyBorder="1" applyAlignment="1">
      <alignment horizontal="center" vertical="top" wrapText="1"/>
    </xf>
    <xf numFmtId="1" fontId="19" fillId="6" borderId="68" xfId="1" applyNumberFormat="1" applyFont="1" applyFill="1" applyBorder="1" applyAlignment="1">
      <alignment horizontal="center" vertical="top" wrapText="1"/>
    </xf>
    <xf numFmtId="2" fontId="19" fillId="0" borderId="56" xfId="1" applyNumberFormat="1" applyFill="1" applyBorder="1" applyAlignment="1">
      <alignment horizontal="left" vertical="top" wrapText="1"/>
    </xf>
    <xf numFmtId="2" fontId="20" fillId="2" borderId="57" xfId="1" applyNumberFormat="1" applyFont="1" applyFill="1" applyBorder="1" applyAlignment="1">
      <alignment horizontal="center"/>
    </xf>
    <xf numFmtId="2" fontId="20" fillId="6" borderId="57" xfId="1" applyNumberFormat="1" applyFont="1" applyFill="1" applyBorder="1" applyAlignment="1">
      <alignment horizontal="center"/>
    </xf>
    <xf numFmtId="0" fontId="20" fillId="2" borderId="58" xfId="1" applyFont="1" applyFill="1" applyBorder="1" applyAlignment="1">
      <alignment horizontal="left" wrapText="1"/>
    </xf>
    <xf numFmtId="0" fontId="19" fillId="0" borderId="23" xfId="1" applyFont="1" applyBorder="1" applyAlignment="1">
      <alignment vertical="top" wrapText="1"/>
    </xf>
    <xf numFmtId="0" fontId="19" fillId="0" borderId="23" xfId="1" applyFont="1" applyBorder="1" applyAlignment="1">
      <alignment horizontal="left" vertical="top" wrapText="1"/>
    </xf>
    <xf numFmtId="0" fontId="19" fillId="6" borderId="57" xfId="1" applyFill="1" applyBorder="1" applyAlignment="1">
      <alignment horizontal="center" vertical="top" wrapText="1"/>
    </xf>
    <xf numFmtId="0" fontId="15" fillId="4" borderId="4" xfId="0" applyFont="1" applyFill="1" applyBorder="1" applyAlignment="1"/>
    <xf numFmtId="2" fontId="6" fillId="7" borderId="1" xfId="0" applyNumberFormat="1" applyFont="1" applyFill="1" applyBorder="1" applyAlignment="1">
      <alignment horizontal="center" vertical="top"/>
    </xf>
    <xf numFmtId="0" fontId="6" fillId="10" borderId="12" xfId="0" applyFont="1" applyFill="1" applyBorder="1" applyAlignment="1">
      <alignment horizontal="center" vertical="top"/>
    </xf>
    <xf numFmtId="0" fontId="6" fillId="10" borderId="13" xfId="0" applyFont="1" applyFill="1" applyBorder="1" applyAlignment="1">
      <alignment horizontal="center" vertical="top"/>
    </xf>
    <xf numFmtId="0" fontId="5" fillId="0" borderId="17" xfId="0" applyFont="1" applyBorder="1" applyAlignment="1">
      <alignment vertical="top" wrapText="1" readingOrder="1"/>
    </xf>
    <xf numFmtId="0" fontId="6" fillId="0" borderId="24" xfId="0" applyFont="1" applyBorder="1" applyAlignment="1">
      <alignment vertical="top"/>
    </xf>
    <xf numFmtId="0" fontId="5" fillId="0" borderId="19" xfId="0" applyFont="1" applyBorder="1" applyAlignment="1">
      <alignment vertical="top" wrapText="1" readingOrder="1"/>
    </xf>
    <xf numFmtId="0" fontId="2" fillId="0" borderId="19" xfId="0" applyFont="1" applyFill="1" applyBorder="1" applyAlignment="1">
      <alignment vertical="top" wrapText="1"/>
    </xf>
    <xf numFmtId="0" fontId="2" fillId="0" borderId="24" xfId="0" applyFont="1" applyBorder="1" applyAlignment="1">
      <alignment vertical="top" wrapText="1"/>
    </xf>
    <xf numFmtId="0" fontId="0" fillId="0" borderId="24" xfId="0" applyBorder="1"/>
    <xf numFmtId="0" fontId="12" fillId="0" borderId="19" xfId="0" applyFont="1" applyFill="1" applyBorder="1" applyAlignment="1">
      <alignment vertical="top" wrapText="1"/>
    </xf>
    <xf numFmtId="0" fontId="6" fillId="0" borderId="26" xfId="0" applyFont="1" applyBorder="1" applyAlignment="1">
      <alignment vertical="top"/>
    </xf>
    <xf numFmtId="0" fontId="3" fillId="2" borderId="44" xfId="1" applyFont="1" applyFill="1" applyBorder="1" applyAlignment="1">
      <alignment vertical="top" wrapText="1"/>
    </xf>
    <xf numFmtId="0" fontId="3" fillId="2" borderId="53" xfId="1" applyFont="1" applyFill="1" applyBorder="1" applyAlignment="1">
      <alignment horizontal="left" wrapText="1"/>
    </xf>
    <xf numFmtId="0" fontId="20" fillId="2" borderId="58" xfId="1" applyFont="1" applyFill="1" applyBorder="1" applyAlignment="1">
      <alignment wrapText="1"/>
    </xf>
    <xf numFmtId="2" fontId="19" fillId="0" borderId="63" xfId="1" applyNumberFormat="1" applyFill="1" applyBorder="1" applyAlignment="1">
      <alignment horizontal="left" vertical="top" wrapText="1"/>
    </xf>
    <xf numFmtId="0" fontId="3" fillId="2" borderId="44" xfId="1" applyFont="1" applyFill="1" applyBorder="1" applyAlignment="1">
      <alignment horizontal="left" wrapText="1"/>
    </xf>
    <xf numFmtId="0" fontId="19" fillId="0" borderId="69" xfId="1" applyBorder="1" applyAlignment="1">
      <alignment horizontal="center" vertical="top" wrapText="1"/>
    </xf>
    <xf numFmtId="0" fontId="7" fillId="0" borderId="13" xfId="0" applyFont="1" applyFill="1" applyBorder="1" applyAlignment="1">
      <alignment horizontal="left" vertical="top"/>
    </xf>
    <xf numFmtId="0" fontId="2" fillId="0" borderId="65" xfId="1" applyFont="1" applyFill="1" applyBorder="1" applyAlignment="1">
      <alignment vertical="top" wrapText="1"/>
    </xf>
    <xf numFmtId="2" fontId="9" fillId="0" borderId="9" xfId="1" applyNumberFormat="1" applyFont="1" applyFill="1" applyBorder="1" applyAlignment="1">
      <alignment horizontal="center" vertical="top" wrapText="1"/>
    </xf>
    <xf numFmtId="2" fontId="19" fillId="0" borderId="9" xfId="1" applyNumberFormat="1" applyFont="1" applyFill="1" applyBorder="1" applyAlignment="1">
      <alignment horizontal="center" vertical="top"/>
    </xf>
    <xf numFmtId="0" fontId="20" fillId="0" borderId="0" xfId="1" applyFont="1" applyFill="1" applyBorder="1" applyAlignment="1">
      <alignment vertical="top" wrapText="1"/>
    </xf>
    <xf numFmtId="0" fontId="19" fillId="0" borderId="51" xfId="1" applyFont="1" applyFill="1" applyBorder="1" applyAlignment="1">
      <alignment vertical="top" wrapText="1"/>
    </xf>
    <xf numFmtId="0" fontId="2" fillId="0" borderId="12" xfId="1" applyFont="1" applyFill="1" applyBorder="1" applyAlignment="1">
      <alignment horizontal="left" vertical="top" wrapText="1"/>
    </xf>
    <xf numFmtId="0" fontId="6" fillId="0" borderId="6" xfId="0" applyFont="1" applyBorder="1" applyAlignment="1">
      <alignment horizontal="left" vertical="top" readingOrder="1"/>
    </xf>
    <xf numFmtId="0" fontId="0" fillId="0" borderId="13" xfId="0" applyBorder="1" applyAlignment="1">
      <alignment vertical="top" wrapText="1"/>
    </xf>
    <xf numFmtId="0" fontId="0" fillId="0" borderId="1" xfId="0" applyBorder="1" applyAlignment="1">
      <alignment vertical="top"/>
    </xf>
    <xf numFmtId="0" fontId="33" fillId="0" borderId="2" xfId="0" applyFont="1" applyBorder="1" applyAlignment="1"/>
    <xf numFmtId="0" fontId="0" fillId="0" borderId="52" xfId="0" applyBorder="1" applyAlignment="1">
      <alignment vertical="top"/>
    </xf>
    <xf numFmtId="0" fontId="0" fillId="0" borderId="12" xfId="0" applyBorder="1" applyAlignment="1">
      <alignment vertical="top" wrapText="1"/>
    </xf>
    <xf numFmtId="0" fontId="5" fillId="0" borderId="6" xfId="0" applyFont="1" applyBorder="1" applyAlignment="1">
      <alignment horizontal="left" vertical="top"/>
    </xf>
    <xf numFmtId="0" fontId="9" fillId="0" borderId="9" xfId="1" applyFont="1" applyFill="1" applyBorder="1" applyAlignment="1">
      <alignment horizontal="center" wrapText="1"/>
    </xf>
    <xf numFmtId="0" fontId="19" fillId="0" borderId="0" xfId="1" applyFont="1" applyFill="1" applyBorder="1" applyAlignment="1">
      <alignment wrapText="1"/>
    </xf>
    <xf numFmtId="9" fontId="19" fillId="0" borderId="0" xfId="2" applyFont="1" applyFill="1" applyBorder="1" applyAlignment="1">
      <alignment horizontal="center" wrapText="1"/>
    </xf>
    <xf numFmtId="0" fontId="19" fillId="0" borderId="0" xfId="1" applyFont="1" applyFill="1" applyBorder="1" applyAlignment="1">
      <alignment vertical="top" wrapText="1"/>
    </xf>
    <xf numFmtId="0" fontId="5" fillId="0" borderId="54" xfId="0" applyFont="1" applyBorder="1" applyAlignment="1">
      <alignment horizontal="left" vertical="top" readingOrder="1"/>
    </xf>
    <xf numFmtId="0" fontId="6" fillId="0" borderId="14" xfId="0" applyFont="1" applyBorder="1" applyAlignment="1">
      <alignment vertical="top"/>
    </xf>
    <xf numFmtId="0" fontId="6" fillId="0" borderId="53" xfId="0" applyFont="1" applyBorder="1" applyAlignment="1">
      <alignment vertical="top"/>
    </xf>
    <xf numFmtId="0" fontId="5" fillId="0" borderId="17" xfId="0" applyFont="1" applyBorder="1" applyAlignment="1">
      <alignment vertical="top"/>
    </xf>
    <xf numFmtId="0" fontId="5" fillId="0" borderId="55" xfId="0" applyFont="1" applyBorder="1" applyAlignment="1">
      <alignment horizontal="left" vertical="top" readingOrder="1"/>
    </xf>
    <xf numFmtId="0" fontId="6" fillId="0" borderId="16" xfId="0" applyFont="1" applyBorder="1" applyAlignment="1">
      <alignment vertical="top"/>
    </xf>
    <xf numFmtId="0" fontId="5" fillId="0" borderId="57" xfId="0" applyFont="1" applyBorder="1" applyAlignment="1">
      <alignment horizontal="left" vertical="top" readingOrder="1"/>
    </xf>
    <xf numFmtId="0" fontId="5" fillId="0" borderId="9" xfId="0" applyFont="1" applyBorder="1" applyAlignment="1">
      <alignment horizontal="left" vertical="top" readingOrder="1"/>
    </xf>
    <xf numFmtId="0" fontId="6" fillId="0" borderId="12" xfId="0" applyFont="1" applyBorder="1" applyAlignment="1">
      <alignment vertical="top"/>
    </xf>
    <xf numFmtId="0" fontId="5" fillId="0" borderId="22" xfId="0" applyFont="1" applyFill="1" applyBorder="1" applyAlignment="1">
      <alignment vertical="top"/>
    </xf>
    <xf numFmtId="0" fontId="6" fillId="0" borderId="43" xfId="0" applyFont="1" applyFill="1" applyBorder="1" applyAlignment="1">
      <alignment vertical="top"/>
    </xf>
    <xf numFmtId="0" fontId="5" fillId="0" borderId="28" xfId="0" applyFont="1" applyBorder="1" applyAlignment="1">
      <alignment vertical="top"/>
    </xf>
    <xf numFmtId="0" fontId="6" fillId="0" borderId="24" xfId="0" applyFont="1" applyBorder="1" applyAlignment="1">
      <alignment horizontal="center" vertical="top"/>
    </xf>
    <xf numFmtId="0" fontId="35" fillId="0" borderId="7" xfId="0" applyFont="1" applyFill="1" applyBorder="1" applyAlignment="1">
      <alignment horizontal="center" vertical="top" wrapText="1"/>
    </xf>
    <xf numFmtId="0" fontId="35" fillId="0" borderId="5" xfId="0" applyFont="1" applyFill="1" applyBorder="1" applyAlignment="1">
      <alignment vertical="top" wrapText="1"/>
    </xf>
    <xf numFmtId="0" fontId="35" fillId="4" borderId="4" xfId="0" applyFont="1" applyFill="1" applyBorder="1" applyAlignment="1">
      <alignment horizontal="center" wrapText="1"/>
    </xf>
    <xf numFmtId="0" fontId="35" fillId="4" borderId="39" xfId="0" applyFont="1" applyFill="1" applyBorder="1" applyAlignment="1">
      <alignment horizontal="left" wrapText="1"/>
    </xf>
    <xf numFmtId="0" fontId="35" fillId="0" borderId="10" xfId="0" applyFont="1" applyFill="1" applyBorder="1" applyAlignment="1">
      <alignment vertical="top" wrapText="1"/>
    </xf>
    <xf numFmtId="0" fontId="14" fillId="4" borderId="2" xfId="0" applyFont="1" applyFill="1" applyBorder="1" applyAlignment="1"/>
    <xf numFmtId="0" fontId="38" fillId="4" borderId="1" xfId="0" applyFont="1" applyFill="1" applyBorder="1" applyAlignment="1">
      <alignment horizontal="center" wrapText="1"/>
    </xf>
    <xf numFmtId="0" fontId="14" fillId="4" borderId="6" xfId="0" applyFont="1" applyFill="1" applyBorder="1" applyAlignment="1">
      <alignment horizontal="center"/>
    </xf>
    <xf numFmtId="0" fontId="14" fillId="4" borderId="14" xfId="0" applyFont="1" applyFill="1" applyBorder="1" applyAlignment="1">
      <alignment horizontal="center"/>
    </xf>
    <xf numFmtId="0" fontId="37" fillId="0" borderId="11" xfId="0" applyFont="1" applyBorder="1" applyAlignment="1">
      <alignment vertical="top" wrapText="1"/>
    </xf>
    <xf numFmtId="0" fontId="5" fillId="5" borderId="13" xfId="0" applyFont="1" applyFill="1" applyBorder="1" applyAlignment="1" applyProtection="1">
      <alignment horizontal="center" vertical="top" wrapText="1"/>
      <protection locked="0"/>
    </xf>
    <xf numFmtId="0" fontId="37" fillId="0" borderId="12" xfId="0" applyFont="1" applyBorder="1" applyAlignment="1">
      <alignment vertical="top" wrapText="1"/>
    </xf>
    <xf numFmtId="0" fontId="37" fillId="0" borderId="13" xfId="0" applyFont="1" applyBorder="1" applyAlignment="1">
      <alignment vertical="top" wrapText="1"/>
    </xf>
    <xf numFmtId="0" fontId="37" fillId="0" borderId="14" xfId="0" applyFont="1" applyBorder="1" applyAlignment="1">
      <alignment vertical="top" wrapText="1"/>
    </xf>
    <xf numFmtId="0" fontId="37" fillId="0" borderId="1" xfId="0" applyFont="1" applyBorder="1" applyAlignment="1">
      <alignment vertical="top" wrapText="1"/>
    </xf>
    <xf numFmtId="0" fontId="37" fillId="0" borderId="16" xfId="0" applyFont="1" applyBorder="1" applyAlignment="1">
      <alignment vertical="top" wrapText="1"/>
    </xf>
    <xf numFmtId="0" fontId="39" fillId="0" borderId="2" xfId="0" applyFont="1" applyBorder="1" applyAlignment="1">
      <alignment vertical="top" wrapText="1"/>
    </xf>
    <xf numFmtId="0" fontId="39" fillId="0" borderId="18" xfId="0" applyFont="1" applyBorder="1"/>
    <xf numFmtId="0" fontId="39" fillId="0" borderId="20" xfId="0" applyFont="1" applyBorder="1"/>
    <xf numFmtId="0" fontId="39" fillId="0" borderId="21" xfId="0" applyFont="1" applyBorder="1"/>
    <xf numFmtId="0" fontId="37" fillId="0" borderId="2" xfId="0" applyFont="1" applyBorder="1" applyAlignment="1">
      <alignment vertical="top" wrapText="1"/>
    </xf>
    <xf numFmtId="0" fontId="37" fillId="0" borderId="18" xfId="0" applyFont="1" applyBorder="1" applyAlignment="1">
      <alignment vertical="top" wrapText="1"/>
    </xf>
    <xf numFmtId="0" fontId="37" fillId="0" borderId="20" xfId="0" applyFont="1" applyBorder="1" applyAlignment="1">
      <alignment vertical="top" wrapText="1"/>
    </xf>
    <xf numFmtId="0" fontId="37" fillId="0" borderId="0" xfId="0" applyFont="1" applyBorder="1" applyAlignment="1">
      <alignment vertical="top" wrapText="1"/>
    </xf>
    <xf numFmtId="0" fontId="37" fillId="0" borderId="53" xfId="0" applyFont="1" applyBorder="1" applyAlignment="1">
      <alignment vertical="top" wrapText="1"/>
    </xf>
    <xf numFmtId="0" fontId="0" fillId="0" borderId="27" xfId="0" applyFont="1" applyBorder="1"/>
    <xf numFmtId="0" fontId="0" fillId="0" borderId="25" xfId="0" applyFont="1" applyFill="1" applyBorder="1"/>
    <xf numFmtId="0" fontId="0" fillId="0" borderId="29" xfId="0" applyFont="1" applyBorder="1"/>
    <xf numFmtId="0" fontId="37" fillId="0" borderId="4" xfId="0" applyFont="1" applyBorder="1" applyAlignment="1">
      <alignment vertical="top" wrapText="1"/>
    </xf>
    <xf numFmtId="0" fontId="37" fillId="0" borderId="30" xfId="0" applyFont="1" applyBorder="1" applyAlignment="1">
      <alignment vertical="top" wrapText="1"/>
    </xf>
    <xf numFmtId="0" fontId="37" fillId="0" borderId="21" xfId="0" applyFont="1" applyBorder="1" applyAlignment="1">
      <alignment vertical="top" wrapText="1"/>
    </xf>
    <xf numFmtId="0" fontId="7" fillId="0" borderId="1"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21" xfId="0" applyFont="1" applyFill="1" applyBorder="1" applyAlignment="1">
      <alignment horizontal="left" vertical="top" wrapText="1"/>
    </xf>
    <xf numFmtId="0" fontId="5" fillId="0" borderId="20" xfId="0" applyFont="1" applyBorder="1" applyAlignment="1">
      <alignment vertical="top" wrapText="1"/>
    </xf>
    <xf numFmtId="2" fontId="5" fillId="7" borderId="1" xfId="0" applyNumberFormat="1" applyFont="1" applyFill="1" applyBorder="1" applyAlignment="1">
      <alignment horizontal="center" vertical="top"/>
    </xf>
    <xf numFmtId="0" fontId="2" fillId="0" borderId="54" xfId="0" applyFont="1" applyFill="1" applyBorder="1" applyAlignment="1">
      <alignment vertical="top" wrapText="1"/>
    </xf>
    <xf numFmtId="0" fontId="20" fillId="0" borderId="61" xfId="1" applyFont="1" applyBorder="1" applyAlignment="1">
      <alignment wrapText="1"/>
    </xf>
    <xf numFmtId="0" fontId="7" fillId="0" borderId="45" xfId="0" applyFont="1" applyFill="1" applyBorder="1" applyAlignment="1">
      <alignment vertical="top"/>
    </xf>
    <xf numFmtId="0" fontId="7" fillId="0" borderId="45" xfId="0" applyFont="1" applyBorder="1" applyAlignment="1">
      <alignment vertical="top"/>
    </xf>
    <xf numFmtId="0" fontId="7" fillId="0" borderId="62" xfId="0" applyFont="1" applyBorder="1" applyAlignment="1">
      <alignment vertical="top"/>
    </xf>
    <xf numFmtId="0" fontId="7" fillId="0" borderId="14" xfId="0" applyFont="1" applyBorder="1" applyAlignment="1">
      <alignment horizontal="left" vertical="top"/>
    </xf>
    <xf numFmtId="2" fontId="19" fillId="0" borderId="6" xfId="0" applyNumberFormat="1" applyFont="1" applyBorder="1" applyAlignment="1">
      <alignment horizontal="center" vertical="top"/>
    </xf>
    <xf numFmtId="2" fontId="29" fillId="0" borderId="9" xfId="0" applyNumberFormat="1" applyFont="1" applyFill="1" applyBorder="1" applyAlignment="1">
      <alignment horizontal="center" vertical="top" wrapText="1" readingOrder="1"/>
    </xf>
    <xf numFmtId="0" fontId="0" fillId="10" borderId="6" xfId="0" applyFont="1" applyFill="1" applyBorder="1" applyAlignment="1">
      <alignment horizontal="center"/>
    </xf>
    <xf numFmtId="0" fontId="3" fillId="2" borderId="53" xfId="0" applyFont="1" applyFill="1" applyBorder="1" applyAlignment="1">
      <alignment horizontal="left" wrapText="1"/>
    </xf>
    <xf numFmtId="0" fontId="10" fillId="0" borderId="13" xfId="0" applyFont="1" applyBorder="1" applyAlignment="1">
      <alignment vertical="top" wrapText="1"/>
    </xf>
    <xf numFmtId="0" fontId="12" fillId="0" borderId="13" xfId="0" applyFont="1" applyBorder="1" applyAlignment="1">
      <alignment vertical="top" wrapText="1"/>
    </xf>
    <xf numFmtId="0" fontId="4" fillId="2" borderId="71" xfId="0" applyFont="1" applyFill="1" applyBorder="1" applyAlignment="1">
      <alignment horizontal="center" wrapText="1"/>
    </xf>
    <xf numFmtId="2" fontId="0" fillId="0" borderId="0" xfId="0" applyNumberFormat="1" applyAlignment="1">
      <alignment vertical="top"/>
    </xf>
    <xf numFmtId="0" fontId="1" fillId="0" borderId="8" xfId="0" applyFont="1" applyFill="1" applyBorder="1" applyAlignment="1">
      <alignment vertical="top" wrapText="1"/>
    </xf>
    <xf numFmtId="0" fontId="5" fillId="0" borderId="9" xfId="0" applyFont="1" applyBorder="1" applyAlignment="1">
      <alignment horizontal="left" vertical="top"/>
    </xf>
    <xf numFmtId="0" fontId="5" fillId="0" borderId="43" xfId="0" applyFont="1" applyBorder="1" applyAlignment="1">
      <alignment vertical="top"/>
    </xf>
    <xf numFmtId="0" fontId="3" fillId="3" borderId="1" xfId="0" applyFont="1" applyFill="1" applyBorder="1" applyAlignment="1">
      <alignment horizontal="left" wrapText="1"/>
    </xf>
    <xf numFmtId="0" fontId="3" fillId="3" borderId="4" xfId="0" applyFont="1" applyFill="1" applyBorder="1" applyAlignment="1">
      <alignment horizontal="left" wrapText="1"/>
    </xf>
    <xf numFmtId="0" fontId="14" fillId="3" borderId="36" xfId="0" applyFont="1" applyFill="1" applyBorder="1" applyAlignment="1"/>
    <xf numFmtId="0" fontId="3" fillId="3" borderId="4" xfId="0" applyFont="1" applyFill="1" applyBorder="1" applyAlignment="1">
      <alignment horizontal="center" wrapText="1"/>
    </xf>
    <xf numFmtId="0" fontId="31" fillId="5" borderId="6" xfId="0" applyFont="1" applyFill="1" applyBorder="1" applyAlignment="1" applyProtection="1">
      <alignment horizontal="center" vertical="top" wrapText="1"/>
      <protection locked="0"/>
    </xf>
    <xf numFmtId="0" fontId="31" fillId="0" borderId="6" xfId="0" applyFont="1" applyFill="1" applyBorder="1" applyAlignment="1" applyProtection="1">
      <alignment horizontal="center" vertical="top" wrapText="1"/>
      <protection locked="0"/>
    </xf>
    <xf numFmtId="0" fontId="31" fillId="0" borderId="6" xfId="0" applyFont="1" applyFill="1" applyBorder="1" applyAlignment="1" applyProtection="1">
      <alignment horizontal="center" vertical="top"/>
      <protection locked="0"/>
    </xf>
    <xf numFmtId="0" fontId="31" fillId="0" borderId="6" xfId="0" applyFont="1" applyFill="1" applyBorder="1" applyAlignment="1" applyProtection="1">
      <alignment horizontal="center" vertical="center" wrapText="1"/>
      <protection locked="0"/>
    </xf>
    <xf numFmtId="0" fontId="0" fillId="0" borderId="26" xfId="0" applyBorder="1" applyAlignment="1">
      <alignment vertical="top" wrapText="1"/>
    </xf>
    <xf numFmtId="0" fontId="33" fillId="0" borderId="3" xfId="0" applyFont="1" applyBorder="1" applyAlignment="1"/>
    <xf numFmtId="0" fontId="10" fillId="0" borderId="51" xfId="0" applyFont="1" applyBorder="1" applyAlignment="1">
      <alignment vertical="top" wrapText="1"/>
    </xf>
    <xf numFmtId="2" fontId="0" fillId="11" borderId="15" xfId="0" applyNumberFormat="1" applyFill="1" applyBorder="1" applyAlignment="1">
      <alignment vertical="top"/>
    </xf>
    <xf numFmtId="0" fontId="0" fillId="0" borderId="47" xfId="0" applyBorder="1" applyAlignment="1">
      <alignment vertical="top"/>
    </xf>
    <xf numFmtId="0" fontId="2" fillId="0" borderId="69" xfId="0" applyFont="1" applyFill="1" applyBorder="1" applyAlignment="1">
      <alignment vertical="top" wrapText="1"/>
    </xf>
    <xf numFmtId="2" fontId="19" fillId="0" borderId="69" xfId="1" applyNumberFormat="1" applyFill="1" applyBorder="1" applyAlignment="1">
      <alignment horizontal="center" vertical="top" wrapText="1"/>
    </xf>
    <xf numFmtId="2" fontId="19" fillId="6" borderId="69" xfId="1" applyNumberFormat="1" applyFill="1" applyBorder="1" applyAlignment="1">
      <alignment horizontal="center" vertical="top" wrapText="1"/>
    </xf>
    <xf numFmtId="0" fontId="19" fillId="0" borderId="73" xfId="1" applyBorder="1" applyAlignment="1">
      <alignment horizontal="left" vertical="top" wrapText="1"/>
    </xf>
    <xf numFmtId="0" fontId="2" fillId="0" borderId="55" xfId="0" applyFont="1" applyFill="1" applyBorder="1" applyAlignment="1">
      <alignment vertical="top" wrapText="1"/>
    </xf>
    <xf numFmtId="2" fontId="19" fillId="6" borderId="55" xfId="1" applyNumberFormat="1" applyFill="1" applyBorder="1" applyAlignment="1">
      <alignment horizontal="center" vertical="top" wrapText="1"/>
    </xf>
    <xf numFmtId="0" fontId="20" fillId="0" borderId="9" xfId="1" applyFont="1" applyBorder="1" applyAlignment="1">
      <alignment wrapText="1"/>
    </xf>
    <xf numFmtId="0" fontId="19" fillId="0" borderId="6" xfId="0" applyFont="1" applyBorder="1" applyAlignment="1">
      <alignment vertical="top" wrapText="1"/>
    </xf>
    <xf numFmtId="0" fontId="10" fillId="0" borderId="0" xfId="0" applyFont="1" applyFill="1" applyBorder="1" applyAlignment="1">
      <alignment vertical="top"/>
    </xf>
    <xf numFmtId="0" fontId="41" fillId="7" borderId="4" xfId="0" applyFont="1" applyFill="1" applyBorder="1" applyAlignment="1">
      <alignment horizontal="center" vertical="top"/>
    </xf>
    <xf numFmtId="0" fontId="24" fillId="0" borderId="0" xfId="1" applyFont="1" applyAlignment="1">
      <alignment vertical="top" wrapText="1"/>
    </xf>
    <xf numFmtId="2" fontId="25" fillId="0" borderId="0" xfId="1" applyNumberFormat="1" applyFont="1" applyAlignment="1">
      <alignment horizontal="center" vertical="top"/>
    </xf>
    <xf numFmtId="0" fontId="25" fillId="0" borderId="0" xfId="1" applyFont="1" applyAlignment="1">
      <alignment vertical="top" wrapText="1"/>
    </xf>
    <xf numFmtId="0" fontId="27" fillId="0" borderId="17" xfId="0" applyFont="1" applyFill="1" applyBorder="1" applyAlignment="1">
      <alignment horizontal="center" vertical="top" wrapText="1"/>
    </xf>
    <xf numFmtId="0" fontId="0" fillId="0" borderId="6" xfId="0" applyNumberFormat="1" applyBorder="1"/>
    <xf numFmtId="0" fontId="0" fillId="0" borderId="6" xfId="0" applyBorder="1" applyAlignment="1">
      <alignment wrapText="1"/>
    </xf>
    <xf numFmtId="0" fontId="1" fillId="0" borderId="8" xfId="0" applyFont="1" applyFill="1" applyBorder="1" applyAlignment="1">
      <alignment horizontal="right" vertical="top" wrapText="1"/>
    </xf>
    <xf numFmtId="0" fontId="6" fillId="0" borderId="0" xfId="0" applyFont="1" applyAlignment="1">
      <alignment horizontal="right" vertical="top"/>
    </xf>
    <xf numFmtId="0" fontId="31" fillId="5" borderId="57" xfId="0" applyFont="1" applyFill="1" applyBorder="1" applyAlignment="1" applyProtection="1">
      <alignment horizontal="center" vertical="top" wrapText="1"/>
      <protection locked="0"/>
    </xf>
    <xf numFmtId="0" fontId="10" fillId="0" borderId="6" xfId="0" applyFont="1" applyBorder="1" applyAlignment="1">
      <alignment vertical="top" wrapText="1"/>
    </xf>
    <xf numFmtId="0" fontId="5" fillId="0" borderId="6" xfId="0" applyFont="1" applyBorder="1" applyAlignment="1">
      <alignment horizontal="left" vertical="top" wrapText="1"/>
    </xf>
    <xf numFmtId="0" fontId="5" fillId="0" borderId="13" xfId="0" applyFont="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Border="1" applyAlignment="1">
      <alignment horizontal="left" vertical="top" wrapText="1"/>
    </xf>
    <xf numFmtId="0" fontId="7" fillId="0" borderId="53" xfId="0" applyFont="1" applyBorder="1" applyAlignment="1">
      <alignment horizontal="left" vertical="top" wrapText="1"/>
    </xf>
    <xf numFmtId="0" fontId="7" fillId="0" borderId="13" xfId="0" applyFont="1" applyBorder="1" applyAlignment="1">
      <alignment horizontal="left" vertical="top" wrapText="1"/>
    </xf>
    <xf numFmtId="0" fontId="7" fillId="0" borderId="13" xfId="0" applyFont="1" applyFill="1" applyBorder="1" applyAlignment="1">
      <alignment horizontal="left" vertical="top" wrapText="1"/>
    </xf>
    <xf numFmtId="0" fontId="7" fillId="0" borderId="16" xfId="0" applyFont="1" applyBorder="1" applyAlignment="1">
      <alignment horizontal="lef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14" xfId="0" applyFont="1" applyFill="1" applyBorder="1" applyAlignment="1">
      <alignment horizontal="left" vertical="top" wrapText="1"/>
    </xf>
    <xf numFmtId="0" fontId="7" fillId="0" borderId="36" xfId="0" applyFont="1" applyBorder="1" applyAlignment="1">
      <alignment horizontal="left" vertical="top" wrapText="1"/>
    </xf>
    <xf numFmtId="0" fontId="37" fillId="0" borderId="12" xfId="0" applyFont="1" applyFill="1" applyBorder="1" applyAlignment="1">
      <alignment vertical="top" wrapText="1"/>
    </xf>
    <xf numFmtId="0" fontId="37" fillId="0" borderId="16" xfId="0" applyFont="1" applyFill="1" applyBorder="1" applyAlignment="1">
      <alignment vertical="top" wrapText="1"/>
    </xf>
    <xf numFmtId="0" fontId="37" fillId="0" borderId="6" xfId="0" applyFont="1" applyBorder="1" applyAlignment="1">
      <alignment vertical="top" wrapText="1"/>
    </xf>
    <xf numFmtId="0" fontId="0" fillId="11" borderId="9" xfId="0" applyFill="1" applyBorder="1" applyAlignment="1">
      <alignment vertical="top"/>
    </xf>
    <xf numFmtId="0" fontId="2" fillId="0" borderId="0" xfId="0" applyFont="1" applyAlignment="1">
      <alignment horizontal="center" vertical="top" wrapText="1"/>
    </xf>
    <xf numFmtId="0" fontId="0" fillId="0" borderId="0" xfId="0" applyAlignment="1">
      <alignment horizontal="center" vertical="top"/>
    </xf>
    <xf numFmtId="2" fontId="19" fillId="7" borderId="10" xfId="1" applyNumberFormat="1" applyFill="1" applyBorder="1" applyAlignment="1">
      <alignment horizontal="center" vertical="top" wrapText="1"/>
    </xf>
    <xf numFmtId="0" fontId="19" fillId="0" borderId="8" xfId="1" applyBorder="1" applyAlignment="1">
      <alignment vertical="top" wrapText="1"/>
    </xf>
    <xf numFmtId="2" fontId="19" fillId="7" borderId="13" xfId="1" applyNumberFormat="1" applyFill="1" applyBorder="1" applyAlignment="1">
      <alignment horizontal="center" vertical="top" wrapText="1"/>
    </xf>
    <xf numFmtId="0" fontId="19" fillId="0" borderId="0" xfId="1" applyBorder="1" applyAlignment="1">
      <alignment horizontal="center" vertical="top" wrapText="1"/>
    </xf>
    <xf numFmtId="0" fontId="19" fillId="0" borderId="13" xfId="1" applyBorder="1" applyAlignment="1">
      <alignment horizontal="center" vertical="top" wrapText="1"/>
    </xf>
    <xf numFmtId="2" fontId="19" fillId="7" borderId="4" xfId="1" applyNumberFormat="1" applyFill="1" applyBorder="1" applyAlignment="1">
      <alignment horizontal="center" vertical="top" wrapText="1"/>
    </xf>
    <xf numFmtId="0" fontId="19" fillId="0" borderId="20" xfId="1" applyBorder="1" applyAlignment="1">
      <alignment horizontal="center" vertical="top" wrapText="1"/>
    </xf>
    <xf numFmtId="0" fontId="0" fillId="12" borderId="67" xfId="0" applyFont="1" applyFill="1" applyBorder="1" applyAlignment="1">
      <alignment horizontal="center"/>
    </xf>
    <xf numFmtId="0" fontId="44" fillId="12" borderId="56" xfId="0" applyFont="1" applyFill="1" applyBorder="1" applyAlignment="1">
      <alignment wrapText="1"/>
    </xf>
    <xf numFmtId="0" fontId="0" fillId="12" borderId="65" xfId="0" applyFill="1" applyBorder="1" applyAlignment="1">
      <alignment horizontal="center" vertical="top"/>
    </xf>
    <xf numFmtId="0" fontId="0" fillId="12" borderId="66" xfId="0" applyFill="1" applyBorder="1" applyAlignment="1">
      <alignment vertical="top" wrapText="1"/>
    </xf>
    <xf numFmtId="0" fontId="0" fillId="12" borderId="45" xfId="0" applyFill="1" applyBorder="1" applyAlignment="1">
      <alignment horizontal="center" vertical="top"/>
    </xf>
    <xf numFmtId="0" fontId="0" fillId="12" borderId="59" xfId="0" applyFill="1" applyBorder="1" applyAlignment="1">
      <alignment vertical="top" wrapText="1"/>
    </xf>
    <xf numFmtId="0" fontId="0" fillId="12" borderId="50" xfId="0" applyFill="1" applyBorder="1" applyAlignment="1">
      <alignment horizontal="center" vertical="top"/>
    </xf>
    <xf numFmtId="0" fontId="0" fillId="12" borderId="60" xfId="0" applyFill="1" applyBorder="1" applyAlignment="1">
      <alignment vertical="top" wrapText="1"/>
    </xf>
    <xf numFmtId="0" fontId="45" fillId="0" borderId="0" xfId="0" applyFont="1" applyAlignment="1">
      <alignment vertical="top" wrapText="1"/>
    </xf>
    <xf numFmtId="0" fontId="46" fillId="13" borderId="4" xfId="0" applyFont="1" applyFill="1" applyBorder="1" applyAlignment="1">
      <alignment vertical="top" wrapText="1"/>
    </xf>
    <xf numFmtId="0" fontId="0" fillId="7" borderId="4" xfId="0" applyFill="1" applyBorder="1"/>
    <xf numFmtId="0" fontId="27" fillId="3" borderId="5" xfId="0" applyFont="1" applyFill="1" applyBorder="1" applyAlignment="1">
      <alignment horizontal="center" vertical="top" wrapText="1"/>
    </xf>
    <xf numFmtId="0" fontId="33" fillId="0" borderId="36" xfId="0" applyFont="1" applyBorder="1" applyAlignment="1">
      <alignment horizontal="center" wrapText="1"/>
    </xf>
    <xf numFmtId="2" fontId="0" fillId="0" borderId="4" xfId="0" applyNumberFormat="1" applyBorder="1" applyAlignment="1">
      <alignment horizontal="center" wrapText="1"/>
    </xf>
    <xf numFmtId="0" fontId="48" fillId="0" borderId="0" xfId="0" applyFont="1" applyAlignment="1">
      <alignment vertical="top" wrapText="1"/>
    </xf>
    <xf numFmtId="0" fontId="0" fillId="0" borderId="54" xfId="0" applyBorder="1" applyAlignment="1">
      <alignment vertical="top"/>
    </xf>
    <xf numFmtId="0" fontId="0" fillId="0" borderId="67" xfId="0" applyBorder="1" applyAlignment="1">
      <alignment vertical="top"/>
    </xf>
    <xf numFmtId="0" fontId="0" fillId="10" borderId="68" xfId="0" applyFill="1" applyBorder="1" applyAlignment="1">
      <alignment vertical="top"/>
    </xf>
    <xf numFmtId="0" fontId="0" fillId="0" borderId="56" xfId="0" applyBorder="1" applyAlignment="1">
      <alignment vertical="top" wrapText="1"/>
    </xf>
    <xf numFmtId="0" fontId="19" fillId="0" borderId="0" xfId="1" applyFill="1"/>
    <xf numFmtId="0" fontId="2" fillId="0" borderId="68" xfId="0" applyFont="1" applyFill="1" applyBorder="1" applyAlignment="1">
      <alignment vertical="top" wrapText="1"/>
    </xf>
    <xf numFmtId="2" fontId="0" fillId="7" borderId="38" xfId="0" applyNumberFormat="1" applyFill="1" applyBorder="1" applyAlignment="1">
      <alignment vertical="top"/>
    </xf>
    <xf numFmtId="0" fontId="0" fillId="8" borderId="6" xfId="0" applyFill="1" applyBorder="1"/>
    <xf numFmtId="0" fontId="0" fillId="8" borderId="9" xfId="0" applyFill="1" applyBorder="1"/>
    <xf numFmtId="0" fontId="7" fillId="0" borderId="64" xfId="0" applyFont="1" applyBorder="1" applyAlignment="1">
      <alignment vertical="top" wrapText="1"/>
    </xf>
    <xf numFmtId="0" fontId="3" fillId="0" borderId="5" xfId="0" applyFont="1" applyFill="1" applyBorder="1" applyAlignment="1">
      <alignment horizontal="center" vertical="top" wrapText="1"/>
    </xf>
    <xf numFmtId="0" fontId="3" fillId="0" borderId="54" xfId="0" applyFont="1" applyFill="1" applyBorder="1" applyAlignment="1">
      <alignment horizontal="right" vertical="top" wrapText="1"/>
    </xf>
    <xf numFmtId="0" fontId="3" fillId="0" borderId="54" xfId="0" applyFont="1" applyFill="1" applyBorder="1" applyAlignment="1">
      <alignment horizontal="center" vertical="top" wrapText="1"/>
    </xf>
    <xf numFmtId="0" fontId="10" fillId="0" borderId="65" xfId="0" applyFont="1" applyBorder="1" applyAlignment="1">
      <alignment vertical="top"/>
    </xf>
    <xf numFmtId="0" fontId="12" fillId="0" borderId="9" xfId="0" applyFont="1" applyBorder="1" applyAlignment="1">
      <alignment horizontal="left" vertical="top" wrapText="1"/>
    </xf>
    <xf numFmtId="0" fontId="10" fillId="0" borderId="64" xfId="0" applyFont="1" applyBorder="1" applyAlignment="1">
      <alignment vertical="top"/>
    </xf>
    <xf numFmtId="0" fontId="10" fillId="0" borderId="45" xfId="0" applyFont="1" applyBorder="1" applyAlignment="1">
      <alignment vertical="top"/>
    </xf>
    <xf numFmtId="0" fontId="12" fillId="0" borderId="6" xfId="0" applyFont="1" applyBorder="1" applyAlignment="1">
      <alignment horizontal="left" vertical="top" wrapText="1"/>
    </xf>
    <xf numFmtId="0" fontId="10" fillId="0" borderId="46" xfId="0" applyFont="1" applyBorder="1" applyAlignment="1">
      <alignment vertical="top"/>
    </xf>
    <xf numFmtId="0" fontId="12" fillId="0" borderId="55" xfId="0" applyFont="1" applyBorder="1" applyAlignment="1">
      <alignment horizontal="left" vertical="top" wrapText="1"/>
    </xf>
    <xf numFmtId="0" fontId="12" fillId="0" borderId="70" xfId="0" applyFont="1" applyBorder="1" applyAlignment="1">
      <alignment horizontal="left" vertical="top"/>
    </xf>
    <xf numFmtId="0" fontId="10" fillId="0" borderId="72" xfId="0" applyFont="1" applyBorder="1" applyAlignment="1">
      <alignment vertical="top"/>
    </xf>
    <xf numFmtId="2" fontId="19" fillId="0" borderId="6" xfId="1" applyNumberFormat="1" applyBorder="1" applyAlignment="1" applyProtection="1">
      <alignment horizontal="center" vertical="top"/>
      <protection locked="0"/>
    </xf>
    <xf numFmtId="2" fontId="19" fillId="0" borderId="59" xfId="1" applyNumberFormat="1" applyBorder="1" applyAlignment="1" applyProtection="1">
      <alignment horizontal="center" vertical="top"/>
      <protection locked="0"/>
    </xf>
    <xf numFmtId="2" fontId="19" fillId="0" borderId="55" xfId="1" applyNumberFormat="1" applyBorder="1" applyAlignment="1" applyProtection="1">
      <alignment horizontal="center" vertical="top"/>
      <protection locked="0"/>
    </xf>
    <xf numFmtId="2" fontId="19" fillId="0" borderId="60" xfId="1" applyNumberFormat="1" applyBorder="1" applyAlignment="1" applyProtection="1">
      <alignment horizontal="center" vertical="top"/>
      <protection locked="0"/>
    </xf>
    <xf numFmtId="2" fontId="0" fillId="0" borderId="6" xfId="0" applyNumberFormat="1" applyBorder="1" applyAlignment="1" applyProtection="1">
      <alignment wrapText="1"/>
      <protection locked="0"/>
    </xf>
    <xf numFmtId="2" fontId="10" fillId="0" borderId="64" xfId="0" applyNumberFormat="1" applyFont="1" applyBorder="1" applyAlignment="1" applyProtection="1">
      <alignment horizontal="center" vertical="top"/>
      <protection locked="0"/>
    </xf>
    <xf numFmtId="2" fontId="12" fillId="0" borderId="6" xfId="0" applyNumberFormat="1" applyFont="1" applyBorder="1" applyAlignment="1" applyProtection="1">
      <alignment horizontal="center" vertical="top"/>
      <protection locked="0"/>
    </xf>
    <xf numFmtId="2" fontId="10" fillId="0" borderId="6" xfId="0" applyNumberFormat="1" applyFont="1" applyBorder="1" applyAlignment="1" applyProtection="1">
      <alignment horizontal="center" vertical="top"/>
      <protection locked="0"/>
    </xf>
    <xf numFmtId="1" fontId="10" fillId="0" borderId="6" xfId="0" applyNumberFormat="1" applyFont="1" applyBorder="1" applyAlignment="1" applyProtection="1">
      <alignment horizontal="center" vertical="top"/>
      <protection locked="0"/>
    </xf>
    <xf numFmtId="0" fontId="31" fillId="0" borderId="6" xfId="0" applyFont="1" applyBorder="1" applyAlignment="1" applyProtection="1">
      <alignment horizontal="center" vertical="top"/>
      <protection locked="0"/>
    </xf>
    <xf numFmtId="0" fontId="19" fillId="0" borderId="6" xfId="0" applyFont="1" applyBorder="1" applyAlignment="1" applyProtection="1">
      <alignment horizontal="center" vertical="top"/>
      <protection locked="0"/>
    </xf>
    <xf numFmtId="0" fontId="29" fillId="0" borderId="72" xfId="0" applyFont="1" applyBorder="1" applyAlignment="1" applyProtection="1">
      <alignment horizontal="center"/>
      <protection locked="0"/>
    </xf>
    <xf numFmtId="0" fontId="0" fillId="0" borderId="40" xfId="0" applyBorder="1" applyAlignment="1" applyProtection="1">
      <alignment horizontal="center" vertical="top"/>
      <protection locked="0"/>
    </xf>
    <xf numFmtId="0" fontId="0" fillId="0" borderId="13" xfId="0" applyBorder="1" applyAlignment="1" applyProtection="1">
      <alignment vertical="top"/>
      <protection locked="0"/>
    </xf>
    <xf numFmtId="0" fontId="0" fillId="0" borderId="13" xfId="0" applyNumberFormat="1" applyBorder="1" applyAlignment="1" applyProtection="1">
      <alignment vertical="top"/>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24" fillId="0" borderId="0" xfId="1" applyFont="1" applyAlignment="1" applyProtection="1">
      <alignment vertical="top" wrapText="1"/>
    </xf>
    <xf numFmtId="0" fontId="25" fillId="0" borderId="0" xfId="1" applyFont="1" applyAlignment="1" applyProtection="1">
      <alignment vertical="top" wrapText="1"/>
    </xf>
    <xf numFmtId="0" fontId="19" fillId="0" borderId="0" xfId="1" applyAlignment="1" applyProtection="1">
      <alignment vertical="top"/>
    </xf>
    <xf numFmtId="0" fontId="25" fillId="0" borderId="0" xfId="1" applyFont="1" applyAlignment="1" applyProtection="1">
      <alignment vertical="top"/>
    </xf>
    <xf numFmtId="0" fontId="26" fillId="0" borderId="1" xfId="1" applyFont="1" applyFill="1" applyBorder="1" applyAlignment="1" applyProtection="1">
      <alignment wrapText="1"/>
    </xf>
    <xf numFmtId="2" fontId="26" fillId="0" borderId="67" xfId="1" applyNumberFormat="1" applyFont="1" applyFill="1" applyBorder="1" applyAlignment="1" applyProtection="1">
      <alignment horizontal="center" wrapText="1"/>
    </xf>
    <xf numFmtId="2" fontId="26" fillId="0" borderId="68" xfId="1" applyNumberFormat="1" applyFont="1" applyFill="1" applyBorder="1" applyAlignment="1" applyProtection="1">
      <alignment horizontal="center" wrapText="1"/>
    </xf>
    <xf numFmtId="2" fontId="20" fillId="0" borderId="56" xfId="1" applyNumberFormat="1" applyFont="1" applyBorder="1" applyAlignment="1" applyProtection="1">
      <alignment horizontal="center"/>
    </xf>
    <xf numFmtId="0" fontId="26" fillId="0" borderId="3" xfId="1" applyFont="1" applyFill="1" applyBorder="1" applyAlignment="1" applyProtection="1">
      <alignment wrapText="1"/>
    </xf>
    <xf numFmtId="0" fontId="19" fillId="0" borderId="0" xfId="1" applyProtection="1"/>
    <xf numFmtId="0" fontId="25" fillId="0" borderId="52" xfId="1" applyFont="1" applyBorder="1" applyAlignment="1" applyProtection="1">
      <alignment vertical="top" wrapText="1"/>
    </xf>
    <xf numFmtId="2" fontId="10" fillId="0" borderId="65" xfId="1" applyNumberFormat="1" applyFont="1" applyFill="1" applyBorder="1" applyAlignment="1" applyProtection="1">
      <alignment horizontal="center" vertical="top"/>
    </xf>
    <xf numFmtId="0" fontId="19" fillId="0" borderId="9" xfId="1" applyBorder="1" applyAlignment="1" applyProtection="1">
      <alignment vertical="top"/>
    </xf>
    <xf numFmtId="2" fontId="25" fillId="0" borderId="66" xfId="1" applyNumberFormat="1" applyFont="1" applyFill="1" applyBorder="1" applyAlignment="1" applyProtection="1">
      <alignment horizontal="center" vertical="top"/>
    </xf>
    <xf numFmtId="0" fontId="10" fillId="0" borderId="51" xfId="1" applyFont="1" applyBorder="1" applyAlignment="1" applyProtection="1">
      <alignment vertical="top" wrapText="1"/>
    </xf>
    <xf numFmtId="0" fontId="25" fillId="0" borderId="27" xfId="1" applyFont="1" applyBorder="1" applyAlignment="1" applyProtection="1">
      <alignment vertical="top" wrapText="1"/>
    </xf>
    <xf numFmtId="2" fontId="10" fillId="0" borderId="45" xfId="1" applyNumberFormat="1" applyFont="1" applyFill="1" applyBorder="1" applyAlignment="1" applyProtection="1">
      <alignment horizontal="center" vertical="top"/>
    </xf>
    <xf numFmtId="0" fontId="19" fillId="0" borderId="6" xfId="1" applyBorder="1" applyAlignment="1" applyProtection="1">
      <alignment vertical="top"/>
    </xf>
    <xf numFmtId="2" fontId="25" fillId="0" borderId="59" xfId="1" applyNumberFormat="1" applyFont="1" applyFill="1" applyBorder="1" applyAlignment="1" applyProtection="1">
      <alignment horizontal="center" vertical="top"/>
    </xf>
    <xf numFmtId="0" fontId="10" fillId="0" borderId="23" xfId="1" applyFont="1" applyBorder="1" applyAlignment="1" applyProtection="1">
      <alignment vertical="top" wrapText="1"/>
    </xf>
    <xf numFmtId="0" fontId="25" fillId="0" borderId="29" xfId="1" applyFont="1" applyBorder="1" applyAlignment="1" applyProtection="1">
      <alignment vertical="top" wrapText="1"/>
    </xf>
    <xf numFmtId="2" fontId="10" fillId="0" borderId="50" xfId="1" applyNumberFormat="1" applyFont="1" applyFill="1" applyBorder="1" applyAlignment="1" applyProtection="1">
      <alignment horizontal="center" vertical="top"/>
    </xf>
    <xf numFmtId="0" fontId="19" fillId="0" borderId="55" xfId="1" applyBorder="1" applyAlignment="1" applyProtection="1">
      <alignment vertical="top"/>
    </xf>
    <xf numFmtId="2" fontId="25" fillId="0" borderId="60" xfId="1" applyNumberFormat="1" applyFont="1" applyFill="1" applyBorder="1" applyAlignment="1" applyProtection="1">
      <alignment horizontal="center" vertical="top"/>
    </xf>
    <xf numFmtId="0" fontId="10" fillId="0" borderId="42" xfId="1" applyFont="1" applyBorder="1" applyAlignment="1" applyProtection="1">
      <alignment vertical="top" wrapText="1"/>
    </xf>
    <xf numFmtId="2" fontId="40" fillId="0" borderId="0" xfId="1" applyNumberFormat="1" applyFont="1" applyAlignment="1" applyProtection="1">
      <alignment horizontal="right" vertical="top"/>
    </xf>
    <xf numFmtId="0" fontId="28" fillId="0" borderId="0" xfId="1" applyFont="1" applyBorder="1" applyAlignment="1" applyProtection="1">
      <alignment vertical="top" wrapText="1"/>
    </xf>
    <xf numFmtId="2" fontId="19" fillId="0" borderId="0" xfId="1" applyNumberFormat="1" applyAlignment="1" applyProtection="1">
      <alignment horizontal="right" vertical="top"/>
    </xf>
    <xf numFmtId="2" fontId="28" fillId="0" borderId="0" xfId="1" applyNumberFormat="1" applyFont="1" applyAlignment="1" applyProtection="1">
      <alignment horizontal="left" vertical="top" wrapText="1"/>
    </xf>
    <xf numFmtId="2" fontId="28" fillId="0" borderId="0" xfId="1" applyNumberFormat="1" applyFont="1" applyAlignment="1" applyProtection="1">
      <alignment vertical="top" wrapText="1"/>
    </xf>
    <xf numFmtId="2" fontId="19" fillId="0" borderId="0" xfId="1" applyNumberFormat="1" applyAlignment="1" applyProtection="1">
      <alignment horizontal="center" vertical="top"/>
      <protection locked="0"/>
    </xf>
    <xf numFmtId="0" fontId="19" fillId="0" borderId="0" xfId="1" applyAlignment="1" applyProtection="1">
      <alignment vertical="top" wrapText="1"/>
      <protection locked="0"/>
    </xf>
    <xf numFmtId="2" fontId="10" fillId="0" borderId="57" xfId="1" applyNumberFormat="1" applyFont="1" applyBorder="1" applyAlignment="1" applyProtection="1">
      <alignment horizontal="center"/>
      <protection locked="0"/>
    </xf>
    <xf numFmtId="2" fontId="10" fillId="0" borderId="58" xfId="1" applyNumberFormat="1" applyFont="1" applyBorder="1" applyAlignment="1" applyProtection="1">
      <alignment horizontal="center"/>
      <protection locked="0"/>
    </xf>
    <xf numFmtId="2" fontId="19" fillId="0" borderId="32" xfId="1" applyNumberFormat="1" applyBorder="1" applyAlignment="1" applyProtection="1">
      <alignment horizontal="center" vertical="top"/>
      <protection locked="0"/>
    </xf>
    <xf numFmtId="2" fontId="19" fillId="0" borderId="51" xfId="1" applyNumberFormat="1" applyBorder="1" applyAlignment="1" applyProtection="1">
      <alignment horizontal="center" vertical="top"/>
      <protection locked="0"/>
    </xf>
    <xf numFmtId="14" fontId="19" fillId="0" borderId="23" xfId="1" applyNumberFormat="1" applyBorder="1" applyAlignment="1" applyProtection="1">
      <alignment horizontal="center" vertical="top"/>
      <protection locked="0"/>
    </xf>
    <xf numFmtId="2" fontId="19" fillId="0" borderId="23" xfId="1" applyNumberFormat="1" applyBorder="1" applyAlignment="1" applyProtection="1">
      <alignment horizontal="center" vertical="top"/>
      <protection locked="0"/>
    </xf>
    <xf numFmtId="2" fontId="19" fillId="0" borderId="33" xfId="1" applyNumberFormat="1" applyBorder="1" applyAlignment="1" applyProtection="1">
      <alignment horizontal="center" vertical="top"/>
      <protection locked="0"/>
    </xf>
    <xf numFmtId="2" fontId="19" fillId="0" borderId="42" xfId="1" applyNumberFormat="1" applyBorder="1" applyAlignment="1" applyProtection="1">
      <alignment horizontal="center" vertical="top"/>
      <protection locked="0"/>
    </xf>
    <xf numFmtId="2" fontId="10" fillId="0" borderId="71" xfId="1" applyNumberFormat="1" applyFont="1" applyBorder="1" applyAlignment="1" applyProtection="1">
      <alignment horizontal="center"/>
      <protection locked="0"/>
    </xf>
    <xf numFmtId="2" fontId="19" fillId="0" borderId="64" xfId="1" applyNumberFormat="1" applyBorder="1" applyAlignment="1" applyProtection="1">
      <alignment horizontal="center" vertical="top"/>
      <protection locked="0"/>
    </xf>
    <xf numFmtId="2" fontId="19" fillId="0" borderId="72" xfId="1" applyNumberFormat="1" applyBorder="1" applyAlignment="1" applyProtection="1">
      <alignment horizontal="center" vertical="top"/>
      <protection locked="0"/>
    </xf>
    <xf numFmtId="0" fontId="10" fillId="0" borderId="17" xfId="1" applyFont="1" applyBorder="1" applyAlignment="1">
      <alignment vertical="top" wrapText="1"/>
    </xf>
    <xf numFmtId="0" fontId="10" fillId="0" borderId="43" xfId="1" applyFont="1" applyBorder="1" applyAlignment="1">
      <alignment vertical="top" wrapText="1"/>
    </xf>
    <xf numFmtId="0" fontId="10" fillId="0" borderId="19" xfId="1" applyFont="1" applyBorder="1" applyAlignment="1">
      <alignment vertical="top" wrapText="1"/>
    </xf>
    <xf numFmtId="0" fontId="10" fillId="0" borderId="28" xfId="1" applyFont="1" applyBorder="1" applyAlignment="1">
      <alignment vertical="top" wrapText="1"/>
    </xf>
    <xf numFmtId="0" fontId="10" fillId="12" borderId="17" xfId="1" applyFont="1" applyFill="1" applyBorder="1" applyAlignment="1">
      <alignment vertical="top" wrapText="1"/>
    </xf>
    <xf numFmtId="0" fontId="10" fillId="0" borderId="22" xfId="1" applyFont="1" applyBorder="1" applyAlignment="1">
      <alignment vertical="top" wrapText="1"/>
    </xf>
    <xf numFmtId="2" fontId="51" fillId="6" borderId="0" xfId="0" applyNumberFormat="1" applyFont="1" applyFill="1" applyBorder="1" applyProtection="1"/>
    <xf numFmtId="2" fontId="52" fillId="6" borderId="0" xfId="0" applyNumberFormat="1" applyFont="1" applyFill="1" applyBorder="1" applyProtection="1"/>
    <xf numFmtId="2" fontId="19" fillId="0" borderId="6" xfId="1" applyNumberFormat="1" applyBorder="1" applyAlignment="1">
      <alignment horizontal="center"/>
    </xf>
    <xf numFmtId="2" fontId="19" fillId="0" borderId="9" xfId="1" applyNumberFormat="1" applyBorder="1" applyAlignment="1">
      <alignment horizontal="center"/>
    </xf>
    <xf numFmtId="2" fontId="19" fillId="0" borderId="59" xfId="1" applyNumberFormat="1" applyBorder="1" applyAlignment="1">
      <alignment horizontal="center"/>
    </xf>
    <xf numFmtId="2" fontId="19" fillId="0" borderId="55" xfId="1" applyNumberFormat="1" applyBorder="1" applyAlignment="1">
      <alignment horizontal="center"/>
    </xf>
    <xf numFmtId="2" fontId="19" fillId="0" borderId="60" xfId="1" applyNumberFormat="1" applyBorder="1" applyAlignment="1">
      <alignment horizontal="center"/>
    </xf>
    <xf numFmtId="0" fontId="25" fillId="0" borderId="1" xfId="1" applyFont="1" applyBorder="1" applyAlignment="1" applyProtection="1">
      <alignment horizontal="right" vertical="top" wrapText="1"/>
    </xf>
    <xf numFmtId="2" fontId="19" fillId="0" borderId="4" xfId="1" applyNumberFormat="1" applyBorder="1" applyAlignment="1">
      <alignment horizontal="center"/>
    </xf>
    <xf numFmtId="0" fontId="19" fillId="0" borderId="37" xfId="1" applyBorder="1" applyAlignment="1">
      <alignment wrapText="1"/>
    </xf>
    <xf numFmtId="2" fontId="19" fillId="0" borderId="45" xfId="1" applyNumberFormat="1" applyBorder="1" applyAlignment="1" applyProtection="1">
      <alignment horizontal="center"/>
      <protection locked="0"/>
    </xf>
    <xf numFmtId="2" fontId="19" fillId="0" borderId="50" xfId="1" applyNumberFormat="1" applyBorder="1" applyAlignment="1" applyProtection="1">
      <alignment horizontal="center"/>
      <protection locked="0"/>
    </xf>
    <xf numFmtId="2" fontId="19" fillId="0" borderId="65" xfId="1" applyNumberFormat="1" applyBorder="1" applyAlignment="1" applyProtection="1">
      <alignment horizontal="center"/>
      <protection locked="0"/>
    </xf>
    <xf numFmtId="2" fontId="19" fillId="0" borderId="66" xfId="1" applyNumberFormat="1" applyBorder="1" applyAlignment="1">
      <alignment horizontal="center"/>
    </xf>
    <xf numFmtId="0" fontId="10" fillId="0" borderId="67" xfId="1" applyFont="1" applyBorder="1" applyAlignment="1" applyProtection="1">
      <alignment horizontal="center" vertical="top" wrapText="1"/>
    </xf>
    <xf numFmtId="0" fontId="10" fillId="0" borderId="68" xfId="1" applyFont="1" applyBorder="1" applyAlignment="1" applyProtection="1">
      <alignment horizontal="center" vertical="top" wrapText="1"/>
    </xf>
    <xf numFmtId="0" fontId="10" fillId="0" borderId="56" xfId="1" applyFont="1" applyBorder="1" applyAlignment="1" applyProtection="1">
      <alignment horizontal="center" vertical="top" wrapText="1"/>
    </xf>
    <xf numFmtId="0" fontId="16" fillId="0" borderId="4" xfId="1" applyFont="1" applyBorder="1" applyAlignment="1">
      <alignment vertical="top" wrapText="1"/>
    </xf>
    <xf numFmtId="0" fontId="1" fillId="0" borderId="7" xfId="0" applyFont="1" applyFill="1" applyBorder="1" applyAlignment="1">
      <alignment horizontal="right" vertical="top" wrapText="1"/>
    </xf>
    <xf numFmtId="0" fontId="1" fillId="0" borderId="5" xfId="0" applyFont="1" applyFill="1" applyBorder="1" applyAlignment="1">
      <alignment horizontal="right" vertical="top" wrapText="1"/>
    </xf>
    <xf numFmtId="0" fontId="42" fillId="0" borderId="25"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34" xfId="0" applyFont="1" applyFill="1" applyBorder="1" applyAlignment="1">
      <alignment horizontal="left" vertical="top" wrapText="1"/>
    </xf>
    <xf numFmtId="0" fontId="3" fillId="0" borderId="54" xfId="0" applyFont="1" applyFill="1" applyBorder="1" applyAlignment="1">
      <alignment horizontal="right" vertical="top" wrapText="1"/>
    </xf>
    <xf numFmtId="0" fontId="1" fillId="0" borderId="37" xfId="0" applyFont="1" applyFill="1" applyBorder="1" applyAlignment="1">
      <alignment horizontal="left" vertical="top" wrapText="1"/>
    </xf>
    <xf numFmtId="0" fontId="1" fillId="0" borderId="49" xfId="0" applyFont="1" applyFill="1" applyBorder="1" applyAlignment="1">
      <alignment horizontal="left" vertical="top" wrapText="1"/>
    </xf>
    <xf numFmtId="0" fontId="37" fillId="0" borderId="8" xfId="0" applyFont="1" applyFill="1" applyBorder="1" applyAlignment="1">
      <alignment horizontal="center" vertical="top" wrapText="1"/>
    </xf>
    <xf numFmtId="0" fontId="37" fillId="0" borderId="24" xfId="0" applyFont="1" applyFill="1" applyBorder="1" applyAlignment="1">
      <alignment horizontal="center" vertical="top" wrapText="1"/>
    </xf>
    <xf numFmtId="0" fontId="37" fillId="0" borderId="26" xfId="0" applyFont="1" applyFill="1" applyBorder="1" applyAlignment="1">
      <alignment horizontal="center" vertical="top" wrapText="1"/>
    </xf>
    <xf numFmtId="0" fontId="35" fillId="0" borderId="32" xfId="0" applyFont="1" applyFill="1" applyBorder="1" applyAlignment="1">
      <alignment horizontal="left" vertical="top" wrapText="1"/>
    </xf>
    <xf numFmtId="0" fontId="35" fillId="0" borderId="23" xfId="0" applyFont="1" applyFill="1" applyBorder="1" applyAlignment="1">
      <alignment horizontal="left" vertical="top" wrapText="1"/>
    </xf>
    <xf numFmtId="0" fontId="35" fillId="0" borderId="33" xfId="0" applyFont="1" applyFill="1" applyBorder="1" applyAlignment="1">
      <alignment horizontal="left" vertical="top" wrapText="1"/>
    </xf>
    <xf numFmtId="0" fontId="35" fillId="0" borderId="21" xfId="0" applyFont="1" applyFill="1" applyBorder="1" applyAlignment="1">
      <alignment horizontal="left" vertical="top" wrapText="1"/>
    </xf>
    <xf numFmtId="0" fontId="35" fillId="0" borderId="47" xfId="0" applyFont="1" applyFill="1" applyBorder="1" applyAlignment="1">
      <alignment horizontal="left" vertical="top" wrapText="1"/>
    </xf>
    <xf numFmtId="0" fontId="35" fillId="0" borderId="48" xfId="0" applyFont="1" applyFill="1" applyBorder="1" applyAlignment="1">
      <alignment horizontal="left" vertical="top" wrapText="1"/>
    </xf>
    <xf numFmtId="0" fontId="35" fillId="0" borderId="46" xfId="0" applyFont="1" applyFill="1" applyBorder="1" applyAlignment="1">
      <alignment horizontal="left" vertical="top" wrapText="1"/>
    </xf>
    <xf numFmtId="0" fontId="36" fillId="0" borderId="8" xfId="0" applyFont="1" applyFill="1" applyBorder="1" applyAlignment="1">
      <alignment horizontal="center" vertical="top" wrapText="1"/>
    </xf>
    <xf numFmtId="0" fontId="36" fillId="0" borderId="24" xfId="0" applyFont="1" applyFill="1" applyBorder="1" applyAlignment="1">
      <alignment horizontal="center" vertical="top" wrapText="1"/>
    </xf>
    <xf numFmtId="0" fontId="36" fillId="0" borderId="26" xfId="0" applyFont="1" applyFill="1" applyBorder="1" applyAlignment="1">
      <alignment horizontal="center" vertical="top" wrapText="1"/>
    </xf>
    <xf numFmtId="0" fontId="0" fillId="0" borderId="8" xfId="0" applyFont="1" applyFill="1" applyBorder="1" applyAlignment="1">
      <alignment horizontal="center" vertical="top"/>
    </xf>
    <xf numFmtId="0" fontId="0" fillId="0" borderId="24" xfId="0" applyFont="1" applyFill="1" applyBorder="1" applyAlignment="1">
      <alignment horizontal="center" vertical="top"/>
    </xf>
    <xf numFmtId="0" fontId="0" fillId="0" borderId="26" xfId="0" applyFont="1" applyFill="1" applyBorder="1" applyAlignment="1">
      <alignment horizontal="center" vertical="top"/>
    </xf>
    <xf numFmtId="0" fontId="35" fillId="0" borderId="10" xfId="0" applyFont="1" applyFill="1" applyBorder="1" applyAlignment="1">
      <alignment horizontal="left" vertical="top" wrapText="1"/>
    </xf>
    <xf numFmtId="0" fontId="35" fillId="0" borderId="34"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23" xfId="0" applyFont="1" applyFill="1" applyBorder="1" applyAlignment="1">
      <alignment horizontal="left" vertical="top" wrapText="1"/>
    </xf>
    <xf numFmtId="0" fontId="32" fillId="0" borderId="42" xfId="0" applyFont="1" applyFill="1" applyBorder="1" applyAlignment="1">
      <alignment horizontal="left" vertical="top" wrapText="1"/>
    </xf>
    <xf numFmtId="0" fontId="35" fillId="0" borderId="35" xfId="0" applyFont="1" applyFill="1" applyBorder="1" applyAlignment="1">
      <alignment horizontal="left" vertical="top" wrapText="1"/>
    </xf>
    <xf numFmtId="0" fontId="35" fillId="0" borderId="5"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38" xfId="0" applyFont="1" applyFill="1" applyBorder="1" applyAlignment="1">
      <alignment horizontal="left" vertical="top" wrapText="1"/>
    </xf>
    <xf numFmtId="0" fontId="36" fillId="0" borderId="28" xfId="0" applyFont="1" applyFill="1" applyBorder="1" applyAlignment="1">
      <alignment horizontal="center" vertical="top" wrapText="1"/>
    </xf>
    <xf numFmtId="0" fontId="6" fillId="0" borderId="8" xfId="0" applyFont="1" applyBorder="1" applyAlignment="1">
      <alignment horizontal="center" vertical="top"/>
    </xf>
    <xf numFmtId="0" fontId="6" fillId="0" borderId="24" xfId="0" applyFont="1" applyBorder="1" applyAlignment="1">
      <alignment horizontal="center" vertical="top"/>
    </xf>
    <xf numFmtId="0" fontId="6" fillId="0" borderId="43" xfId="0" applyFont="1" applyBorder="1" applyAlignment="1">
      <alignment horizontal="center" vertical="top"/>
    </xf>
    <xf numFmtId="0" fontId="6" fillId="0" borderId="28" xfId="0" applyFont="1" applyBorder="1" applyAlignment="1">
      <alignment horizontal="center" vertical="top"/>
    </xf>
    <xf numFmtId="0" fontId="6" fillId="0" borderId="26" xfId="0" applyFont="1" applyBorder="1" applyAlignment="1">
      <alignment horizontal="center" vertical="top"/>
    </xf>
    <xf numFmtId="0" fontId="11" fillId="0" borderId="31" xfId="0" applyFont="1" applyBorder="1" applyAlignment="1">
      <alignment horizontal="left" vertical="top" wrapText="1" readingOrder="1"/>
    </xf>
    <xf numFmtId="0" fontId="11" fillId="0" borderId="40" xfId="0" applyFont="1" applyBorder="1" applyAlignment="1">
      <alignment horizontal="left" vertical="top" wrapText="1" readingOrder="1"/>
    </xf>
    <xf numFmtId="0" fontId="11" fillId="0" borderId="41" xfId="0" applyFont="1" applyBorder="1" applyAlignment="1">
      <alignment horizontal="left" vertical="top" wrapText="1" readingOrder="1"/>
    </xf>
    <xf numFmtId="0" fontId="11" fillId="0" borderId="5" xfId="0" applyFont="1" applyBorder="1" applyAlignment="1">
      <alignment horizontal="left" vertical="top" wrapText="1" readingOrder="1"/>
    </xf>
    <xf numFmtId="0" fontId="11" fillId="0" borderId="0" xfId="0" applyFont="1" applyBorder="1" applyAlignment="1">
      <alignment horizontal="left" vertical="top" wrapText="1" readingOrder="1"/>
    </xf>
    <xf numFmtId="0" fontId="11" fillId="0" borderId="18" xfId="0" applyFont="1" applyBorder="1" applyAlignment="1">
      <alignment horizontal="left" vertical="top" wrapText="1" readingOrder="1"/>
    </xf>
    <xf numFmtId="0" fontId="11" fillId="0" borderId="30" xfId="0" applyFont="1" applyBorder="1" applyAlignment="1">
      <alignment horizontal="left" vertical="top" wrapText="1" readingOrder="1"/>
    </xf>
    <xf numFmtId="2" fontId="26" fillId="0" borderId="1" xfId="1" applyNumberFormat="1" applyFont="1" applyBorder="1" applyAlignment="1" applyProtection="1">
      <alignment horizontal="center"/>
    </xf>
    <xf numFmtId="2" fontId="26" fillId="0" borderId="2" xfId="1" applyNumberFormat="1" applyFont="1" applyBorder="1" applyAlignment="1" applyProtection="1">
      <alignment horizontal="center"/>
    </xf>
    <xf numFmtId="2" fontId="26" fillId="0" borderId="3" xfId="1" applyNumberFormat="1" applyFont="1" applyBorder="1" applyAlignment="1" applyProtection="1">
      <alignment horizontal="center"/>
    </xf>
    <xf numFmtId="2" fontId="26" fillId="0" borderId="47" xfId="1" applyNumberFormat="1" applyFont="1" applyBorder="1" applyAlignment="1" applyProtection="1">
      <alignment horizontal="center"/>
    </xf>
    <xf numFmtId="2" fontId="26" fillId="0" borderId="69" xfId="1" applyNumberFormat="1" applyFont="1" applyBorder="1" applyAlignment="1" applyProtection="1">
      <alignment horizontal="center"/>
    </xf>
    <xf numFmtId="2" fontId="26" fillId="0" borderId="73" xfId="1" applyNumberFormat="1" applyFont="1" applyBorder="1" applyAlignment="1" applyProtection="1">
      <alignment horizontal="center"/>
    </xf>
    <xf numFmtId="0" fontId="10" fillId="0" borderId="1" xfId="1" applyFont="1" applyBorder="1" applyAlignment="1" applyProtection="1">
      <alignment horizontal="left" vertical="top" wrapText="1"/>
    </xf>
    <xf numFmtId="0" fontId="10" fillId="0" borderId="2" xfId="1" applyFont="1" applyBorder="1" applyAlignment="1" applyProtection="1">
      <alignment horizontal="left" vertical="top" wrapText="1"/>
    </xf>
    <xf numFmtId="0" fontId="10" fillId="0" borderId="3" xfId="1" applyFont="1" applyBorder="1" applyAlignment="1" applyProtection="1">
      <alignment horizontal="left" vertical="top" wrapText="1"/>
    </xf>
    <xf numFmtId="2" fontId="26" fillId="0" borderId="7" xfId="1" applyNumberFormat="1" applyFont="1" applyBorder="1" applyAlignment="1" applyProtection="1">
      <alignment horizontal="center"/>
    </xf>
    <xf numFmtId="2" fontId="26" fillId="0" borderId="5" xfId="1" applyNumberFormat="1" applyFont="1" applyBorder="1" applyAlignment="1" applyProtection="1">
      <alignment horizontal="center"/>
    </xf>
    <xf numFmtId="2" fontId="26" fillId="0" borderId="10" xfId="1" applyNumberFormat="1" applyFont="1" applyBorder="1" applyAlignment="1" applyProtection="1">
      <alignment horizontal="center"/>
    </xf>
    <xf numFmtId="0" fontId="28" fillId="0" borderId="0" xfId="1" applyFont="1" applyBorder="1" applyAlignment="1" applyProtection="1">
      <alignment horizontal="left" vertical="top" wrapText="1"/>
    </xf>
    <xf numFmtId="2" fontId="28" fillId="0" borderId="0" xfId="1" applyNumberFormat="1" applyFont="1" applyAlignment="1" applyProtection="1">
      <alignment horizontal="left" vertical="top" wrapText="1"/>
    </xf>
    <xf numFmtId="0" fontId="47" fillId="7" borderId="1" xfId="1" applyFont="1" applyFill="1" applyBorder="1" applyAlignment="1">
      <alignment horizontal="left" vertical="center" wrapText="1"/>
    </xf>
    <xf numFmtId="0" fontId="47" fillId="7" borderId="2" xfId="1" applyFont="1" applyFill="1" applyBorder="1" applyAlignment="1">
      <alignment horizontal="left" vertical="center" wrapText="1"/>
    </xf>
    <xf numFmtId="0" fontId="47" fillId="7" borderId="3" xfId="1" applyFont="1" applyFill="1" applyBorder="1" applyAlignment="1">
      <alignment horizontal="left" vertical="center" wrapText="1"/>
    </xf>
    <xf numFmtId="0" fontId="49" fillId="0" borderId="15" xfId="1" applyFont="1" applyFill="1" applyBorder="1" applyAlignment="1">
      <alignment horizontal="left" vertical="center" wrapText="1"/>
    </xf>
    <xf numFmtId="0" fontId="49" fillId="0" borderId="0" xfId="1" applyFont="1" applyFill="1" applyBorder="1" applyAlignment="1">
      <alignment horizontal="left" vertical="center" wrapText="1"/>
    </xf>
    <xf numFmtId="0" fontId="23" fillId="0" borderId="7" xfId="1" applyFont="1" applyFill="1" applyBorder="1" applyAlignment="1">
      <alignment horizontal="left" vertical="top" wrapText="1"/>
    </xf>
    <xf numFmtId="0" fontId="23" fillId="0" borderId="10" xfId="1" applyFont="1" applyFill="1" applyBorder="1" applyAlignment="1">
      <alignment horizontal="left" vertical="top" wrapText="1"/>
    </xf>
    <xf numFmtId="0" fontId="23" fillId="0" borderId="5" xfId="1" applyFont="1" applyFill="1" applyBorder="1" applyAlignment="1">
      <alignment horizontal="left" vertical="top" wrapText="1"/>
    </xf>
  </cellXfs>
  <cellStyles count="3">
    <cellStyle name="Normal" xfId="0" builtinId="0"/>
    <cellStyle name="Normal 2" xfId="1" xr:uid="{00000000-0005-0000-0000-000001000000}"/>
    <cellStyle name="Percent 2" xfId="2" xr:uid="{00000000-0005-0000-0000-000002000000}"/>
  </cellStyles>
  <dxfs count="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FF33"/>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ul/documents/Alaska_NearshoreTidal/Calculator/Nearshore%20Calculator%20SEAK%20beta%2027March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
      <sheetName val="F"/>
      <sheetName val="SCORES"/>
      <sheetName val="MACROALGAE"/>
      <sheetName val="INVERTEBRATES"/>
      <sheetName val="FISH"/>
      <sheetName val="PINNIPEDS"/>
      <sheetName val="BIRDS_intertidal"/>
      <sheetName val="WILDLIFE_Supratidal"/>
      <sheetName val="PLANTS"/>
      <sheetName val="FILTER"/>
      <sheetName val="SUBSIDY"/>
      <sheetName val="HUMAN USE"/>
      <sheetName val="Template"/>
      <sheetName val="LUp"/>
    </sheetNames>
    <sheetDataSet>
      <sheetData sheetId="0"/>
      <sheetData sheetId="1"/>
      <sheetData sheetId="2"/>
      <sheetData sheetId="3">
        <row r="129">
          <cell r="E129">
            <v>64</v>
          </cell>
        </row>
      </sheetData>
      <sheetData sheetId="4">
        <row r="164">
          <cell r="E164">
            <v>77</v>
          </cell>
        </row>
      </sheetData>
      <sheetData sheetId="5">
        <row r="149">
          <cell r="E149">
            <v>67</v>
          </cell>
        </row>
      </sheetData>
      <sheetData sheetId="6">
        <row r="75">
          <cell r="E75">
            <v>42</v>
          </cell>
        </row>
      </sheetData>
      <sheetData sheetId="7">
        <row r="157">
          <cell r="E157" t="e">
            <v>#DIV/0!</v>
          </cell>
        </row>
      </sheetData>
      <sheetData sheetId="8">
        <row r="174">
          <cell r="E174">
            <v>92</v>
          </cell>
        </row>
      </sheetData>
      <sheetData sheetId="9">
        <row r="170">
          <cell r="E170">
            <v>82</v>
          </cell>
        </row>
      </sheetData>
      <sheetData sheetId="10">
        <row r="116">
          <cell r="E116">
            <v>50</v>
          </cell>
        </row>
      </sheetData>
      <sheetData sheetId="11">
        <row r="172">
          <cell r="E172">
            <v>86</v>
          </cell>
        </row>
      </sheetData>
      <sheetData sheetId="12">
        <row r="119">
          <cell r="G119">
            <v>37</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33"/>
  </sheetPr>
  <dimension ref="A1:A22"/>
  <sheetViews>
    <sheetView workbookViewId="0">
      <selection activeCell="D4" sqref="D4"/>
    </sheetView>
  </sheetViews>
  <sheetFormatPr defaultColWidth="8.85546875" defaultRowHeight="15" x14ac:dyDescent="0.25"/>
  <cols>
    <col min="1" max="1" width="124" style="12" customWidth="1"/>
    <col min="2" max="16384" width="8.85546875" style="12"/>
  </cols>
  <sheetData>
    <row r="1" spans="1:1" ht="28.15" customHeight="1" thickBot="1" x14ac:dyDescent="0.3">
      <c r="A1" s="395" t="s">
        <v>539</v>
      </c>
    </row>
    <row r="2" spans="1:1" ht="24.6" customHeight="1" thickBot="1" x14ac:dyDescent="0.3">
      <c r="A2" s="439" t="s">
        <v>538</v>
      </c>
    </row>
    <row r="3" spans="1:1" ht="244.15" customHeight="1" thickBot="1" x14ac:dyDescent="0.3">
      <c r="A3" s="440" t="s">
        <v>584</v>
      </c>
    </row>
    <row r="22" spans="1:1" ht="28.15" customHeight="1" x14ac:dyDescent="0.25">
      <c r="A22" s="394" t="s">
        <v>463</v>
      </c>
    </row>
  </sheetData>
  <sheetProtection password="C08A"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51"/>
  <sheetViews>
    <sheetView topLeftCell="A5" workbookViewId="0">
      <selection sqref="A1:B1"/>
    </sheetView>
  </sheetViews>
  <sheetFormatPr defaultColWidth="8.28515625" defaultRowHeight="12.75" x14ac:dyDescent="0.25"/>
  <cols>
    <col min="1" max="1" width="5.28515625" style="54" customWidth="1"/>
    <col min="2" max="2" width="47.28515625" style="54" customWidth="1"/>
    <col min="3" max="3" width="8.42578125" style="54" customWidth="1"/>
    <col min="4" max="4" width="13.42578125" style="55" customWidth="1"/>
    <col min="5" max="5" width="7.140625" style="54" customWidth="1"/>
    <col min="6" max="6" width="104.140625" style="53" customWidth="1"/>
    <col min="7" max="7" width="66.28515625" style="54" customWidth="1"/>
    <col min="8" max="8" width="12.140625" style="54" customWidth="1"/>
    <col min="9" max="16384" width="8.28515625" style="54"/>
  </cols>
  <sheetData>
    <row r="1" spans="1:8" ht="21" thickBot="1" x14ac:dyDescent="0.3">
      <c r="A1" s="617" t="s">
        <v>211</v>
      </c>
      <c r="B1" s="618"/>
      <c r="C1" s="16"/>
      <c r="D1" s="26"/>
      <c r="E1" s="26"/>
      <c r="F1" s="162"/>
    </row>
    <row r="2" spans="1:8" ht="24" customHeight="1" x14ac:dyDescent="0.2">
      <c r="A2" s="196" t="s">
        <v>0</v>
      </c>
      <c r="B2" s="19" t="s">
        <v>1</v>
      </c>
      <c r="C2" s="215" t="s">
        <v>2</v>
      </c>
      <c r="D2" s="264" t="s">
        <v>198</v>
      </c>
      <c r="E2" s="265"/>
      <c r="F2" s="266" t="s">
        <v>139</v>
      </c>
      <c r="G2" s="56"/>
      <c r="H2" s="57"/>
    </row>
    <row r="3" spans="1:8" ht="25.5" x14ac:dyDescent="0.25">
      <c r="A3" s="191" t="s">
        <v>118</v>
      </c>
      <c r="B3" s="407" t="s">
        <v>3</v>
      </c>
      <c r="C3" s="69">
        <f>IF((Subregn=0.5),1,IF((Subregn=0),0.5,0))</f>
        <v>0.5</v>
      </c>
      <c r="D3" s="67" t="s">
        <v>151</v>
      </c>
      <c r="E3" s="139"/>
      <c r="F3" s="164" t="s">
        <v>294</v>
      </c>
      <c r="H3" s="59"/>
    </row>
    <row r="4" spans="1:8" ht="25.5" x14ac:dyDescent="0.25">
      <c r="A4" s="191" t="s">
        <v>123</v>
      </c>
      <c r="B4" s="407" t="s">
        <v>483</v>
      </c>
      <c r="C4" s="69">
        <f>eelgrass</f>
        <v>0</v>
      </c>
      <c r="D4" s="68" t="s">
        <v>157</v>
      </c>
      <c r="E4" s="140"/>
      <c r="F4" s="96" t="s">
        <v>293</v>
      </c>
    </row>
    <row r="5" spans="1:8" ht="25.5" x14ac:dyDescent="0.25">
      <c r="A5" s="191" t="s">
        <v>124</v>
      </c>
      <c r="B5" s="407" t="s">
        <v>5</v>
      </c>
      <c r="C5" s="69">
        <f>kelp</f>
        <v>0</v>
      </c>
      <c r="D5" s="68" t="s">
        <v>158</v>
      </c>
      <c r="E5" s="140"/>
      <c r="F5" s="96" t="s">
        <v>292</v>
      </c>
    </row>
    <row r="6" spans="1:8" ht="15" x14ac:dyDescent="0.25">
      <c r="A6" s="191" t="s">
        <v>127</v>
      </c>
      <c r="B6" s="407" t="s">
        <v>106</v>
      </c>
      <c r="C6" s="69" t="str">
        <f>IF((eulachon=""),"",eulachon)</f>
        <v/>
      </c>
      <c r="D6" s="68" t="s">
        <v>164</v>
      </c>
      <c r="E6" s="140"/>
      <c r="F6" s="96" t="s">
        <v>285</v>
      </c>
    </row>
    <row r="7" spans="1:8" ht="15" x14ac:dyDescent="0.25">
      <c r="A7" s="191" t="s">
        <v>128</v>
      </c>
      <c r="B7" s="407" t="s">
        <v>6</v>
      </c>
      <c r="C7" s="69" t="str">
        <f>IF((herring=""),"",herring)</f>
        <v/>
      </c>
      <c r="D7" s="67" t="s">
        <v>165</v>
      </c>
      <c r="E7" s="139"/>
      <c r="F7" s="96" t="s">
        <v>490</v>
      </c>
      <c r="H7" s="59"/>
    </row>
    <row r="8" spans="1:8" ht="15" x14ac:dyDescent="0.25">
      <c r="A8" s="191" t="s">
        <v>129</v>
      </c>
      <c r="B8" s="407" t="s">
        <v>108</v>
      </c>
      <c r="C8" s="69">
        <f>distAnad</f>
        <v>0</v>
      </c>
      <c r="D8" s="68" t="s">
        <v>193</v>
      </c>
      <c r="E8" s="140"/>
      <c r="F8" s="96" t="s">
        <v>282</v>
      </c>
    </row>
    <row r="9" spans="1:8" ht="30" x14ac:dyDescent="0.25">
      <c r="A9" s="191" t="s">
        <v>136</v>
      </c>
      <c r="B9" s="407" t="s">
        <v>367</v>
      </c>
      <c r="C9" s="362" t="str">
        <f>IF((salmoshedAll=""),"",salmoshedAll)</f>
        <v/>
      </c>
      <c r="D9" s="52" t="s">
        <v>162</v>
      </c>
      <c r="E9" s="141"/>
      <c r="F9" s="96" t="s">
        <v>283</v>
      </c>
    </row>
    <row r="10" spans="1:8" ht="30" x14ac:dyDescent="0.25">
      <c r="A10" s="191" t="s">
        <v>137</v>
      </c>
      <c r="B10" s="407" t="s">
        <v>368</v>
      </c>
      <c r="C10" s="66" t="str">
        <f>IF((salmoshedBest=""),"",salmoshedBest)</f>
        <v/>
      </c>
      <c r="D10" s="52" t="s">
        <v>163</v>
      </c>
      <c r="E10" s="141"/>
      <c r="F10" s="96" t="s">
        <v>284</v>
      </c>
    </row>
    <row r="11" spans="1:8" ht="26.25" thickBot="1" x14ac:dyDescent="0.3">
      <c r="A11" s="192" t="s">
        <v>138</v>
      </c>
      <c r="B11" s="416" t="s">
        <v>364</v>
      </c>
      <c r="C11" s="108" t="str">
        <f>IF((shedestu=""),"",shedestu)</f>
        <v/>
      </c>
      <c r="D11" s="110" t="s">
        <v>175</v>
      </c>
      <c r="E11" s="142"/>
      <c r="F11" s="166" t="s">
        <v>286</v>
      </c>
    </row>
    <row r="12" spans="1:8" ht="26.25" thickBot="1" x14ac:dyDescent="0.3">
      <c r="A12" s="193" t="s">
        <v>23</v>
      </c>
      <c r="B12" s="417" t="s">
        <v>109</v>
      </c>
      <c r="C12" s="260">
        <f>diststream</f>
        <v>0</v>
      </c>
      <c r="D12" s="261" t="s">
        <v>183</v>
      </c>
      <c r="E12" s="262"/>
      <c r="F12" s="263" t="s">
        <v>287</v>
      </c>
      <c r="H12" s="59"/>
    </row>
    <row r="13" spans="1:8" ht="30" x14ac:dyDescent="0.25">
      <c r="A13" s="194" t="s">
        <v>89</v>
      </c>
      <c r="B13" s="414" t="s">
        <v>226</v>
      </c>
      <c r="C13" s="257">
        <f>floodpct</f>
        <v>0</v>
      </c>
      <c r="D13" s="258" t="s">
        <v>205</v>
      </c>
      <c r="E13" s="259"/>
      <c r="F13" s="168" t="s">
        <v>289</v>
      </c>
    </row>
    <row r="14" spans="1:8" ht="30" x14ac:dyDescent="0.25">
      <c r="A14" s="191" t="s">
        <v>91</v>
      </c>
      <c r="B14" s="415" t="s">
        <v>491</v>
      </c>
      <c r="C14" s="69">
        <f>kelppct</f>
        <v>0</v>
      </c>
      <c r="D14" s="68" t="s">
        <v>201</v>
      </c>
      <c r="E14" s="140"/>
      <c r="F14" s="96" t="s">
        <v>407</v>
      </c>
    </row>
    <row r="15" spans="1:8" ht="15" x14ac:dyDescent="0.25">
      <c r="A15" s="192" t="s">
        <v>93</v>
      </c>
      <c r="B15" s="107" t="s">
        <v>52</v>
      </c>
      <c r="C15" s="108">
        <f>Lwood</f>
        <v>0</v>
      </c>
      <c r="D15" s="110" t="s">
        <v>210</v>
      </c>
      <c r="E15" s="142"/>
      <c r="F15" s="166" t="s">
        <v>290</v>
      </c>
    </row>
    <row r="16" spans="1:8" s="18" customFormat="1" ht="15.75" thickBot="1" x14ac:dyDescent="0.3">
      <c r="A16" s="247" t="s">
        <v>94</v>
      </c>
      <c r="B16" s="104" t="s">
        <v>111</v>
      </c>
      <c r="C16" s="105">
        <f>turbid</f>
        <v>0</v>
      </c>
      <c r="D16" s="244" t="s">
        <v>208</v>
      </c>
      <c r="E16" s="208"/>
      <c r="F16" s="178" t="s">
        <v>291</v>
      </c>
      <c r="G16" s="12"/>
    </row>
    <row r="17" spans="2:8" ht="13.5" thickBot="1" x14ac:dyDescent="0.3">
      <c r="E17" s="27"/>
      <c r="F17" s="251" t="s">
        <v>203</v>
      </c>
    </row>
    <row r="18" spans="2:8" ht="13.5" thickBot="1" x14ac:dyDescent="0.3">
      <c r="B18" s="65" t="s">
        <v>244</v>
      </c>
      <c r="D18" s="55" t="s">
        <v>526</v>
      </c>
      <c r="E18" s="429">
        <f>10* (AVERAGE(factorA3,factorB3, AVERAGE(factorC3, factorD3, factorE3)))</f>
        <v>0</v>
      </c>
      <c r="F18" s="252" t="s">
        <v>540</v>
      </c>
    </row>
    <row r="19" spans="2:8" ht="13.5" thickBot="1" x14ac:dyDescent="0.3">
      <c r="D19" s="23"/>
      <c r="E19" s="91"/>
      <c r="F19" s="253" t="s">
        <v>229</v>
      </c>
    </row>
    <row r="20" spans="2:8" x14ac:dyDescent="0.25">
      <c r="D20" s="93" t="s">
        <v>553</v>
      </c>
      <c r="E20" s="94">
        <f>MAX(distAnad, eulachon, herring)</f>
        <v>0</v>
      </c>
      <c r="F20" s="254" t="s">
        <v>232</v>
      </c>
    </row>
    <row r="21" spans="2:8" x14ac:dyDescent="0.25">
      <c r="D21" s="95" t="s">
        <v>554</v>
      </c>
      <c r="E21" s="87" t="str">
        <f>IF((kelp+eelgrass=0), "", AVERAGE(kelppct,eelgrass))</f>
        <v/>
      </c>
      <c r="F21" s="255" t="s">
        <v>297</v>
      </c>
    </row>
    <row r="22" spans="2:8" x14ac:dyDescent="0.25">
      <c r="D22" s="95" t="s">
        <v>555</v>
      </c>
      <c r="E22" s="87">
        <f>AVERAGE(Subregn, turbid, diststream, Lwood)</f>
        <v>0</v>
      </c>
      <c r="F22" s="255" t="s">
        <v>295</v>
      </c>
    </row>
    <row r="23" spans="2:8" x14ac:dyDescent="0.25">
      <c r="D23" s="95" t="s">
        <v>556</v>
      </c>
      <c r="E23" s="87">
        <f>IFERROR(MAX(salmoshedAll,salmoshedBest,shedestu),"")</f>
        <v>0</v>
      </c>
      <c r="F23" s="96" t="s">
        <v>233</v>
      </c>
    </row>
    <row r="24" spans="2:8" ht="13.5" thickBot="1" x14ac:dyDescent="0.3">
      <c r="D24" s="97" t="s">
        <v>557</v>
      </c>
      <c r="E24" s="98">
        <f xml:space="preserve"> floodpct</f>
        <v>0</v>
      </c>
      <c r="F24" s="99" t="s">
        <v>205</v>
      </c>
    </row>
    <row r="25" spans="2:8" x14ac:dyDescent="0.25">
      <c r="E25" s="55"/>
      <c r="F25" s="82"/>
    </row>
    <row r="26" spans="2:8" x14ac:dyDescent="0.25">
      <c r="E26" s="55"/>
      <c r="F26" s="82"/>
    </row>
    <row r="27" spans="2:8" x14ac:dyDescent="0.25">
      <c r="E27" s="55"/>
      <c r="F27" s="82"/>
    </row>
    <row r="28" spans="2:8" x14ac:dyDescent="0.25">
      <c r="E28" s="55"/>
      <c r="F28" s="82"/>
    </row>
    <row r="29" spans="2:8" x14ac:dyDescent="0.25">
      <c r="E29" s="55"/>
      <c r="F29" s="82"/>
    </row>
    <row r="30" spans="2:8" x14ac:dyDescent="0.25">
      <c r="E30" s="55"/>
      <c r="F30" s="82"/>
    </row>
    <row r="31" spans="2:8" ht="15" x14ac:dyDescent="0.25">
      <c r="D31" s="54"/>
      <c r="E31" s="51"/>
      <c r="F31" s="83"/>
      <c r="H31" s="59"/>
    </row>
    <row r="32" spans="2:8" x14ac:dyDescent="0.25">
      <c r="E32" s="55"/>
    </row>
    <row r="33" spans="4:8" x14ac:dyDescent="0.25">
      <c r="E33" s="55"/>
    </row>
    <row r="34" spans="4:8" ht="15" x14ac:dyDescent="0.25">
      <c r="D34" s="54"/>
      <c r="E34" s="51"/>
      <c r="F34" s="83"/>
      <c r="H34" s="59"/>
    </row>
    <row r="35" spans="4:8" x14ac:dyDescent="0.25">
      <c r="E35" s="55"/>
      <c r="F35" s="82"/>
    </row>
    <row r="36" spans="4:8" x14ac:dyDescent="0.25">
      <c r="E36" s="55"/>
      <c r="F36" s="82"/>
    </row>
    <row r="37" spans="4:8" x14ac:dyDescent="0.25">
      <c r="E37" s="55"/>
      <c r="F37" s="82"/>
    </row>
    <row r="38" spans="4:8" x14ac:dyDescent="0.25">
      <c r="E38" s="55"/>
      <c r="F38" s="82"/>
    </row>
    <row r="39" spans="4:8" x14ac:dyDescent="0.25">
      <c r="E39" s="55"/>
      <c r="F39" s="82"/>
    </row>
    <row r="40" spans="4:8" x14ac:dyDescent="0.25">
      <c r="E40" s="55"/>
      <c r="F40" s="82"/>
    </row>
    <row r="41" spans="4:8" x14ac:dyDescent="0.25">
      <c r="E41" s="55"/>
      <c r="F41" s="82"/>
    </row>
    <row r="42" spans="4:8" x14ac:dyDescent="0.25">
      <c r="E42" s="55"/>
      <c r="F42" s="82"/>
    </row>
    <row r="43" spans="4:8" x14ac:dyDescent="0.25">
      <c r="E43" s="55"/>
      <c r="F43" s="82"/>
    </row>
    <row r="44" spans="4:8" x14ac:dyDescent="0.25">
      <c r="E44" s="55"/>
      <c r="F44" s="82"/>
    </row>
    <row r="45" spans="4:8" x14ac:dyDescent="0.25">
      <c r="E45" s="55"/>
      <c r="F45" s="82"/>
    </row>
    <row r="46" spans="4:8" x14ac:dyDescent="0.25">
      <c r="E46" s="55"/>
      <c r="F46" s="82"/>
    </row>
    <row r="47" spans="4:8" x14ac:dyDescent="0.25">
      <c r="E47" s="55"/>
      <c r="F47" s="82"/>
    </row>
    <row r="48" spans="4:8" x14ac:dyDescent="0.25">
      <c r="E48" s="55"/>
      <c r="F48" s="82"/>
    </row>
    <row r="49" spans="4:8" x14ac:dyDescent="0.25">
      <c r="E49" s="55"/>
      <c r="F49" s="82"/>
    </row>
    <row r="50" spans="4:8" x14ac:dyDescent="0.25">
      <c r="E50" s="55"/>
      <c r="F50" s="82"/>
    </row>
    <row r="51" spans="4:8" x14ac:dyDescent="0.25">
      <c r="E51" s="55"/>
      <c r="F51" s="82"/>
    </row>
    <row r="52" spans="4:8" x14ac:dyDescent="0.25">
      <c r="E52" s="55"/>
      <c r="F52" s="82"/>
    </row>
    <row r="53" spans="4:8" x14ac:dyDescent="0.25">
      <c r="E53" s="55"/>
      <c r="F53" s="82"/>
    </row>
    <row r="54" spans="4:8" x14ac:dyDescent="0.25">
      <c r="E54" s="55"/>
      <c r="F54" s="82"/>
    </row>
    <row r="55" spans="4:8" ht="15" x14ac:dyDescent="0.25">
      <c r="D55" s="54"/>
      <c r="E55" s="51"/>
      <c r="F55" s="83"/>
      <c r="H55" s="59"/>
    </row>
    <row r="56" spans="4:8" x14ac:dyDescent="0.25">
      <c r="E56" s="55"/>
    </row>
    <row r="57" spans="4:8" x14ac:dyDescent="0.25">
      <c r="E57" s="55"/>
    </row>
    <row r="58" spans="4:8" ht="15" x14ac:dyDescent="0.25">
      <c r="D58" s="54"/>
      <c r="E58" s="51"/>
      <c r="F58" s="83"/>
      <c r="H58" s="59"/>
    </row>
    <row r="59" spans="4:8" x14ac:dyDescent="0.25">
      <c r="E59" s="55"/>
      <c r="F59" s="83"/>
    </row>
    <row r="60" spans="4:8" x14ac:dyDescent="0.25">
      <c r="E60" s="55"/>
      <c r="F60" s="83"/>
    </row>
    <row r="61" spans="4:8" ht="15" x14ac:dyDescent="0.25">
      <c r="D61" s="54"/>
      <c r="E61" s="51"/>
      <c r="F61" s="83"/>
      <c r="H61" s="59"/>
    </row>
    <row r="62" spans="4:8" x14ac:dyDescent="0.25">
      <c r="E62" s="55"/>
      <c r="F62" s="82"/>
    </row>
    <row r="63" spans="4:8" x14ac:dyDescent="0.25">
      <c r="E63" s="55"/>
      <c r="F63" s="82"/>
    </row>
    <row r="64" spans="4:8" x14ac:dyDescent="0.25">
      <c r="E64" s="55"/>
      <c r="F64" s="82"/>
    </row>
    <row r="65" spans="4:8" x14ac:dyDescent="0.25">
      <c r="E65" s="55"/>
      <c r="F65" s="82"/>
    </row>
    <row r="66" spans="4:8" x14ac:dyDescent="0.25">
      <c r="E66" s="55"/>
      <c r="F66" s="82"/>
    </row>
    <row r="67" spans="4:8" x14ac:dyDescent="0.25">
      <c r="E67" s="55"/>
      <c r="F67" s="82"/>
    </row>
    <row r="68" spans="4:8" ht="15" x14ac:dyDescent="0.25">
      <c r="D68" s="54"/>
      <c r="E68" s="51"/>
      <c r="F68" s="83"/>
      <c r="H68" s="59"/>
    </row>
    <row r="69" spans="4:8" x14ac:dyDescent="0.25">
      <c r="E69" s="55"/>
      <c r="F69" s="82"/>
    </row>
    <row r="70" spans="4:8" x14ac:dyDescent="0.25">
      <c r="E70" s="55"/>
      <c r="F70" s="82"/>
    </row>
    <row r="71" spans="4:8" x14ac:dyDescent="0.25">
      <c r="E71" s="55"/>
      <c r="F71" s="82"/>
    </row>
    <row r="72" spans="4:8" x14ac:dyDescent="0.25">
      <c r="E72" s="55"/>
      <c r="F72" s="82"/>
    </row>
    <row r="73" spans="4:8" x14ac:dyDescent="0.25">
      <c r="E73" s="55"/>
      <c r="F73" s="82"/>
    </row>
    <row r="74" spans="4:8" x14ac:dyDescent="0.25">
      <c r="E74" s="55"/>
      <c r="F74" s="82"/>
    </row>
    <row r="75" spans="4:8" x14ac:dyDescent="0.25">
      <c r="D75" s="54"/>
    </row>
    <row r="81" spans="4:8" ht="15" x14ac:dyDescent="0.25">
      <c r="D81" s="54"/>
      <c r="E81" s="51"/>
      <c r="F81" s="83"/>
      <c r="H81" s="59"/>
    </row>
    <row r="82" spans="4:8" x14ac:dyDescent="0.25">
      <c r="E82" s="55"/>
      <c r="F82" s="82"/>
    </row>
    <row r="83" spans="4:8" x14ac:dyDescent="0.25">
      <c r="E83" s="55"/>
      <c r="F83" s="82"/>
    </row>
    <row r="84" spans="4:8" x14ac:dyDescent="0.25">
      <c r="E84" s="55"/>
      <c r="F84" s="82"/>
    </row>
    <row r="85" spans="4:8" x14ac:dyDescent="0.25">
      <c r="E85" s="55"/>
      <c r="F85" s="82"/>
    </row>
    <row r="86" spans="4:8" x14ac:dyDescent="0.25">
      <c r="E86" s="55"/>
      <c r="F86" s="82"/>
    </row>
    <row r="87" spans="4:8" ht="15" x14ac:dyDescent="0.25">
      <c r="D87" s="54"/>
      <c r="E87" s="51"/>
      <c r="F87" s="83"/>
      <c r="H87" s="59"/>
    </row>
    <row r="88" spans="4:8" x14ac:dyDescent="0.25">
      <c r="E88" s="55"/>
      <c r="F88" s="82"/>
    </row>
    <row r="89" spans="4:8" x14ac:dyDescent="0.25">
      <c r="E89" s="55"/>
      <c r="F89" s="82"/>
    </row>
    <row r="90" spans="4:8" x14ac:dyDescent="0.25">
      <c r="E90" s="55"/>
      <c r="F90" s="82"/>
    </row>
    <row r="91" spans="4:8" x14ac:dyDescent="0.25">
      <c r="E91" s="55"/>
      <c r="F91" s="82"/>
    </row>
    <row r="92" spans="4:8" x14ac:dyDescent="0.25">
      <c r="E92" s="55"/>
      <c r="F92" s="82"/>
    </row>
    <row r="93" spans="4:8" ht="15" x14ac:dyDescent="0.25">
      <c r="D93" s="54"/>
      <c r="E93" s="51"/>
      <c r="F93" s="83"/>
      <c r="H93" s="59"/>
    </row>
    <row r="94" spans="4:8" x14ac:dyDescent="0.25">
      <c r="E94" s="55"/>
      <c r="F94" s="82"/>
    </row>
    <row r="95" spans="4:8" x14ac:dyDescent="0.25">
      <c r="E95" s="55"/>
      <c r="F95" s="82"/>
    </row>
    <row r="96" spans="4:8" x14ac:dyDescent="0.25">
      <c r="E96" s="55"/>
      <c r="F96" s="82"/>
    </row>
    <row r="97" spans="4:8" x14ac:dyDescent="0.25">
      <c r="E97" s="55"/>
      <c r="F97" s="82"/>
    </row>
    <row r="98" spans="4:8" x14ac:dyDescent="0.25">
      <c r="E98" s="55"/>
      <c r="F98" s="82"/>
    </row>
    <row r="99" spans="4:8" ht="15" x14ac:dyDescent="0.25">
      <c r="D99" s="54"/>
      <c r="E99" s="51"/>
      <c r="F99" s="83"/>
      <c r="H99" s="59"/>
    </row>
    <row r="100" spans="4:8" x14ac:dyDescent="0.25">
      <c r="E100" s="55"/>
      <c r="F100" s="82"/>
    </row>
    <row r="101" spans="4:8" x14ac:dyDescent="0.25">
      <c r="E101" s="55"/>
      <c r="F101" s="82"/>
    </row>
    <row r="102" spans="4:8" x14ac:dyDescent="0.25">
      <c r="E102" s="55"/>
      <c r="F102" s="82"/>
    </row>
    <row r="103" spans="4:8" x14ac:dyDescent="0.25">
      <c r="E103" s="55"/>
      <c r="F103" s="82"/>
    </row>
    <row r="104" spans="4:8" x14ac:dyDescent="0.25">
      <c r="E104" s="55"/>
      <c r="F104" s="82"/>
    </row>
    <row r="105" spans="4:8" x14ac:dyDescent="0.25">
      <c r="E105" s="55"/>
      <c r="F105" s="82"/>
    </row>
    <row r="106" spans="4:8" x14ac:dyDescent="0.25">
      <c r="E106" s="55"/>
      <c r="F106" s="82"/>
    </row>
    <row r="107" spans="4:8" x14ac:dyDescent="0.25">
      <c r="E107" s="55"/>
      <c r="F107" s="82"/>
    </row>
    <row r="108" spans="4:8" ht="15" x14ac:dyDescent="0.25">
      <c r="D108" s="54"/>
      <c r="E108" s="51"/>
      <c r="F108" s="83"/>
      <c r="H108" s="59"/>
    </row>
    <row r="109" spans="4:8" x14ac:dyDescent="0.25">
      <c r="E109" s="55"/>
      <c r="F109" s="82"/>
    </row>
    <row r="110" spans="4:8" x14ac:dyDescent="0.25">
      <c r="E110" s="55"/>
      <c r="F110" s="82"/>
    </row>
    <row r="111" spans="4:8" x14ac:dyDescent="0.25">
      <c r="E111" s="55"/>
      <c r="F111" s="82"/>
    </row>
    <row r="112" spans="4:8" x14ac:dyDescent="0.25">
      <c r="E112" s="55"/>
      <c r="F112" s="82"/>
    </row>
    <row r="113" spans="4:8" x14ac:dyDescent="0.25">
      <c r="E113" s="55"/>
      <c r="F113" s="82"/>
    </row>
    <row r="114" spans="4:8" x14ac:dyDescent="0.25">
      <c r="E114" s="55"/>
      <c r="F114" s="82"/>
    </row>
    <row r="115" spans="4:8" x14ac:dyDescent="0.25">
      <c r="E115" s="55"/>
      <c r="F115" s="82"/>
    </row>
    <row r="116" spans="4:8" x14ac:dyDescent="0.25">
      <c r="E116" s="55"/>
      <c r="F116" s="82"/>
    </row>
    <row r="117" spans="4:8" ht="15" x14ac:dyDescent="0.25">
      <c r="D117" s="54"/>
      <c r="E117" s="51"/>
      <c r="F117" s="83"/>
      <c r="H117" s="59"/>
    </row>
    <row r="118" spans="4:8" x14ac:dyDescent="0.25">
      <c r="E118" s="55"/>
      <c r="F118" s="82"/>
    </row>
    <row r="119" spans="4:8" x14ac:dyDescent="0.25">
      <c r="E119" s="55"/>
      <c r="F119" s="82"/>
    </row>
    <row r="120" spans="4:8" x14ac:dyDescent="0.25">
      <c r="E120" s="55"/>
      <c r="F120" s="82"/>
    </row>
    <row r="121" spans="4:8" x14ac:dyDescent="0.25">
      <c r="E121" s="55"/>
      <c r="F121" s="82"/>
    </row>
    <row r="122" spans="4:8" x14ac:dyDescent="0.25">
      <c r="E122" s="55"/>
      <c r="F122" s="82"/>
    </row>
    <row r="123" spans="4:8" x14ac:dyDescent="0.25">
      <c r="E123" s="55"/>
      <c r="F123" s="82"/>
    </row>
    <row r="124" spans="4:8" ht="15" x14ac:dyDescent="0.25">
      <c r="D124" s="54"/>
      <c r="E124" s="51"/>
      <c r="F124" s="83"/>
      <c r="H124" s="59"/>
    </row>
    <row r="125" spans="4:8" x14ac:dyDescent="0.25">
      <c r="E125" s="55"/>
      <c r="F125" s="82"/>
    </row>
    <row r="126" spans="4:8" x14ac:dyDescent="0.25">
      <c r="E126" s="55"/>
      <c r="F126" s="82"/>
    </row>
    <row r="127" spans="4:8" x14ac:dyDescent="0.25">
      <c r="E127" s="55"/>
      <c r="F127" s="82"/>
    </row>
    <row r="128" spans="4:8" x14ac:dyDescent="0.25">
      <c r="E128" s="55"/>
      <c r="F128" s="82"/>
    </row>
    <row r="129" spans="1:8" x14ac:dyDescent="0.25">
      <c r="E129" s="55"/>
      <c r="F129" s="82"/>
    </row>
    <row r="130" spans="1:8" x14ac:dyDescent="0.25">
      <c r="E130" s="55"/>
      <c r="F130" s="82"/>
    </row>
    <row r="131" spans="1:8" x14ac:dyDescent="0.25">
      <c r="E131" s="55"/>
      <c r="F131" s="82"/>
    </row>
    <row r="132" spans="1:8" ht="15" x14ac:dyDescent="0.25">
      <c r="B132" s="53"/>
      <c r="E132" s="51"/>
      <c r="F132" s="83"/>
      <c r="G132" s="60"/>
      <c r="H132" s="59"/>
    </row>
    <row r="133" spans="1:8" ht="15" x14ac:dyDescent="0.25">
      <c r="B133" s="53"/>
      <c r="E133" s="51"/>
      <c r="F133" s="83"/>
      <c r="G133" s="60"/>
      <c r="H133" s="59"/>
    </row>
    <row r="134" spans="1:8" x14ac:dyDescent="0.25">
      <c r="G134" s="53"/>
    </row>
    <row r="135" spans="1:8" ht="15" x14ac:dyDescent="0.25">
      <c r="A135" s="61"/>
      <c r="B135" s="61"/>
      <c r="C135" s="61"/>
      <c r="D135" s="54"/>
      <c r="E135" s="51"/>
      <c r="F135" s="83"/>
      <c r="G135" s="61"/>
      <c r="H135" s="59"/>
    </row>
    <row r="136" spans="1:8" x14ac:dyDescent="0.25">
      <c r="A136" s="61"/>
      <c r="B136" s="61"/>
      <c r="C136" s="61"/>
      <c r="D136" s="62"/>
      <c r="E136" s="55"/>
      <c r="F136" s="82"/>
      <c r="G136" s="61"/>
    </row>
    <row r="137" spans="1:8" x14ac:dyDescent="0.25">
      <c r="A137" s="61"/>
      <c r="B137" s="61"/>
      <c r="C137" s="61"/>
      <c r="D137" s="62"/>
      <c r="E137" s="55"/>
      <c r="F137" s="82"/>
      <c r="G137" s="61"/>
    </row>
    <row r="138" spans="1:8" x14ac:dyDescent="0.25">
      <c r="A138" s="61"/>
      <c r="B138" s="61"/>
      <c r="C138" s="61"/>
      <c r="D138" s="62"/>
      <c r="E138" s="55"/>
      <c r="F138" s="82"/>
      <c r="G138" s="61"/>
    </row>
    <row r="139" spans="1:8" ht="15" x14ac:dyDescent="0.25">
      <c r="A139" s="61"/>
      <c r="B139" s="61"/>
      <c r="C139" s="61"/>
      <c r="D139" s="54"/>
      <c r="E139" s="51"/>
      <c r="F139" s="83"/>
      <c r="G139" s="61"/>
      <c r="H139" s="59"/>
    </row>
    <row r="140" spans="1:8" x14ac:dyDescent="0.25">
      <c r="A140" s="61"/>
      <c r="B140" s="61"/>
      <c r="C140" s="61"/>
      <c r="D140" s="62"/>
      <c r="E140" s="55"/>
      <c r="F140" s="82"/>
      <c r="G140" s="61"/>
    </row>
    <row r="141" spans="1:8" x14ac:dyDescent="0.25">
      <c r="A141" s="61"/>
      <c r="B141" s="61"/>
      <c r="C141" s="61"/>
      <c r="D141" s="62"/>
      <c r="E141" s="55"/>
      <c r="F141" s="82"/>
      <c r="G141" s="61"/>
    </row>
    <row r="142" spans="1:8" x14ac:dyDescent="0.25">
      <c r="A142" s="61"/>
      <c r="B142" s="61"/>
      <c r="C142" s="61"/>
      <c r="D142" s="62"/>
      <c r="E142" s="55"/>
      <c r="F142" s="82"/>
      <c r="G142" s="61"/>
    </row>
    <row r="143" spans="1:8" x14ac:dyDescent="0.25">
      <c r="A143" s="61"/>
      <c r="B143" s="61"/>
      <c r="C143" s="61"/>
      <c r="D143" s="62"/>
      <c r="E143" s="55"/>
      <c r="F143" s="82"/>
      <c r="G143" s="61"/>
    </row>
    <row r="144" spans="1:8" x14ac:dyDescent="0.25">
      <c r="A144" s="61"/>
      <c r="B144" s="61"/>
      <c r="C144" s="61"/>
      <c r="D144" s="62"/>
      <c r="E144" s="55"/>
      <c r="F144" s="82"/>
      <c r="G144" s="61"/>
    </row>
    <row r="145" spans="1:8" ht="15" x14ac:dyDescent="0.25">
      <c r="A145" s="61"/>
      <c r="B145" s="61"/>
      <c r="C145" s="61"/>
      <c r="D145" s="54"/>
      <c r="E145" s="51"/>
      <c r="F145" s="83"/>
      <c r="G145" s="61"/>
      <c r="H145" s="59"/>
    </row>
    <row r="146" spans="1:8" x14ac:dyDescent="0.25">
      <c r="A146" s="61"/>
      <c r="B146" s="61"/>
      <c r="C146" s="61"/>
      <c r="D146" s="62"/>
      <c r="E146" s="55"/>
      <c r="F146" s="82"/>
      <c r="G146" s="61"/>
    </row>
    <row r="147" spans="1:8" x14ac:dyDescent="0.25">
      <c r="A147" s="61"/>
      <c r="B147" s="61"/>
      <c r="C147" s="61"/>
      <c r="D147" s="62"/>
      <c r="E147" s="55"/>
      <c r="F147" s="82"/>
      <c r="G147" s="61"/>
    </row>
    <row r="148" spans="1:8" x14ac:dyDescent="0.25">
      <c r="A148" s="61"/>
      <c r="B148" s="61"/>
      <c r="C148" s="61"/>
      <c r="D148" s="62"/>
      <c r="E148" s="55"/>
      <c r="F148" s="82"/>
      <c r="G148" s="61"/>
    </row>
    <row r="149" spans="1:8" x14ac:dyDescent="0.25">
      <c r="A149" s="61"/>
      <c r="B149" s="61"/>
      <c r="C149" s="61"/>
      <c r="D149" s="62"/>
      <c r="E149" s="55"/>
      <c r="F149" s="82"/>
      <c r="G149" s="61"/>
    </row>
    <row r="150" spans="1:8" x14ac:dyDescent="0.25">
      <c r="A150" s="61"/>
      <c r="B150" s="61"/>
      <c r="C150" s="61"/>
      <c r="D150" s="62"/>
      <c r="E150" s="55"/>
      <c r="F150" s="82"/>
      <c r="G150" s="61"/>
    </row>
    <row r="151" spans="1:8" x14ac:dyDescent="0.25">
      <c r="E151" s="63"/>
      <c r="F151" s="83"/>
    </row>
  </sheetData>
  <sheetProtection password="C08A" sheet="1" objects="1" scenarios="1"/>
  <mergeCells count="1">
    <mergeCell ref="A1:B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64"/>
  <sheetViews>
    <sheetView topLeftCell="A15" workbookViewId="0">
      <selection activeCell="E36" sqref="E36"/>
    </sheetView>
  </sheetViews>
  <sheetFormatPr defaultColWidth="8.28515625" defaultRowHeight="12.75" x14ac:dyDescent="0.25"/>
  <cols>
    <col min="1" max="1" width="5.28515625" style="54" customWidth="1"/>
    <col min="2" max="2" width="53.28515625" style="54" customWidth="1"/>
    <col min="3" max="3" width="6.28515625" style="54" customWidth="1"/>
    <col min="4" max="4" width="12.7109375" style="55" customWidth="1"/>
    <col min="5" max="5" width="6.7109375" style="55" customWidth="1"/>
    <col min="6" max="6" width="111.28515625" style="55" customWidth="1"/>
    <col min="7" max="7" width="66.28515625" style="54" customWidth="1"/>
    <col min="8" max="8" width="12.85546875" style="54" customWidth="1"/>
    <col min="9" max="16384" width="8.28515625" style="54"/>
  </cols>
  <sheetData>
    <row r="1" spans="1:8" ht="22.9" customHeight="1" thickBot="1" x14ac:dyDescent="0.3">
      <c r="A1" s="617" t="s">
        <v>212</v>
      </c>
      <c r="B1" s="618"/>
      <c r="C1" s="16"/>
      <c r="D1" s="26"/>
      <c r="E1" s="49"/>
      <c r="F1" s="17"/>
    </row>
    <row r="2" spans="1:8" ht="24" customHeight="1" x14ac:dyDescent="0.2">
      <c r="A2" s="282" t="s">
        <v>0</v>
      </c>
      <c r="B2" s="283" t="s">
        <v>1</v>
      </c>
      <c r="C2" s="215" t="s">
        <v>2</v>
      </c>
      <c r="D2" s="264" t="s">
        <v>198</v>
      </c>
      <c r="E2" s="265"/>
      <c r="F2" s="284" t="s">
        <v>139</v>
      </c>
      <c r="G2" s="56"/>
      <c r="H2" s="57"/>
    </row>
    <row r="3" spans="1:8" s="305" customFormat="1" ht="29.45" customHeight="1" x14ac:dyDescent="0.2">
      <c r="A3" s="301" t="s">
        <v>116</v>
      </c>
      <c r="B3" s="406" t="s">
        <v>444</v>
      </c>
      <c r="C3" s="302" t="str">
        <f>IF(OR(BCclass=29,BCclass=31),1,"")</f>
        <v/>
      </c>
      <c r="D3" s="291" t="s">
        <v>156</v>
      </c>
      <c r="E3" s="137"/>
      <c r="F3" s="293" t="s">
        <v>361</v>
      </c>
      <c r="G3" s="303"/>
      <c r="H3" s="304"/>
    </row>
    <row r="4" spans="1:8" ht="25.5" x14ac:dyDescent="0.25">
      <c r="A4" s="191" t="s">
        <v>117</v>
      </c>
      <c r="B4" s="407" t="s">
        <v>17</v>
      </c>
      <c r="C4" s="30">
        <f>classfreq</f>
        <v>0</v>
      </c>
      <c r="D4" s="20" t="s">
        <v>153</v>
      </c>
      <c r="E4" s="137"/>
      <c r="F4" s="268" t="s">
        <v>300</v>
      </c>
      <c r="H4" s="59"/>
    </row>
    <row r="5" spans="1:8" ht="28.9" customHeight="1" x14ac:dyDescent="0.25">
      <c r="A5" s="289" t="s">
        <v>120</v>
      </c>
      <c r="B5" s="294" t="s">
        <v>344</v>
      </c>
      <c r="C5" s="290">
        <f>tidalslope</f>
        <v>0</v>
      </c>
      <c r="D5" s="291" t="s">
        <v>345</v>
      </c>
      <c r="E5" s="137"/>
      <c r="F5" s="293" t="s">
        <v>347</v>
      </c>
      <c r="G5" s="292"/>
      <c r="H5" s="72"/>
    </row>
    <row r="6" spans="1:8" ht="25.5" x14ac:dyDescent="0.25">
      <c r="A6" s="191" t="s">
        <v>123</v>
      </c>
      <c r="B6" s="407" t="s">
        <v>4</v>
      </c>
      <c r="C6" s="30">
        <f>eelgrass</f>
        <v>0</v>
      </c>
      <c r="D6" s="65" t="s">
        <v>157</v>
      </c>
      <c r="E6" s="144"/>
      <c r="F6" s="96" t="s">
        <v>314</v>
      </c>
    </row>
    <row r="7" spans="1:8" ht="25.5" x14ac:dyDescent="0.25">
      <c r="A7" s="191" t="s">
        <v>124</v>
      </c>
      <c r="B7" s="407" t="s">
        <v>5</v>
      </c>
      <c r="C7" s="30">
        <f>kelp</f>
        <v>0</v>
      </c>
      <c r="D7" s="65" t="s">
        <v>158</v>
      </c>
      <c r="E7" s="144"/>
      <c r="F7" s="96" t="s">
        <v>313</v>
      </c>
    </row>
    <row r="8" spans="1:8" ht="15" x14ac:dyDescent="0.25">
      <c r="A8" s="191" t="s">
        <v>125</v>
      </c>
      <c r="B8" s="407" t="s">
        <v>160</v>
      </c>
      <c r="C8" s="30">
        <f>marsh</f>
        <v>0</v>
      </c>
      <c r="D8" s="20" t="s">
        <v>159</v>
      </c>
      <c r="E8" s="137"/>
      <c r="F8" s="164" t="s">
        <v>301</v>
      </c>
      <c r="H8" s="59"/>
    </row>
    <row r="9" spans="1:8" ht="15" x14ac:dyDescent="0.25">
      <c r="A9" s="191" t="s">
        <v>126</v>
      </c>
      <c r="B9" s="407" t="s">
        <v>145</v>
      </c>
      <c r="C9" s="30">
        <f>mussel</f>
        <v>0</v>
      </c>
      <c r="D9" s="20" t="s">
        <v>161</v>
      </c>
      <c r="E9" s="137"/>
      <c r="F9" s="164" t="s">
        <v>302</v>
      </c>
      <c r="H9" s="59"/>
    </row>
    <row r="10" spans="1:8" ht="15" x14ac:dyDescent="0.25">
      <c r="A10" s="191" t="s">
        <v>129</v>
      </c>
      <c r="B10" s="407" t="s">
        <v>108</v>
      </c>
      <c r="C10" s="30">
        <f>distAnad</f>
        <v>0</v>
      </c>
      <c r="D10" s="65" t="s">
        <v>193</v>
      </c>
      <c r="E10" s="144"/>
      <c r="F10" s="96" t="s">
        <v>303</v>
      </c>
    </row>
    <row r="11" spans="1:8" ht="15" x14ac:dyDescent="0.25">
      <c r="A11" s="191" t="s">
        <v>130</v>
      </c>
      <c r="B11" s="407" t="s">
        <v>6</v>
      </c>
      <c r="C11" s="30" t="str">
        <f>IF((herring=""),"",herring)</f>
        <v/>
      </c>
      <c r="D11" s="65" t="s">
        <v>165</v>
      </c>
      <c r="E11" s="144"/>
      <c r="F11" s="164" t="s">
        <v>304</v>
      </c>
    </row>
    <row r="12" spans="1:8" ht="19.899999999999999" customHeight="1" x14ac:dyDescent="0.25">
      <c r="A12" s="191" t="s">
        <v>131</v>
      </c>
      <c r="B12" s="407" t="s">
        <v>10</v>
      </c>
      <c r="C12" s="30" t="str">
        <f>IF((seabird_S=""),"",seabird_S)</f>
        <v/>
      </c>
      <c r="D12" s="65" t="s">
        <v>167</v>
      </c>
      <c r="E12" s="144"/>
      <c r="F12" s="96" t="s">
        <v>306</v>
      </c>
    </row>
    <row r="13" spans="1:8" ht="19.899999999999999" customHeight="1" x14ac:dyDescent="0.25">
      <c r="A13" s="191" t="s">
        <v>132</v>
      </c>
      <c r="B13" s="407" t="s">
        <v>11</v>
      </c>
      <c r="C13" s="30" t="str">
        <f>IF((seabird_W=""),"",seabird_W)</f>
        <v/>
      </c>
      <c r="D13" s="65" t="s">
        <v>168</v>
      </c>
      <c r="E13" s="144"/>
      <c r="F13" s="96" t="s">
        <v>306</v>
      </c>
    </row>
    <row r="14" spans="1:8" ht="25.5" x14ac:dyDescent="0.25">
      <c r="A14" s="191" t="s">
        <v>138</v>
      </c>
      <c r="B14" s="408" t="s">
        <v>364</v>
      </c>
      <c r="C14" s="30" t="str">
        <f>IF((shedestu=""),"",shedestu)</f>
        <v/>
      </c>
      <c r="D14" s="65" t="s">
        <v>175</v>
      </c>
      <c r="E14" s="144"/>
      <c r="F14" s="96" t="s">
        <v>418</v>
      </c>
    </row>
    <row r="15" spans="1:8" ht="19.149999999999999" customHeight="1" thickBot="1" x14ac:dyDescent="0.3">
      <c r="A15" s="192" t="s">
        <v>146</v>
      </c>
      <c r="B15" s="409" t="s">
        <v>365</v>
      </c>
      <c r="C15" s="109" t="str">
        <f>IF((shedmamu=""),"",shedmamu)</f>
        <v/>
      </c>
      <c r="D15" s="119" t="s">
        <v>174</v>
      </c>
      <c r="E15" s="152"/>
      <c r="F15" s="96" t="s">
        <v>570</v>
      </c>
    </row>
    <row r="16" spans="1:8" ht="15" x14ac:dyDescent="0.25">
      <c r="A16" s="201" t="s">
        <v>19</v>
      </c>
      <c r="B16" s="410" t="s">
        <v>476</v>
      </c>
      <c r="C16" s="211">
        <f>tidalwidth</f>
        <v>0</v>
      </c>
      <c r="D16" s="241" t="s">
        <v>180</v>
      </c>
      <c r="E16" s="269"/>
      <c r="F16" s="126" t="s">
        <v>307</v>
      </c>
    </row>
    <row r="17" spans="1:6" ht="30" x14ac:dyDescent="0.25">
      <c r="A17" s="206" t="s">
        <v>20</v>
      </c>
      <c r="B17" s="411" t="s">
        <v>478</v>
      </c>
      <c r="C17" s="30">
        <f>marshwidth</f>
        <v>0</v>
      </c>
      <c r="D17" s="65" t="s">
        <v>181</v>
      </c>
      <c r="E17" s="144"/>
      <c r="F17" s="96" t="s">
        <v>308</v>
      </c>
    </row>
    <row r="18" spans="1:6" ht="15" x14ac:dyDescent="0.25">
      <c r="A18" s="206" t="s">
        <v>24</v>
      </c>
      <c r="B18" s="411" t="s">
        <v>113</v>
      </c>
      <c r="C18" s="30">
        <f>distpond</f>
        <v>0</v>
      </c>
      <c r="D18" s="65" t="s">
        <v>184</v>
      </c>
      <c r="E18" s="144"/>
      <c r="F18" s="96" t="s">
        <v>309</v>
      </c>
    </row>
    <row r="19" spans="1:6" ht="28.9" customHeight="1" x14ac:dyDescent="0.25">
      <c r="A19" s="358" t="s">
        <v>27</v>
      </c>
      <c r="B19" s="412" t="s">
        <v>487</v>
      </c>
      <c r="C19" s="30">
        <f>distsameclass</f>
        <v>0</v>
      </c>
      <c r="D19" s="65" t="s">
        <v>187</v>
      </c>
      <c r="E19" s="144"/>
      <c r="F19" s="248" t="s">
        <v>398</v>
      </c>
    </row>
    <row r="20" spans="1:6" ht="25.5" x14ac:dyDescent="0.25">
      <c r="A20" s="206" t="s">
        <v>28</v>
      </c>
      <c r="B20" s="411" t="s">
        <v>484</v>
      </c>
      <c r="C20" s="30">
        <f>numclasses</f>
        <v>0</v>
      </c>
      <c r="D20" s="65" t="s">
        <v>188</v>
      </c>
      <c r="E20" s="144"/>
      <c r="F20" s="205" t="s">
        <v>419</v>
      </c>
    </row>
    <row r="21" spans="1:6" ht="25.5" x14ac:dyDescent="0.25">
      <c r="A21" s="206" t="s">
        <v>29</v>
      </c>
      <c r="B21" s="411" t="s">
        <v>486</v>
      </c>
      <c r="C21" s="30">
        <f>numsameclass</f>
        <v>0</v>
      </c>
      <c r="D21" s="65" t="s">
        <v>189</v>
      </c>
      <c r="E21" s="144"/>
      <c r="F21" s="249" t="s">
        <v>255</v>
      </c>
    </row>
    <row r="22" spans="1:6" ht="15.75" thickBot="1" x14ac:dyDescent="0.3">
      <c r="A22" s="207" t="s">
        <v>31</v>
      </c>
      <c r="B22" s="413" t="s">
        <v>112</v>
      </c>
      <c r="C22" s="105" t="str">
        <f>IF((partIBA=1),1,"")</f>
        <v/>
      </c>
      <c r="D22" s="129" t="s">
        <v>191</v>
      </c>
      <c r="E22" s="155"/>
      <c r="F22" s="99" t="s">
        <v>310</v>
      </c>
    </row>
    <row r="23" spans="1:6" ht="15" x14ac:dyDescent="0.25">
      <c r="A23" s="194" t="s">
        <v>90</v>
      </c>
      <c r="B23" s="414" t="s">
        <v>227</v>
      </c>
      <c r="C23" s="147">
        <f>algapct</f>
        <v>0</v>
      </c>
      <c r="D23" s="121" t="s">
        <v>215</v>
      </c>
      <c r="E23" s="154"/>
      <c r="F23" s="168" t="s">
        <v>311</v>
      </c>
    </row>
    <row r="24" spans="1:6" ht="15" x14ac:dyDescent="0.25">
      <c r="A24" s="191" t="s">
        <v>91</v>
      </c>
      <c r="B24" s="415" t="s">
        <v>491</v>
      </c>
      <c r="C24" s="30">
        <f>kelppct</f>
        <v>0</v>
      </c>
      <c r="D24" s="65" t="s">
        <v>201</v>
      </c>
      <c r="E24" s="144"/>
      <c r="F24" s="96" t="s">
        <v>312</v>
      </c>
    </row>
    <row r="25" spans="1:6" ht="25.5" x14ac:dyDescent="0.25">
      <c r="A25" s="191" t="s">
        <v>98</v>
      </c>
      <c r="B25" s="43" t="s">
        <v>213</v>
      </c>
      <c r="C25" s="30">
        <f>boats</f>
        <v>0</v>
      </c>
      <c r="D25" s="65" t="s">
        <v>216</v>
      </c>
      <c r="E25" s="144"/>
      <c r="F25" s="96" t="s">
        <v>348</v>
      </c>
    </row>
    <row r="26" spans="1:6" ht="15.75" thickBot="1" x14ac:dyDescent="0.3">
      <c r="A26" s="192" t="s">
        <v>214</v>
      </c>
      <c r="B26" s="107" t="s">
        <v>315</v>
      </c>
      <c r="C26" s="109">
        <f>rarebirds</f>
        <v>0</v>
      </c>
      <c r="D26" s="119" t="s">
        <v>217</v>
      </c>
      <c r="E26" s="152"/>
      <c r="F26" s="166" t="s">
        <v>420</v>
      </c>
    </row>
    <row r="27" spans="1:6" ht="26.25" thickBot="1" x14ac:dyDescent="0.3">
      <c r="A27" s="447" t="s">
        <v>455</v>
      </c>
      <c r="B27" s="451" t="s">
        <v>471</v>
      </c>
      <c r="C27" s="150" t="str">
        <f>InvertBiomass</f>
        <v/>
      </c>
      <c r="D27" s="150" t="s">
        <v>456</v>
      </c>
      <c r="E27" s="188"/>
      <c r="F27" s="189" t="s">
        <v>461</v>
      </c>
    </row>
    <row r="28" spans="1:6" ht="20.45" customHeight="1" thickBot="1" x14ac:dyDescent="0.25">
      <c r="E28" s="27"/>
      <c r="F28" s="392" t="s">
        <v>203</v>
      </c>
    </row>
    <row r="29" spans="1:6" ht="31.9" customHeight="1" thickBot="1" x14ac:dyDescent="0.3">
      <c r="B29" s="65" t="s">
        <v>246</v>
      </c>
      <c r="D29" s="428" t="s">
        <v>481</v>
      </c>
      <c r="E29" s="429" t="str">
        <f>IF((DidBiosurvey=0),"",10*AVERAGE(factorA4, factorB4,factorC4,factorD4))</f>
        <v/>
      </c>
      <c r="F29" s="113" t="s">
        <v>524</v>
      </c>
    </row>
    <row r="30" spans="1:6" ht="31.9" customHeight="1" thickBot="1" x14ac:dyDescent="0.3">
      <c r="D30" s="428" t="s">
        <v>482</v>
      </c>
      <c r="E30" s="429">
        <f>IFERROR(10*AVERAGE(factorA4r, factorB4,factorC4,factorD4),"")</f>
        <v>0</v>
      </c>
      <c r="F30" s="113" t="s">
        <v>527</v>
      </c>
    </row>
    <row r="31" spans="1:6" ht="13.5" thickBot="1" x14ac:dyDescent="0.3">
      <c r="F31" s="112" t="s">
        <v>229</v>
      </c>
    </row>
    <row r="32" spans="1:6" x14ac:dyDescent="0.25">
      <c r="D32" s="93" t="s">
        <v>520</v>
      </c>
      <c r="E32" s="87">
        <f>IFERROR(MAX(seabird_S, seabird_W,partIBA, InvertBiomass),"")</f>
        <v>0</v>
      </c>
      <c r="F32" s="111" t="s">
        <v>460</v>
      </c>
    </row>
    <row r="33" spans="4:8" x14ac:dyDescent="0.25">
      <c r="D33" s="95" t="s">
        <v>521</v>
      </c>
      <c r="E33" s="87">
        <f>MAX(kelppct, marshwidth, herring, distAnad)</f>
        <v>0</v>
      </c>
      <c r="F33" s="111" t="s">
        <v>409</v>
      </c>
    </row>
    <row r="34" spans="4:8" x14ac:dyDescent="0.25">
      <c r="D34" s="95" t="s">
        <v>522</v>
      </c>
      <c r="E34" s="87">
        <f>AVERAGE(algapct, tidalwidth, tidalslope, mussel, eelgrass, boats, distpond)</f>
        <v>0</v>
      </c>
      <c r="F34" s="81" t="s">
        <v>298</v>
      </c>
    </row>
    <row r="35" spans="4:8" x14ac:dyDescent="0.25">
      <c r="D35" s="95" t="s">
        <v>523</v>
      </c>
      <c r="E35" s="87" t="str">
        <f>IFERROR(AVERAGE(numsameclass, distsameclass, numclasses, classfreq),"")</f>
        <v/>
      </c>
      <c r="F35" s="21" t="s">
        <v>234</v>
      </c>
    </row>
    <row r="36" spans="4:8" ht="13.5" thickBot="1" x14ac:dyDescent="0.3">
      <c r="F36" s="51"/>
    </row>
    <row r="37" spans="4:8" x14ac:dyDescent="0.25">
      <c r="D37" s="93" t="s">
        <v>519</v>
      </c>
      <c r="E37" s="87">
        <f>IFERROR(MAX(seabird_S, seabird_W,partIBA),"")</f>
        <v>0</v>
      </c>
      <c r="F37" s="111" t="s">
        <v>525</v>
      </c>
    </row>
    <row r="38" spans="4:8" x14ac:dyDescent="0.25">
      <c r="F38" s="51"/>
    </row>
    <row r="39" spans="4:8" x14ac:dyDescent="0.25">
      <c r="F39" s="51"/>
    </row>
    <row r="40" spans="4:8" ht="25.5" x14ac:dyDescent="0.25">
      <c r="D40" s="76" t="s">
        <v>518</v>
      </c>
      <c r="F40" s="393" t="s">
        <v>305</v>
      </c>
    </row>
    <row r="41" spans="4:8" ht="15" x14ac:dyDescent="0.25">
      <c r="D41" s="54"/>
      <c r="E41" s="51"/>
      <c r="F41" s="58"/>
      <c r="H41" s="59"/>
    </row>
    <row r="44" spans="4:8" ht="15" x14ac:dyDescent="0.25">
      <c r="D44" s="54"/>
      <c r="E44" s="51"/>
      <c r="F44" s="58"/>
      <c r="H44" s="59"/>
    </row>
    <row r="47" spans="4:8" ht="33" customHeight="1" x14ac:dyDescent="0.25">
      <c r="D47" s="54"/>
      <c r="E47" s="51"/>
      <c r="F47" s="58"/>
      <c r="H47" s="59"/>
    </row>
    <row r="48" spans="4:8" x14ac:dyDescent="0.25">
      <c r="F48" s="51"/>
    </row>
    <row r="49" spans="2:8" x14ac:dyDescent="0.25">
      <c r="F49" s="51"/>
    </row>
    <row r="50" spans="2:8" x14ac:dyDescent="0.25">
      <c r="F50" s="51"/>
    </row>
    <row r="51" spans="2:8" x14ac:dyDescent="0.25">
      <c r="F51" s="51"/>
    </row>
    <row r="52" spans="2:8" x14ac:dyDescent="0.25">
      <c r="F52" s="51"/>
    </row>
    <row r="53" spans="2:8" x14ac:dyDescent="0.25">
      <c r="F53" s="51"/>
    </row>
    <row r="54" spans="2:8" ht="15" x14ac:dyDescent="0.25">
      <c r="B54" s="53"/>
      <c r="E54" s="51"/>
      <c r="F54" s="58"/>
      <c r="G54" s="53"/>
      <c r="H54" s="59"/>
    </row>
    <row r="55" spans="2:8" ht="15" x14ac:dyDescent="0.25">
      <c r="D55" s="54"/>
      <c r="E55" s="51"/>
      <c r="F55" s="58"/>
      <c r="H55" s="59"/>
    </row>
    <row r="56" spans="2:8" x14ac:dyDescent="0.25">
      <c r="F56" s="51"/>
    </row>
    <row r="57" spans="2:8" x14ac:dyDescent="0.25">
      <c r="F57" s="51"/>
    </row>
    <row r="58" spans="2:8" x14ac:dyDescent="0.25">
      <c r="F58" s="51"/>
    </row>
    <row r="59" spans="2:8" x14ac:dyDescent="0.25">
      <c r="F59" s="51"/>
    </row>
    <row r="60" spans="2:8" x14ac:dyDescent="0.25">
      <c r="F60" s="51"/>
    </row>
    <row r="61" spans="2:8" x14ac:dyDescent="0.25">
      <c r="F61" s="51"/>
    </row>
    <row r="62" spans="2:8" x14ac:dyDescent="0.25">
      <c r="D62" s="54"/>
    </row>
    <row r="68" spans="4:8" ht="15" x14ac:dyDescent="0.25">
      <c r="D68" s="54"/>
      <c r="E68" s="51"/>
      <c r="F68" s="58"/>
      <c r="H68" s="59"/>
    </row>
    <row r="69" spans="4:8" x14ac:dyDescent="0.25">
      <c r="F69" s="51"/>
    </row>
    <row r="70" spans="4:8" x14ac:dyDescent="0.25">
      <c r="F70" s="51"/>
    </row>
    <row r="71" spans="4:8" x14ac:dyDescent="0.25">
      <c r="F71" s="51"/>
    </row>
    <row r="72" spans="4:8" x14ac:dyDescent="0.25">
      <c r="F72" s="51"/>
    </row>
    <row r="73" spans="4:8" x14ac:dyDescent="0.25">
      <c r="F73" s="51"/>
    </row>
    <row r="74" spans="4:8" ht="15" x14ac:dyDescent="0.25">
      <c r="D74" s="54"/>
      <c r="E74" s="51"/>
      <c r="F74" s="58"/>
      <c r="H74" s="59"/>
    </row>
    <row r="75" spans="4:8" x14ac:dyDescent="0.25">
      <c r="F75" s="51"/>
    </row>
    <row r="76" spans="4:8" x14ac:dyDescent="0.25">
      <c r="F76" s="51"/>
    </row>
    <row r="77" spans="4:8" x14ac:dyDescent="0.25">
      <c r="F77" s="51"/>
    </row>
    <row r="78" spans="4:8" x14ac:dyDescent="0.25">
      <c r="F78" s="51"/>
    </row>
    <row r="79" spans="4:8" x14ac:dyDescent="0.25">
      <c r="F79" s="51"/>
    </row>
    <row r="80" spans="4:8" ht="15" x14ac:dyDescent="0.25">
      <c r="D80" s="54"/>
      <c r="E80" s="51"/>
      <c r="F80" s="58"/>
      <c r="H80" s="59"/>
    </row>
    <row r="81" spans="2:8" x14ac:dyDescent="0.25">
      <c r="F81" s="51"/>
    </row>
    <row r="82" spans="2:8" x14ac:dyDescent="0.25">
      <c r="F82" s="51"/>
    </row>
    <row r="83" spans="2:8" x14ac:dyDescent="0.25">
      <c r="F83" s="51"/>
    </row>
    <row r="84" spans="2:8" x14ac:dyDescent="0.25">
      <c r="F84" s="51"/>
    </row>
    <row r="85" spans="2:8" x14ac:dyDescent="0.25">
      <c r="F85" s="51"/>
    </row>
    <row r="86" spans="2:8" ht="15" x14ac:dyDescent="0.25">
      <c r="D86" s="54"/>
      <c r="E86" s="51"/>
      <c r="F86" s="58"/>
      <c r="H86" s="59"/>
    </row>
    <row r="87" spans="2:8" x14ac:dyDescent="0.25">
      <c r="F87" s="51"/>
    </row>
    <row r="88" spans="2:8" x14ac:dyDescent="0.25">
      <c r="F88" s="51"/>
    </row>
    <row r="89" spans="2:8" x14ac:dyDescent="0.25">
      <c r="F89" s="51"/>
    </row>
    <row r="90" spans="2:8" x14ac:dyDescent="0.25">
      <c r="F90" s="51"/>
    </row>
    <row r="91" spans="2:8" x14ac:dyDescent="0.25">
      <c r="F91" s="51"/>
    </row>
    <row r="92" spans="2:8" ht="15" x14ac:dyDescent="0.25">
      <c r="B92" s="53"/>
      <c r="E92" s="51"/>
      <c r="F92" s="58"/>
      <c r="G92" s="53"/>
      <c r="H92" s="59"/>
    </row>
    <row r="93" spans="2:8" ht="15" x14ac:dyDescent="0.25">
      <c r="B93" s="53"/>
      <c r="E93" s="51"/>
      <c r="F93" s="58"/>
      <c r="G93" s="53"/>
      <c r="H93" s="59"/>
    </row>
    <row r="94" spans="2:8" ht="15" x14ac:dyDescent="0.25">
      <c r="D94" s="54"/>
      <c r="E94" s="51"/>
      <c r="F94" s="58"/>
      <c r="H94" s="59"/>
    </row>
    <row r="95" spans="2:8" x14ac:dyDescent="0.25">
      <c r="F95" s="51"/>
    </row>
    <row r="96" spans="2:8" x14ac:dyDescent="0.25">
      <c r="F96" s="51"/>
    </row>
    <row r="97" spans="2:8" x14ac:dyDescent="0.25">
      <c r="F97" s="51"/>
    </row>
    <row r="98" spans="2:8" x14ac:dyDescent="0.25">
      <c r="F98" s="51"/>
    </row>
    <row r="99" spans="2:8" x14ac:dyDescent="0.25">
      <c r="F99" s="51"/>
    </row>
    <row r="100" spans="2:8" x14ac:dyDescent="0.25">
      <c r="F100" s="51"/>
    </row>
    <row r="101" spans="2:8" ht="15" x14ac:dyDescent="0.25">
      <c r="D101" s="54"/>
      <c r="E101" s="51"/>
      <c r="F101" s="58"/>
      <c r="H101" s="59"/>
    </row>
    <row r="102" spans="2:8" x14ac:dyDescent="0.25">
      <c r="F102" s="51"/>
    </row>
    <row r="103" spans="2:8" x14ac:dyDescent="0.25">
      <c r="F103" s="51"/>
    </row>
    <row r="104" spans="2:8" x14ac:dyDescent="0.25">
      <c r="F104" s="51"/>
    </row>
    <row r="106" spans="2:8" ht="15" x14ac:dyDescent="0.25">
      <c r="E106" s="51"/>
      <c r="F106" s="58"/>
      <c r="H106" s="59"/>
    </row>
    <row r="107" spans="2:8" x14ac:dyDescent="0.25">
      <c r="F107" s="51"/>
    </row>
    <row r="108" spans="2:8" x14ac:dyDescent="0.25">
      <c r="F108" s="51"/>
    </row>
    <row r="109" spans="2:8" x14ac:dyDescent="0.25">
      <c r="F109" s="51"/>
    </row>
    <row r="110" spans="2:8" ht="15" x14ac:dyDescent="0.25">
      <c r="B110" s="53"/>
      <c r="E110" s="51"/>
      <c r="F110" s="58"/>
      <c r="G110" s="53"/>
      <c r="H110" s="59"/>
    </row>
    <row r="111" spans="2:8" ht="15" x14ac:dyDescent="0.25">
      <c r="D111" s="54"/>
      <c r="E111" s="51"/>
      <c r="F111" s="58"/>
      <c r="H111" s="59"/>
    </row>
    <row r="112" spans="2:8" x14ac:dyDescent="0.25">
      <c r="F112" s="51"/>
    </row>
    <row r="113" spans="4:8" x14ac:dyDescent="0.25">
      <c r="F113" s="51"/>
    </row>
    <row r="114" spans="4:8" x14ac:dyDescent="0.25">
      <c r="F114" s="51"/>
    </row>
    <row r="115" spans="4:8" x14ac:dyDescent="0.25">
      <c r="F115" s="51"/>
    </row>
    <row r="116" spans="4:8" x14ac:dyDescent="0.25">
      <c r="F116" s="51"/>
    </row>
    <row r="117" spans="4:8" x14ac:dyDescent="0.25">
      <c r="F117" s="51"/>
    </row>
    <row r="118" spans="4:8" x14ac:dyDescent="0.25">
      <c r="F118" s="51"/>
    </row>
    <row r="119" spans="4:8" x14ac:dyDescent="0.25">
      <c r="F119" s="51"/>
    </row>
    <row r="120" spans="4:8" ht="15" x14ac:dyDescent="0.25">
      <c r="D120" s="54"/>
      <c r="E120" s="51"/>
      <c r="F120" s="58"/>
      <c r="H120" s="59"/>
    </row>
    <row r="121" spans="4:8" x14ac:dyDescent="0.25">
      <c r="F121" s="51"/>
    </row>
    <row r="122" spans="4:8" x14ac:dyDescent="0.25">
      <c r="F122" s="51"/>
    </row>
    <row r="123" spans="4:8" x14ac:dyDescent="0.25">
      <c r="F123" s="51"/>
    </row>
    <row r="124" spans="4:8" x14ac:dyDescent="0.25">
      <c r="F124" s="51"/>
    </row>
    <row r="125" spans="4:8" x14ac:dyDescent="0.25">
      <c r="F125" s="51"/>
    </row>
    <row r="126" spans="4:8" x14ac:dyDescent="0.25">
      <c r="F126" s="51"/>
    </row>
    <row r="127" spans="4:8" ht="15" x14ac:dyDescent="0.25">
      <c r="D127" s="54"/>
      <c r="F127" s="58"/>
      <c r="H127" s="59"/>
    </row>
    <row r="128" spans="4:8" x14ac:dyDescent="0.25">
      <c r="F128" s="51"/>
    </row>
    <row r="129" spans="1:8" x14ac:dyDescent="0.25">
      <c r="F129" s="51"/>
    </row>
    <row r="130" spans="1:8" x14ac:dyDescent="0.25">
      <c r="F130" s="51"/>
    </row>
    <row r="131" spans="1:8" x14ac:dyDescent="0.25">
      <c r="F131" s="51"/>
    </row>
    <row r="132" spans="1:8" x14ac:dyDescent="0.25">
      <c r="F132" s="51"/>
    </row>
    <row r="133" spans="1:8" x14ac:dyDescent="0.25">
      <c r="F133" s="51"/>
    </row>
    <row r="134" spans="1:8" x14ac:dyDescent="0.25">
      <c r="F134" s="51"/>
    </row>
    <row r="135" spans="1:8" ht="15" x14ac:dyDescent="0.25">
      <c r="D135" s="54"/>
      <c r="E135" s="51"/>
      <c r="F135" s="58"/>
      <c r="H135" s="59"/>
    </row>
    <row r="136" spans="1:8" x14ac:dyDescent="0.25">
      <c r="F136" s="51"/>
    </row>
    <row r="137" spans="1:8" x14ac:dyDescent="0.25">
      <c r="F137" s="51"/>
    </row>
    <row r="138" spans="1:8" x14ac:dyDescent="0.25">
      <c r="F138" s="51"/>
    </row>
    <row r="139" spans="1:8" ht="30.75" customHeight="1" x14ac:dyDescent="0.25">
      <c r="B139" s="53"/>
      <c r="E139" s="51"/>
      <c r="F139" s="58"/>
      <c r="G139" s="60"/>
      <c r="H139" s="59"/>
    </row>
    <row r="140" spans="1:8" ht="15" x14ac:dyDescent="0.25">
      <c r="B140" s="53"/>
      <c r="E140" s="51"/>
      <c r="F140" s="58"/>
      <c r="G140" s="60"/>
      <c r="H140" s="59"/>
    </row>
    <row r="141" spans="1:8" ht="15" x14ac:dyDescent="0.25">
      <c r="B141" s="53"/>
      <c r="F141" s="58"/>
      <c r="G141" s="60"/>
      <c r="H141" s="59"/>
    </row>
    <row r="142" spans="1:8" ht="11.25" customHeight="1" x14ac:dyDescent="0.25">
      <c r="G142" s="53"/>
    </row>
    <row r="143" spans="1:8" ht="15" x14ac:dyDescent="0.25">
      <c r="A143" s="61"/>
      <c r="B143" s="70"/>
      <c r="C143" s="61"/>
      <c r="D143" s="62"/>
      <c r="E143" s="51"/>
      <c r="F143" s="58"/>
      <c r="G143" s="60"/>
      <c r="H143" s="59"/>
    </row>
    <row r="144" spans="1:8" ht="15" x14ac:dyDescent="0.25">
      <c r="A144" s="61"/>
      <c r="B144" s="61"/>
      <c r="C144" s="61"/>
      <c r="D144" s="54"/>
      <c r="E144" s="51"/>
      <c r="F144" s="58"/>
      <c r="G144" s="61"/>
      <c r="H144" s="59"/>
    </row>
    <row r="145" spans="1:8" x14ac:dyDescent="0.25">
      <c r="A145" s="61"/>
      <c r="B145" s="61"/>
      <c r="C145" s="61"/>
      <c r="D145" s="62"/>
      <c r="F145" s="51"/>
      <c r="G145" s="61"/>
    </row>
    <row r="146" spans="1:8" x14ac:dyDescent="0.25">
      <c r="A146" s="61"/>
      <c r="B146" s="61"/>
      <c r="C146" s="61"/>
      <c r="D146" s="62"/>
      <c r="F146" s="51"/>
      <c r="G146" s="61"/>
    </row>
    <row r="147" spans="1:8" x14ac:dyDescent="0.25">
      <c r="A147" s="61"/>
      <c r="B147" s="61"/>
      <c r="C147" s="61"/>
      <c r="D147" s="62"/>
      <c r="F147" s="51"/>
      <c r="G147" s="61"/>
    </row>
    <row r="148" spans="1:8" x14ac:dyDescent="0.25">
      <c r="A148" s="61"/>
      <c r="B148" s="61"/>
      <c r="C148" s="61"/>
      <c r="D148" s="62"/>
      <c r="F148" s="51"/>
      <c r="G148" s="61"/>
    </row>
    <row r="149" spans="1:8" x14ac:dyDescent="0.25">
      <c r="A149" s="61"/>
      <c r="B149" s="61"/>
      <c r="C149" s="61"/>
      <c r="D149" s="62"/>
      <c r="F149" s="51"/>
      <c r="G149" s="61"/>
    </row>
    <row r="150" spans="1:8" ht="15" x14ac:dyDescent="0.25">
      <c r="A150" s="61"/>
      <c r="B150" s="61"/>
      <c r="C150" s="61"/>
      <c r="D150" s="54"/>
      <c r="E150" s="51"/>
      <c r="F150" s="58"/>
      <c r="G150" s="61"/>
      <c r="H150" s="59"/>
    </row>
    <row r="151" spans="1:8" x14ac:dyDescent="0.25">
      <c r="A151" s="61"/>
      <c r="B151" s="61"/>
      <c r="C151" s="61"/>
      <c r="D151" s="62"/>
      <c r="F151" s="51"/>
      <c r="G151" s="61"/>
    </row>
    <row r="152" spans="1:8" x14ac:dyDescent="0.25">
      <c r="A152" s="61"/>
      <c r="B152" s="61"/>
      <c r="C152" s="61"/>
      <c r="D152" s="62"/>
      <c r="F152" s="51"/>
      <c r="G152" s="61"/>
    </row>
    <row r="153" spans="1:8" x14ac:dyDescent="0.25">
      <c r="A153" s="61"/>
      <c r="B153" s="61"/>
      <c r="C153" s="61"/>
      <c r="D153" s="62"/>
      <c r="F153" s="51"/>
      <c r="G153" s="61"/>
    </row>
    <row r="154" spans="1:8" x14ac:dyDescent="0.25">
      <c r="A154" s="61"/>
      <c r="B154" s="61"/>
      <c r="C154" s="61"/>
      <c r="D154" s="62"/>
      <c r="F154" s="51"/>
      <c r="G154" s="61"/>
    </row>
    <row r="155" spans="1:8" x14ac:dyDescent="0.25">
      <c r="A155" s="61"/>
      <c r="B155" s="61"/>
      <c r="C155" s="61"/>
      <c r="D155" s="62"/>
      <c r="F155" s="51"/>
      <c r="G155" s="61"/>
    </row>
    <row r="156" spans="1:8" ht="15" x14ac:dyDescent="0.25">
      <c r="A156" s="61"/>
      <c r="B156" s="61"/>
      <c r="C156" s="61"/>
      <c r="D156" s="54"/>
      <c r="E156" s="51"/>
      <c r="F156" s="58"/>
      <c r="G156" s="61"/>
      <c r="H156" s="59"/>
    </row>
    <row r="157" spans="1:8" x14ac:dyDescent="0.25">
      <c r="A157" s="61"/>
      <c r="B157" s="61"/>
      <c r="C157" s="61"/>
      <c r="D157" s="62"/>
      <c r="F157" s="51"/>
      <c r="G157" s="61"/>
    </row>
    <row r="158" spans="1:8" x14ac:dyDescent="0.25">
      <c r="A158" s="61"/>
      <c r="B158" s="61"/>
      <c r="C158" s="61"/>
      <c r="D158" s="62"/>
      <c r="F158" s="51"/>
      <c r="G158" s="61"/>
    </row>
    <row r="159" spans="1:8" x14ac:dyDescent="0.25">
      <c r="A159" s="61"/>
      <c r="B159" s="61"/>
      <c r="C159" s="61"/>
      <c r="D159" s="62"/>
      <c r="F159" s="51"/>
      <c r="G159" s="61"/>
    </row>
    <row r="160" spans="1:8" x14ac:dyDescent="0.25">
      <c r="A160" s="61"/>
      <c r="B160" s="61"/>
      <c r="C160" s="61"/>
      <c r="D160" s="62"/>
      <c r="F160" s="51"/>
      <c r="G160" s="61"/>
    </row>
    <row r="161" spans="1:8" x14ac:dyDescent="0.25">
      <c r="A161" s="61"/>
      <c r="B161" s="61"/>
      <c r="C161" s="61"/>
      <c r="D161" s="62"/>
      <c r="F161" s="51"/>
      <c r="G161" s="61"/>
    </row>
    <row r="162" spans="1:8" ht="15" x14ac:dyDescent="0.25">
      <c r="A162" s="61"/>
      <c r="B162" s="61"/>
      <c r="C162" s="61"/>
      <c r="D162" s="54"/>
      <c r="E162" s="51"/>
      <c r="F162" s="58"/>
      <c r="G162" s="61"/>
      <c r="H162" s="59"/>
    </row>
    <row r="163" spans="1:8" x14ac:dyDescent="0.25">
      <c r="A163" s="61"/>
      <c r="B163" s="61"/>
      <c r="C163" s="61"/>
      <c r="D163" s="62"/>
      <c r="F163" s="51"/>
      <c r="G163" s="61"/>
    </row>
    <row r="164" spans="1:8" x14ac:dyDescent="0.25">
      <c r="E164" s="51"/>
      <c r="F164" s="58"/>
    </row>
  </sheetData>
  <sheetProtection password="C08A" sheet="1" objects="1" scenarios="1"/>
  <mergeCells count="1">
    <mergeCell ref="A1:B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6"/>
  <sheetViews>
    <sheetView workbookViewId="0">
      <selection activeCell="F18" sqref="F18:F19"/>
    </sheetView>
  </sheetViews>
  <sheetFormatPr defaultColWidth="8.28515625" defaultRowHeight="12.75" x14ac:dyDescent="0.25"/>
  <cols>
    <col min="1" max="1" width="5.28515625" style="54" customWidth="1"/>
    <col min="2" max="2" width="38.5703125" style="54" customWidth="1"/>
    <col min="3" max="3" width="5.28515625" style="54" customWidth="1"/>
    <col min="4" max="4" width="9" style="55" customWidth="1"/>
    <col min="5" max="5" width="5.7109375" style="54" customWidth="1"/>
    <col min="6" max="6" width="114.140625" style="58" customWidth="1"/>
    <col min="7" max="7" width="66.28515625" style="54" customWidth="1"/>
    <col min="8" max="8" width="11.7109375" style="54" customWidth="1"/>
    <col min="9" max="16384" width="8.28515625" style="54"/>
  </cols>
  <sheetData>
    <row r="1" spans="1:8" ht="24.75" customHeight="1" thickBot="1" x14ac:dyDescent="0.3">
      <c r="A1" s="617" t="s">
        <v>218</v>
      </c>
      <c r="B1" s="618"/>
      <c r="C1" s="16"/>
      <c r="D1" s="26"/>
      <c r="E1" s="26"/>
      <c r="F1" s="100"/>
    </row>
    <row r="2" spans="1:8" ht="24" customHeight="1" x14ac:dyDescent="0.2">
      <c r="A2" s="286" t="s">
        <v>0</v>
      </c>
      <c r="B2" s="283" t="s">
        <v>1</v>
      </c>
      <c r="C2" s="215" t="s">
        <v>2</v>
      </c>
      <c r="D2" s="264" t="s">
        <v>198</v>
      </c>
      <c r="E2" s="265"/>
      <c r="F2" s="284" t="s">
        <v>139</v>
      </c>
      <c r="G2" s="56"/>
      <c r="H2" s="57"/>
    </row>
    <row r="3" spans="1:8" ht="15" x14ac:dyDescent="0.25">
      <c r="A3" s="101" t="s">
        <v>127</v>
      </c>
      <c r="B3" s="37" t="s">
        <v>106</v>
      </c>
      <c r="C3" s="69" t="str">
        <f>IF((eulachon=""),"",eulachon)</f>
        <v/>
      </c>
      <c r="D3" s="68" t="s">
        <v>164</v>
      </c>
      <c r="E3" s="140"/>
      <c r="F3" s="96" t="s">
        <v>318</v>
      </c>
    </row>
    <row r="4" spans="1:8" ht="15" x14ac:dyDescent="0.25">
      <c r="A4" s="101" t="s">
        <v>128</v>
      </c>
      <c r="B4" s="37" t="s">
        <v>6</v>
      </c>
      <c r="C4" s="69" t="str">
        <f>IF((herring=""),"",herring)</f>
        <v/>
      </c>
      <c r="D4" s="67" t="s">
        <v>165</v>
      </c>
      <c r="E4" s="139"/>
      <c r="F4" s="96" t="s">
        <v>319</v>
      </c>
      <c r="H4" s="59"/>
    </row>
    <row r="5" spans="1:8" ht="15" x14ac:dyDescent="0.25">
      <c r="A5" s="101" t="s">
        <v>129</v>
      </c>
      <c r="B5" s="37" t="s">
        <v>108</v>
      </c>
      <c r="C5" s="69">
        <f>distAnad</f>
        <v>0</v>
      </c>
      <c r="D5" s="68" t="s">
        <v>193</v>
      </c>
      <c r="E5" s="140"/>
      <c r="F5" s="96" t="s">
        <v>317</v>
      </c>
    </row>
    <row r="6" spans="1:8" ht="15.75" thickBot="1" x14ac:dyDescent="0.3">
      <c r="A6" s="106" t="s">
        <v>130</v>
      </c>
      <c r="B6" s="118" t="s">
        <v>349</v>
      </c>
      <c r="C6" s="109" t="str">
        <f>IF((haulout=""),"",haulout)</f>
        <v/>
      </c>
      <c r="D6" s="119" t="s">
        <v>166</v>
      </c>
      <c r="E6" s="152"/>
      <c r="F6" s="285" t="s">
        <v>421</v>
      </c>
      <c r="H6" s="59"/>
    </row>
    <row r="7" spans="1:8" ht="26.25" thickBot="1" x14ac:dyDescent="0.3">
      <c r="A7" s="148" t="s">
        <v>19</v>
      </c>
      <c r="B7" s="149" t="s">
        <v>476</v>
      </c>
      <c r="C7" s="150">
        <f>tidalwidth</f>
        <v>0</v>
      </c>
      <c r="D7" s="151" t="s">
        <v>180</v>
      </c>
      <c r="E7" s="153"/>
      <c r="F7" s="126" t="s">
        <v>320</v>
      </c>
    </row>
    <row r="8" spans="1:8" ht="32.450000000000003" customHeight="1" x14ac:dyDescent="0.25">
      <c r="A8" s="146" t="s">
        <v>91</v>
      </c>
      <c r="B8" s="120" t="s">
        <v>491</v>
      </c>
      <c r="C8" s="147">
        <f>kelppct</f>
        <v>0</v>
      </c>
      <c r="D8" s="121" t="s">
        <v>201</v>
      </c>
      <c r="E8" s="154"/>
      <c r="F8" s="96" t="s">
        <v>321</v>
      </c>
    </row>
    <row r="9" spans="1:8" ht="15.75" thickBot="1" x14ac:dyDescent="0.3">
      <c r="A9" s="103" t="s">
        <v>98</v>
      </c>
      <c r="B9" s="104" t="s">
        <v>213</v>
      </c>
      <c r="C9" s="105">
        <f>boats</f>
        <v>0</v>
      </c>
      <c r="D9" s="129" t="s">
        <v>216</v>
      </c>
      <c r="E9" s="155"/>
      <c r="F9" s="99" t="s">
        <v>410</v>
      </c>
    </row>
    <row r="10" spans="1:8" ht="15.75" thickBot="1" x14ac:dyDescent="0.3">
      <c r="D10" s="54"/>
      <c r="E10" s="27"/>
      <c r="F10" s="145" t="s">
        <v>203</v>
      </c>
      <c r="H10" s="59"/>
    </row>
    <row r="11" spans="1:8" ht="31.9" customHeight="1" thickBot="1" x14ac:dyDescent="0.3">
      <c r="B11" s="65" t="s">
        <v>245</v>
      </c>
      <c r="D11" s="55" t="s">
        <v>526</v>
      </c>
      <c r="E11" s="429">
        <f>10*(IF((haulout=1),1, (2*MAX(kelppct, herring, eulachon, distAnad) + AVERAGE(tidalwidth,boats)) /3))</f>
        <v>0</v>
      </c>
      <c r="F11" s="113" t="s">
        <v>322</v>
      </c>
    </row>
    <row r="12" spans="1:8" x14ac:dyDescent="0.25">
      <c r="E12" s="55"/>
      <c r="F12" s="51"/>
    </row>
    <row r="13" spans="1:8" x14ac:dyDescent="0.25">
      <c r="E13" s="55"/>
      <c r="F13" s="51"/>
    </row>
    <row r="14" spans="1:8" x14ac:dyDescent="0.25">
      <c r="E14" s="55"/>
      <c r="F14" s="51"/>
    </row>
    <row r="15" spans="1:8" x14ac:dyDescent="0.25">
      <c r="E15" s="55"/>
      <c r="F15" s="51"/>
    </row>
    <row r="16" spans="1:8" ht="18" customHeight="1" x14ac:dyDescent="0.25">
      <c r="D16" s="54"/>
      <c r="E16" s="55"/>
      <c r="H16" s="59"/>
    </row>
    <row r="17" spans="1:8" x14ac:dyDescent="0.25">
      <c r="E17" s="55"/>
      <c r="F17" s="51"/>
    </row>
    <row r="18" spans="1:8" x14ac:dyDescent="0.25">
      <c r="E18" s="55"/>
      <c r="F18" s="51"/>
    </row>
    <row r="19" spans="1:8" x14ac:dyDescent="0.25">
      <c r="E19" s="55"/>
      <c r="F19" s="51"/>
    </row>
    <row r="20" spans="1:8" x14ac:dyDescent="0.25">
      <c r="E20" s="55"/>
      <c r="F20" s="51"/>
    </row>
    <row r="21" spans="1:8" x14ac:dyDescent="0.25">
      <c r="E21" s="55"/>
      <c r="F21" s="51"/>
    </row>
    <row r="22" spans="1:8" x14ac:dyDescent="0.25">
      <c r="E22" s="55"/>
      <c r="F22" s="51"/>
    </row>
    <row r="23" spans="1:8" x14ac:dyDescent="0.25">
      <c r="E23" s="55"/>
      <c r="F23" s="51"/>
    </row>
    <row r="24" spans="1:8" x14ac:dyDescent="0.25">
      <c r="E24" s="55"/>
      <c r="F24" s="51"/>
    </row>
    <row r="25" spans="1:8" x14ac:dyDescent="0.25">
      <c r="E25" s="55"/>
      <c r="F25" s="51"/>
    </row>
    <row r="26" spans="1:8" x14ac:dyDescent="0.25">
      <c r="E26" s="55"/>
      <c r="F26" s="51"/>
    </row>
    <row r="27" spans="1:8" x14ac:dyDescent="0.25">
      <c r="E27" s="55"/>
      <c r="F27" s="51"/>
    </row>
    <row r="28" spans="1:8" x14ac:dyDescent="0.25">
      <c r="E28" s="55"/>
      <c r="F28" s="51"/>
    </row>
    <row r="29" spans="1:8" x14ac:dyDescent="0.25">
      <c r="E29" s="55"/>
      <c r="F29" s="51"/>
    </row>
    <row r="30" spans="1:8" ht="15" x14ac:dyDescent="0.25">
      <c r="A30" s="53"/>
      <c r="B30" s="53"/>
      <c r="E30" s="55"/>
      <c r="G30" s="53"/>
      <c r="H30" s="59"/>
    </row>
    <row r="31" spans="1:8" ht="18" customHeight="1" x14ac:dyDescent="0.25">
      <c r="C31" s="53"/>
      <c r="D31" s="54"/>
      <c r="E31" s="55"/>
      <c r="H31" s="59"/>
    </row>
    <row r="32" spans="1:8" x14ac:dyDescent="0.25">
      <c r="C32" s="53"/>
      <c r="E32" s="51"/>
      <c r="F32" s="51"/>
    </row>
    <row r="33" spans="3:8" x14ac:dyDescent="0.25">
      <c r="C33" s="53"/>
      <c r="E33" s="51"/>
      <c r="F33" s="51"/>
    </row>
    <row r="34" spans="3:8" x14ac:dyDescent="0.25">
      <c r="C34" s="53"/>
      <c r="E34" s="51"/>
      <c r="F34" s="51"/>
    </row>
    <row r="35" spans="3:8" x14ac:dyDescent="0.25">
      <c r="C35" s="53"/>
      <c r="E35" s="51"/>
      <c r="F35" s="51"/>
    </row>
    <row r="36" spans="3:8" x14ac:dyDescent="0.25">
      <c r="C36" s="53"/>
      <c r="E36" s="51"/>
      <c r="F36" s="51"/>
    </row>
    <row r="37" spans="3:8" ht="15" x14ac:dyDescent="0.25">
      <c r="D37" s="54"/>
      <c r="E37" s="55"/>
      <c r="H37" s="59"/>
    </row>
    <row r="38" spans="3:8" x14ac:dyDescent="0.25">
      <c r="E38" s="55"/>
      <c r="F38" s="51"/>
    </row>
    <row r="39" spans="3:8" x14ac:dyDescent="0.25">
      <c r="E39" s="55"/>
      <c r="F39" s="51"/>
    </row>
    <row r="40" spans="3:8" x14ac:dyDescent="0.25">
      <c r="E40" s="55"/>
      <c r="F40" s="51"/>
    </row>
    <row r="41" spans="3:8" x14ac:dyDescent="0.25">
      <c r="E41" s="55"/>
      <c r="F41" s="51"/>
    </row>
    <row r="42" spans="3:8" x14ac:dyDescent="0.25">
      <c r="E42" s="55"/>
      <c r="F42" s="51"/>
    </row>
    <row r="43" spans="3:8" ht="30.75" customHeight="1" x14ac:dyDescent="0.25">
      <c r="D43" s="54"/>
      <c r="E43" s="55"/>
      <c r="H43" s="59"/>
    </row>
    <row r="44" spans="3:8" x14ac:dyDescent="0.25">
      <c r="E44" s="55"/>
      <c r="F44" s="51"/>
    </row>
    <row r="45" spans="3:8" x14ac:dyDescent="0.25">
      <c r="E45" s="55"/>
      <c r="F45" s="51"/>
    </row>
    <row r="46" spans="3:8" x14ac:dyDescent="0.25">
      <c r="E46" s="55"/>
      <c r="F46" s="51"/>
    </row>
    <row r="47" spans="3:8" ht="15" x14ac:dyDescent="0.25">
      <c r="D47" s="54"/>
      <c r="E47" s="55"/>
      <c r="H47" s="59"/>
    </row>
    <row r="48" spans="3:8" x14ac:dyDescent="0.25">
      <c r="E48" s="55"/>
      <c r="F48" s="51"/>
    </row>
    <row r="49" spans="1:8" x14ac:dyDescent="0.25">
      <c r="E49" s="55"/>
      <c r="F49" s="51"/>
    </row>
    <row r="50" spans="1:8" x14ac:dyDescent="0.25">
      <c r="E50" s="55"/>
      <c r="F50" s="51"/>
    </row>
    <row r="51" spans="1:8" x14ac:dyDescent="0.25">
      <c r="E51" s="55"/>
      <c r="F51" s="51"/>
    </row>
    <row r="52" spans="1:8" ht="15" x14ac:dyDescent="0.25">
      <c r="E52" s="55"/>
      <c r="H52" s="59"/>
    </row>
    <row r="53" spans="1:8" x14ac:dyDescent="0.25">
      <c r="E53" s="55"/>
      <c r="F53" s="51"/>
    </row>
    <row r="54" spans="1:8" x14ac:dyDescent="0.25">
      <c r="E54" s="55"/>
      <c r="F54" s="51"/>
    </row>
    <row r="55" spans="1:8" x14ac:dyDescent="0.25">
      <c r="E55" s="55"/>
      <c r="F55" s="51"/>
    </row>
    <row r="56" spans="1:8" ht="15" x14ac:dyDescent="0.25">
      <c r="D56" s="54"/>
      <c r="E56" s="55"/>
      <c r="H56" s="59"/>
    </row>
    <row r="57" spans="1:8" x14ac:dyDescent="0.25">
      <c r="E57" s="55"/>
      <c r="F57" s="51"/>
    </row>
    <row r="58" spans="1:8" x14ac:dyDescent="0.25">
      <c r="E58" s="55"/>
      <c r="F58" s="51"/>
    </row>
    <row r="59" spans="1:8" x14ac:dyDescent="0.25">
      <c r="E59" s="55"/>
      <c r="F59" s="51"/>
    </row>
    <row r="60" spans="1:8" x14ac:dyDescent="0.25">
      <c r="E60" s="55"/>
      <c r="F60" s="51"/>
    </row>
    <row r="61" spans="1:8" x14ac:dyDescent="0.25">
      <c r="E61" s="55"/>
      <c r="F61" s="51"/>
    </row>
    <row r="62" spans="1:8" x14ac:dyDescent="0.25">
      <c r="E62" s="55"/>
      <c r="F62" s="51"/>
    </row>
    <row r="63" spans="1:8" ht="11.25" customHeight="1" x14ac:dyDescent="0.25">
      <c r="G63" s="53"/>
    </row>
    <row r="64" spans="1:8" ht="15" x14ac:dyDescent="0.25">
      <c r="A64" s="61"/>
      <c r="B64" s="61"/>
      <c r="C64" s="61"/>
      <c r="D64" s="54"/>
      <c r="E64" s="55"/>
      <c r="G64" s="61"/>
      <c r="H64" s="59"/>
    </row>
    <row r="65" spans="1:8" x14ac:dyDescent="0.25">
      <c r="A65" s="61"/>
      <c r="B65" s="61"/>
      <c r="C65" s="61"/>
      <c r="D65" s="62"/>
      <c r="E65" s="55"/>
      <c r="F65" s="51"/>
      <c r="G65" s="61"/>
    </row>
    <row r="66" spans="1:8" x14ac:dyDescent="0.25">
      <c r="A66" s="61"/>
      <c r="B66" s="61"/>
      <c r="C66" s="61"/>
      <c r="D66" s="62"/>
      <c r="E66" s="55"/>
      <c r="F66" s="51"/>
      <c r="G66" s="61"/>
    </row>
    <row r="67" spans="1:8" x14ac:dyDescent="0.25">
      <c r="A67" s="61"/>
      <c r="B67" s="61"/>
      <c r="C67" s="61"/>
      <c r="D67" s="62"/>
      <c r="E67" s="55"/>
      <c r="F67" s="51"/>
      <c r="G67" s="61"/>
    </row>
    <row r="68" spans="1:8" x14ac:dyDescent="0.25">
      <c r="A68" s="61"/>
      <c r="B68" s="61"/>
      <c r="C68" s="61"/>
      <c r="D68" s="62"/>
      <c r="E68" s="55"/>
      <c r="F68" s="51"/>
      <c r="G68" s="61"/>
    </row>
    <row r="69" spans="1:8" x14ac:dyDescent="0.25">
      <c r="A69" s="61"/>
      <c r="B69" s="61"/>
      <c r="C69" s="61"/>
      <c r="D69" s="62"/>
      <c r="E69" s="55"/>
      <c r="F69" s="51"/>
      <c r="G69" s="61"/>
    </row>
    <row r="70" spans="1:8" ht="15" x14ac:dyDescent="0.25">
      <c r="A70" s="61"/>
      <c r="B70" s="61"/>
      <c r="C70" s="61"/>
      <c r="D70" s="54"/>
      <c r="E70" s="55"/>
      <c r="G70" s="61"/>
      <c r="H70" s="59"/>
    </row>
    <row r="71" spans="1:8" x14ac:dyDescent="0.25">
      <c r="A71" s="61"/>
      <c r="B71" s="61"/>
      <c r="C71" s="61"/>
      <c r="D71" s="62"/>
      <c r="E71" s="55"/>
      <c r="F71" s="51"/>
      <c r="G71" s="61"/>
    </row>
    <row r="72" spans="1:8" x14ac:dyDescent="0.25">
      <c r="A72" s="61"/>
      <c r="B72" s="61"/>
      <c r="C72" s="61"/>
      <c r="D72" s="62"/>
      <c r="E72" s="55"/>
      <c r="F72" s="51"/>
      <c r="G72" s="61"/>
    </row>
    <row r="73" spans="1:8" x14ac:dyDescent="0.25">
      <c r="A73" s="61"/>
      <c r="B73" s="61"/>
      <c r="C73" s="61"/>
      <c r="D73" s="62"/>
      <c r="E73" s="55"/>
      <c r="F73" s="51"/>
      <c r="G73" s="61"/>
    </row>
    <row r="74" spans="1:8" x14ac:dyDescent="0.25">
      <c r="A74" s="61"/>
      <c r="B74" s="61"/>
      <c r="C74" s="61"/>
      <c r="D74" s="62"/>
      <c r="E74" s="55"/>
      <c r="F74" s="51"/>
      <c r="G74" s="61"/>
    </row>
    <row r="75" spans="1:8" x14ac:dyDescent="0.25">
      <c r="A75" s="61"/>
      <c r="B75" s="61"/>
      <c r="C75" s="61"/>
      <c r="D75" s="62"/>
      <c r="E75" s="55"/>
      <c r="F75" s="51"/>
      <c r="G75" s="61"/>
    </row>
    <row r="76" spans="1:8" x14ac:dyDescent="0.25">
      <c r="C76" s="71"/>
      <c r="F76" s="64"/>
    </row>
  </sheetData>
  <sheetProtection password="C08A" sheet="1" objects="1" scenarios="1"/>
  <mergeCells count="1">
    <mergeCell ref="A1:B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61"/>
  <sheetViews>
    <sheetView topLeftCell="A14" workbookViewId="0">
      <selection activeCell="F37" sqref="F37"/>
    </sheetView>
  </sheetViews>
  <sheetFormatPr defaultColWidth="8.28515625" defaultRowHeight="15" x14ac:dyDescent="0.25"/>
  <cols>
    <col min="1" max="1" width="5.28515625" style="54" customWidth="1"/>
    <col min="2" max="2" width="48.140625" style="54" customWidth="1"/>
    <col min="3" max="3" width="6.7109375" style="54" customWidth="1"/>
    <col min="4" max="4" width="13.140625" style="55" customWidth="1"/>
    <col min="5" max="5" width="6.5703125" style="76" customWidth="1"/>
    <col min="6" max="6" width="106.7109375" style="53" customWidth="1"/>
    <col min="7" max="7" width="66.28515625" style="54" customWidth="1"/>
    <col min="8" max="8" width="11.85546875" style="59" customWidth="1"/>
    <col min="9" max="16384" width="8.28515625" style="54"/>
  </cols>
  <sheetData>
    <row r="1" spans="1:8" ht="21" thickBot="1" x14ac:dyDescent="0.3">
      <c r="A1" s="617" t="s">
        <v>220</v>
      </c>
      <c r="B1" s="618"/>
      <c r="C1" s="16"/>
      <c r="D1" s="26"/>
      <c r="E1" s="161"/>
      <c r="F1" s="162"/>
    </row>
    <row r="2" spans="1:8" ht="24" customHeight="1" x14ac:dyDescent="0.2">
      <c r="A2" s="286" t="s">
        <v>0</v>
      </c>
      <c r="B2" s="283" t="s">
        <v>1</v>
      </c>
      <c r="C2" s="215" t="s">
        <v>2</v>
      </c>
      <c r="D2" s="264" t="s">
        <v>198</v>
      </c>
      <c r="E2" s="265"/>
      <c r="F2" s="266" t="s">
        <v>139</v>
      </c>
      <c r="G2" s="56"/>
      <c r="H2" s="72"/>
    </row>
    <row r="3" spans="1:8" ht="25.5" x14ac:dyDescent="0.25">
      <c r="A3" s="163" t="s">
        <v>125</v>
      </c>
      <c r="B3" s="37" t="s">
        <v>160</v>
      </c>
      <c r="C3" s="69">
        <f>marsh</f>
        <v>0</v>
      </c>
      <c r="D3" s="68" t="s">
        <v>159</v>
      </c>
      <c r="E3" s="140"/>
      <c r="F3" s="96" t="s">
        <v>422</v>
      </c>
    </row>
    <row r="4" spans="1:8" x14ac:dyDescent="0.25">
      <c r="A4" s="163" t="s">
        <v>129</v>
      </c>
      <c r="B4" s="37" t="s">
        <v>108</v>
      </c>
      <c r="C4" s="69">
        <f>distAnad</f>
        <v>0</v>
      </c>
      <c r="D4" s="68" t="s">
        <v>193</v>
      </c>
      <c r="E4" s="140"/>
      <c r="F4" s="96" t="s">
        <v>323</v>
      </c>
    </row>
    <row r="5" spans="1:8" ht="51" x14ac:dyDescent="0.25">
      <c r="A5" s="163" t="s">
        <v>133</v>
      </c>
      <c r="B5" s="37" t="s">
        <v>13</v>
      </c>
      <c r="C5" s="66" t="str">
        <f>IF((deerhab=""),"",deerhab)</f>
        <v/>
      </c>
      <c r="D5" s="52" t="s">
        <v>169</v>
      </c>
      <c r="E5" s="141"/>
      <c r="F5" s="96" t="s">
        <v>329</v>
      </c>
    </row>
    <row r="6" spans="1:8" ht="16.5" x14ac:dyDescent="0.25">
      <c r="A6" s="163" t="s">
        <v>134</v>
      </c>
      <c r="B6" s="37" t="s">
        <v>14</v>
      </c>
      <c r="C6" s="66" t="str">
        <f>IF((bearhab=""),"",bearhab)</f>
        <v/>
      </c>
      <c r="D6" s="52" t="s">
        <v>170</v>
      </c>
      <c r="E6" s="141"/>
      <c r="F6" s="164" t="s">
        <v>327</v>
      </c>
    </row>
    <row r="7" spans="1:8" ht="25.5" x14ac:dyDescent="0.25">
      <c r="A7" s="163" t="s">
        <v>135</v>
      </c>
      <c r="B7" s="37" t="s">
        <v>358</v>
      </c>
      <c r="C7" s="66">
        <f>numcovertypes</f>
        <v>0</v>
      </c>
      <c r="D7" s="52" t="s">
        <v>171</v>
      </c>
      <c r="E7" s="141"/>
      <c r="F7" s="96" t="s">
        <v>336</v>
      </c>
    </row>
    <row r="8" spans="1:8" ht="25.5" x14ac:dyDescent="0.25">
      <c r="A8" s="163" t="s">
        <v>136</v>
      </c>
      <c r="B8" s="37" t="s">
        <v>367</v>
      </c>
      <c r="C8" s="66" t="str">
        <f>IF((salmoshedAll=""),"",salmoshedAll)</f>
        <v/>
      </c>
      <c r="D8" s="52" t="s">
        <v>162</v>
      </c>
      <c r="E8" s="141"/>
      <c r="F8" s="96" t="s">
        <v>325</v>
      </c>
    </row>
    <row r="9" spans="1:8" ht="25.5" x14ac:dyDescent="0.25">
      <c r="A9" s="163" t="s">
        <v>137</v>
      </c>
      <c r="B9" s="37" t="s">
        <v>368</v>
      </c>
      <c r="C9" s="66" t="str">
        <f>IF((salmoshedBest=""),"",salmoshedBest)</f>
        <v/>
      </c>
      <c r="D9" s="52" t="s">
        <v>163</v>
      </c>
      <c r="E9" s="141"/>
      <c r="F9" s="96" t="s">
        <v>326</v>
      </c>
    </row>
    <row r="10" spans="1:8" ht="25.5" x14ac:dyDescent="0.25">
      <c r="A10" s="163" t="s">
        <v>147</v>
      </c>
      <c r="B10" s="37" t="s">
        <v>479</v>
      </c>
      <c r="C10" s="66" t="str">
        <f>IF((shedbigtrees=""),"",shedbigtrees)</f>
        <v/>
      </c>
      <c r="D10" s="52" t="s">
        <v>176</v>
      </c>
      <c r="E10" s="141"/>
      <c r="F10" s="96" t="s">
        <v>328</v>
      </c>
    </row>
    <row r="11" spans="1:8" ht="25.5" x14ac:dyDescent="0.25">
      <c r="A11" s="163" t="s">
        <v>148</v>
      </c>
      <c r="B11" s="38" t="s">
        <v>107</v>
      </c>
      <c r="C11" s="66">
        <f>intactness</f>
        <v>0</v>
      </c>
      <c r="D11" s="52" t="s">
        <v>178</v>
      </c>
      <c r="E11" s="141"/>
      <c r="F11" s="96" t="s">
        <v>412</v>
      </c>
    </row>
    <row r="12" spans="1:8" ht="15.75" thickBot="1" x14ac:dyDescent="0.3">
      <c r="A12" s="165" t="s">
        <v>359</v>
      </c>
      <c r="B12" s="118" t="s">
        <v>12</v>
      </c>
      <c r="C12" s="108">
        <f>karst</f>
        <v>0</v>
      </c>
      <c r="D12" s="110" t="s">
        <v>177</v>
      </c>
      <c r="E12" s="142"/>
      <c r="F12" s="166" t="s">
        <v>411</v>
      </c>
    </row>
    <row r="13" spans="1:8" ht="25.5" x14ac:dyDescent="0.25">
      <c r="A13" s="132" t="s">
        <v>21</v>
      </c>
      <c r="B13" s="123" t="s">
        <v>480</v>
      </c>
      <c r="C13" s="124">
        <f>buffwidth</f>
        <v>0</v>
      </c>
      <c r="D13" s="125" t="s">
        <v>179</v>
      </c>
      <c r="E13" s="156"/>
      <c r="F13" s="126" t="s">
        <v>330</v>
      </c>
    </row>
    <row r="14" spans="1:8" ht="16.5" x14ac:dyDescent="0.25">
      <c r="A14" s="133" t="s">
        <v>22</v>
      </c>
      <c r="B14" s="45" t="s">
        <v>18</v>
      </c>
      <c r="C14" s="66">
        <f>shedslope</f>
        <v>0</v>
      </c>
      <c r="D14" s="52" t="s">
        <v>182</v>
      </c>
      <c r="E14" s="141"/>
      <c r="F14" s="96" t="s">
        <v>331</v>
      </c>
    </row>
    <row r="15" spans="1:8" ht="16.5" x14ac:dyDescent="0.25">
      <c r="A15" s="133" t="s">
        <v>25</v>
      </c>
      <c r="B15" s="75" t="s">
        <v>425</v>
      </c>
      <c r="C15" s="66">
        <f>distpop</f>
        <v>0</v>
      </c>
      <c r="D15" s="52" t="s">
        <v>185</v>
      </c>
      <c r="E15" s="141"/>
      <c r="F15" s="96" t="s">
        <v>332</v>
      </c>
    </row>
    <row r="16" spans="1:8" ht="16.5" x14ac:dyDescent="0.25">
      <c r="A16" s="133" t="s">
        <v>26</v>
      </c>
      <c r="B16" s="45" t="s">
        <v>114</v>
      </c>
      <c r="C16" s="66">
        <f>distbdg</f>
        <v>0</v>
      </c>
      <c r="D16" s="52" t="s">
        <v>186</v>
      </c>
      <c r="E16" s="141"/>
      <c r="F16" s="96" t="s">
        <v>253</v>
      </c>
    </row>
    <row r="17" spans="1:6" ht="17.25" thickBot="1" x14ac:dyDescent="0.3">
      <c r="A17" s="134" t="s">
        <v>30</v>
      </c>
      <c r="B17" s="127" t="s">
        <v>475</v>
      </c>
      <c r="C17" s="128">
        <f>eaglenests</f>
        <v>0</v>
      </c>
      <c r="D17" s="130" t="s">
        <v>190</v>
      </c>
      <c r="E17" s="157"/>
      <c r="F17" s="99" t="s">
        <v>333</v>
      </c>
    </row>
    <row r="18" spans="1:6" ht="30" x14ac:dyDescent="0.25">
      <c r="A18" s="167" t="s">
        <v>89</v>
      </c>
      <c r="B18" s="120" t="s">
        <v>226</v>
      </c>
      <c r="C18" s="363">
        <f>1-floodpct</f>
        <v>1</v>
      </c>
      <c r="D18" s="122" t="s">
        <v>205</v>
      </c>
      <c r="E18" s="158"/>
      <c r="F18" s="168" t="s">
        <v>423</v>
      </c>
    </row>
    <row r="19" spans="1:6" x14ac:dyDescent="0.25">
      <c r="A19" s="163" t="s">
        <v>92</v>
      </c>
      <c r="B19" s="43" t="s">
        <v>88</v>
      </c>
      <c r="C19" s="69">
        <f>tidepools</f>
        <v>0</v>
      </c>
      <c r="D19" s="68" t="s">
        <v>207</v>
      </c>
      <c r="E19" s="140"/>
      <c r="F19" s="96" t="s">
        <v>334</v>
      </c>
    </row>
    <row r="20" spans="1:6" x14ac:dyDescent="0.25">
      <c r="A20" s="163" t="s">
        <v>95</v>
      </c>
      <c r="B20" s="43" t="s">
        <v>53</v>
      </c>
      <c r="C20" s="117" t="str">
        <f>altered</f>
        <v/>
      </c>
      <c r="D20" s="79" t="s">
        <v>221</v>
      </c>
      <c r="E20" s="159"/>
      <c r="F20" s="96" t="s">
        <v>335</v>
      </c>
    </row>
    <row r="21" spans="1:6" x14ac:dyDescent="0.25">
      <c r="A21" s="163" t="s">
        <v>96</v>
      </c>
      <c r="B21" s="43" t="s">
        <v>61</v>
      </c>
      <c r="C21" s="117">
        <f>armoring</f>
        <v>0.1</v>
      </c>
      <c r="D21" s="79" t="s">
        <v>209</v>
      </c>
      <c r="E21" s="159"/>
      <c r="F21" s="96" t="s">
        <v>253</v>
      </c>
    </row>
    <row r="22" spans="1:6" ht="25.5" x14ac:dyDescent="0.25">
      <c r="A22" s="163" t="s">
        <v>99</v>
      </c>
      <c r="B22" s="74" t="s">
        <v>219</v>
      </c>
      <c r="C22" s="135">
        <f>treedivers</f>
        <v>0</v>
      </c>
      <c r="D22" s="80" t="s">
        <v>222</v>
      </c>
      <c r="E22" s="160"/>
      <c r="F22" s="96" t="s">
        <v>337</v>
      </c>
    </row>
    <row r="23" spans="1:6" x14ac:dyDescent="0.25">
      <c r="A23" s="163" t="s">
        <v>100</v>
      </c>
      <c r="B23" s="43" t="s">
        <v>81</v>
      </c>
      <c r="C23" s="117">
        <f>nfixers</f>
        <v>0</v>
      </c>
      <c r="D23" s="79" t="s">
        <v>199</v>
      </c>
      <c r="E23" s="159"/>
      <c r="F23" s="96" t="s">
        <v>338</v>
      </c>
    </row>
    <row r="24" spans="1:6" ht="25.5" x14ac:dyDescent="0.25">
      <c r="A24" s="163" t="s">
        <v>101</v>
      </c>
      <c r="B24" s="43" t="s">
        <v>80</v>
      </c>
      <c r="C24" s="117">
        <f>berries</f>
        <v>0</v>
      </c>
      <c r="D24" s="79" t="s">
        <v>223</v>
      </c>
      <c r="E24" s="159"/>
      <c r="F24" s="96" t="s">
        <v>339</v>
      </c>
    </row>
    <row r="25" spans="1:6" ht="17.25" thickBot="1" x14ac:dyDescent="0.3">
      <c r="A25" s="169" t="s">
        <v>102</v>
      </c>
      <c r="B25" s="170" t="s">
        <v>104</v>
      </c>
      <c r="C25" s="171">
        <f>wildsign</f>
        <v>0</v>
      </c>
      <c r="D25" s="172" t="s">
        <v>224</v>
      </c>
      <c r="E25" s="173"/>
      <c r="F25" s="99" t="s">
        <v>340</v>
      </c>
    </row>
    <row r="26" spans="1:6" ht="15.75" thickBot="1" x14ac:dyDescent="0.3">
      <c r="E26" s="27"/>
      <c r="F26" s="145" t="s">
        <v>203</v>
      </c>
    </row>
    <row r="27" spans="1:6" ht="15.75" thickBot="1" x14ac:dyDescent="0.3">
      <c r="B27" s="65" t="s">
        <v>247</v>
      </c>
      <c r="D27" s="55" t="s">
        <v>528</v>
      </c>
      <c r="E27" s="429">
        <f>10*AVERAGE(factorA5, factorB5, factorC5, factorD5, factorE5)</f>
        <v>0.2</v>
      </c>
      <c r="F27" s="113" t="s">
        <v>541</v>
      </c>
    </row>
    <row r="28" spans="1:6" x14ac:dyDescent="0.25">
      <c r="D28" s="23"/>
      <c r="E28" s="91"/>
      <c r="F28" s="114" t="s">
        <v>229</v>
      </c>
    </row>
    <row r="29" spans="1:6" x14ac:dyDescent="0.25">
      <c r="D29" s="88" t="s">
        <v>542</v>
      </c>
      <c r="E29" s="87">
        <f>AVERAGE(marsh, floodpct)</f>
        <v>0</v>
      </c>
      <c r="F29" s="89" t="s">
        <v>324</v>
      </c>
    </row>
    <row r="30" spans="1:6" x14ac:dyDescent="0.25">
      <c r="D30" s="88" t="s">
        <v>543</v>
      </c>
      <c r="E30" s="87">
        <f>AVERAGE(deerhab, numcovertypes, treedivers, nfixers,karst, shedslope)</f>
        <v>0</v>
      </c>
      <c r="F30" s="89" t="s">
        <v>341</v>
      </c>
    </row>
    <row r="31" spans="1:6" x14ac:dyDescent="0.25">
      <c r="D31" s="88" t="s">
        <v>544</v>
      </c>
      <c r="E31" s="87">
        <f>AVERAGE(eaglenests, shedbigtrees, wildsign)</f>
        <v>0</v>
      </c>
      <c r="F31" s="89" t="s">
        <v>235</v>
      </c>
    </row>
    <row r="32" spans="1:6" x14ac:dyDescent="0.25">
      <c r="D32" s="86" t="s">
        <v>545</v>
      </c>
      <c r="E32" s="87">
        <f>AVERAGE(bearhab,berries, tidepools, distAnad, salmoshedAll, salmoshedBest)</f>
        <v>0</v>
      </c>
      <c r="F32" s="21" t="s">
        <v>236</v>
      </c>
    </row>
    <row r="33" spans="1:7" x14ac:dyDescent="0.25">
      <c r="D33" s="86" t="s">
        <v>546</v>
      </c>
      <c r="E33" s="87">
        <f>AVERAGE(buffwidth,intactness, distpop, distbdg, altered, armoring)</f>
        <v>0.1</v>
      </c>
      <c r="F33" s="21" t="s">
        <v>342</v>
      </c>
    </row>
    <row r="35" spans="1:7" x14ac:dyDescent="0.25">
      <c r="E35" s="77"/>
      <c r="F35" s="83"/>
    </row>
    <row r="38" spans="1:7" x14ac:dyDescent="0.25">
      <c r="E38" s="77"/>
      <c r="F38" s="83"/>
    </row>
    <row r="41" spans="1:7" x14ac:dyDescent="0.25">
      <c r="E41" s="77"/>
      <c r="F41" s="83"/>
    </row>
    <row r="42" spans="1:7" x14ac:dyDescent="0.25">
      <c r="F42" s="82"/>
    </row>
    <row r="43" spans="1:7" x14ac:dyDescent="0.25">
      <c r="F43" s="82"/>
    </row>
    <row r="44" spans="1:7" x14ac:dyDescent="0.25">
      <c r="F44" s="82"/>
    </row>
    <row r="45" spans="1:7" x14ac:dyDescent="0.25">
      <c r="A45" s="53"/>
      <c r="B45" s="53"/>
      <c r="E45" s="77"/>
      <c r="F45" s="83"/>
      <c r="G45" s="53"/>
    </row>
    <row r="46" spans="1:7" x14ac:dyDescent="0.25">
      <c r="E46" s="77"/>
      <c r="F46" s="83"/>
    </row>
    <row r="47" spans="1:7" x14ac:dyDescent="0.25">
      <c r="F47" s="82"/>
    </row>
    <row r="48" spans="1:7" x14ac:dyDescent="0.25">
      <c r="F48" s="82"/>
    </row>
    <row r="49" spans="5:6" x14ac:dyDescent="0.25">
      <c r="F49" s="82"/>
    </row>
    <row r="50" spans="5:6" x14ac:dyDescent="0.25">
      <c r="F50" s="82"/>
    </row>
    <row r="51" spans="5:6" x14ac:dyDescent="0.25">
      <c r="F51" s="82"/>
    </row>
    <row r="52" spans="5:6" x14ac:dyDescent="0.25">
      <c r="E52" s="77"/>
      <c r="F52" s="83"/>
    </row>
    <row r="53" spans="5:6" x14ac:dyDescent="0.25">
      <c r="F53" s="82"/>
    </row>
    <row r="54" spans="5:6" x14ac:dyDescent="0.25">
      <c r="F54" s="82"/>
    </row>
    <row r="55" spans="5:6" x14ac:dyDescent="0.25">
      <c r="F55" s="82"/>
    </row>
    <row r="56" spans="5:6" x14ac:dyDescent="0.25">
      <c r="F56" s="82"/>
    </row>
    <row r="57" spans="5:6" x14ac:dyDescent="0.25">
      <c r="F57" s="82"/>
    </row>
    <row r="58" spans="5:6" x14ac:dyDescent="0.25">
      <c r="E58" s="77"/>
      <c r="F58" s="83"/>
    </row>
    <row r="59" spans="5:6" x14ac:dyDescent="0.25">
      <c r="F59" s="82"/>
    </row>
    <row r="60" spans="5:6" x14ac:dyDescent="0.25">
      <c r="F60" s="82"/>
    </row>
    <row r="61" spans="5:6" x14ac:dyDescent="0.25">
      <c r="F61" s="82"/>
    </row>
    <row r="62" spans="5:6" x14ac:dyDescent="0.25">
      <c r="F62" s="82"/>
    </row>
    <row r="63" spans="5:6" x14ac:dyDescent="0.25">
      <c r="F63" s="82"/>
    </row>
    <row r="64" spans="5:6" x14ac:dyDescent="0.25">
      <c r="F64" s="82"/>
    </row>
    <row r="65" spans="5:6" x14ac:dyDescent="0.25">
      <c r="F65" s="82"/>
    </row>
    <row r="66" spans="5:6" x14ac:dyDescent="0.25">
      <c r="F66" s="82"/>
    </row>
    <row r="67" spans="5:6" x14ac:dyDescent="0.25">
      <c r="E67" s="77"/>
      <c r="F67" s="83"/>
    </row>
    <row r="68" spans="5:6" x14ac:dyDescent="0.25">
      <c r="F68" s="82"/>
    </row>
    <row r="69" spans="5:6" x14ac:dyDescent="0.25">
      <c r="F69" s="82"/>
    </row>
    <row r="70" spans="5:6" x14ac:dyDescent="0.25">
      <c r="F70" s="82"/>
    </row>
    <row r="71" spans="5:6" x14ac:dyDescent="0.25">
      <c r="F71" s="82"/>
    </row>
    <row r="72" spans="5:6" x14ac:dyDescent="0.25">
      <c r="F72" s="82"/>
    </row>
    <row r="73" spans="5:6" x14ac:dyDescent="0.25">
      <c r="E73" s="77"/>
      <c r="F73" s="83"/>
    </row>
    <row r="74" spans="5:6" x14ac:dyDescent="0.25">
      <c r="F74" s="82"/>
    </row>
    <row r="75" spans="5:6" x14ac:dyDescent="0.25">
      <c r="F75" s="82"/>
    </row>
    <row r="76" spans="5:6" x14ac:dyDescent="0.25">
      <c r="F76" s="82"/>
    </row>
    <row r="77" spans="5:6" x14ac:dyDescent="0.25">
      <c r="F77" s="82"/>
    </row>
    <row r="78" spans="5:6" x14ac:dyDescent="0.25">
      <c r="F78" s="82"/>
    </row>
    <row r="79" spans="5:6" x14ac:dyDescent="0.25">
      <c r="E79" s="77"/>
      <c r="F79" s="83"/>
    </row>
    <row r="80" spans="5:6" x14ac:dyDescent="0.25">
      <c r="F80" s="82"/>
    </row>
    <row r="81" spans="1:7" x14ac:dyDescent="0.25">
      <c r="F81" s="82"/>
    </row>
    <row r="82" spans="1:7" x14ac:dyDescent="0.25">
      <c r="F82" s="82"/>
    </row>
    <row r="83" spans="1:7" x14ac:dyDescent="0.25">
      <c r="E83" s="77"/>
      <c r="F83" s="83"/>
    </row>
    <row r="84" spans="1:7" x14ac:dyDescent="0.25">
      <c r="F84" s="82"/>
    </row>
    <row r="85" spans="1:7" x14ac:dyDescent="0.25">
      <c r="F85" s="82"/>
    </row>
    <row r="86" spans="1:7" x14ac:dyDescent="0.25">
      <c r="F86" s="82"/>
    </row>
    <row r="87" spans="1:7" x14ac:dyDescent="0.25">
      <c r="F87" s="82"/>
    </row>
    <row r="88" spans="1:7" x14ac:dyDescent="0.25">
      <c r="F88" s="82"/>
    </row>
    <row r="89" spans="1:7" x14ac:dyDescent="0.25">
      <c r="F89" s="82"/>
    </row>
    <row r="90" spans="1:7" x14ac:dyDescent="0.25">
      <c r="A90" s="53"/>
      <c r="B90" s="53"/>
      <c r="E90" s="77"/>
      <c r="F90" s="83"/>
      <c r="G90" s="53"/>
    </row>
    <row r="91" spans="1:7" x14ac:dyDescent="0.25">
      <c r="A91" s="53"/>
      <c r="B91" s="53"/>
      <c r="E91" s="77"/>
      <c r="F91" s="83"/>
      <c r="G91" s="53"/>
    </row>
    <row r="92" spans="1:7" x14ac:dyDescent="0.25">
      <c r="A92" s="53"/>
      <c r="B92" s="53"/>
      <c r="E92" s="77"/>
      <c r="F92" s="83"/>
      <c r="G92" s="53"/>
    </row>
    <row r="93" spans="1:7" x14ac:dyDescent="0.25">
      <c r="E93" s="77"/>
      <c r="F93" s="83"/>
    </row>
    <row r="94" spans="1:7" x14ac:dyDescent="0.25">
      <c r="F94" s="82"/>
    </row>
    <row r="95" spans="1:7" x14ac:dyDescent="0.25">
      <c r="F95" s="82"/>
    </row>
    <row r="96" spans="1:7" x14ac:dyDescent="0.25">
      <c r="F96" s="82"/>
    </row>
    <row r="97" spans="5:6" x14ac:dyDescent="0.25">
      <c r="F97" s="82"/>
    </row>
    <row r="98" spans="5:6" x14ac:dyDescent="0.25">
      <c r="F98" s="82"/>
    </row>
    <row r="99" spans="5:6" x14ac:dyDescent="0.25">
      <c r="F99" s="82"/>
    </row>
    <row r="100" spans="5:6" x14ac:dyDescent="0.25">
      <c r="F100" s="82"/>
    </row>
    <row r="101" spans="5:6" x14ac:dyDescent="0.25">
      <c r="F101" s="82"/>
    </row>
    <row r="102" spans="5:6" x14ac:dyDescent="0.25">
      <c r="E102" s="77"/>
      <c r="F102" s="83"/>
    </row>
    <row r="103" spans="5:6" x14ac:dyDescent="0.25">
      <c r="E103" s="78"/>
      <c r="F103" s="83"/>
    </row>
    <row r="104" spans="5:6" x14ac:dyDescent="0.25">
      <c r="F104" s="82"/>
    </row>
    <row r="105" spans="5:6" x14ac:dyDescent="0.25">
      <c r="F105" s="82"/>
    </row>
    <row r="106" spans="5:6" x14ac:dyDescent="0.25">
      <c r="F106" s="82"/>
    </row>
    <row r="107" spans="5:6" x14ac:dyDescent="0.25">
      <c r="F107" s="82"/>
    </row>
    <row r="108" spans="5:6" x14ac:dyDescent="0.25">
      <c r="F108" s="82"/>
    </row>
    <row r="109" spans="5:6" x14ac:dyDescent="0.25">
      <c r="E109" s="77"/>
      <c r="F109" s="83"/>
    </row>
    <row r="110" spans="5:6" x14ac:dyDescent="0.25">
      <c r="E110" s="78"/>
      <c r="F110" s="83"/>
    </row>
    <row r="111" spans="5:6" x14ac:dyDescent="0.25">
      <c r="F111" s="82"/>
    </row>
    <row r="112" spans="5:6" x14ac:dyDescent="0.25">
      <c r="F112" s="82"/>
    </row>
    <row r="113" spans="1:7" x14ac:dyDescent="0.25">
      <c r="F113" s="82"/>
    </row>
    <row r="114" spans="1:7" x14ac:dyDescent="0.25">
      <c r="F114" s="82"/>
    </row>
    <row r="115" spans="1:7" x14ac:dyDescent="0.25">
      <c r="F115" s="82"/>
    </row>
    <row r="116" spans="1:7" x14ac:dyDescent="0.25">
      <c r="E116" s="77"/>
      <c r="F116" s="83"/>
    </row>
    <row r="117" spans="1:7" x14ac:dyDescent="0.25">
      <c r="E117" s="78"/>
      <c r="F117" s="83"/>
    </row>
    <row r="118" spans="1:7" x14ac:dyDescent="0.25">
      <c r="F118" s="82"/>
    </row>
    <row r="119" spans="1:7" x14ac:dyDescent="0.25">
      <c r="F119" s="82"/>
    </row>
    <row r="120" spans="1:7" x14ac:dyDescent="0.25">
      <c r="F120" s="82"/>
    </row>
    <row r="121" spans="1:7" x14ac:dyDescent="0.25">
      <c r="F121" s="82"/>
    </row>
    <row r="122" spans="1:7" x14ac:dyDescent="0.25">
      <c r="F122" s="82"/>
    </row>
    <row r="123" spans="1:7" x14ac:dyDescent="0.25">
      <c r="E123" s="77"/>
      <c r="F123" s="83"/>
      <c r="G123" s="53"/>
    </row>
    <row r="124" spans="1:7" x14ac:dyDescent="0.25">
      <c r="E124" s="77"/>
      <c r="F124" s="83"/>
      <c r="G124" s="60"/>
    </row>
    <row r="125" spans="1:7" x14ac:dyDescent="0.25">
      <c r="G125" s="53"/>
    </row>
    <row r="126" spans="1:7" x14ac:dyDescent="0.25">
      <c r="A126" s="61"/>
      <c r="B126" s="61"/>
      <c r="C126" s="61"/>
      <c r="E126" s="77"/>
      <c r="F126" s="83"/>
      <c r="G126" s="61"/>
    </row>
    <row r="127" spans="1:7" x14ac:dyDescent="0.25">
      <c r="A127" s="61"/>
      <c r="B127" s="61"/>
      <c r="C127" s="61"/>
      <c r="D127" s="62"/>
      <c r="F127" s="82"/>
      <c r="G127" s="61"/>
    </row>
    <row r="128" spans="1:7" x14ac:dyDescent="0.25">
      <c r="A128" s="61"/>
      <c r="B128" s="61"/>
      <c r="C128" s="61"/>
      <c r="D128" s="62"/>
      <c r="F128" s="82"/>
      <c r="G128" s="61"/>
    </row>
    <row r="129" spans="1:7" x14ac:dyDescent="0.25">
      <c r="A129" s="61"/>
      <c r="B129" s="61"/>
      <c r="C129" s="61"/>
      <c r="D129" s="62"/>
      <c r="F129" s="82"/>
      <c r="G129" s="61"/>
    </row>
    <row r="130" spans="1:7" x14ac:dyDescent="0.25">
      <c r="A130" s="61"/>
      <c r="B130" s="61"/>
      <c r="C130" s="61"/>
      <c r="D130" s="62"/>
      <c r="F130" s="82"/>
      <c r="G130" s="61"/>
    </row>
    <row r="131" spans="1:7" x14ac:dyDescent="0.25">
      <c r="A131" s="61"/>
      <c r="B131" s="61"/>
      <c r="C131" s="61"/>
      <c r="D131" s="62"/>
      <c r="F131" s="82"/>
      <c r="G131" s="61"/>
    </row>
    <row r="132" spans="1:7" x14ac:dyDescent="0.25">
      <c r="A132" s="61"/>
      <c r="B132" s="61"/>
      <c r="C132" s="61"/>
      <c r="F132" s="83"/>
      <c r="G132" s="61"/>
    </row>
    <row r="133" spans="1:7" x14ac:dyDescent="0.25">
      <c r="A133" s="61"/>
      <c r="B133" s="61"/>
      <c r="C133" s="61"/>
      <c r="D133" s="73"/>
      <c r="F133" s="82"/>
      <c r="G133" s="61"/>
    </row>
    <row r="134" spans="1:7" x14ac:dyDescent="0.25">
      <c r="A134" s="61"/>
      <c r="B134" s="61"/>
      <c r="C134" s="61"/>
      <c r="D134" s="73"/>
      <c r="F134" s="82"/>
      <c r="G134" s="61"/>
    </row>
    <row r="135" spans="1:7" x14ac:dyDescent="0.25">
      <c r="A135" s="61"/>
      <c r="B135" s="61"/>
      <c r="C135" s="61"/>
      <c r="D135" s="73"/>
      <c r="F135" s="82"/>
      <c r="G135" s="61"/>
    </row>
    <row r="136" spans="1:7" x14ac:dyDescent="0.25">
      <c r="A136" s="61"/>
      <c r="B136" s="61"/>
      <c r="C136" s="61"/>
      <c r="E136" s="77"/>
      <c r="F136" s="83"/>
      <c r="G136" s="61"/>
    </row>
    <row r="137" spans="1:7" x14ac:dyDescent="0.25">
      <c r="A137" s="61"/>
      <c r="B137" s="61"/>
      <c r="C137" s="61"/>
      <c r="D137" s="62"/>
      <c r="F137" s="82"/>
      <c r="G137" s="61"/>
    </row>
    <row r="138" spans="1:7" x14ac:dyDescent="0.25">
      <c r="A138" s="61"/>
      <c r="B138" s="61"/>
      <c r="C138" s="61"/>
      <c r="D138" s="62"/>
      <c r="F138" s="82"/>
      <c r="G138" s="61"/>
    </row>
    <row r="139" spans="1:7" x14ac:dyDescent="0.25">
      <c r="A139" s="61"/>
      <c r="B139" s="61"/>
      <c r="C139" s="61"/>
      <c r="D139" s="62"/>
      <c r="F139" s="82"/>
      <c r="G139" s="61"/>
    </row>
    <row r="140" spans="1:7" x14ac:dyDescent="0.25">
      <c r="A140" s="61"/>
      <c r="B140" s="61"/>
      <c r="C140" s="61"/>
      <c r="D140" s="62"/>
      <c r="F140" s="82"/>
      <c r="G140" s="61"/>
    </row>
    <row r="141" spans="1:7" x14ac:dyDescent="0.25">
      <c r="A141" s="61"/>
      <c r="B141" s="61"/>
      <c r="C141" s="61"/>
      <c r="D141" s="62"/>
      <c r="F141" s="82"/>
      <c r="G141" s="61"/>
    </row>
    <row r="142" spans="1:7" x14ac:dyDescent="0.25">
      <c r="A142" s="61"/>
      <c r="B142" s="61"/>
      <c r="C142" s="61"/>
      <c r="D142" s="62"/>
      <c r="F142" s="82"/>
      <c r="G142" s="61"/>
    </row>
    <row r="143" spans="1:7" x14ac:dyDescent="0.25">
      <c r="A143" s="61"/>
      <c r="B143" s="61"/>
      <c r="C143" s="61"/>
      <c r="D143" s="62"/>
      <c r="F143" s="82"/>
      <c r="G143" s="61"/>
    </row>
    <row r="144" spans="1:7" x14ac:dyDescent="0.25">
      <c r="A144" s="61"/>
      <c r="B144" s="61"/>
      <c r="C144" s="61"/>
      <c r="D144" s="62"/>
      <c r="F144" s="82"/>
      <c r="G144" s="61"/>
    </row>
    <row r="145" spans="1:7" x14ac:dyDescent="0.25">
      <c r="A145" s="61"/>
      <c r="B145" s="61"/>
      <c r="C145" s="61"/>
      <c r="E145" s="77"/>
      <c r="F145" s="83"/>
      <c r="G145" s="61"/>
    </row>
    <row r="146" spans="1:7" x14ac:dyDescent="0.25">
      <c r="A146" s="61"/>
      <c r="B146" s="61"/>
      <c r="C146" s="61"/>
      <c r="D146" s="62"/>
      <c r="F146" s="82"/>
      <c r="G146" s="61"/>
    </row>
    <row r="147" spans="1:7" x14ac:dyDescent="0.25">
      <c r="A147" s="61"/>
      <c r="B147" s="61"/>
      <c r="C147" s="61"/>
      <c r="D147" s="62"/>
      <c r="F147" s="82"/>
      <c r="G147" s="61"/>
    </row>
    <row r="148" spans="1:7" x14ac:dyDescent="0.25">
      <c r="A148" s="61"/>
      <c r="B148" s="61"/>
      <c r="C148" s="61"/>
      <c r="D148" s="62"/>
      <c r="F148" s="82"/>
      <c r="G148" s="61"/>
    </row>
    <row r="149" spans="1:7" x14ac:dyDescent="0.25">
      <c r="A149" s="61"/>
      <c r="B149" s="61"/>
      <c r="C149" s="61"/>
      <c r="D149" s="62"/>
      <c r="F149" s="82"/>
      <c r="G149" s="61"/>
    </row>
    <row r="150" spans="1:7" x14ac:dyDescent="0.25">
      <c r="A150" s="61"/>
      <c r="B150" s="61"/>
      <c r="C150" s="61"/>
      <c r="D150" s="62"/>
      <c r="F150" s="82"/>
      <c r="G150" s="61"/>
    </row>
    <row r="151" spans="1:7" x14ac:dyDescent="0.25">
      <c r="A151" s="61"/>
      <c r="B151" s="61"/>
      <c r="C151" s="61"/>
      <c r="E151" s="77"/>
      <c r="F151" s="83"/>
      <c r="G151" s="61"/>
    </row>
    <row r="152" spans="1:7" x14ac:dyDescent="0.25">
      <c r="A152" s="61"/>
      <c r="B152" s="61"/>
      <c r="C152" s="61"/>
      <c r="D152" s="62"/>
      <c r="F152" s="82"/>
      <c r="G152" s="61"/>
    </row>
    <row r="153" spans="1:7" x14ac:dyDescent="0.25">
      <c r="A153" s="61"/>
      <c r="B153" s="61"/>
      <c r="C153" s="61"/>
      <c r="D153" s="62"/>
      <c r="F153" s="82"/>
      <c r="G153" s="61"/>
    </row>
    <row r="154" spans="1:7" x14ac:dyDescent="0.25">
      <c r="A154" s="61"/>
      <c r="B154" s="61"/>
      <c r="C154" s="61"/>
      <c r="D154" s="62"/>
      <c r="F154" s="82"/>
      <c r="G154" s="61"/>
    </row>
    <row r="155" spans="1:7" x14ac:dyDescent="0.25">
      <c r="A155" s="61"/>
      <c r="B155" s="61"/>
      <c r="C155" s="61"/>
      <c r="D155" s="62"/>
      <c r="F155" s="82"/>
      <c r="G155" s="61"/>
    </row>
    <row r="156" spans="1:7" x14ac:dyDescent="0.25">
      <c r="A156" s="61"/>
      <c r="B156" s="61"/>
      <c r="C156" s="61"/>
      <c r="D156" s="62"/>
      <c r="F156" s="82"/>
      <c r="G156" s="61"/>
    </row>
    <row r="157" spans="1:7" x14ac:dyDescent="0.25">
      <c r="A157" s="61"/>
      <c r="B157" s="61"/>
      <c r="C157" s="61"/>
      <c r="D157" s="62"/>
      <c r="F157" s="82"/>
      <c r="G157" s="61"/>
    </row>
    <row r="158" spans="1:7" x14ac:dyDescent="0.25">
      <c r="A158" s="61"/>
      <c r="B158" s="61"/>
      <c r="C158" s="61"/>
      <c r="D158" s="62"/>
      <c r="F158" s="82"/>
      <c r="G158" s="61"/>
    </row>
    <row r="159" spans="1:7" x14ac:dyDescent="0.25">
      <c r="A159" s="61"/>
      <c r="B159" s="61"/>
      <c r="C159" s="61"/>
      <c r="D159" s="62"/>
      <c r="F159" s="82"/>
      <c r="G159" s="61"/>
    </row>
    <row r="160" spans="1:7" x14ac:dyDescent="0.25">
      <c r="E160" s="77"/>
      <c r="F160" s="83"/>
    </row>
    <row r="161" spans="5:6" x14ac:dyDescent="0.25">
      <c r="E161" s="77"/>
      <c r="F161" s="83"/>
    </row>
  </sheetData>
  <sheetProtection password="C08A" sheet="1" objects="1" scenarios="1"/>
  <mergeCells count="1">
    <mergeCell ref="A1:B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13"/>
  <sheetViews>
    <sheetView zoomScaleNormal="100" workbookViewId="0">
      <selection activeCell="E22" sqref="E22"/>
    </sheetView>
  </sheetViews>
  <sheetFormatPr defaultColWidth="8.28515625" defaultRowHeight="12.75" x14ac:dyDescent="0.25"/>
  <cols>
    <col min="1" max="1" width="5.28515625" style="54" customWidth="1"/>
    <col min="2" max="2" width="55.5703125" style="54" customWidth="1"/>
    <col min="3" max="3" width="12.140625" style="54" customWidth="1"/>
    <col min="4" max="4" width="11.140625" style="55" customWidth="1"/>
    <col min="5" max="5" width="70.28515625" style="64" customWidth="1"/>
    <col min="6" max="6" width="66.28515625" style="54" customWidth="1"/>
    <col min="7" max="7" width="11.7109375" style="54" customWidth="1"/>
    <col min="8" max="16384" width="8.28515625" style="54"/>
  </cols>
  <sheetData>
    <row r="1" spans="1:7" ht="22.9" customHeight="1" thickBot="1" x14ac:dyDescent="0.3">
      <c r="A1" s="617" t="s">
        <v>225</v>
      </c>
      <c r="B1" s="619"/>
      <c r="C1" s="287"/>
      <c r="D1" s="161"/>
      <c r="E1" s="162"/>
    </row>
    <row r="2" spans="1:7" ht="24" customHeight="1" x14ac:dyDescent="0.2">
      <c r="A2" s="286" t="s">
        <v>0</v>
      </c>
      <c r="B2" s="283" t="s">
        <v>1</v>
      </c>
      <c r="C2" s="215" t="s">
        <v>2</v>
      </c>
      <c r="D2" s="264" t="s">
        <v>198</v>
      </c>
      <c r="E2" s="266" t="s">
        <v>139</v>
      </c>
      <c r="F2" s="56"/>
      <c r="G2" s="57"/>
    </row>
    <row r="3" spans="1:7" ht="26.25" thickBot="1" x14ac:dyDescent="0.3">
      <c r="A3" s="106" t="s">
        <v>126</v>
      </c>
      <c r="B3" s="118" t="s">
        <v>145</v>
      </c>
      <c r="C3" s="109">
        <f>mussel</f>
        <v>0</v>
      </c>
      <c r="D3" s="237" t="s">
        <v>161</v>
      </c>
      <c r="E3" s="238" t="s">
        <v>237</v>
      </c>
      <c r="G3" s="59"/>
    </row>
    <row r="4" spans="1:7" ht="15" x14ac:dyDescent="0.25">
      <c r="A4" s="240" t="s">
        <v>19</v>
      </c>
      <c r="B4" s="123" t="s">
        <v>476</v>
      </c>
      <c r="C4" s="211">
        <f>tidalwidth</f>
        <v>0</v>
      </c>
      <c r="D4" s="241" t="s">
        <v>180</v>
      </c>
      <c r="E4" s="242" t="s">
        <v>238</v>
      </c>
    </row>
    <row r="5" spans="1:7" ht="15" x14ac:dyDescent="0.25">
      <c r="A5" s="102" t="s">
        <v>20</v>
      </c>
      <c r="B5" s="45" t="s">
        <v>477</v>
      </c>
      <c r="C5" s="30">
        <f>marshwidth</f>
        <v>0</v>
      </c>
      <c r="D5" s="65" t="s">
        <v>181</v>
      </c>
      <c r="E5" s="174" t="s">
        <v>240</v>
      </c>
    </row>
    <row r="6" spans="1:7" ht="15" x14ac:dyDescent="0.25">
      <c r="A6" s="102" t="s">
        <v>21</v>
      </c>
      <c r="B6" s="45" t="s">
        <v>480</v>
      </c>
      <c r="C6" s="30">
        <f>buffwidth</f>
        <v>0</v>
      </c>
      <c r="D6" s="65" t="s">
        <v>179</v>
      </c>
      <c r="E6" s="174" t="s">
        <v>239</v>
      </c>
    </row>
    <row r="7" spans="1:7" ht="15.75" customHeight="1" thickBot="1" x14ac:dyDescent="0.3">
      <c r="A7" s="243" t="s">
        <v>22</v>
      </c>
      <c r="B7" s="127" t="s">
        <v>18</v>
      </c>
      <c r="C7" s="105">
        <f>shedslope</f>
        <v>0</v>
      </c>
      <c r="D7" s="244" t="s">
        <v>182</v>
      </c>
      <c r="E7" s="175" t="s">
        <v>241</v>
      </c>
      <c r="G7" s="59"/>
    </row>
    <row r="8" spans="1:7" ht="25.5" x14ac:dyDescent="0.25">
      <c r="A8" s="146" t="s">
        <v>95</v>
      </c>
      <c r="B8" s="418" t="s">
        <v>53</v>
      </c>
      <c r="C8" s="147" t="str">
        <f>altered</f>
        <v/>
      </c>
      <c r="D8" s="121" t="s">
        <v>221</v>
      </c>
      <c r="E8" s="239" t="s">
        <v>413</v>
      </c>
    </row>
    <row r="9" spans="1:7" ht="30.6" customHeight="1" thickBot="1" x14ac:dyDescent="0.3">
      <c r="A9" s="103" t="s">
        <v>96</v>
      </c>
      <c r="B9" s="419" t="s">
        <v>61</v>
      </c>
      <c r="C9" s="105">
        <f>armoring</f>
        <v>0.1</v>
      </c>
      <c r="D9" s="129" t="s">
        <v>209</v>
      </c>
      <c r="E9" s="175" t="s">
        <v>413</v>
      </c>
    </row>
    <row r="10" spans="1:7" ht="13.5" thickBot="1" x14ac:dyDescent="0.3">
      <c r="D10" s="27"/>
      <c r="E10" s="145" t="s">
        <v>203</v>
      </c>
    </row>
    <row r="11" spans="1:7" ht="23.45" customHeight="1" thickBot="1" x14ac:dyDescent="0.3">
      <c r="B11" s="176" t="s">
        <v>562</v>
      </c>
      <c r="C11" s="54" t="s">
        <v>529</v>
      </c>
      <c r="D11" s="429">
        <f>10*AVERAGE(tidalwidth, marshwidth, buffwidth, shedslope,mussel, altered, armoring)</f>
        <v>1</v>
      </c>
      <c r="E11" s="113" t="s">
        <v>470</v>
      </c>
    </row>
    <row r="12" spans="1:7" x14ac:dyDescent="0.25">
      <c r="E12" s="51"/>
    </row>
    <row r="13" spans="1:7" x14ac:dyDescent="0.25">
      <c r="E13" s="51"/>
    </row>
    <row r="14" spans="1:7" x14ac:dyDescent="0.25">
      <c r="E14" s="51"/>
    </row>
    <row r="15" spans="1:7" x14ac:dyDescent="0.25">
      <c r="B15" s="54" t="s">
        <v>115</v>
      </c>
      <c r="E15" s="51"/>
    </row>
    <row r="16" spans="1:7" x14ac:dyDescent="0.25">
      <c r="E16" s="51"/>
    </row>
    <row r="17" spans="4:7" x14ac:dyDescent="0.25">
      <c r="E17" s="51"/>
    </row>
    <row r="18" spans="4:7" x14ac:dyDescent="0.25">
      <c r="E18" s="51"/>
    </row>
    <row r="19" spans="4:7" x14ac:dyDescent="0.25">
      <c r="E19" s="55"/>
    </row>
    <row r="20" spans="4:7" x14ac:dyDescent="0.25">
      <c r="E20" s="55"/>
    </row>
    <row r="21" spans="4:7" ht="15" x14ac:dyDescent="0.25">
      <c r="D21" s="51"/>
      <c r="E21" s="58"/>
      <c r="G21" s="59"/>
    </row>
    <row r="22" spans="4:7" x14ac:dyDescent="0.25">
      <c r="E22" s="51"/>
    </row>
    <row r="23" spans="4:7" x14ac:dyDescent="0.25">
      <c r="E23" s="51"/>
    </row>
    <row r="24" spans="4:7" x14ac:dyDescent="0.25">
      <c r="E24" s="51"/>
    </row>
    <row r="25" spans="4:7" x14ac:dyDescent="0.25">
      <c r="E25" s="51"/>
    </row>
    <row r="26" spans="4:7" x14ac:dyDescent="0.25">
      <c r="E26" s="51"/>
    </row>
    <row r="27" spans="4:7" x14ac:dyDescent="0.25">
      <c r="E27" s="51"/>
    </row>
    <row r="28" spans="4:7" x14ac:dyDescent="0.25">
      <c r="E28" s="51"/>
    </row>
    <row r="29" spans="4:7" x14ac:dyDescent="0.25">
      <c r="E29" s="51"/>
    </row>
    <row r="30" spans="4:7" x14ac:dyDescent="0.25">
      <c r="E30" s="51"/>
    </row>
    <row r="31" spans="4:7" x14ac:dyDescent="0.25">
      <c r="E31" s="51"/>
    </row>
    <row r="32" spans="4:7" x14ac:dyDescent="0.25">
      <c r="E32" s="51"/>
    </row>
    <row r="33" spans="4:7" x14ac:dyDescent="0.25">
      <c r="E33" s="51"/>
    </row>
    <row r="34" spans="4:7" x14ac:dyDescent="0.25">
      <c r="E34" s="51"/>
    </row>
    <row r="35" spans="4:7" x14ac:dyDescent="0.25">
      <c r="E35" s="51"/>
    </row>
    <row r="36" spans="4:7" x14ac:dyDescent="0.25">
      <c r="E36" s="51"/>
    </row>
    <row r="37" spans="4:7" x14ac:dyDescent="0.25">
      <c r="E37" s="51"/>
    </row>
    <row r="38" spans="4:7" x14ac:dyDescent="0.25">
      <c r="E38" s="51"/>
    </row>
    <row r="39" spans="4:7" x14ac:dyDescent="0.25">
      <c r="E39" s="51"/>
    </row>
    <row r="40" spans="4:7" x14ac:dyDescent="0.25">
      <c r="E40" s="51"/>
    </row>
    <row r="41" spans="4:7" x14ac:dyDescent="0.25">
      <c r="E41" s="51"/>
    </row>
    <row r="42" spans="4:7" ht="15" x14ac:dyDescent="0.25">
      <c r="D42" s="51"/>
      <c r="E42" s="58"/>
      <c r="G42" s="59"/>
    </row>
    <row r="43" spans="4:7" x14ac:dyDescent="0.25">
      <c r="E43" s="51"/>
    </row>
    <row r="44" spans="4:7" x14ac:dyDescent="0.25">
      <c r="E44" s="51"/>
    </row>
    <row r="45" spans="4:7" x14ac:dyDescent="0.25">
      <c r="E45" s="51"/>
    </row>
    <row r="46" spans="4:7" x14ac:dyDescent="0.25">
      <c r="E46" s="51"/>
    </row>
    <row r="47" spans="4:7" x14ac:dyDescent="0.25">
      <c r="E47" s="51"/>
    </row>
    <row r="48" spans="4:7" x14ac:dyDescent="0.25">
      <c r="E48" s="51"/>
    </row>
    <row r="49" spans="4:7" x14ac:dyDescent="0.25">
      <c r="E49" s="51"/>
    </row>
    <row r="50" spans="4:7" x14ac:dyDescent="0.25">
      <c r="E50" s="51"/>
    </row>
    <row r="51" spans="4:7" ht="15" x14ac:dyDescent="0.25">
      <c r="D51" s="51"/>
      <c r="E51" s="58"/>
      <c r="G51" s="59"/>
    </row>
    <row r="52" spans="4:7" x14ac:dyDescent="0.25">
      <c r="E52" s="51"/>
    </row>
    <row r="53" spans="4:7" x14ac:dyDescent="0.25">
      <c r="E53" s="51"/>
    </row>
    <row r="54" spans="4:7" x14ac:dyDescent="0.25">
      <c r="E54" s="51"/>
    </row>
    <row r="55" spans="4:7" x14ac:dyDescent="0.25">
      <c r="E55" s="51"/>
    </row>
    <row r="56" spans="4:7" x14ac:dyDescent="0.25">
      <c r="E56" s="51"/>
    </row>
    <row r="57" spans="4:7" x14ac:dyDescent="0.25">
      <c r="E57" s="51"/>
    </row>
    <row r="58" spans="4:7" x14ac:dyDescent="0.25">
      <c r="E58" s="51"/>
    </row>
    <row r="59" spans="4:7" x14ac:dyDescent="0.25">
      <c r="E59" s="51"/>
    </row>
    <row r="60" spans="4:7" ht="15" x14ac:dyDescent="0.25">
      <c r="D60" s="51"/>
      <c r="E60" s="58"/>
      <c r="G60" s="59"/>
    </row>
    <row r="61" spans="4:7" x14ac:dyDescent="0.25">
      <c r="E61" s="51"/>
    </row>
    <row r="62" spans="4:7" x14ac:dyDescent="0.25">
      <c r="E62" s="51"/>
    </row>
    <row r="63" spans="4:7" x14ac:dyDescent="0.25">
      <c r="E63" s="51"/>
    </row>
    <row r="64" spans="4:7" x14ac:dyDescent="0.25">
      <c r="E64" s="51"/>
    </row>
    <row r="65" spans="4:7" x14ac:dyDescent="0.25">
      <c r="E65" s="51"/>
    </row>
    <row r="66" spans="4:7" x14ac:dyDescent="0.25">
      <c r="E66" s="51"/>
    </row>
    <row r="67" spans="4:7" ht="15" x14ac:dyDescent="0.25">
      <c r="D67" s="51"/>
      <c r="E67" s="58"/>
      <c r="G67" s="59"/>
    </row>
    <row r="68" spans="4:7" x14ac:dyDescent="0.25">
      <c r="E68" s="51"/>
    </row>
    <row r="69" spans="4:7" x14ac:dyDescent="0.25">
      <c r="E69" s="51"/>
    </row>
    <row r="70" spans="4:7" x14ac:dyDescent="0.25">
      <c r="E70" s="51"/>
    </row>
    <row r="71" spans="4:7" x14ac:dyDescent="0.25">
      <c r="E71" s="51"/>
    </row>
    <row r="72" spans="4:7" x14ac:dyDescent="0.25">
      <c r="E72" s="51"/>
    </row>
    <row r="73" spans="4:7" x14ac:dyDescent="0.25">
      <c r="E73" s="51"/>
    </row>
    <row r="74" spans="4:7" x14ac:dyDescent="0.25">
      <c r="E74" s="51"/>
    </row>
    <row r="75" spans="4:7" ht="15" x14ac:dyDescent="0.25">
      <c r="D75" s="51"/>
      <c r="E75" s="58"/>
      <c r="G75" s="59"/>
    </row>
    <row r="76" spans="4:7" x14ac:dyDescent="0.25">
      <c r="E76" s="51"/>
    </row>
    <row r="77" spans="4:7" x14ac:dyDescent="0.25">
      <c r="E77" s="51"/>
    </row>
    <row r="78" spans="4:7" x14ac:dyDescent="0.25">
      <c r="E78" s="51"/>
    </row>
    <row r="79" spans="4:7" x14ac:dyDescent="0.25">
      <c r="E79" s="51"/>
    </row>
    <row r="80" spans="4:7" x14ac:dyDescent="0.25">
      <c r="E80" s="51"/>
    </row>
    <row r="81" spans="4:7" x14ac:dyDescent="0.25">
      <c r="E81" s="51"/>
    </row>
    <row r="82" spans="4:7" ht="15" x14ac:dyDescent="0.25">
      <c r="D82" s="51"/>
      <c r="E82" s="58"/>
      <c r="G82" s="59"/>
    </row>
    <row r="83" spans="4:7" x14ac:dyDescent="0.25">
      <c r="E83" s="51"/>
    </row>
    <row r="84" spans="4:7" x14ac:dyDescent="0.25">
      <c r="E84" s="51"/>
    </row>
    <row r="85" spans="4:7" x14ac:dyDescent="0.25">
      <c r="E85" s="51"/>
    </row>
    <row r="86" spans="4:7" x14ac:dyDescent="0.25">
      <c r="E86" s="51"/>
    </row>
    <row r="87" spans="4:7" x14ac:dyDescent="0.25">
      <c r="E87" s="51"/>
    </row>
    <row r="88" spans="4:7" x14ac:dyDescent="0.25">
      <c r="E88" s="51"/>
    </row>
    <row r="89" spans="4:7" ht="15" x14ac:dyDescent="0.25">
      <c r="D89" s="51"/>
      <c r="E89" s="58"/>
      <c r="G89" s="59"/>
    </row>
    <row r="90" spans="4:7" x14ac:dyDescent="0.25">
      <c r="E90" s="51"/>
    </row>
    <row r="91" spans="4:7" x14ac:dyDescent="0.25">
      <c r="E91" s="51"/>
    </row>
    <row r="92" spans="4:7" x14ac:dyDescent="0.25">
      <c r="E92" s="51"/>
    </row>
    <row r="93" spans="4:7" x14ac:dyDescent="0.25">
      <c r="E93" s="51"/>
    </row>
    <row r="94" spans="4:7" x14ac:dyDescent="0.25">
      <c r="E94" s="51"/>
    </row>
    <row r="95" spans="4:7" x14ac:dyDescent="0.25">
      <c r="E95" s="51"/>
    </row>
    <row r="96" spans="4:7" ht="11.25" customHeight="1" x14ac:dyDescent="0.25">
      <c r="F96" s="53"/>
    </row>
    <row r="97" spans="1:7" ht="15" x14ac:dyDescent="0.25">
      <c r="A97" s="61"/>
      <c r="B97" s="61"/>
      <c r="C97" s="61"/>
      <c r="D97" s="51"/>
      <c r="E97" s="58"/>
      <c r="F97" s="61"/>
      <c r="G97" s="59"/>
    </row>
    <row r="98" spans="1:7" x14ac:dyDescent="0.25">
      <c r="A98" s="61"/>
      <c r="B98" s="61"/>
      <c r="C98" s="61"/>
      <c r="E98" s="51"/>
      <c r="F98" s="61"/>
    </row>
    <row r="99" spans="1:7" x14ac:dyDescent="0.25">
      <c r="A99" s="61"/>
      <c r="B99" s="61"/>
      <c r="C99" s="61"/>
      <c r="E99" s="51"/>
      <c r="F99" s="61"/>
    </row>
    <row r="100" spans="1:7" x14ac:dyDescent="0.25">
      <c r="A100" s="61"/>
      <c r="B100" s="61"/>
      <c r="C100" s="61"/>
      <c r="E100" s="51"/>
      <c r="F100" s="61"/>
    </row>
    <row r="101" spans="1:7" x14ac:dyDescent="0.25">
      <c r="A101" s="61"/>
      <c r="B101" s="61"/>
      <c r="C101" s="61"/>
      <c r="E101" s="51"/>
      <c r="F101" s="61"/>
    </row>
    <row r="102" spans="1:7" x14ac:dyDescent="0.25">
      <c r="A102" s="61"/>
      <c r="B102" s="61"/>
      <c r="C102" s="61"/>
      <c r="E102" s="51"/>
      <c r="F102" s="61"/>
    </row>
    <row r="103" spans="1:7" ht="15" x14ac:dyDescent="0.25">
      <c r="A103" s="61"/>
      <c r="B103" s="61"/>
      <c r="C103" s="61"/>
      <c r="D103" s="51"/>
      <c r="E103" s="58"/>
      <c r="F103" s="61"/>
      <c r="G103" s="59"/>
    </row>
    <row r="104" spans="1:7" x14ac:dyDescent="0.25">
      <c r="A104" s="61"/>
      <c r="B104" s="61"/>
      <c r="C104" s="61"/>
      <c r="E104" s="51"/>
      <c r="F104" s="61"/>
    </row>
    <row r="105" spans="1:7" x14ac:dyDescent="0.25">
      <c r="A105" s="61"/>
      <c r="B105" s="61"/>
      <c r="C105" s="61"/>
      <c r="E105" s="51"/>
      <c r="F105" s="61"/>
    </row>
    <row r="106" spans="1:7" x14ac:dyDescent="0.25">
      <c r="A106" s="61"/>
      <c r="B106" s="61"/>
      <c r="C106" s="61"/>
      <c r="E106" s="51"/>
      <c r="F106" s="61"/>
    </row>
    <row r="107" spans="1:7" x14ac:dyDescent="0.25">
      <c r="A107" s="61"/>
      <c r="B107" s="61"/>
      <c r="C107" s="61"/>
      <c r="E107" s="51"/>
      <c r="F107" s="61"/>
    </row>
    <row r="108" spans="1:7" x14ac:dyDescent="0.25">
      <c r="A108" s="61"/>
      <c r="B108" s="61"/>
      <c r="C108" s="61"/>
      <c r="E108" s="51"/>
      <c r="F108" s="61"/>
    </row>
    <row r="109" spans="1:7" ht="15" x14ac:dyDescent="0.25">
      <c r="A109" s="61"/>
      <c r="B109" s="61"/>
      <c r="C109" s="61"/>
      <c r="D109" s="51"/>
      <c r="E109" s="58"/>
      <c r="F109" s="84"/>
      <c r="G109" s="59"/>
    </row>
    <row r="110" spans="1:7" x14ac:dyDescent="0.25">
      <c r="A110" s="61"/>
      <c r="B110" s="61"/>
      <c r="C110" s="61"/>
      <c r="E110" s="51"/>
      <c r="F110" s="84"/>
    </row>
    <row r="111" spans="1:7" x14ac:dyDescent="0.25">
      <c r="A111" s="61"/>
      <c r="B111" s="61"/>
      <c r="C111" s="61"/>
      <c r="E111" s="51"/>
      <c r="F111" s="84"/>
    </row>
    <row r="112" spans="1:7" x14ac:dyDescent="0.25">
      <c r="A112" s="61"/>
      <c r="B112" s="61"/>
      <c r="C112" s="61"/>
      <c r="E112" s="51"/>
      <c r="F112" s="84"/>
    </row>
    <row r="113" spans="3:5" x14ac:dyDescent="0.25">
      <c r="C113" s="71"/>
      <c r="D113" s="51"/>
      <c r="E113" s="58"/>
    </row>
  </sheetData>
  <sheetProtection password="C08A" sheet="1" objects="1" scenarios="1"/>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7"/>
  <sheetViews>
    <sheetView workbookViewId="0">
      <selection activeCell="B6" sqref="B6"/>
    </sheetView>
  </sheetViews>
  <sheetFormatPr defaultRowHeight="15" x14ac:dyDescent="0.25"/>
  <cols>
    <col min="1" max="1" width="4.28515625" customWidth="1"/>
    <col min="2" max="2" width="166.5703125" customWidth="1"/>
  </cols>
  <sheetData>
    <row r="1" spans="1:2" ht="30.75" thickBot="1" x14ac:dyDescent="0.3">
      <c r="A1" s="431" t="s">
        <v>530</v>
      </c>
      <c r="B1" s="432" t="s">
        <v>533</v>
      </c>
    </row>
    <row r="2" spans="1:2" ht="60" x14ac:dyDescent="0.25">
      <c r="A2" s="433">
        <v>1</v>
      </c>
      <c r="B2" s="434" t="s">
        <v>531</v>
      </c>
    </row>
    <row r="3" spans="1:2" ht="45" x14ac:dyDescent="0.25">
      <c r="A3" s="435">
        <v>2</v>
      </c>
      <c r="B3" s="436" t="s">
        <v>532</v>
      </c>
    </row>
    <row r="4" spans="1:2" ht="30" x14ac:dyDescent="0.25">
      <c r="A4" s="435">
        <v>3</v>
      </c>
      <c r="B4" s="436" t="s">
        <v>534</v>
      </c>
    </row>
    <row r="5" spans="1:2" ht="45" x14ac:dyDescent="0.25">
      <c r="A5" s="435">
        <v>4</v>
      </c>
      <c r="B5" s="436" t="s">
        <v>535</v>
      </c>
    </row>
    <row r="6" spans="1:2" ht="30" x14ac:dyDescent="0.25">
      <c r="A6" s="435">
        <v>5</v>
      </c>
      <c r="B6" s="436" t="s">
        <v>537</v>
      </c>
    </row>
    <row r="7" spans="1:2" ht="30.75" thickBot="1" x14ac:dyDescent="0.3">
      <c r="A7" s="437">
        <v>6</v>
      </c>
      <c r="B7" s="438" t="s">
        <v>536</v>
      </c>
    </row>
  </sheetData>
  <sheetProtection password="C08A"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workbookViewId="0">
      <selection activeCell="D24" sqref="D24"/>
    </sheetView>
  </sheetViews>
  <sheetFormatPr defaultColWidth="8.85546875" defaultRowHeight="15" x14ac:dyDescent="0.25"/>
  <cols>
    <col min="1" max="1" width="5.7109375" style="222" customWidth="1"/>
    <col min="2" max="2" width="57.28515625" style="1" customWidth="1"/>
    <col min="3" max="3" width="10.85546875" style="403" customWidth="1"/>
    <col min="4" max="4" width="14.28515625" style="1" customWidth="1"/>
    <col min="5" max="5" width="103.28515625" style="1" customWidth="1"/>
    <col min="6" max="6" width="16.7109375" customWidth="1"/>
    <col min="7" max="16384" width="8.85546875" style="1"/>
  </cols>
  <sheetData>
    <row r="1" spans="1:5" ht="23.45" customHeight="1" thickBot="1" x14ac:dyDescent="0.3">
      <c r="A1" s="554" t="s">
        <v>507</v>
      </c>
      <c r="B1" s="555"/>
      <c r="C1" s="555"/>
      <c r="D1" s="555"/>
      <c r="E1" s="556"/>
    </row>
    <row r="2" spans="1:5" ht="16.5" thickBot="1" x14ac:dyDescent="0.3">
      <c r="A2" s="552" t="s">
        <v>9</v>
      </c>
      <c r="B2" s="553"/>
      <c r="C2" s="402"/>
      <c r="D2" s="307"/>
      <c r="E2" s="370"/>
    </row>
    <row r="3" spans="1:5" s="36" customFormat="1" ht="72" customHeight="1" thickBot="1" x14ac:dyDescent="0.3">
      <c r="A3" s="373" t="s">
        <v>0</v>
      </c>
      <c r="B3" s="374" t="s">
        <v>1</v>
      </c>
      <c r="C3" s="442" t="s">
        <v>561</v>
      </c>
      <c r="D3" s="375" t="s">
        <v>198</v>
      </c>
      <c r="E3" s="376" t="s">
        <v>363</v>
      </c>
    </row>
    <row r="4" spans="1:5" x14ac:dyDescent="0.25">
      <c r="A4" s="371" t="s">
        <v>116</v>
      </c>
      <c r="B4" s="313" t="s">
        <v>444</v>
      </c>
      <c r="C4" s="472"/>
      <c r="D4" s="314" t="s">
        <v>156</v>
      </c>
      <c r="E4" s="372" t="s">
        <v>357</v>
      </c>
    </row>
    <row r="5" spans="1:5" x14ac:dyDescent="0.25">
      <c r="A5" s="131" t="s">
        <v>117</v>
      </c>
      <c r="B5" s="295" t="s">
        <v>17</v>
      </c>
      <c r="C5" s="472"/>
      <c r="D5" s="42" t="s">
        <v>153</v>
      </c>
      <c r="E5" s="226" t="s">
        <v>362</v>
      </c>
    </row>
    <row r="6" spans="1:5" ht="31.9" customHeight="1" x14ac:dyDescent="0.25">
      <c r="A6" s="131" t="s">
        <v>118</v>
      </c>
      <c r="B6" s="35" t="s">
        <v>3</v>
      </c>
      <c r="C6" s="472"/>
      <c r="D6" s="42" t="s">
        <v>151</v>
      </c>
      <c r="E6" s="223" t="s">
        <v>343</v>
      </c>
    </row>
    <row r="7" spans="1:5" ht="28.9" customHeight="1" x14ac:dyDescent="0.25">
      <c r="A7" s="131" t="s">
        <v>119</v>
      </c>
      <c r="B7" s="35" t="s">
        <v>32</v>
      </c>
      <c r="C7" s="472"/>
      <c r="D7" s="42" t="s">
        <v>152</v>
      </c>
      <c r="E7" s="224" t="s">
        <v>462</v>
      </c>
    </row>
    <row r="8" spans="1:5" ht="18.600000000000001" customHeight="1" x14ac:dyDescent="0.25">
      <c r="A8" s="131" t="s">
        <v>120</v>
      </c>
      <c r="B8" s="35" t="s">
        <v>344</v>
      </c>
      <c r="C8" s="472"/>
      <c r="D8" s="42" t="s">
        <v>345</v>
      </c>
      <c r="E8" s="224" t="s">
        <v>346</v>
      </c>
    </row>
    <row r="9" spans="1:5" x14ac:dyDescent="0.25">
      <c r="A9" s="131" t="s">
        <v>121</v>
      </c>
      <c r="B9" s="35" t="s">
        <v>7</v>
      </c>
      <c r="C9" s="472"/>
      <c r="D9" s="42" t="s">
        <v>154</v>
      </c>
      <c r="E9" s="250" t="s">
        <v>272</v>
      </c>
    </row>
    <row r="10" spans="1:5" x14ac:dyDescent="0.25">
      <c r="A10" s="131" t="s">
        <v>122</v>
      </c>
      <c r="B10" s="35" t="s">
        <v>8</v>
      </c>
      <c r="C10" s="472"/>
      <c r="D10" s="42" t="s">
        <v>155</v>
      </c>
      <c r="E10" s="250" t="s">
        <v>273</v>
      </c>
    </row>
    <row r="11" spans="1:5" x14ac:dyDescent="0.25">
      <c r="A11" s="131" t="s">
        <v>123</v>
      </c>
      <c r="B11" s="35" t="s">
        <v>483</v>
      </c>
      <c r="C11" s="472"/>
      <c r="D11" s="42" t="s">
        <v>157</v>
      </c>
      <c r="E11" s="227" t="s">
        <v>280</v>
      </c>
    </row>
    <row r="12" spans="1:5" x14ac:dyDescent="0.25">
      <c r="A12" s="131" t="s">
        <v>124</v>
      </c>
      <c r="B12" s="35" t="s">
        <v>5</v>
      </c>
      <c r="C12" s="472"/>
      <c r="D12" s="42" t="s">
        <v>158</v>
      </c>
      <c r="E12" s="227" t="s">
        <v>280</v>
      </c>
    </row>
    <row r="13" spans="1:5" x14ac:dyDescent="0.25">
      <c r="A13" s="131" t="s">
        <v>125</v>
      </c>
      <c r="B13" s="35" t="s">
        <v>160</v>
      </c>
      <c r="C13" s="472"/>
      <c r="D13" s="42" t="s">
        <v>159</v>
      </c>
      <c r="E13" s="227" t="s">
        <v>280</v>
      </c>
    </row>
    <row r="14" spans="1:5" x14ac:dyDescent="0.25">
      <c r="A14" s="131" t="s">
        <v>126</v>
      </c>
      <c r="B14" s="39" t="s">
        <v>145</v>
      </c>
      <c r="C14" s="472"/>
      <c r="D14" s="42" t="s">
        <v>161</v>
      </c>
      <c r="E14" s="227" t="s">
        <v>279</v>
      </c>
    </row>
    <row r="15" spans="1:5" x14ac:dyDescent="0.25">
      <c r="A15" s="131" t="s">
        <v>127</v>
      </c>
      <c r="B15" s="35" t="s">
        <v>106</v>
      </c>
      <c r="C15" s="472"/>
      <c r="D15" s="42" t="s">
        <v>164</v>
      </c>
      <c r="E15" s="227" t="s">
        <v>279</v>
      </c>
    </row>
    <row r="16" spans="1:5" x14ac:dyDescent="0.25">
      <c r="A16" s="131" t="s">
        <v>128</v>
      </c>
      <c r="B16" s="35" t="s">
        <v>6</v>
      </c>
      <c r="C16" s="472"/>
      <c r="D16" s="42" t="s">
        <v>165</v>
      </c>
      <c r="E16" s="227" t="s">
        <v>279</v>
      </c>
    </row>
    <row r="17" spans="1:7" ht="46.9" customHeight="1" x14ac:dyDescent="0.25">
      <c r="A17" s="131" t="s">
        <v>129</v>
      </c>
      <c r="B17" s="35" t="s">
        <v>108</v>
      </c>
      <c r="C17" s="472"/>
      <c r="D17" s="42" t="s">
        <v>193</v>
      </c>
      <c r="E17" s="223" t="s">
        <v>439</v>
      </c>
    </row>
    <row r="18" spans="1:7" x14ac:dyDescent="0.25">
      <c r="A18" s="131" t="s">
        <v>130</v>
      </c>
      <c r="B18" s="35" t="s">
        <v>349</v>
      </c>
      <c r="C18" s="472"/>
      <c r="D18" s="42" t="s">
        <v>166</v>
      </c>
      <c r="E18" s="225" t="s">
        <v>279</v>
      </c>
    </row>
    <row r="19" spans="1:7" x14ac:dyDescent="0.25">
      <c r="A19" s="131" t="s">
        <v>131</v>
      </c>
      <c r="B19" s="35" t="s">
        <v>10</v>
      </c>
      <c r="C19" s="472"/>
      <c r="D19" s="42" t="s">
        <v>167</v>
      </c>
      <c r="E19" s="250" t="s">
        <v>369</v>
      </c>
    </row>
    <row r="20" spans="1:7" ht="15.75" thickBot="1" x14ac:dyDescent="0.3">
      <c r="A20" s="131" t="s">
        <v>132</v>
      </c>
      <c r="B20" s="306" t="s">
        <v>11</v>
      </c>
      <c r="C20" s="472"/>
      <c r="D20" s="307" t="s">
        <v>168</v>
      </c>
      <c r="E20" s="317" t="s">
        <v>370</v>
      </c>
    </row>
    <row r="21" spans="1:7" x14ac:dyDescent="0.25">
      <c r="A21" s="131" t="s">
        <v>133</v>
      </c>
      <c r="B21" s="312" t="s">
        <v>13</v>
      </c>
      <c r="C21" s="472"/>
      <c r="D21" s="308" t="s">
        <v>169</v>
      </c>
      <c r="E21" s="309" t="s">
        <v>274</v>
      </c>
      <c r="G21" s="1" t="s">
        <v>115</v>
      </c>
    </row>
    <row r="22" spans="1:7" x14ac:dyDescent="0.25">
      <c r="A22" s="131" t="s">
        <v>134</v>
      </c>
      <c r="B22" s="35" t="s">
        <v>14</v>
      </c>
      <c r="C22" s="472"/>
      <c r="D22" s="42" t="s">
        <v>170</v>
      </c>
      <c r="E22" s="250" t="s">
        <v>288</v>
      </c>
    </row>
    <row r="23" spans="1:7" ht="15.75" thickBot="1" x14ac:dyDescent="0.3">
      <c r="A23" s="131" t="s">
        <v>135</v>
      </c>
      <c r="B23" s="310" t="s">
        <v>358</v>
      </c>
      <c r="C23" s="472"/>
      <c r="D23" s="311" t="s">
        <v>171</v>
      </c>
      <c r="E23" s="315" t="s">
        <v>366</v>
      </c>
    </row>
    <row r="24" spans="1:7" x14ac:dyDescent="0.25">
      <c r="A24" s="131" t="s">
        <v>136</v>
      </c>
      <c r="B24" s="313" t="s">
        <v>367</v>
      </c>
      <c r="C24" s="472"/>
      <c r="D24" s="314" t="s">
        <v>162</v>
      </c>
      <c r="E24" s="316" t="s">
        <v>371</v>
      </c>
    </row>
    <row r="25" spans="1:7" x14ac:dyDescent="0.25">
      <c r="A25" s="131" t="s">
        <v>137</v>
      </c>
      <c r="B25" s="35" t="s">
        <v>368</v>
      </c>
      <c r="C25" s="472"/>
      <c r="D25" s="42" t="s">
        <v>163</v>
      </c>
      <c r="E25" s="316" t="s">
        <v>371</v>
      </c>
    </row>
    <row r="26" spans="1:7" x14ac:dyDescent="0.25">
      <c r="A26" s="131" t="s">
        <v>138</v>
      </c>
      <c r="B26" s="39" t="s">
        <v>364</v>
      </c>
      <c r="C26" s="472"/>
      <c r="D26" s="42" t="s">
        <v>175</v>
      </c>
      <c r="E26" s="316" t="s">
        <v>371</v>
      </c>
    </row>
    <row r="27" spans="1:7" x14ac:dyDescent="0.25">
      <c r="A27" s="131" t="s">
        <v>146</v>
      </c>
      <c r="B27" s="35" t="s">
        <v>365</v>
      </c>
      <c r="C27" s="472"/>
      <c r="D27" s="42" t="s">
        <v>174</v>
      </c>
      <c r="E27" s="316" t="s">
        <v>371</v>
      </c>
    </row>
    <row r="28" spans="1:7" x14ac:dyDescent="0.25">
      <c r="A28" s="131" t="s">
        <v>147</v>
      </c>
      <c r="B28" s="35" t="s">
        <v>479</v>
      </c>
      <c r="C28" s="472"/>
      <c r="D28" s="42" t="s">
        <v>176</v>
      </c>
      <c r="E28" s="316" t="s">
        <v>371</v>
      </c>
    </row>
    <row r="29" spans="1:7" x14ac:dyDescent="0.25">
      <c r="A29" s="131" t="s">
        <v>148</v>
      </c>
      <c r="B29" s="40" t="s">
        <v>107</v>
      </c>
      <c r="C29" s="472"/>
      <c r="D29" s="42" t="s">
        <v>178</v>
      </c>
      <c r="E29" s="250" t="s">
        <v>277</v>
      </c>
    </row>
    <row r="30" spans="1:7" x14ac:dyDescent="0.25">
      <c r="A30" s="131" t="s">
        <v>149</v>
      </c>
      <c r="B30" s="295" t="s">
        <v>15</v>
      </c>
      <c r="C30" s="472"/>
      <c r="D30" s="42" t="s">
        <v>172</v>
      </c>
      <c r="E30" s="250" t="s">
        <v>275</v>
      </c>
    </row>
    <row r="31" spans="1:7" x14ac:dyDescent="0.25">
      <c r="A31" s="131" t="s">
        <v>150</v>
      </c>
      <c r="B31" s="295" t="s">
        <v>16</v>
      </c>
      <c r="C31" s="472"/>
      <c r="D31" s="42" t="s">
        <v>173</v>
      </c>
      <c r="E31" s="250" t="s">
        <v>276</v>
      </c>
    </row>
    <row r="32" spans="1:7" ht="15.75" thickBot="1" x14ac:dyDescent="0.3">
      <c r="A32" s="131" t="s">
        <v>359</v>
      </c>
      <c r="B32" s="310" t="s">
        <v>12</v>
      </c>
      <c r="C32" s="472"/>
      <c r="D32" s="311" t="s">
        <v>177</v>
      </c>
      <c r="E32" s="228" t="s">
        <v>278</v>
      </c>
    </row>
  </sheetData>
  <sheetProtection password="C08A" sheet="1" objects="1" scenarios="1"/>
  <mergeCells count="2">
    <mergeCell ref="A2:B2"/>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workbookViewId="0">
      <selection activeCell="C4" sqref="C4"/>
    </sheetView>
  </sheetViews>
  <sheetFormatPr defaultColWidth="8.85546875" defaultRowHeight="15" x14ac:dyDescent="0.25"/>
  <cols>
    <col min="1" max="1" width="5.7109375" style="12" customWidth="1"/>
    <col min="2" max="2" width="35.42578125" style="12" customWidth="1"/>
    <col min="3" max="3" width="63.5703125" style="12" customWidth="1"/>
    <col min="4" max="4" width="11" style="423" customWidth="1"/>
    <col min="5" max="5" width="14.42578125" style="12" customWidth="1"/>
    <col min="6" max="6" width="75.140625" style="15" customWidth="1"/>
    <col min="7" max="7" width="13.28515625" style="12" customWidth="1"/>
    <col min="8" max="16384" width="8.85546875" style="12"/>
  </cols>
  <sheetData>
    <row r="1" spans="1:6" ht="19.899999999999999" customHeight="1" x14ac:dyDescent="0.25">
      <c r="A1" s="558" t="s">
        <v>582</v>
      </c>
      <c r="B1" s="559"/>
      <c r="C1" s="559"/>
      <c r="D1" s="456"/>
      <c r="E1" s="456"/>
      <c r="F1" s="14"/>
    </row>
    <row r="2" spans="1:6" ht="15.75" thickBot="1" x14ac:dyDescent="0.3">
      <c r="A2" s="557" t="s">
        <v>9</v>
      </c>
      <c r="B2" s="557"/>
      <c r="C2" s="457"/>
      <c r="D2" s="458"/>
      <c r="E2" s="458"/>
      <c r="F2" s="229"/>
    </row>
    <row r="3" spans="1:6" s="13" customFormat="1" ht="38.25" x14ac:dyDescent="0.25">
      <c r="A3" s="230" t="s">
        <v>0</v>
      </c>
      <c r="B3" s="231" t="s">
        <v>1</v>
      </c>
      <c r="C3" s="365" t="s">
        <v>372</v>
      </c>
      <c r="D3" s="399" t="s">
        <v>438</v>
      </c>
      <c r="E3" s="368" t="s">
        <v>198</v>
      </c>
      <c r="F3" s="232" t="s">
        <v>43</v>
      </c>
    </row>
    <row r="4" spans="1:6" ht="51" x14ac:dyDescent="0.25">
      <c r="A4" s="459" t="s">
        <v>19</v>
      </c>
      <c r="B4" s="460" t="s">
        <v>476</v>
      </c>
      <c r="C4" s="405" t="s">
        <v>257</v>
      </c>
      <c r="D4" s="473"/>
      <c r="E4" s="461" t="s">
        <v>180</v>
      </c>
      <c r="F4" s="233" t="s">
        <v>503</v>
      </c>
    </row>
    <row r="5" spans="1:6" ht="25.5" x14ac:dyDescent="0.25">
      <c r="A5" s="462" t="s">
        <v>20</v>
      </c>
      <c r="B5" s="463" t="s">
        <v>580</v>
      </c>
      <c r="C5" s="366" t="s">
        <v>258</v>
      </c>
      <c r="D5" s="474"/>
      <c r="E5" s="461" t="s">
        <v>181</v>
      </c>
      <c r="F5" s="234" t="s">
        <v>424</v>
      </c>
    </row>
    <row r="6" spans="1:6" ht="38.25" x14ac:dyDescent="0.25">
      <c r="A6" s="459" t="s">
        <v>21</v>
      </c>
      <c r="B6" s="463" t="s">
        <v>480</v>
      </c>
      <c r="C6" s="366" t="s">
        <v>259</v>
      </c>
      <c r="D6" s="475"/>
      <c r="E6" s="461" t="s">
        <v>179</v>
      </c>
      <c r="F6" s="234" t="s">
        <v>504</v>
      </c>
    </row>
    <row r="7" spans="1:6" x14ac:dyDescent="0.25">
      <c r="A7" s="462" t="s">
        <v>22</v>
      </c>
      <c r="B7" s="463" t="s">
        <v>18</v>
      </c>
      <c r="C7" s="366" t="s">
        <v>350</v>
      </c>
      <c r="D7" s="475"/>
      <c r="E7" s="461" t="s">
        <v>182</v>
      </c>
      <c r="F7" s="234" t="s">
        <v>265</v>
      </c>
    </row>
    <row r="8" spans="1:6" ht="51" x14ac:dyDescent="0.25">
      <c r="A8" s="459" t="s">
        <v>23</v>
      </c>
      <c r="B8" s="463" t="s">
        <v>271</v>
      </c>
      <c r="C8" s="366" t="s">
        <v>373</v>
      </c>
      <c r="D8" s="475"/>
      <c r="E8" s="461" t="s">
        <v>183</v>
      </c>
      <c r="F8" s="234" t="s">
        <v>431</v>
      </c>
    </row>
    <row r="9" spans="1:6" x14ac:dyDescent="0.25">
      <c r="A9" s="462" t="s">
        <v>24</v>
      </c>
      <c r="B9" s="463" t="s">
        <v>113</v>
      </c>
      <c r="C9" s="366" t="s">
        <v>260</v>
      </c>
      <c r="D9" s="475"/>
      <c r="E9" s="461" t="s">
        <v>184</v>
      </c>
      <c r="F9" s="234" t="s">
        <v>427</v>
      </c>
    </row>
    <row r="10" spans="1:6" ht="25.5" x14ac:dyDescent="0.25">
      <c r="A10" s="459" t="s">
        <v>25</v>
      </c>
      <c r="B10" s="463" t="s">
        <v>425</v>
      </c>
      <c r="C10" s="366" t="s">
        <v>261</v>
      </c>
      <c r="D10" s="475"/>
      <c r="E10" s="461" t="s">
        <v>185</v>
      </c>
      <c r="F10" s="235" t="s">
        <v>428</v>
      </c>
    </row>
    <row r="11" spans="1:6" ht="38.25" x14ac:dyDescent="0.25">
      <c r="A11" s="462" t="s">
        <v>26</v>
      </c>
      <c r="B11" s="463" t="s">
        <v>114</v>
      </c>
      <c r="C11" s="366" t="s">
        <v>374</v>
      </c>
      <c r="D11" s="475"/>
      <c r="E11" s="461" t="s">
        <v>186</v>
      </c>
      <c r="F11" s="234" t="s">
        <v>426</v>
      </c>
    </row>
    <row r="12" spans="1:6" ht="63.75" x14ac:dyDescent="0.25">
      <c r="A12" s="459" t="s">
        <v>27</v>
      </c>
      <c r="B12" s="463" t="s">
        <v>485</v>
      </c>
      <c r="C12" s="367" t="s">
        <v>262</v>
      </c>
      <c r="D12" s="475"/>
      <c r="E12" s="461" t="s">
        <v>187</v>
      </c>
      <c r="F12" s="235" t="s">
        <v>429</v>
      </c>
    </row>
    <row r="13" spans="1:6" ht="25.5" x14ac:dyDescent="0.25">
      <c r="A13" s="462" t="s">
        <v>28</v>
      </c>
      <c r="B13" s="463" t="s">
        <v>484</v>
      </c>
      <c r="C13" s="366" t="s">
        <v>263</v>
      </c>
      <c r="D13" s="475"/>
      <c r="E13" s="461" t="s">
        <v>188</v>
      </c>
      <c r="F13" s="234" t="s">
        <v>430</v>
      </c>
    </row>
    <row r="14" spans="1:6" ht="25.5" x14ac:dyDescent="0.25">
      <c r="A14" s="459" t="s">
        <v>29</v>
      </c>
      <c r="B14" s="463" t="s">
        <v>486</v>
      </c>
      <c r="C14" s="366" t="s">
        <v>351</v>
      </c>
      <c r="D14" s="475"/>
      <c r="E14" s="461" t="s">
        <v>189</v>
      </c>
      <c r="F14" s="234" t="s">
        <v>430</v>
      </c>
    </row>
    <row r="15" spans="1:6" ht="25.5" x14ac:dyDescent="0.25">
      <c r="A15" s="462" t="s">
        <v>30</v>
      </c>
      <c r="B15" s="463" t="s">
        <v>475</v>
      </c>
      <c r="C15" s="366" t="s">
        <v>264</v>
      </c>
      <c r="D15" s="475"/>
      <c r="E15" s="461" t="s">
        <v>190</v>
      </c>
      <c r="F15" s="234" t="s">
        <v>432</v>
      </c>
    </row>
    <row r="16" spans="1:6" ht="64.5" thickBot="1" x14ac:dyDescent="0.3">
      <c r="A16" s="464" t="s">
        <v>31</v>
      </c>
      <c r="B16" s="465" t="s">
        <v>296</v>
      </c>
      <c r="C16" s="466" t="s">
        <v>581</v>
      </c>
      <c r="D16" s="476"/>
      <c r="E16" s="467" t="s">
        <v>191</v>
      </c>
      <c r="F16" s="236" t="s">
        <v>433</v>
      </c>
    </row>
    <row r="17" spans="4:4" s="3" customFormat="1" ht="12.75" x14ac:dyDescent="0.25">
      <c r="D17" s="422"/>
    </row>
  </sheetData>
  <sheetProtection password="C08A" sheet="1" objects="1" scenarios="1"/>
  <mergeCells count="2">
    <mergeCell ref="A2:B2"/>
    <mergeCell ref="A1:C1"/>
  </mergeCells>
  <dataValidations count="1">
    <dataValidation type="decimal" allowBlank="1" showInputMessage="1" showErrorMessage="1" sqref="D4:D10 D12:D13 D14:D15" xr:uid="{00000000-0002-0000-0300-000000000000}">
      <formula1>0</formula1>
      <formula2>1</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4"/>
  <sheetViews>
    <sheetView zoomScale="80" zoomScaleNormal="80" workbookViewId="0">
      <selection activeCell="C30" sqref="C30"/>
    </sheetView>
  </sheetViews>
  <sheetFormatPr defaultColWidth="8.85546875" defaultRowHeight="15" x14ac:dyDescent="0.25"/>
  <cols>
    <col min="1" max="1" width="8.140625" style="4" customWidth="1"/>
    <col min="2" max="2" width="23.7109375" style="2" customWidth="1"/>
    <col min="3" max="3" width="73.28515625" style="1" customWidth="1"/>
    <col min="4" max="4" width="11.7109375" style="1" customWidth="1"/>
    <col min="5" max="5" width="6" style="1" customWidth="1"/>
    <col min="6" max="6" width="8.85546875" style="1"/>
    <col min="7" max="7" width="14.28515625" style="1" customWidth="1"/>
    <col min="8" max="8" width="27.5703125" style="1" customWidth="1"/>
    <col min="9" max="9" width="8.85546875" style="1"/>
    <col min="10" max="10" width="44" style="1" customWidth="1"/>
    <col min="11" max="16384" width="8.85546875" style="1"/>
  </cols>
  <sheetData>
    <row r="1" spans="1:7" ht="15.6" customHeight="1" thickBot="1" x14ac:dyDescent="0.3">
      <c r="A1" s="319" t="s">
        <v>42</v>
      </c>
      <c r="B1" s="320"/>
      <c r="C1" s="323"/>
      <c r="D1" s="319"/>
    </row>
    <row r="2" spans="1:7" s="11" customFormat="1" ht="53.45" customHeight="1" thickBot="1" x14ac:dyDescent="0.3">
      <c r="A2" s="321" t="s">
        <v>0</v>
      </c>
      <c r="B2" s="322" t="s">
        <v>1</v>
      </c>
      <c r="C2" s="324" t="s">
        <v>41</v>
      </c>
      <c r="D2" s="325" t="s">
        <v>506</v>
      </c>
      <c r="E2" s="326" t="s">
        <v>316</v>
      </c>
      <c r="F2" s="327" t="s">
        <v>269</v>
      </c>
      <c r="G2" s="270" t="s">
        <v>198</v>
      </c>
    </row>
    <row r="3" spans="1:7" ht="30.75" thickBot="1" x14ac:dyDescent="0.3">
      <c r="A3" s="586" t="s">
        <v>89</v>
      </c>
      <c r="B3" s="594" t="s">
        <v>226</v>
      </c>
      <c r="C3" s="328" t="s">
        <v>192</v>
      </c>
      <c r="D3" s="377"/>
      <c r="E3" s="329"/>
      <c r="F3" s="271">
        <f>MAX(F4:F11)/MAX(E4:E11)</f>
        <v>0</v>
      </c>
      <c r="G3" s="274" t="s">
        <v>205</v>
      </c>
    </row>
    <row r="4" spans="1:7" x14ac:dyDescent="0.25">
      <c r="A4" s="587"/>
      <c r="B4" s="595"/>
      <c r="C4" s="330" t="s">
        <v>33</v>
      </c>
      <c r="D4" s="477"/>
      <c r="E4" s="256">
        <v>0</v>
      </c>
      <c r="F4" s="272">
        <f>D4*E4</f>
        <v>0</v>
      </c>
      <c r="G4" s="275"/>
    </row>
    <row r="5" spans="1:7" x14ac:dyDescent="0.25">
      <c r="A5" s="587"/>
      <c r="B5" s="595"/>
      <c r="C5" s="331" t="s">
        <v>34</v>
      </c>
      <c r="D5" s="477"/>
      <c r="E5" s="256">
        <v>1</v>
      </c>
      <c r="F5" s="273">
        <f t="shared" ref="F5:F11" si="0">D5*E5</f>
        <v>0</v>
      </c>
      <c r="G5" s="275"/>
    </row>
    <row r="6" spans="1:7" x14ac:dyDescent="0.25">
      <c r="A6" s="587"/>
      <c r="B6" s="595"/>
      <c r="C6" s="331" t="s">
        <v>35</v>
      </c>
      <c r="D6" s="477"/>
      <c r="E6" s="256">
        <v>2</v>
      </c>
      <c r="F6" s="273">
        <f t="shared" si="0"/>
        <v>0</v>
      </c>
      <c r="G6" s="275"/>
    </row>
    <row r="7" spans="1:7" x14ac:dyDescent="0.25">
      <c r="A7" s="587"/>
      <c r="B7" s="595"/>
      <c r="C7" s="331" t="s">
        <v>36</v>
      </c>
      <c r="D7" s="477"/>
      <c r="E7" s="256">
        <v>3</v>
      </c>
      <c r="F7" s="273">
        <f t="shared" si="0"/>
        <v>0</v>
      </c>
      <c r="G7" s="275"/>
    </row>
    <row r="8" spans="1:7" x14ac:dyDescent="0.25">
      <c r="A8" s="587"/>
      <c r="B8" s="595"/>
      <c r="C8" s="331" t="s">
        <v>37</v>
      </c>
      <c r="D8" s="378"/>
      <c r="E8" s="256">
        <v>4</v>
      </c>
      <c r="F8" s="273">
        <f t="shared" si="0"/>
        <v>0</v>
      </c>
      <c r="G8" s="275"/>
    </row>
    <row r="9" spans="1:7" x14ac:dyDescent="0.25">
      <c r="A9" s="587"/>
      <c r="B9" s="595"/>
      <c r="C9" s="331" t="s">
        <v>38</v>
      </c>
      <c r="D9" s="378"/>
      <c r="E9" s="256">
        <v>5</v>
      </c>
      <c r="F9" s="273">
        <f t="shared" si="0"/>
        <v>0</v>
      </c>
      <c r="G9" s="275"/>
    </row>
    <row r="10" spans="1:7" x14ac:dyDescent="0.25">
      <c r="A10" s="587"/>
      <c r="B10" s="595"/>
      <c r="C10" s="331" t="s">
        <v>39</v>
      </c>
      <c r="D10" s="378"/>
      <c r="E10" s="256">
        <v>6</v>
      </c>
      <c r="F10" s="273">
        <f t="shared" si="0"/>
        <v>0</v>
      </c>
      <c r="G10" s="275"/>
    </row>
    <row r="11" spans="1:7" ht="15.75" thickBot="1" x14ac:dyDescent="0.3">
      <c r="A11" s="588"/>
      <c r="B11" s="596"/>
      <c r="C11" s="332" t="s">
        <v>40</v>
      </c>
      <c r="D11" s="378"/>
      <c r="E11" s="256">
        <v>5</v>
      </c>
      <c r="F11" s="273">
        <f t="shared" si="0"/>
        <v>0</v>
      </c>
      <c r="G11" s="275"/>
    </row>
    <row r="12" spans="1:7" ht="45.75" thickBot="1" x14ac:dyDescent="0.3">
      <c r="A12" s="589" t="s">
        <v>90</v>
      </c>
      <c r="B12" s="597" t="s">
        <v>227</v>
      </c>
      <c r="C12" s="333" t="s">
        <v>44</v>
      </c>
      <c r="D12" s="377"/>
      <c r="E12" s="329"/>
      <c r="F12" s="271">
        <f>MAX(F13:F20)/MAX(E13:E20)</f>
        <v>0</v>
      </c>
      <c r="G12" s="276" t="s">
        <v>200</v>
      </c>
    </row>
    <row r="13" spans="1:7" x14ac:dyDescent="0.25">
      <c r="A13" s="587"/>
      <c r="B13" s="595"/>
      <c r="C13" s="330" t="s">
        <v>33</v>
      </c>
      <c r="D13" s="378"/>
      <c r="E13" s="256">
        <v>0</v>
      </c>
      <c r="F13" s="272">
        <f>D13*E13</f>
        <v>0</v>
      </c>
      <c r="G13" s="275"/>
    </row>
    <row r="14" spans="1:7" x14ac:dyDescent="0.25">
      <c r="A14" s="587"/>
      <c r="B14" s="595"/>
      <c r="C14" s="331" t="s">
        <v>34</v>
      </c>
      <c r="D14" s="379"/>
      <c r="E14" s="256">
        <v>1</v>
      </c>
      <c r="F14" s="273">
        <f t="shared" ref="F14:F20" si="1">D14*E14</f>
        <v>0</v>
      </c>
      <c r="G14" s="275"/>
    </row>
    <row r="15" spans="1:7" x14ac:dyDescent="0.25">
      <c r="A15" s="587"/>
      <c r="B15" s="595"/>
      <c r="C15" s="331" t="s">
        <v>35</v>
      </c>
      <c r="D15" s="378"/>
      <c r="E15" s="256">
        <v>2</v>
      </c>
      <c r="F15" s="273">
        <f t="shared" si="1"/>
        <v>0</v>
      </c>
      <c r="G15" s="275"/>
    </row>
    <row r="16" spans="1:7" x14ac:dyDescent="0.25">
      <c r="A16" s="587"/>
      <c r="B16" s="595"/>
      <c r="C16" s="331" t="s">
        <v>36</v>
      </c>
      <c r="D16" s="378"/>
      <c r="E16" s="256">
        <v>3</v>
      </c>
      <c r="F16" s="273">
        <f t="shared" si="1"/>
        <v>0</v>
      </c>
      <c r="G16" s="275"/>
    </row>
    <row r="17" spans="1:7" x14ac:dyDescent="0.25">
      <c r="A17" s="587"/>
      <c r="B17" s="595"/>
      <c r="C17" s="331" t="s">
        <v>37</v>
      </c>
      <c r="D17" s="378"/>
      <c r="E17" s="256">
        <v>4</v>
      </c>
      <c r="F17" s="273">
        <f t="shared" si="1"/>
        <v>0</v>
      </c>
      <c r="G17" s="275"/>
    </row>
    <row r="18" spans="1:7" x14ac:dyDescent="0.25">
      <c r="A18" s="587"/>
      <c r="B18" s="595"/>
      <c r="C18" s="331" t="s">
        <v>38</v>
      </c>
      <c r="D18" s="378"/>
      <c r="E18" s="256">
        <v>5</v>
      </c>
      <c r="F18" s="273">
        <f t="shared" si="1"/>
        <v>0</v>
      </c>
      <c r="G18" s="275"/>
    </row>
    <row r="19" spans="1:7" x14ac:dyDescent="0.25">
      <c r="A19" s="587"/>
      <c r="B19" s="595"/>
      <c r="C19" s="331" t="s">
        <v>39</v>
      </c>
      <c r="D19" s="378"/>
      <c r="E19" s="256">
        <v>6</v>
      </c>
      <c r="F19" s="273">
        <f t="shared" si="1"/>
        <v>0</v>
      </c>
      <c r="G19" s="275"/>
    </row>
    <row r="20" spans="1:7" ht="15.75" thickBot="1" x14ac:dyDescent="0.3">
      <c r="A20" s="588"/>
      <c r="B20" s="596"/>
      <c r="C20" s="334" t="s">
        <v>40</v>
      </c>
      <c r="D20" s="378"/>
      <c r="E20" s="256">
        <v>5</v>
      </c>
      <c r="F20" s="273">
        <f t="shared" si="1"/>
        <v>0</v>
      </c>
      <c r="G20" s="275"/>
    </row>
    <row r="21" spans="1:7" ht="45.75" thickBot="1" x14ac:dyDescent="0.3">
      <c r="A21" s="589" t="s">
        <v>91</v>
      </c>
      <c r="B21" s="591" t="s">
        <v>505</v>
      </c>
      <c r="C21" s="335" t="s">
        <v>434</v>
      </c>
      <c r="D21" s="377"/>
      <c r="E21" s="329"/>
      <c r="F21" s="271">
        <f>MAX(F22:F26)/MAX(E22:E26)</f>
        <v>0</v>
      </c>
      <c r="G21" s="276" t="s">
        <v>201</v>
      </c>
    </row>
    <row r="22" spans="1:7" x14ac:dyDescent="0.25">
      <c r="A22" s="587"/>
      <c r="B22" s="592"/>
      <c r="C22" s="336" t="s">
        <v>45</v>
      </c>
      <c r="D22" s="379"/>
      <c r="E22" s="256">
        <v>0</v>
      </c>
      <c r="F22" s="272">
        <f>D22*E22</f>
        <v>0</v>
      </c>
      <c r="G22" s="275"/>
    </row>
    <row r="23" spans="1:7" x14ac:dyDescent="0.25">
      <c r="A23" s="587"/>
      <c r="B23" s="592"/>
      <c r="C23" s="337" t="s">
        <v>46</v>
      </c>
      <c r="D23" s="379"/>
      <c r="E23" s="256">
        <v>1</v>
      </c>
      <c r="F23" s="273">
        <f t="shared" ref="F23:F26" si="2">D23*E23</f>
        <v>0</v>
      </c>
      <c r="G23" s="275"/>
    </row>
    <row r="24" spans="1:7" x14ac:dyDescent="0.25">
      <c r="A24" s="587"/>
      <c r="B24" s="592"/>
      <c r="C24" s="337" t="s">
        <v>36</v>
      </c>
      <c r="D24" s="379"/>
      <c r="E24" s="256">
        <v>2</v>
      </c>
      <c r="F24" s="273">
        <f t="shared" si="2"/>
        <v>0</v>
      </c>
      <c r="G24" s="275"/>
    </row>
    <row r="25" spans="1:7" x14ac:dyDescent="0.25">
      <c r="A25" s="587"/>
      <c r="B25" s="592"/>
      <c r="C25" s="337" t="s">
        <v>37</v>
      </c>
      <c r="D25" s="379"/>
      <c r="E25" s="256">
        <v>3</v>
      </c>
      <c r="F25" s="273">
        <f t="shared" si="2"/>
        <v>0</v>
      </c>
      <c r="G25" s="275"/>
    </row>
    <row r="26" spans="1:7" ht="15.75" thickBot="1" x14ac:dyDescent="0.3">
      <c r="A26" s="590"/>
      <c r="B26" s="593"/>
      <c r="C26" s="338" t="s">
        <v>47</v>
      </c>
      <c r="D26" s="379"/>
      <c r="E26" s="256">
        <v>4</v>
      </c>
      <c r="F26" s="273">
        <f t="shared" si="2"/>
        <v>0</v>
      </c>
      <c r="G26" s="275"/>
    </row>
    <row r="27" spans="1:7" s="3" customFormat="1" ht="34.9" customHeight="1" thickBot="1" x14ac:dyDescent="0.3">
      <c r="A27" s="570" t="s">
        <v>92</v>
      </c>
      <c r="B27" s="582" t="s">
        <v>88</v>
      </c>
      <c r="C27" s="333" t="s">
        <v>385</v>
      </c>
      <c r="D27" s="377"/>
      <c r="E27" s="329"/>
      <c r="F27" s="271">
        <f>MAX(F28:F30)/MAX(E28:E30)</f>
        <v>0</v>
      </c>
      <c r="G27" s="277" t="s">
        <v>207</v>
      </c>
    </row>
    <row r="28" spans="1:7" s="3" customFormat="1" ht="16.5" customHeight="1" x14ac:dyDescent="0.25">
      <c r="A28" s="571"/>
      <c r="B28" s="583"/>
      <c r="C28" s="330" t="s">
        <v>49</v>
      </c>
      <c r="D28" s="379"/>
      <c r="E28" s="256">
        <v>0</v>
      </c>
      <c r="F28" s="272">
        <f>D28*E28</f>
        <v>0</v>
      </c>
      <c r="G28" s="278"/>
    </row>
    <row r="29" spans="1:7" s="3" customFormat="1" ht="16.5" customHeight="1" x14ac:dyDescent="0.25">
      <c r="A29" s="571"/>
      <c r="B29" s="583"/>
      <c r="C29" s="331" t="s">
        <v>50</v>
      </c>
      <c r="D29" s="378"/>
      <c r="E29" s="256">
        <v>1</v>
      </c>
      <c r="F29" s="273">
        <f t="shared" ref="F29:F30" si="3">D29*E29</f>
        <v>0</v>
      </c>
      <c r="G29" s="278"/>
    </row>
    <row r="30" spans="1:7" s="3" customFormat="1" ht="16.5" customHeight="1" thickBot="1" x14ac:dyDescent="0.3">
      <c r="A30" s="572"/>
      <c r="B30" s="584"/>
      <c r="C30" s="330" t="s">
        <v>51</v>
      </c>
      <c r="D30" s="378"/>
      <c r="E30" s="256">
        <v>2</v>
      </c>
      <c r="F30" s="273">
        <f t="shared" si="3"/>
        <v>0</v>
      </c>
      <c r="G30" s="278"/>
    </row>
    <row r="31" spans="1:7" s="3" customFormat="1" ht="47.45" customHeight="1" thickBot="1" x14ac:dyDescent="0.3">
      <c r="A31" s="570" t="s">
        <v>93</v>
      </c>
      <c r="B31" s="576" t="s">
        <v>52</v>
      </c>
      <c r="C31" s="339" t="s">
        <v>386</v>
      </c>
      <c r="D31" s="377"/>
      <c r="E31" s="329"/>
      <c r="F31" s="271">
        <f>MAX(F32:F34)/MAX(E32:E34)</f>
        <v>0</v>
      </c>
      <c r="G31" s="277" t="s">
        <v>210</v>
      </c>
    </row>
    <row r="32" spans="1:7" s="3" customFormat="1" ht="16.5" customHeight="1" x14ac:dyDescent="0.25">
      <c r="A32" s="571"/>
      <c r="B32" s="577"/>
      <c r="C32" s="340" t="s">
        <v>49</v>
      </c>
      <c r="D32" s="378"/>
      <c r="E32" s="256">
        <v>0</v>
      </c>
      <c r="F32" s="272">
        <f>D32*E32</f>
        <v>0</v>
      </c>
      <c r="G32" s="278"/>
    </row>
    <row r="33" spans="1:10" s="3" customFormat="1" ht="16.5" customHeight="1" x14ac:dyDescent="0.25">
      <c r="A33" s="571"/>
      <c r="B33" s="577"/>
      <c r="C33" s="341" t="s">
        <v>50</v>
      </c>
      <c r="D33" s="378"/>
      <c r="E33" s="256">
        <v>1</v>
      </c>
      <c r="F33" s="273">
        <f t="shared" ref="F33:F34" si="4">D33*E33</f>
        <v>0</v>
      </c>
      <c r="G33" s="278"/>
    </row>
    <row r="34" spans="1:10" s="3" customFormat="1" ht="16.5" customHeight="1" thickBot="1" x14ac:dyDescent="0.3">
      <c r="A34" s="571"/>
      <c r="B34" s="577"/>
      <c r="C34" s="342" t="s">
        <v>51</v>
      </c>
      <c r="D34" s="378"/>
      <c r="E34" s="256">
        <v>2</v>
      </c>
      <c r="F34" s="273">
        <f t="shared" si="4"/>
        <v>0</v>
      </c>
      <c r="G34" s="278"/>
    </row>
    <row r="35" spans="1:10" s="3" customFormat="1" ht="16.5" customHeight="1" thickBot="1" x14ac:dyDescent="0.3">
      <c r="A35" s="570" t="s">
        <v>94</v>
      </c>
      <c r="B35" s="567" t="s">
        <v>111</v>
      </c>
      <c r="C35" s="343" t="s">
        <v>110</v>
      </c>
      <c r="D35" s="377"/>
      <c r="E35" s="329"/>
      <c r="F35" s="271">
        <f>MAX(F36:F38)/MAX(E36:E38)</f>
        <v>0</v>
      </c>
      <c r="G35" s="277" t="s">
        <v>208</v>
      </c>
    </row>
    <row r="36" spans="1:10" s="3" customFormat="1" ht="30.6" customHeight="1" x14ac:dyDescent="0.25">
      <c r="A36" s="571"/>
      <c r="B36" s="568"/>
      <c r="C36" s="331" t="s">
        <v>375</v>
      </c>
      <c r="D36" s="378"/>
      <c r="E36" s="256">
        <v>0</v>
      </c>
      <c r="F36" s="272">
        <f>D36*E36</f>
        <v>0</v>
      </c>
      <c r="G36" s="278"/>
    </row>
    <row r="37" spans="1:10" s="3" customFormat="1" ht="42.6" customHeight="1" x14ac:dyDescent="0.25">
      <c r="A37" s="571"/>
      <c r="B37" s="568"/>
      <c r="C37" s="331" t="s">
        <v>376</v>
      </c>
      <c r="D37" s="378"/>
      <c r="E37" s="256">
        <v>1</v>
      </c>
      <c r="F37" s="273">
        <f t="shared" ref="F37:F38" si="5">D37*E37</f>
        <v>0</v>
      </c>
      <c r="G37" s="278"/>
    </row>
    <row r="38" spans="1:10" s="3" customFormat="1" ht="31.15" customHeight="1" thickBot="1" x14ac:dyDescent="0.3">
      <c r="A38" s="572"/>
      <c r="B38" s="569"/>
      <c r="C38" s="334" t="s">
        <v>377</v>
      </c>
      <c r="D38" s="379"/>
      <c r="E38" s="256">
        <v>2</v>
      </c>
      <c r="F38" s="273">
        <f t="shared" si="5"/>
        <v>0</v>
      </c>
      <c r="G38" s="278"/>
    </row>
    <row r="39" spans="1:10" customFormat="1" ht="42.75" customHeight="1" thickBot="1" x14ac:dyDescent="0.3">
      <c r="A39" s="571" t="s">
        <v>95</v>
      </c>
      <c r="B39" s="577" t="s">
        <v>53</v>
      </c>
      <c r="C39" s="328" t="s">
        <v>378</v>
      </c>
      <c r="D39" s="377"/>
      <c r="E39" s="329"/>
      <c r="F39" s="271" t="str">
        <f>IF((MAX(D40:D48)=0),"",IF((MAX(F41,F42,F44,F46)=2),0,0.1))</f>
        <v/>
      </c>
      <c r="G39" s="277" t="s">
        <v>221</v>
      </c>
    </row>
    <row r="40" spans="1:10" customFormat="1" x14ac:dyDescent="0.25">
      <c r="A40" s="571"/>
      <c r="B40" s="577"/>
      <c r="C40" s="344" t="s">
        <v>54</v>
      </c>
      <c r="D40" s="379"/>
      <c r="E40" s="256">
        <v>1</v>
      </c>
      <c r="F40" s="272">
        <f>D40*E40</f>
        <v>0</v>
      </c>
      <c r="G40" s="279"/>
    </row>
    <row r="41" spans="1:10" customFormat="1" x14ac:dyDescent="0.25">
      <c r="A41" s="571"/>
      <c r="B41" s="577"/>
      <c r="C41" s="344" t="s">
        <v>55</v>
      </c>
      <c r="D41" s="379"/>
      <c r="E41" s="256">
        <v>2</v>
      </c>
      <c r="F41" s="273">
        <f t="shared" ref="F41:F48" si="6">D41*E41</f>
        <v>0</v>
      </c>
      <c r="G41" s="279"/>
    </row>
    <row r="42" spans="1:10" customFormat="1" x14ac:dyDescent="0.25">
      <c r="A42" s="571"/>
      <c r="B42" s="577"/>
      <c r="C42" s="344" t="s">
        <v>56</v>
      </c>
      <c r="D42" s="379"/>
      <c r="E42" s="256">
        <v>2</v>
      </c>
      <c r="F42" s="273">
        <f t="shared" si="6"/>
        <v>0</v>
      </c>
      <c r="G42" s="279"/>
      <c r="J42" s="1"/>
    </row>
    <row r="43" spans="1:10" customFormat="1" x14ac:dyDescent="0.25">
      <c r="A43" s="571"/>
      <c r="B43" s="577"/>
      <c r="C43" s="344" t="s">
        <v>57</v>
      </c>
      <c r="D43" s="379"/>
      <c r="E43" s="364">
        <v>1</v>
      </c>
      <c r="F43" s="273">
        <f t="shared" si="6"/>
        <v>0</v>
      </c>
      <c r="G43" s="279"/>
      <c r="J43" s="1"/>
    </row>
    <row r="44" spans="1:10" customFormat="1" x14ac:dyDescent="0.25">
      <c r="A44" s="571"/>
      <c r="B44" s="577"/>
      <c r="C44" s="344" t="s">
        <v>58</v>
      </c>
      <c r="D44" s="379"/>
      <c r="E44" s="364">
        <v>2</v>
      </c>
      <c r="F44" s="273">
        <f t="shared" si="6"/>
        <v>0</v>
      </c>
      <c r="G44" s="279"/>
      <c r="J44" s="1"/>
    </row>
    <row r="45" spans="1:10" customFormat="1" x14ac:dyDescent="0.25">
      <c r="A45" s="571"/>
      <c r="B45" s="577"/>
      <c r="C45" s="344" t="s">
        <v>59</v>
      </c>
      <c r="D45" s="379"/>
      <c r="E45" s="364">
        <v>1</v>
      </c>
      <c r="F45" s="273">
        <f t="shared" si="6"/>
        <v>0</v>
      </c>
      <c r="G45" s="279"/>
      <c r="J45" s="1"/>
    </row>
    <row r="46" spans="1:10" customFormat="1" x14ac:dyDescent="0.25">
      <c r="A46" s="571"/>
      <c r="B46" s="577"/>
      <c r="C46" s="345" t="s">
        <v>60</v>
      </c>
      <c r="D46" s="379"/>
      <c r="E46" s="364">
        <v>2</v>
      </c>
      <c r="F46" s="273">
        <f t="shared" si="6"/>
        <v>0</v>
      </c>
      <c r="G46" s="279"/>
      <c r="J46" s="1"/>
    </row>
    <row r="47" spans="1:10" customFormat="1" x14ac:dyDescent="0.25">
      <c r="A47" s="571"/>
      <c r="B47" s="577"/>
      <c r="C47" s="344" t="s">
        <v>67</v>
      </c>
      <c r="D47" s="379"/>
      <c r="E47" s="364">
        <v>1</v>
      </c>
      <c r="F47" s="273">
        <f t="shared" si="6"/>
        <v>0</v>
      </c>
      <c r="G47" s="279"/>
      <c r="J47" s="1"/>
    </row>
    <row r="48" spans="1:10" customFormat="1" ht="15.75" thickBot="1" x14ac:dyDescent="0.3">
      <c r="A48" s="572"/>
      <c r="B48" s="581"/>
      <c r="C48" s="346" t="s">
        <v>68</v>
      </c>
      <c r="D48" s="379"/>
      <c r="E48" s="364">
        <v>1</v>
      </c>
      <c r="F48" s="273">
        <f t="shared" si="6"/>
        <v>0</v>
      </c>
      <c r="G48" s="279"/>
      <c r="J48" s="1"/>
    </row>
    <row r="49" spans="1:7" s="3" customFormat="1" ht="29.45" customHeight="1" thickBot="1" x14ac:dyDescent="0.3">
      <c r="A49" s="585" t="s">
        <v>96</v>
      </c>
      <c r="B49" s="576" t="s">
        <v>61</v>
      </c>
      <c r="C49" s="339" t="s">
        <v>379</v>
      </c>
      <c r="D49" s="377"/>
      <c r="E49" s="329"/>
      <c r="F49" s="271">
        <f>IF((D50=1),"",IF((D52=1),0, 0.1))</f>
        <v>0.1</v>
      </c>
      <c r="G49" s="277" t="s">
        <v>209</v>
      </c>
    </row>
    <row r="50" spans="1:7" s="3" customFormat="1" ht="16.5" customHeight="1" x14ac:dyDescent="0.25">
      <c r="A50" s="571"/>
      <c r="B50" s="577"/>
      <c r="C50" s="340" t="s">
        <v>62</v>
      </c>
      <c r="D50" s="378"/>
      <c r="E50" s="256">
        <v>0</v>
      </c>
      <c r="F50" s="272">
        <f>D50*E50</f>
        <v>0</v>
      </c>
      <c r="G50" s="278"/>
    </row>
    <row r="51" spans="1:7" s="3" customFormat="1" ht="16.5" customHeight="1" x14ac:dyDescent="0.25">
      <c r="A51" s="571"/>
      <c r="B51" s="577"/>
      <c r="C51" s="341" t="s">
        <v>69</v>
      </c>
      <c r="D51" s="378"/>
      <c r="E51" s="256">
        <v>1</v>
      </c>
      <c r="F51" s="273">
        <f t="shared" ref="F51:F52" si="7">D51*E51</f>
        <v>0</v>
      </c>
      <c r="G51" s="278"/>
    </row>
    <row r="52" spans="1:7" s="3" customFormat="1" ht="16.5" customHeight="1" thickBot="1" x14ac:dyDescent="0.3">
      <c r="A52" s="571"/>
      <c r="B52" s="577"/>
      <c r="C52" s="341" t="s">
        <v>70</v>
      </c>
      <c r="D52" s="378"/>
      <c r="E52" s="256">
        <v>2</v>
      </c>
      <c r="F52" s="273">
        <f t="shared" si="7"/>
        <v>0</v>
      </c>
      <c r="G52" s="278"/>
    </row>
    <row r="53" spans="1:7" s="3" customFormat="1" ht="88.15" customHeight="1" thickBot="1" x14ac:dyDescent="0.3">
      <c r="A53" s="570" t="s">
        <v>97</v>
      </c>
      <c r="B53" s="576" t="s">
        <v>63</v>
      </c>
      <c r="C53" s="347" t="s">
        <v>380</v>
      </c>
      <c r="D53" s="377"/>
      <c r="E53" s="329"/>
      <c r="F53" s="271">
        <f>IF((D54=1),"",IF((D56=1),0, 0.1))</f>
        <v>0.1</v>
      </c>
      <c r="G53" s="277" t="s">
        <v>202</v>
      </c>
    </row>
    <row r="54" spans="1:7" s="3" customFormat="1" ht="20.25" customHeight="1" x14ac:dyDescent="0.25">
      <c r="A54" s="571"/>
      <c r="B54" s="577"/>
      <c r="C54" s="340" t="s">
        <v>64</v>
      </c>
      <c r="D54" s="378"/>
      <c r="E54" s="256">
        <v>0</v>
      </c>
      <c r="F54" s="272">
        <f>D54*E54</f>
        <v>0</v>
      </c>
      <c r="G54" s="278"/>
    </row>
    <row r="55" spans="1:7" s="3" customFormat="1" ht="20.25" customHeight="1" x14ac:dyDescent="0.25">
      <c r="A55" s="571"/>
      <c r="B55" s="577"/>
      <c r="C55" s="341" t="s">
        <v>65</v>
      </c>
      <c r="D55" s="378"/>
      <c r="E55" s="256">
        <v>1</v>
      </c>
      <c r="F55" s="273">
        <f t="shared" ref="F55:F56" si="8">D55*E55</f>
        <v>0</v>
      </c>
      <c r="G55" s="278"/>
    </row>
    <row r="56" spans="1:7" s="3" customFormat="1" ht="18.75" customHeight="1" thickBot="1" x14ac:dyDescent="0.3">
      <c r="A56" s="571"/>
      <c r="B56" s="577"/>
      <c r="C56" s="348" t="s">
        <v>66</v>
      </c>
      <c r="D56" s="378"/>
      <c r="E56" s="256">
        <v>2</v>
      </c>
      <c r="F56" s="273">
        <f t="shared" si="8"/>
        <v>0</v>
      </c>
      <c r="G56" s="278"/>
    </row>
    <row r="57" spans="1:7" ht="30.75" thickBot="1" x14ac:dyDescent="0.3">
      <c r="A57" s="560" t="s">
        <v>98</v>
      </c>
      <c r="B57" s="576" t="s">
        <v>213</v>
      </c>
      <c r="C57" s="339" t="s">
        <v>381</v>
      </c>
      <c r="D57" s="377"/>
      <c r="E57" s="329"/>
      <c r="F57" s="271">
        <f>MAX(F58:F60)/MAX(E58:E60)</f>
        <v>0</v>
      </c>
      <c r="G57" s="277" t="s">
        <v>216</v>
      </c>
    </row>
    <row r="58" spans="1:7" x14ac:dyDescent="0.25">
      <c r="A58" s="561"/>
      <c r="B58" s="577"/>
      <c r="C58" s="340" t="s">
        <v>382</v>
      </c>
      <c r="D58" s="380"/>
      <c r="E58" s="256">
        <v>2</v>
      </c>
      <c r="F58" s="272">
        <f>D58*E58</f>
        <v>0</v>
      </c>
      <c r="G58" s="275"/>
    </row>
    <row r="59" spans="1:7" x14ac:dyDescent="0.25">
      <c r="A59" s="561"/>
      <c r="B59" s="577"/>
      <c r="C59" s="341" t="s">
        <v>87</v>
      </c>
      <c r="D59" s="378"/>
      <c r="E59" s="256">
        <v>1</v>
      </c>
      <c r="F59" s="273">
        <f t="shared" ref="F59:F60" si="9">D59*E59</f>
        <v>0</v>
      </c>
      <c r="G59" s="275"/>
    </row>
    <row r="60" spans="1:7" ht="15.75" thickBot="1" x14ac:dyDescent="0.3">
      <c r="A60" s="562"/>
      <c r="B60" s="581"/>
      <c r="C60" s="349" t="s">
        <v>383</v>
      </c>
      <c r="D60" s="378"/>
      <c r="E60" s="256">
        <v>0</v>
      </c>
      <c r="F60" s="273">
        <f t="shared" si="9"/>
        <v>0</v>
      </c>
      <c r="G60" s="275"/>
    </row>
    <row r="61" spans="1:7" ht="35.450000000000003" customHeight="1" thickBot="1" x14ac:dyDescent="0.3">
      <c r="A61" s="573" t="s">
        <v>99</v>
      </c>
      <c r="B61" s="578" t="s">
        <v>71</v>
      </c>
      <c r="C61" s="350" t="s">
        <v>389</v>
      </c>
      <c r="D61" s="377"/>
      <c r="E61" s="329"/>
      <c r="F61" s="271">
        <f>SUM(D62:D69)/8</f>
        <v>0</v>
      </c>
      <c r="G61" s="280" t="s">
        <v>222</v>
      </c>
    </row>
    <row r="62" spans="1:7" x14ac:dyDescent="0.25">
      <c r="A62" s="574"/>
      <c r="B62" s="579"/>
      <c r="C62" s="351" t="s">
        <v>72</v>
      </c>
      <c r="D62" s="379"/>
      <c r="E62" s="329"/>
      <c r="F62" s="329"/>
      <c r="G62" s="275"/>
    </row>
    <row r="63" spans="1:7" x14ac:dyDescent="0.25">
      <c r="A63" s="574"/>
      <c r="B63" s="579"/>
      <c r="C63" s="352" t="s">
        <v>73</v>
      </c>
      <c r="D63" s="379"/>
      <c r="E63" s="329"/>
      <c r="F63" s="329"/>
      <c r="G63" s="275"/>
    </row>
    <row r="64" spans="1:7" x14ac:dyDescent="0.25">
      <c r="A64" s="574"/>
      <c r="B64" s="579"/>
      <c r="C64" s="351" t="s">
        <v>74</v>
      </c>
      <c r="D64" s="379"/>
      <c r="E64" s="329"/>
      <c r="F64" s="329"/>
      <c r="G64" s="275"/>
    </row>
    <row r="65" spans="1:7" x14ac:dyDescent="0.25">
      <c r="A65" s="574"/>
      <c r="B65" s="579"/>
      <c r="C65" s="351" t="s">
        <v>75</v>
      </c>
      <c r="D65" s="379"/>
      <c r="E65" s="329"/>
      <c r="F65" s="329"/>
      <c r="G65" s="275"/>
    </row>
    <row r="66" spans="1:7" x14ac:dyDescent="0.25">
      <c r="A66" s="574"/>
      <c r="B66" s="579"/>
      <c r="C66" s="351" t="s">
        <v>76</v>
      </c>
      <c r="D66" s="379"/>
      <c r="E66" s="329"/>
      <c r="F66" s="329"/>
      <c r="G66" s="275"/>
    </row>
    <row r="67" spans="1:7" x14ac:dyDescent="0.25">
      <c r="A67" s="574"/>
      <c r="B67" s="579"/>
      <c r="C67" s="351" t="s">
        <v>77</v>
      </c>
      <c r="D67" s="379"/>
      <c r="E67" s="329"/>
      <c r="F67" s="329"/>
      <c r="G67" s="275"/>
    </row>
    <row r="68" spans="1:7" x14ac:dyDescent="0.25">
      <c r="A68" s="574"/>
      <c r="B68" s="579"/>
      <c r="C68" s="351" t="s">
        <v>78</v>
      </c>
      <c r="D68" s="379"/>
      <c r="E68" s="329"/>
      <c r="F68" s="329"/>
      <c r="G68" s="275"/>
    </row>
    <row r="69" spans="1:7" ht="15.75" thickBot="1" x14ac:dyDescent="0.3">
      <c r="A69" s="575"/>
      <c r="B69" s="580"/>
      <c r="C69" s="353" t="s">
        <v>79</v>
      </c>
      <c r="D69" s="379"/>
      <c r="E69" s="329"/>
      <c r="F69" s="329"/>
      <c r="G69" s="275"/>
    </row>
    <row r="70" spans="1:7" ht="21.6" customHeight="1" thickBot="1" x14ac:dyDescent="0.3">
      <c r="A70" s="570" t="s">
        <v>100</v>
      </c>
      <c r="B70" s="576" t="s">
        <v>81</v>
      </c>
      <c r="C70" s="339" t="s">
        <v>388</v>
      </c>
      <c r="D70" s="377"/>
      <c r="E70" s="329"/>
      <c r="F70" s="271">
        <f>MAX(F71:F75)/MAX(E71:E75)</f>
        <v>0</v>
      </c>
      <c r="G70" s="277" t="s">
        <v>199</v>
      </c>
    </row>
    <row r="71" spans="1:7" x14ac:dyDescent="0.25">
      <c r="A71" s="571"/>
      <c r="B71" s="577"/>
      <c r="C71" s="340" t="s">
        <v>33</v>
      </c>
      <c r="D71" s="379"/>
      <c r="E71" s="256">
        <v>0</v>
      </c>
      <c r="F71" s="272">
        <f>D71*E71</f>
        <v>0</v>
      </c>
      <c r="G71" s="275"/>
    </row>
    <row r="72" spans="1:7" x14ac:dyDescent="0.25">
      <c r="A72" s="571"/>
      <c r="B72" s="577"/>
      <c r="C72" s="340" t="s">
        <v>46</v>
      </c>
      <c r="D72" s="379"/>
      <c r="E72" s="256">
        <v>1</v>
      </c>
      <c r="F72" s="273">
        <f t="shared" ref="F72:F75" si="10">D72*E72</f>
        <v>0</v>
      </c>
      <c r="G72" s="275"/>
    </row>
    <row r="73" spans="1:7" x14ac:dyDescent="0.25">
      <c r="A73" s="571"/>
      <c r="B73" s="577"/>
      <c r="C73" s="354" t="s">
        <v>36</v>
      </c>
      <c r="D73" s="379"/>
      <c r="E73" s="256">
        <v>2</v>
      </c>
      <c r="F73" s="273">
        <f t="shared" si="10"/>
        <v>0</v>
      </c>
      <c r="G73" s="275"/>
    </row>
    <row r="74" spans="1:7" x14ac:dyDescent="0.25">
      <c r="A74" s="571"/>
      <c r="B74" s="577"/>
      <c r="C74" s="341" t="s">
        <v>48</v>
      </c>
      <c r="D74" s="379"/>
      <c r="E74" s="256">
        <v>3</v>
      </c>
      <c r="F74" s="273">
        <f t="shared" si="10"/>
        <v>0</v>
      </c>
      <c r="G74" s="275"/>
    </row>
    <row r="75" spans="1:7" ht="15.75" thickBot="1" x14ac:dyDescent="0.3">
      <c r="A75" s="572"/>
      <c r="B75" s="581"/>
      <c r="C75" s="341" t="s">
        <v>47</v>
      </c>
      <c r="D75" s="379"/>
      <c r="E75" s="256">
        <v>4</v>
      </c>
      <c r="F75" s="273">
        <f t="shared" si="10"/>
        <v>0</v>
      </c>
      <c r="G75" s="275"/>
    </row>
    <row r="76" spans="1:7" ht="30.75" thickBot="1" x14ac:dyDescent="0.3">
      <c r="A76" s="570" t="s">
        <v>101</v>
      </c>
      <c r="B76" s="576" t="s">
        <v>80</v>
      </c>
      <c r="C76" s="339" t="s">
        <v>387</v>
      </c>
      <c r="D76" s="377"/>
      <c r="E76" s="329"/>
      <c r="F76" s="271">
        <f>MAX(F77:F81)/MAX(E77:E81)</f>
        <v>0</v>
      </c>
      <c r="G76" s="277" t="s">
        <v>223</v>
      </c>
    </row>
    <row r="77" spans="1:7" x14ac:dyDescent="0.25">
      <c r="A77" s="571"/>
      <c r="B77" s="577"/>
      <c r="C77" s="340" t="s">
        <v>33</v>
      </c>
      <c r="D77" s="379"/>
      <c r="E77" s="256">
        <v>0</v>
      </c>
      <c r="F77" s="272">
        <f>D77*E77</f>
        <v>0</v>
      </c>
      <c r="G77" s="275"/>
    </row>
    <row r="78" spans="1:7" x14ac:dyDescent="0.25">
      <c r="A78" s="571"/>
      <c r="B78" s="577"/>
      <c r="C78" s="340" t="s">
        <v>46</v>
      </c>
      <c r="D78" s="379"/>
      <c r="E78" s="256">
        <v>1</v>
      </c>
      <c r="F78" s="273">
        <f t="shared" ref="F78:F81" si="11">D78*E78</f>
        <v>0</v>
      </c>
      <c r="G78" s="275"/>
    </row>
    <row r="79" spans="1:7" x14ac:dyDescent="0.25">
      <c r="A79" s="571"/>
      <c r="B79" s="577"/>
      <c r="C79" s="354" t="s">
        <v>36</v>
      </c>
      <c r="D79" s="379"/>
      <c r="E79" s="256">
        <v>2</v>
      </c>
      <c r="F79" s="273">
        <f t="shared" si="11"/>
        <v>0</v>
      </c>
      <c r="G79" s="275"/>
    </row>
    <row r="80" spans="1:7" x14ac:dyDescent="0.25">
      <c r="A80" s="571"/>
      <c r="B80" s="577"/>
      <c r="C80" s="341" t="s">
        <v>48</v>
      </c>
      <c r="D80" s="379"/>
      <c r="E80" s="256">
        <v>3</v>
      </c>
      <c r="F80" s="273">
        <f t="shared" si="11"/>
        <v>0</v>
      </c>
      <c r="G80" s="275"/>
    </row>
    <row r="81" spans="1:7" ht="15.75" thickBot="1" x14ac:dyDescent="0.3">
      <c r="A81" s="571"/>
      <c r="B81" s="577"/>
      <c r="C81" s="348" t="s">
        <v>47</v>
      </c>
      <c r="D81" s="379"/>
      <c r="E81" s="256">
        <v>4</v>
      </c>
      <c r="F81" s="273">
        <f t="shared" si="11"/>
        <v>0</v>
      </c>
      <c r="G81" s="275"/>
    </row>
    <row r="82" spans="1:7" ht="49.9" customHeight="1" thickBot="1" x14ac:dyDescent="0.3">
      <c r="A82" s="7" t="s">
        <v>102</v>
      </c>
      <c r="B82" s="8" t="s">
        <v>104</v>
      </c>
      <c r="C82" s="9" t="s">
        <v>390</v>
      </c>
      <c r="D82" s="477"/>
      <c r="E82" s="329"/>
      <c r="F82" s="271">
        <f>D82</f>
        <v>0</v>
      </c>
      <c r="G82" s="223" t="s">
        <v>224</v>
      </c>
    </row>
    <row r="83" spans="1:7" ht="44.45" customHeight="1" thickBot="1" x14ac:dyDescent="0.3">
      <c r="A83" s="318" t="s">
        <v>103</v>
      </c>
      <c r="B83" s="6" t="s">
        <v>105</v>
      </c>
      <c r="C83" s="10" t="s">
        <v>384</v>
      </c>
      <c r="D83" s="478"/>
      <c r="E83" s="329"/>
      <c r="F83" s="355" t="str">
        <f>IF((D83=""),"", IF((D83&lt;=1),0, IF((D83&gt;1&lt;=5),0.25,IF((D83&gt;5&lt;=20),0.5, IF((D83&gt;20&lt;30),0.75, 1)))))</f>
        <v/>
      </c>
      <c r="G83" s="223" t="s">
        <v>206</v>
      </c>
    </row>
    <row r="84" spans="1:7" ht="63" customHeight="1" thickBot="1" x14ac:dyDescent="0.3">
      <c r="A84" s="560" t="s">
        <v>214</v>
      </c>
      <c r="B84" s="563" t="s">
        <v>315</v>
      </c>
      <c r="C84" s="339" t="s">
        <v>435</v>
      </c>
      <c r="D84" s="404"/>
      <c r="E84" s="329"/>
      <c r="F84" s="271">
        <f>IF((D91=1),"",MAX(D85:D90))</f>
        <v>0</v>
      </c>
      <c r="G84" s="277" t="s">
        <v>217</v>
      </c>
    </row>
    <row r="85" spans="1:7" x14ac:dyDescent="0.25">
      <c r="A85" s="561"/>
      <c r="B85" s="564"/>
      <c r="C85" s="340" t="s">
        <v>82</v>
      </c>
      <c r="D85" s="477"/>
      <c r="E85" s="329"/>
      <c r="F85" s="329"/>
      <c r="G85" s="275"/>
    </row>
    <row r="86" spans="1:7" x14ac:dyDescent="0.25">
      <c r="A86" s="561"/>
      <c r="B86" s="564"/>
      <c r="C86" s="340" t="s">
        <v>436</v>
      </c>
      <c r="D86" s="477"/>
      <c r="E86" s="329"/>
      <c r="F86" s="329"/>
      <c r="G86" s="275"/>
    </row>
    <row r="87" spans="1:7" x14ac:dyDescent="0.25">
      <c r="A87" s="561"/>
      <c r="B87" s="564"/>
      <c r="C87" s="340" t="s">
        <v>83</v>
      </c>
      <c r="D87" s="477"/>
      <c r="E87" s="329"/>
      <c r="F87" s="329"/>
      <c r="G87" s="275"/>
    </row>
    <row r="88" spans="1:7" x14ac:dyDescent="0.25">
      <c r="A88" s="561"/>
      <c r="B88" s="564"/>
      <c r="C88" s="340" t="s">
        <v>437</v>
      </c>
      <c r="D88" s="477"/>
      <c r="E88" s="329"/>
      <c r="F88" s="329"/>
      <c r="G88" s="275"/>
    </row>
    <row r="89" spans="1:7" x14ac:dyDescent="0.25">
      <c r="A89" s="561"/>
      <c r="B89" s="564"/>
      <c r="C89" s="340" t="s">
        <v>84</v>
      </c>
      <c r="D89" s="477"/>
      <c r="E89" s="329"/>
      <c r="F89" s="329"/>
      <c r="G89" s="275"/>
    </row>
    <row r="90" spans="1:7" x14ac:dyDescent="0.25">
      <c r="A90" s="561"/>
      <c r="B90" s="565"/>
      <c r="C90" s="348" t="s">
        <v>85</v>
      </c>
      <c r="D90" s="477"/>
      <c r="E90" s="329"/>
      <c r="F90" s="329"/>
      <c r="G90" s="275"/>
    </row>
    <row r="91" spans="1:7" ht="17.25" thickBot="1" x14ac:dyDescent="0.35">
      <c r="A91" s="562"/>
      <c r="B91" s="566"/>
      <c r="C91" s="420" t="s">
        <v>86</v>
      </c>
      <c r="D91" s="479"/>
      <c r="E91" s="329"/>
      <c r="F91" s="329"/>
      <c r="G91" s="281"/>
    </row>
    <row r="92" spans="1:7" x14ac:dyDescent="0.25">
      <c r="B92" s="5"/>
    </row>
    <row r="93" spans="1:7" x14ac:dyDescent="0.25">
      <c r="B93" s="5"/>
    </row>
    <row r="94" spans="1:7" x14ac:dyDescent="0.25">
      <c r="B94" s="5"/>
    </row>
  </sheetData>
  <sheetProtection password="C08A" sheet="1" objects="1" scenarios="1"/>
  <mergeCells count="28">
    <mergeCell ref="A3:A11"/>
    <mergeCell ref="A12:A20"/>
    <mergeCell ref="A21:A26"/>
    <mergeCell ref="B21:B26"/>
    <mergeCell ref="B3:B11"/>
    <mergeCell ref="B12:B20"/>
    <mergeCell ref="A27:A30"/>
    <mergeCell ref="B27:B30"/>
    <mergeCell ref="B31:B34"/>
    <mergeCell ref="B39:B48"/>
    <mergeCell ref="A49:A52"/>
    <mergeCell ref="B49:B52"/>
    <mergeCell ref="A31:A34"/>
    <mergeCell ref="A39:A48"/>
    <mergeCell ref="A84:A91"/>
    <mergeCell ref="B84:B91"/>
    <mergeCell ref="B35:B38"/>
    <mergeCell ref="A35:A38"/>
    <mergeCell ref="A76:A81"/>
    <mergeCell ref="A70:A75"/>
    <mergeCell ref="A61:A69"/>
    <mergeCell ref="A57:A60"/>
    <mergeCell ref="A53:A56"/>
    <mergeCell ref="B53:B56"/>
    <mergeCell ref="B61:B69"/>
    <mergeCell ref="B70:B75"/>
    <mergeCell ref="B76:B81"/>
    <mergeCell ref="B57:B60"/>
  </mergeCells>
  <conditionalFormatting sqref="D84:D91 D3:D82">
    <cfRule type="cellIs" dxfId="18" priority="19" operator="greaterThan">
      <formula>0</formula>
    </cfRule>
  </conditionalFormatting>
  <conditionalFormatting sqref="D84:D91 D3:D82">
    <cfRule type="cellIs" dxfId="17" priority="18" operator="greaterThan">
      <formula>0</formula>
    </cfRule>
  </conditionalFormatting>
  <conditionalFormatting sqref="D84:D91 D3:D82">
    <cfRule type="cellIs" dxfId="16" priority="17" operator="greaterThan">
      <formula>0</formula>
    </cfRule>
  </conditionalFormatting>
  <conditionalFormatting sqref="D84:D91 D3:D82">
    <cfRule type="cellIs" dxfId="15" priority="16" operator="greaterThan">
      <formula>0</formula>
    </cfRule>
  </conditionalFormatting>
  <conditionalFormatting sqref="D84:D91 D3:D82">
    <cfRule type="cellIs" dxfId="14" priority="15" operator="greaterThan">
      <formula>0</formula>
    </cfRule>
  </conditionalFormatting>
  <conditionalFormatting sqref="D84:D91 D3:D82">
    <cfRule type="cellIs" dxfId="13" priority="14" operator="greaterThan">
      <formula>0</formula>
    </cfRule>
  </conditionalFormatting>
  <conditionalFormatting sqref="D84:D91 D3:D82">
    <cfRule type="cellIs" dxfId="12" priority="13" operator="greaterThan">
      <formula>0</formula>
    </cfRule>
  </conditionalFormatting>
  <conditionalFormatting sqref="D84:D91 D3:D82">
    <cfRule type="cellIs" dxfId="11" priority="12" operator="greaterThan">
      <formula>0</formula>
    </cfRule>
  </conditionalFormatting>
  <conditionalFormatting sqref="D84:D91 D3:D82">
    <cfRule type="cellIs" dxfId="10" priority="11" operator="greaterThan">
      <formula>0</formula>
    </cfRule>
  </conditionalFormatting>
  <conditionalFormatting sqref="D84:D91 D3:D82">
    <cfRule type="cellIs" dxfId="9" priority="10" operator="greaterThan">
      <formula>0</formula>
    </cfRule>
  </conditionalFormatting>
  <conditionalFormatting sqref="D84:D91 D3:D82">
    <cfRule type="cellIs" dxfId="8" priority="9" operator="greaterThan">
      <formula>0</formula>
    </cfRule>
  </conditionalFormatting>
  <conditionalFormatting sqref="D84:D91 D3:D82">
    <cfRule type="cellIs" dxfId="7" priority="8" operator="greaterThan">
      <formula>0</formula>
    </cfRule>
  </conditionalFormatting>
  <conditionalFormatting sqref="D84:D91 D3:D82">
    <cfRule type="cellIs" dxfId="6" priority="7" operator="greaterThan">
      <formula>0</formula>
    </cfRule>
  </conditionalFormatting>
  <conditionalFormatting sqref="D84:D91 D3:D82">
    <cfRule type="cellIs" dxfId="5" priority="6" operator="greaterThan">
      <formula>0</formula>
    </cfRule>
  </conditionalFormatting>
  <conditionalFormatting sqref="D84:D91 D3:D82">
    <cfRule type="cellIs" dxfId="4" priority="5" operator="greaterThan">
      <formula>0</formula>
    </cfRule>
  </conditionalFormatting>
  <conditionalFormatting sqref="D84:D91 D3:D82">
    <cfRule type="cellIs" dxfId="3" priority="4" operator="greaterThan">
      <formula>0</formula>
    </cfRule>
  </conditionalFormatting>
  <conditionalFormatting sqref="D84:D91 D3:D82">
    <cfRule type="cellIs" dxfId="2" priority="3" operator="greaterThan">
      <formula>0</formula>
    </cfRule>
  </conditionalFormatting>
  <conditionalFormatting sqref="D84:D91 D3:D82">
    <cfRule type="cellIs" dxfId="1" priority="2" operator="greaterThan">
      <formula>0</formula>
    </cfRule>
  </conditionalFormatting>
  <conditionalFormatting sqref="D84:D91 D3:D82">
    <cfRule type="cellIs" dxfId="0" priority="1" operator="greaterThan">
      <formula>0</formula>
    </cfRule>
  </conditionalFormatting>
  <dataValidations count="1">
    <dataValidation type="whole" allowBlank="1" showInputMessage="1" showErrorMessage="1" sqref="D57:E57 F62:F69 F85:F91 E82:E91 D27:E27 E61:E70 D39:E39 D21:E21 D12:E12 D3:E3 E35 E31 D49:E49 D76:E76 D53:E53 D65:D71 D77:D79 D81 D73:D75 D61 D84" xr:uid="{00000000-0002-0000-0400-000000000000}">
      <formula1>0</formula1>
      <formula2>1</formula2>
    </dataValidation>
  </dataValidations>
  <pageMargins left="0.7" right="0.7" top="0.75" bottom="0.75" header="0.3" footer="0.3"/>
  <pageSetup orientation="portrait" r:id="rId1"/>
  <ignoredErrors>
    <ignoredError sqref="F39 F21 F27 F31 F35 F49 F53 F57 F76 F1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workbookViewId="0">
      <selection activeCell="B3" sqref="B3"/>
    </sheetView>
  </sheetViews>
  <sheetFormatPr defaultColWidth="8.85546875" defaultRowHeight="15" x14ac:dyDescent="0.25"/>
  <cols>
    <col min="1" max="1" width="4.28515625" style="12" customWidth="1"/>
    <col min="2" max="2" width="90.42578125" style="12" customWidth="1"/>
    <col min="3" max="3" width="6.28515625" style="12" customWidth="1"/>
    <col min="4" max="4" width="14.140625" style="369" customWidth="1"/>
    <col min="5" max="5" width="84.85546875" style="12" customWidth="1"/>
    <col min="6" max="6" width="10.5703125" style="12" customWidth="1"/>
    <col min="7" max="16384" width="8.85546875" style="12"/>
  </cols>
  <sheetData>
    <row r="1" spans="1:12" ht="48.6" customHeight="1" thickBot="1" x14ac:dyDescent="0.3">
      <c r="A1" s="297"/>
      <c r="B1" s="298" t="s">
        <v>492</v>
      </c>
      <c r="C1" s="443" t="s">
        <v>2</v>
      </c>
      <c r="D1" s="444" t="s">
        <v>446</v>
      </c>
      <c r="E1" s="382" t="s">
        <v>560</v>
      </c>
    </row>
    <row r="2" spans="1:12" ht="62.45" customHeight="1" thickBot="1" x14ac:dyDescent="0.3">
      <c r="A2" s="299" t="s">
        <v>194</v>
      </c>
      <c r="B2" s="381" t="s">
        <v>508</v>
      </c>
      <c r="C2" s="480">
        <v>0</v>
      </c>
      <c r="D2" s="384"/>
      <c r="E2" s="421"/>
    </row>
    <row r="3" spans="1:12" ht="46.15" customHeight="1" thickBot="1" x14ac:dyDescent="0.3">
      <c r="A3" s="299" t="s">
        <v>196</v>
      </c>
      <c r="B3" s="300" t="s">
        <v>578</v>
      </c>
      <c r="C3" s="481"/>
      <c r="D3" s="441" t="str">
        <f>IF((C3=""),"",IF((C3&lt;11),0,IF((C3&gt;34),1,IF(AND(C3&gt;=11,C3&lt;17),0.25,IF(AND(C3&gt;=17,C3&lt;=24),0.5,0.75)))))</f>
        <v/>
      </c>
      <c r="E3" s="383" t="s">
        <v>571</v>
      </c>
      <c r="F3" s="400"/>
      <c r="G3" s="401">
        <v>68</v>
      </c>
      <c r="H3" s="401">
        <v>104</v>
      </c>
      <c r="I3" s="401">
        <v>131</v>
      </c>
      <c r="J3" s="401">
        <v>4</v>
      </c>
      <c r="K3" s="401">
        <v>40</v>
      </c>
      <c r="L3" s="401">
        <v>0</v>
      </c>
    </row>
    <row r="4" spans="1:12" ht="44.45" customHeight="1" thickBot="1" x14ac:dyDescent="0.3">
      <c r="A4" s="299" t="s">
        <v>447</v>
      </c>
      <c r="B4" s="296" t="s">
        <v>579</v>
      </c>
      <c r="C4" s="482"/>
      <c r="D4" s="441" t="str">
        <f>IF((C4=""),"",IF((C4&lt;23),0,IF((C4&gt;56),1,IF(AND(C4&gt;=23,C4&lt;36),0.25,IF(AND(C4&gt;=36,C4&lt;47),0.5,0.75)))))</f>
        <v/>
      </c>
      <c r="E4" s="383" t="s">
        <v>565</v>
      </c>
    </row>
    <row r="5" spans="1:12" x14ac:dyDescent="0.25">
      <c r="A5" s="299" t="s">
        <v>448</v>
      </c>
      <c r="B5" s="50" t="s">
        <v>355</v>
      </c>
      <c r="C5" s="483"/>
      <c r="D5" s="454" t="str">
        <f>IF((C5=""),"",IF((C5&lt;68),0,IF((C5&gt;630),1,IF(AND(C5&gt;=68,C5&lt;218),0.25,IF(AND(C5&gt;=218,C5&lt;=351),0.5,0.75)))))</f>
        <v/>
      </c>
      <c r="E5" s="455" t="s">
        <v>572</v>
      </c>
    </row>
    <row r="6" spans="1:12" x14ac:dyDescent="0.25">
      <c r="A6" s="299" t="s">
        <v>449</v>
      </c>
      <c r="B6" s="50" t="s">
        <v>352</v>
      </c>
      <c r="C6" s="483"/>
      <c r="D6" s="453" t="str">
        <f>IF((C6=""),"",IF((C6&lt;214),0,IF((C6&gt;1240),1,IF(AND(C6&gt;=214,C6&lt;472),0.25,IF(AND(C6&gt;=472,C6&lt;=773),0.5,0.75)))))</f>
        <v/>
      </c>
      <c r="E6" s="455" t="s">
        <v>573</v>
      </c>
    </row>
    <row r="7" spans="1:12" x14ac:dyDescent="0.25">
      <c r="A7" s="299" t="s">
        <v>450</v>
      </c>
      <c r="B7" s="50" t="s">
        <v>353</v>
      </c>
      <c r="C7" s="483"/>
      <c r="D7" s="453" t="str">
        <f>IF((C7=""),"",IF((C7&lt;6),0,IF((C7&gt;130),1,IF(AND(C7&gt;=7,C7&lt;18),0.25,IF(AND(C7&gt;=18,C7&lt;43),0.5,0.75)))))</f>
        <v/>
      </c>
      <c r="E7" s="455" t="s">
        <v>574</v>
      </c>
    </row>
    <row r="8" spans="1:12" x14ac:dyDescent="0.25">
      <c r="A8" s="299" t="s">
        <v>451</v>
      </c>
      <c r="B8" s="50" t="s">
        <v>354</v>
      </c>
      <c r="C8" s="483"/>
      <c r="D8" s="453" t="str">
        <f>IF((C8=""),"",IF((C8&lt;7),0,IF((C8&gt;55),1,IF(AND(C8&gt;=7,C8&lt;22),0.25,IF(AND(C8&gt;=22,C8&lt;=35),0.5,0.75)))))</f>
        <v/>
      </c>
      <c r="E8" s="455" t="s">
        <v>575</v>
      </c>
    </row>
    <row r="9" spans="1:12" ht="30" x14ac:dyDescent="0.25">
      <c r="A9" s="299" t="s">
        <v>452</v>
      </c>
      <c r="B9" s="50" t="s">
        <v>356</v>
      </c>
      <c r="C9" s="483"/>
      <c r="D9" s="453" t="str">
        <f>IF((C9=""),"",IF((C9&lt;53),0,IF((C9&gt;280),1,IF(AND(C9&gt;=53,C9&lt;141),0.25,IF(AND(C9&gt;=141,C9&lt;=193),0.5,0.75)))))</f>
        <v/>
      </c>
      <c r="E9" s="455" t="s">
        <v>576</v>
      </c>
    </row>
    <row r="10" spans="1:12" ht="15.75" thickBot="1" x14ac:dyDescent="0.3">
      <c r="A10" s="299" t="s">
        <v>453</v>
      </c>
      <c r="B10" s="446" t="s">
        <v>445</v>
      </c>
      <c r="C10" s="484"/>
      <c r="D10" s="453" t="str">
        <f>IF((C10=""),"",IF((C10=0),0,IF((C10&gt;27),1,IF(AND(C10&gt;=1,C10&lt;7),0.25,IF(AND(C10&gt;=7,C10&lt;=14),0.5,0.75)))))</f>
        <v/>
      </c>
      <c r="E10" s="455" t="s">
        <v>577</v>
      </c>
    </row>
    <row r="11" spans="1:12" ht="25.9" customHeight="1" thickBot="1" x14ac:dyDescent="0.3">
      <c r="A11" s="299" t="s">
        <v>454</v>
      </c>
      <c r="B11" s="447" t="s">
        <v>558</v>
      </c>
      <c r="C11" s="448"/>
      <c r="D11" s="452" t="str">
        <f>IF((C5=""),"",MAX(D5:D10))</f>
        <v/>
      </c>
      <c r="E11" s="449" t="s">
        <v>559</v>
      </c>
    </row>
    <row r="12" spans="1:12" ht="25.5" x14ac:dyDescent="0.25">
      <c r="B12" s="445" t="s">
        <v>564</v>
      </c>
    </row>
  </sheetData>
  <sheetProtection password="C08A"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P41"/>
  <sheetViews>
    <sheetView tabSelected="1" topLeftCell="A25" zoomScaleNormal="100" workbookViewId="0">
      <selection activeCell="I33" sqref="I33"/>
    </sheetView>
  </sheetViews>
  <sheetFormatPr defaultColWidth="8.85546875" defaultRowHeight="12.75" x14ac:dyDescent="0.2"/>
  <cols>
    <col min="1" max="1" width="3" style="31" customWidth="1"/>
    <col min="2" max="2" width="25.28515625" style="28" customWidth="1"/>
    <col min="3" max="3" width="11.28515625" style="34" customWidth="1"/>
    <col min="4" max="4" width="14.85546875" style="34" customWidth="1"/>
    <col min="5" max="5" width="10.42578125" style="34" customWidth="1"/>
    <col min="6" max="6" width="11.28515625" style="34" customWidth="1"/>
    <col min="7" max="7" width="13.5703125" style="28" customWidth="1"/>
    <col min="8" max="8" width="9.7109375" style="28" customWidth="1"/>
    <col min="9" max="9" width="104.140625" style="31" customWidth="1"/>
    <col min="10" max="10" width="2.7109375" style="31" customWidth="1"/>
    <col min="11" max="11" width="5.28515625" style="31" customWidth="1"/>
    <col min="12" max="12" width="8.85546875" style="31"/>
    <col min="13" max="13" width="5" style="31" bestFit="1" customWidth="1"/>
    <col min="14" max="14" width="5.28515625" style="31" bestFit="1" customWidth="1"/>
    <col min="15" max="15" width="6.85546875" style="31" bestFit="1" customWidth="1"/>
    <col min="16" max="16" width="5" style="31" bestFit="1" customWidth="1"/>
    <col min="17" max="17" width="5.28515625" style="31" bestFit="1" customWidth="1"/>
    <col min="18" max="18" width="6.85546875" style="31" bestFit="1" customWidth="1"/>
    <col min="19" max="16384" width="8.85546875" style="31"/>
  </cols>
  <sheetData>
    <row r="1" spans="2:9" ht="30.6" customHeight="1" thickBot="1" x14ac:dyDescent="0.25">
      <c r="B1" s="612" t="s">
        <v>539</v>
      </c>
      <c r="C1" s="613"/>
      <c r="D1" s="613"/>
      <c r="E1" s="613"/>
      <c r="F1" s="613"/>
      <c r="G1" s="613"/>
      <c r="H1" s="613"/>
      <c r="I1" s="614"/>
    </row>
    <row r="2" spans="2:9" s="450" customFormat="1" ht="30.6" customHeight="1" x14ac:dyDescent="0.2">
      <c r="B2" s="615" t="s">
        <v>567</v>
      </c>
      <c r="C2" s="616"/>
      <c r="D2" s="616"/>
      <c r="E2" s="616"/>
      <c r="F2" s="616"/>
      <c r="G2" s="616"/>
      <c r="H2" s="616"/>
      <c r="I2" s="616"/>
    </row>
    <row r="3" spans="2:9" ht="13.5" thickBot="1" x14ac:dyDescent="0.25"/>
    <row r="4" spans="2:9" s="32" customFormat="1" ht="18" customHeight="1" x14ac:dyDescent="0.25">
      <c r="B4" s="528" t="s">
        <v>566</v>
      </c>
      <c r="C4" s="519"/>
      <c r="D4" s="515"/>
      <c r="E4" s="515"/>
      <c r="F4" s="515"/>
      <c r="G4" s="516"/>
      <c r="H4" s="516"/>
    </row>
    <row r="5" spans="2:9" s="32" customFormat="1" ht="18" customHeight="1" x14ac:dyDescent="0.25">
      <c r="B5" s="529" t="s">
        <v>501</v>
      </c>
      <c r="C5" s="520"/>
      <c r="D5" s="515"/>
      <c r="E5" s="515"/>
      <c r="F5" s="515"/>
      <c r="G5" s="516"/>
      <c r="H5" s="516"/>
    </row>
    <row r="6" spans="2:9" s="32" customFormat="1" ht="18" customHeight="1" x14ac:dyDescent="0.25">
      <c r="B6" s="529" t="s">
        <v>502</v>
      </c>
      <c r="C6" s="520"/>
      <c r="D6" s="515"/>
      <c r="E6" s="515"/>
      <c r="F6" s="515"/>
      <c r="G6" s="516"/>
      <c r="H6" s="516"/>
    </row>
    <row r="7" spans="2:9" s="32" customFormat="1" x14ac:dyDescent="0.25">
      <c r="B7" s="530" t="s">
        <v>465</v>
      </c>
      <c r="C7" s="521"/>
      <c r="D7" s="515"/>
      <c r="E7" s="515"/>
      <c r="F7" s="515"/>
      <c r="G7" s="516"/>
      <c r="H7" s="516"/>
    </row>
    <row r="8" spans="2:9" s="32" customFormat="1" x14ac:dyDescent="0.25">
      <c r="B8" s="530" t="s">
        <v>466</v>
      </c>
      <c r="C8" s="522"/>
      <c r="D8" s="515"/>
      <c r="E8" s="515"/>
      <c r="F8" s="515"/>
      <c r="G8" s="516"/>
      <c r="H8" s="516"/>
    </row>
    <row r="9" spans="2:9" s="32" customFormat="1" x14ac:dyDescent="0.25">
      <c r="B9" s="530" t="s">
        <v>467</v>
      </c>
      <c r="C9" s="522"/>
      <c r="D9" s="515"/>
      <c r="E9" s="515"/>
      <c r="F9" s="515"/>
      <c r="G9" s="516"/>
      <c r="H9" s="516"/>
    </row>
    <row r="10" spans="2:9" s="32" customFormat="1" x14ac:dyDescent="0.25">
      <c r="B10" s="530" t="s">
        <v>468</v>
      </c>
      <c r="C10" s="522"/>
      <c r="D10" s="515"/>
      <c r="E10" s="515"/>
      <c r="F10" s="515"/>
      <c r="G10" s="516"/>
      <c r="H10" s="516"/>
    </row>
    <row r="11" spans="2:9" s="32" customFormat="1" x14ac:dyDescent="0.25">
      <c r="B11" s="531" t="s">
        <v>469</v>
      </c>
      <c r="C11" s="523"/>
      <c r="D11" s="515"/>
      <c r="E11" s="515"/>
      <c r="F11" s="515"/>
      <c r="G11" s="516"/>
      <c r="H11" s="516"/>
    </row>
    <row r="12" spans="2:9" s="32" customFormat="1" ht="13.5" thickBot="1" x14ac:dyDescent="0.3">
      <c r="B12" s="531" t="s">
        <v>493</v>
      </c>
      <c r="C12" s="524"/>
      <c r="D12" s="515"/>
      <c r="E12" s="515"/>
      <c r="F12" s="515"/>
      <c r="G12" s="516"/>
      <c r="H12" s="516"/>
    </row>
    <row r="13" spans="2:9" s="32" customFormat="1" ht="25.5" x14ac:dyDescent="0.2">
      <c r="B13" s="532" t="s">
        <v>494</v>
      </c>
      <c r="C13" s="525" t="s">
        <v>498</v>
      </c>
      <c r="D13" s="517" t="s">
        <v>499</v>
      </c>
      <c r="E13" s="518" t="s">
        <v>500</v>
      </c>
      <c r="F13" s="515"/>
      <c r="G13" s="516"/>
      <c r="H13" s="516"/>
    </row>
    <row r="14" spans="2:9" s="32" customFormat="1" x14ac:dyDescent="0.25">
      <c r="B14" s="530" t="s">
        <v>495</v>
      </c>
      <c r="C14" s="526"/>
      <c r="D14" s="468"/>
      <c r="E14" s="469"/>
      <c r="F14" s="515"/>
      <c r="G14" s="516"/>
      <c r="H14" s="516"/>
    </row>
    <row r="15" spans="2:9" s="32" customFormat="1" x14ac:dyDescent="0.25">
      <c r="B15" s="530" t="s">
        <v>496</v>
      </c>
      <c r="C15" s="526"/>
      <c r="D15" s="468"/>
      <c r="E15" s="469"/>
      <c r="F15" s="515"/>
      <c r="G15" s="516"/>
      <c r="H15" s="516"/>
    </row>
    <row r="16" spans="2:9" s="32" customFormat="1" ht="13.5" thickBot="1" x14ac:dyDescent="0.3">
      <c r="B16" s="533" t="s">
        <v>497</v>
      </c>
      <c r="C16" s="527"/>
      <c r="D16" s="470"/>
      <c r="E16" s="471"/>
      <c r="F16" s="515"/>
      <c r="G16" s="516"/>
      <c r="H16" s="516"/>
    </row>
    <row r="17" spans="2:16" s="32" customFormat="1" ht="11.45" customHeight="1" thickBot="1" x14ac:dyDescent="0.3">
      <c r="B17" s="396"/>
      <c r="C17" s="397"/>
      <c r="D17" s="397"/>
      <c r="E17" s="397"/>
      <c r="F17" s="397"/>
      <c r="G17" s="398"/>
      <c r="H17" s="398"/>
      <c r="J17" s="33"/>
    </row>
    <row r="18" spans="2:16" s="487" customFormat="1" ht="22.9" customHeight="1" thickBot="1" x14ac:dyDescent="0.3">
      <c r="B18" s="485"/>
      <c r="C18" s="601" t="s">
        <v>481</v>
      </c>
      <c r="D18" s="602"/>
      <c r="E18" s="603"/>
      <c r="F18" s="607" t="s">
        <v>482</v>
      </c>
      <c r="G18" s="608"/>
      <c r="H18" s="609"/>
      <c r="I18" s="486"/>
      <c r="K18" s="488"/>
    </row>
    <row r="19" spans="2:16" s="494" customFormat="1" ht="33" customHeight="1" thickBot="1" x14ac:dyDescent="0.3">
      <c r="B19" s="489" t="s">
        <v>141</v>
      </c>
      <c r="C19" s="490" t="s">
        <v>142</v>
      </c>
      <c r="D19" s="491" t="s">
        <v>591</v>
      </c>
      <c r="E19" s="492" t="s">
        <v>590</v>
      </c>
      <c r="F19" s="490" t="s">
        <v>142</v>
      </c>
      <c r="G19" s="491" t="s">
        <v>591</v>
      </c>
      <c r="H19" s="492" t="s">
        <v>590</v>
      </c>
      <c r="I19" s="493" t="s">
        <v>143</v>
      </c>
      <c r="K19" s="534" t="s">
        <v>587</v>
      </c>
      <c r="L19" s="534" t="s">
        <v>588</v>
      </c>
      <c r="M19" s="534" t="s">
        <v>589</v>
      </c>
      <c r="N19" s="534" t="s">
        <v>587</v>
      </c>
      <c r="O19" s="534" t="s">
        <v>588</v>
      </c>
      <c r="P19" s="534" t="s">
        <v>589</v>
      </c>
    </row>
    <row r="20" spans="2:16" s="487" customFormat="1" ht="30.75" customHeight="1" x14ac:dyDescent="0.2">
      <c r="B20" s="495" t="s">
        <v>464</v>
      </c>
      <c r="C20" s="496" t="str">
        <f>IF((DidBiosurvey=0),"",IF((SUM('3_FormF'!D4:'3_FormF'!D11)=0),"",SubsidyScore))</f>
        <v/>
      </c>
      <c r="D20" s="497" t="str">
        <f>IFERROR(10*(C20-K20)/M20,"")</f>
        <v/>
      </c>
      <c r="E20" s="498" t="str">
        <f>IF((D20=""),"",IF((D20&lt;3.01),"Lower", IF((D20&gt;=6.16),"Higher","Moderate")))</f>
        <v/>
      </c>
      <c r="F20" s="496" t="str">
        <f>IF((SUM('3_FormF'!D$4:'3_FormF'!D$11)=0),"",SubsidyScoreR)</f>
        <v/>
      </c>
      <c r="G20" s="497" t="str">
        <f>IFERROR(10*(F20-N20)/P20,"")</f>
        <v/>
      </c>
      <c r="H20" s="498" t="str">
        <f>IF((G20=""),"",IF((G20&lt;3.47),"Lower", IF((G20&gt;=6.53),"Higher","Moderate")))</f>
        <v/>
      </c>
      <c r="I20" s="499" t="s">
        <v>414</v>
      </c>
      <c r="K20" s="535">
        <v>2.6666666666666665</v>
      </c>
      <c r="L20" s="535">
        <v>8.75</v>
      </c>
      <c r="M20" s="535">
        <f>L20-K20</f>
        <v>6.0833333333333339</v>
      </c>
      <c r="N20" s="535">
        <v>1.9444444444444442</v>
      </c>
      <c r="O20" s="535">
        <v>8.75</v>
      </c>
      <c r="P20" s="535">
        <f>O20-N20</f>
        <v>6.8055555555555554</v>
      </c>
    </row>
    <row r="21" spans="2:16" s="487" customFormat="1" ht="22.9" customHeight="1" x14ac:dyDescent="0.2">
      <c r="B21" s="500" t="s">
        <v>204</v>
      </c>
      <c r="C21" s="501" t="str">
        <f>IF((DidBiosurvey=0),"",IF((SUM('3_FormF'!D4:'3_FormF'!D11)=0),"",FoodWebScore))</f>
        <v/>
      </c>
      <c r="D21" s="502" t="str">
        <f t="shared" ref="D21:D26" si="0">IFERROR(10*(C21-K21)/M21,"")</f>
        <v/>
      </c>
      <c r="E21" s="503" t="str">
        <f>IF((D21=""),"",IF((D21&lt;3.19),"Lower", IF((D21&gt;=6.52),"Higher","Moderate")))</f>
        <v/>
      </c>
      <c r="F21" s="501" t="str">
        <f>IF((SUM('3_FormF'!D$4:'3_FormF'!D$11)=0),"",FoodWebScoreR)</f>
        <v/>
      </c>
      <c r="G21" s="502" t="str">
        <f t="shared" ref="G21:G26" si="1">IFERROR(10*(F21-N21)/P21,"")</f>
        <v/>
      </c>
      <c r="H21" s="503" t="str">
        <f>IF((G21=""),"",IF((G21&lt;3.15),"Lower", IF((G21&gt;=6.48),"Higher","Moderate")))</f>
        <v/>
      </c>
      <c r="I21" s="504" t="s">
        <v>248</v>
      </c>
      <c r="K21" s="535">
        <v>2.2222222222222223</v>
      </c>
      <c r="L21" s="535">
        <v>7.0138888888888884</v>
      </c>
      <c r="M21" s="535">
        <f>L21-K21</f>
        <v>4.7916666666666661</v>
      </c>
      <c r="N21" s="535">
        <v>2.416666666666667</v>
      </c>
      <c r="O21" s="535">
        <v>6.9166666666666661</v>
      </c>
      <c r="P21" s="535">
        <f>O21-N21</f>
        <v>4.4999999999999991</v>
      </c>
    </row>
    <row r="22" spans="2:16" s="487" customFormat="1" ht="24.6" customHeight="1" x14ac:dyDescent="0.2">
      <c r="B22" s="500" t="s">
        <v>211</v>
      </c>
      <c r="C22" s="501" t="str">
        <f>IF((DidBiosurvey=0),"",IF((SUM('3_FormF'!D4:'3_FormF'!D11)=0),"",FocalFishScore))</f>
        <v/>
      </c>
      <c r="D22" s="502" t="str">
        <f t="shared" si="0"/>
        <v/>
      </c>
      <c r="E22" s="503" t="str">
        <f>IF((D22=""),"",IF((D22&lt;3.08),"Lower", IF((D22&gt;=6.15),"Higher","Moderate")))</f>
        <v/>
      </c>
      <c r="F22" s="501" t="str">
        <f>IF((SUM('3_FormF'!D$4:'3_FormF'!D$11)=0),"",FocalFishScore)</f>
        <v/>
      </c>
      <c r="G22" s="502" t="str">
        <f t="shared" si="1"/>
        <v/>
      </c>
      <c r="H22" s="503" t="str">
        <f>IF((G22=""),"",IF((G22&lt;3.08),"Lower", IF((G22&gt;=6.15),"Higher","Moderate")))</f>
        <v/>
      </c>
      <c r="I22" s="504" t="s">
        <v>440</v>
      </c>
      <c r="K22" s="535">
        <v>1.25</v>
      </c>
      <c r="L22" s="535">
        <v>3.0555555555555558</v>
      </c>
      <c r="M22" s="535">
        <f t="shared" ref="M22:M24" si="2">L22-K22</f>
        <v>1.8055555555555558</v>
      </c>
      <c r="N22" s="535">
        <v>1.25</v>
      </c>
      <c r="O22" s="535">
        <v>3.0555555555555558</v>
      </c>
      <c r="P22" s="535">
        <f t="shared" ref="P22:P24" si="3">O22-N22</f>
        <v>1.8055555555555558</v>
      </c>
    </row>
    <row r="23" spans="2:16" s="487" customFormat="1" ht="31.15" customHeight="1" x14ac:dyDescent="0.2">
      <c r="B23" s="500" t="s">
        <v>242</v>
      </c>
      <c r="C23" s="501" t="str">
        <f>IF((DidBiosurvey=0),"",IF((SUM('3_FormF'!D4:'3_FormF'!D11)=0),"",SeaShoreBirdScore))</f>
        <v/>
      </c>
      <c r="D23" s="502" t="str">
        <f t="shared" si="0"/>
        <v/>
      </c>
      <c r="E23" s="503" t="str">
        <f>IF((D23=""),"",IF((D23&lt;2.61),"Lower", IF((D23&gt;=5.68),"Higher","Moderate")))</f>
        <v/>
      </c>
      <c r="F23" s="501" t="str">
        <f>IF((SUM('3_FormF'!D$4:'3_FormF'!D$11)=0),"",SeaShoreBirdScoreR)</f>
        <v/>
      </c>
      <c r="G23" s="502" t="str">
        <f t="shared" si="1"/>
        <v/>
      </c>
      <c r="H23" s="503" t="str">
        <f>IF((G23=""),"",IF((G23&lt;3.15),"Lower", IF((G23&gt;=6.07),"Higher","Moderate")))</f>
        <v/>
      </c>
      <c r="I23" s="504" t="s">
        <v>441</v>
      </c>
      <c r="K23" s="535">
        <v>2.1875</v>
      </c>
      <c r="L23" s="535">
        <v>7.96875</v>
      </c>
      <c r="M23" s="535">
        <f>L23-K23</f>
        <v>5.78125</v>
      </c>
      <c r="N23" s="535">
        <v>1.354166666666667</v>
      </c>
      <c r="O23" s="535">
        <v>5.9895833333333339</v>
      </c>
      <c r="P23" s="535">
        <f>O23-N23</f>
        <v>4.635416666666667</v>
      </c>
    </row>
    <row r="24" spans="2:16" s="487" customFormat="1" ht="30.75" customHeight="1" x14ac:dyDescent="0.2">
      <c r="B24" s="500" t="s">
        <v>144</v>
      </c>
      <c r="C24" s="501" t="str">
        <f>IF((DidBiosurvey=0),"",IF((SUM('3_FormF'!D4:'3_FormF'!D11)=0),"",PinnipedScore))</f>
        <v/>
      </c>
      <c r="D24" s="502" t="str">
        <f t="shared" si="0"/>
        <v/>
      </c>
      <c r="E24" s="503" t="str">
        <f>IF((D24=""),"",IF((D24&lt;2.38),"Lower", IF((D24&gt;=6.19),"Higher","Moderate")))</f>
        <v/>
      </c>
      <c r="F24" s="501" t="str">
        <f>IF((SUM('3_FormF'!D$4:'3_FormF'!D$11)=0),"",PinnipedScore)</f>
        <v/>
      </c>
      <c r="G24" s="502" t="str">
        <f t="shared" si="1"/>
        <v/>
      </c>
      <c r="H24" s="503" t="str">
        <f>IF((G24=""),"",IF((G24&lt;2.38),"Lower", IF((G24&gt;=6.19),"Higher","Moderate")))</f>
        <v/>
      </c>
      <c r="I24" s="504" t="s">
        <v>415</v>
      </c>
      <c r="K24" s="535">
        <v>0</v>
      </c>
      <c r="L24" s="535">
        <v>8.75</v>
      </c>
      <c r="M24" s="535">
        <f t="shared" si="2"/>
        <v>8.75</v>
      </c>
      <c r="N24" s="535">
        <v>0</v>
      </c>
      <c r="O24" s="535">
        <v>8.75</v>
      </c>
      <c r="P24" s="535">
        <f t="shared" si="3"/>
        <v>8.75</v>
      </c>
    </row>
    <row r="25" spans="2:16" s="487" customFormat="1" ht="58.15" customHeight="1" x14ac:dyDescent="0.2">
      <c r="B25" s="500" t="s">
        <v>220</v>
      </c>
      <c r="C25" s="501" t="str">
        <f>IF((DidBiosurvey=0),"",IF((SUM('3_FormF'!D4:'3_FormF'!D11)=0),"",BufferWildlifeScore))</f>
        <v/>
      </c>
      <c r="D25" s="502" t="str">
        <f t="shared" si="0"/>
        <v/>
      </c>
      <c r="E25" s="503" t="str">
        <f>IF((D25=""),"",IF((D25&lt;2.35),"Lower", IF((D25&gt;=5.37),"Higher","Moderate")))</f>
        <v/>
      </c>
      <c r="F25" s="501" t="str">
        <f>IF((SUM('3_FormF'!D$4:'3_FormF'!D$11)=0),"",BufferWildlifeScore)</f>
        <v/>
      </c>
      <c r="G25" s="502" t="str">
        <f t="shared" si="1"/>
        <v/>
      </c>
      <c r="H25" s="503" t="str">
        <f>IF((G25=""),"",IF((G25&lt;2.35),"Lower", IF((G25&gt;=5.37),"Higher","Moderate")))</f>
        <v/>
      </c>
      <c r="I25" s="504" t="s">
        <v>442</v>
      </c>
      <c r="K25" s="535">
        <v>3.3066666666666666</v>
      </c>
      <c r="L25" s="535">
        <v>7.1750000000000007</v>
      </c>
      <c r="M25" s="535">
        <f>L25-K25</f>
        <v>3.8683333333333341</v>
      </c>
      <c r="N25" s="535">
        <v>3.3066666666666666</v>
      </c>
      <c r="O25" s="535">
        <v>7.1750000000000007</v>
      </c>
      <c r="P25" s="535">
        <f>O25-N25</f>
        <v>3.8683333333333341</v>
      </c>
    </row>
    <row r="26" spans="2:16" s="487" customFormat="1" ht="31.15" customHeight="1" thickBot="1" x14ac:dyDescent="0.25">
      <c r="B26" s="505" t="s">
        <v>225</v>
      </c>
      <c r="C26" s="506" t="str">
        <f>IF((DidBiosurvey=0),"",IF((SUM('3_FormF'!D4:'3_FormF'!D11)=0),"",FilterScore))</f>
        <v/>
      </c>
      <c r="D26" s="507" t="str">
        <f t="shared" si="0"/>
        <v/>
      </c>
      <c r="E26" s="508" t="str">
        <f>IF((D26=""),"",IF((D26&lt;3.64),"Lower", IF((D26&gt;=6.36),"Higher","Moderate")))</f>
        <v/>
      </c>
      <c r="F26" s="506" t="str">
        <f>IF((SUM('3_FormF'!D$4:'3_FormF'!D$11)=0),"",FilterScore)</f>
        <v/>
      </c>
      <c r="G26" s="507" t="str">
        <f t="shared" si="1"/>
        <v/>
      </c>
      <c r="H26" s="508" t="str">
        <f>IF((G26=""),"",IF((G26&lt;3.64),"Lower", IF((G26&gt;=6.36),"Higher","Moderate")))</f>
        <v/>
      </c>
      <c r="I26" s="509" t="s">
        <v>416</v>
      </c>
      <c r="K26" s="535">
        <v>0.2</v>
      </c>
      <c r="L26" s="535">
        <v>5.7000000000000011</v>
      </c>
      <c r="M26" s="535">
        <f>L26-K26</f>
        <v>5.5000000000000009</v>
      </c>
      <c r="N26" s="535">
        <v>0.2</v>
      </c>
      <c r="O26" s="535">
        <v>5.7000000000000011</v>
      </c>
      <c r="P26" s="535">
        <f>O26-N26</f>
        <v>5.5000000000000009</v>
      </c>
    </row>
    <row r="27" spans="2:16" s="494" customFormat="1" ht="39" customHeight="1" x14ac:dyDescent="0.2">
      <c r="B27" s="510" t="s">
        <v>443</v>
      </c>
      <c r="C27" s="610" t="s">
        <v>585</v>
      </c>
      <c r="D27" s="610"/>
      <c r="E27" s="610"/>
      <c r="F27" s="610"/>
      <c r="G27" s="610"/>
      <c r="H27" s="610"/>
      <c r="I27" s="610"/>
      <c r="J27" s="511"/>
    </row>
    <row r="28" spans="2:16" s="494" customFormat="1" ht="30" customHeight="1" x14ac:dyDescent="0.2">
      <c r="B28" s="512" t="s">
        <v>583</v>
      </c>
      <c r="C28" s="611" t="s">
        <v>586</v>
      </c>
      <c r="D28" s="611"/>
      <c r="E28" s="611"/>
      <c r="F28" s="611"/>
      <c r="G28" s="611"/>
      <c r="H28" s="611"/>
      <c r="I28" s="611"/>
      <c r="J28" s="514"/>
    </row>
    <row r="29" spans="2:16" s="494" customFormat="1" ht="30" customHeight="1" thickBot="1" x14ac:dyDescent="0.25">
      <c r="B29" s="512"/>
      <c r="C29" s="513"/>
      <c r="D29" s="513"/>
      <c r="E29" s="513"/>
      <c r="F29" s="513"/>
      <c r="G29" s="513"/>
      <c r="H29" s="513"/>
      <c r="I29" s="513"/>
      <c r="J29" s="514"/>
    </row>
    <row r="30" spans="2:16" s="494" customFormat="1" ht="69" customHeight="1" thickBot="1" x14ac:dyDescent="0.25">
      <c r="B30" s="551" t="s">
        <v>597</v>
      </c>
      <c r="C30" s="604" t="s">
        <v>596</v>
      </c>
      <c r="D30" s="605"/>
      <c r="E30" s="605"/>
      <c r="F30" s="605"/>
      <c r="G30" s="605"/>
      <c r="H30" s="606"/>
      <c r="I30" s="513"/>
      <c r="J30" s="514"/>
    </row>
    <row r="31" spans="2:16" ht="13.5" thickBot="1" x14ac:dyDescent="0.25"/>
    <row r="32" spans="2:16" ht="16.5" thickBot="1" x14ac:dyDescent="0.3">
      <c r="B32" s="31"/>
      <c r="C32" s="601" t="s">
        <v>481</v>
      </c>
      <c r="D32" s="602"/>
      <c r="E32" s="603"/>
      <c r="F32" s="598" t="s">
        <v>482</v>
      </c>
      <c r="G32" s="599"/>
      <c r="H32" s="600"/>
    </row>
    <row r="33" spans="2:8" ht="30" customHeight="1" thickBot="1" x14ac:dyDescent="0.25">
      <c r="B33" s="543"/>
      <c r="C33" s="548" t="s">
        <v>592</v>
      </c>
      <c r="D33" s="549" t="s">
        <v>593</v>
      </c>
      <c r="E33" s="550" t="s">
        <v>594</v>
      </c>
      <c r="F33" s="548" t="s">
        <v>592</v>
      </c>
      <c r="G33" s="549" t="s">
        <v>593</v>
      </c>
      <c r="H33" s="550" t="s">
        <v>594</v>
      </c>
    </row>
    <row r="34" spans="2:8" ht="15.75" x14ac:dyDescent="0.2">
      <c r="B34" s="500" t="s">
        <v>464</v>
      </c>
      <c r="C34" s="546">
        <v>1</v>
      </c>
      <c r="D34" s="537" t="str">
        <f>D20</f>
        <v/>
      </c>
      <c r="E34" s="547" t="str">
        <f>IFERROR((C34*D34),"")</f>
        <v/>
      </c>
      <c r="F34" s="546">
        <v>1</v>
      </c>
      <c r="G34" s="537" t="str">
        <f>G20</f>
        <v/>
      </c>
      <c r="H34" s="547" t="str">
        <f>IFERROR((F34*G34),"")</f>
        <v/>
      </c>
    </row>
    <row r="35" spans="2:8" ht="15.75" x14ac:dyDescent="0.2">
      <c r="B35" s="500" t="s">
        <v>204</v>
      </c>
      <c r="C35" s="544">
        <v>1</v>
      </c>
      <c r="D35" s="536" t="str">
        <f t="shared" ref="D35:D40" si="4">D21</f>
        <v/>
      </c>
      <c r="E35" s="538" t="str">
        <f t="shared" ref="E35:E40" si="5">IFERROR((C35*D35),"")</f>
        <v/>
      </c>
      <c r="F35" s="544">
        <v>1</v>
      </c>
      <c r="G35" s="536" t="str">
        <f t="shared" ref="G35:G40" si="6">G21</f>
        <v/>
      </c>
      <c r="H35" s="538" t="str">
        <f t="shared" ref="H35:H40" si="7">IFERROR((F35*G35),"")</f>
        <v/>
      </c>
    </row>
    <row r="36" spans="2:8" ht="15.75" x14ac:dyDescent="0.2">
      <c r="B36" s="500" t="s">
        <v>211</v>
      </c>
      <c r="C36" s="544">
        <v>1</v>
      </c>
      <c r="D36" s="536" t="str">
        <f t="shared" si="4"/>
        <v/>
      </c>
      <c r="E36" s="538" t="str">
        <f t="shared" si="5"/>
        <v/>
      </c>
      <c r="F36" s="544">
        <v>1</v>
      </c>
      <c r="G36" s="536" t="str">
        <f t="shared" si="6"/>
        <v/>
      </c>
      <c r="H36" s="538" t="str">
        <f t="shared" si="7"/>
        <v/>
      </c>
    </row>
    <row r="37" spans="2:8" ht="15.75" x14ac:dyDescent="0.2">
      <c r="B37" s="500" t="s">
        <v>242</v>
      </c>
      <c r="C37" s="544">
        <v>1</v>
      </c>
      <c r="D37" s="536" t="str">
        <f t="shared" si="4"/>
        <v/>
      </c>
      <c r="E37" s="538" t="str">
        <f t="shared" si="5"/>
        <v/>
      </c>
      <c r="F37" s="544">
        <v>1</v>
      </c>
      <c r="G37" s="536" t="str">
        <f t="shared" si="6"/>
        <v/>
      </c>
      <c r="H37" s="538" t="str">
        <f t="shared" si="7"/>
        <v/>
      </c>
    </row>
    <row r="38" spans="2:8" ht="15.75" x14ac:dyDescent="0.2">
      <c r="B38" s="500" t="s">
        <v>144</v>
      </c>
      <c r="C38" s="544">
        <v>1</v>
      </c>
      <c r="D38" s="536" t="str">
        <f t="shared" si="4"/>
        <v/>
      </c>
      <c r="E38" s="538" t="str">
        <f t="shared" si="5"/>
        <v/>
      </c>
      <c r="F38" s="544">
        <v>1</v>
      </c>
      <c r="G38" s="536" t="str">
        <f t="shared" si="6"/>
        <v/>
      </c>
      <c r="H38" s="538" t="str">
        <f t="shared" si="7"/>
        <v/>
      </c>
    </row>
    <row r="39" spans="2:8" ht="15.75" x14ac:dyDescent="0.2">
      <c r="B39" s="500" t="s">
        <v>220</v>
      </c>
      <c r="C39" s="544">
        <v>1</v>
      </c>
      <c r="D39" s="536" t="str">
        <f t="shared" si="4"/>
        <v/>
      </c>
      <c r="E39" s="538" t="str">
        <f t="shared" si="5"/>
        <v/>
      </c>
      <c r="F39" s="544">
        <v>1</v>
      </c>
      <c r="G39" s="536" t="str">
        <f t="shared" si="6"/>
        <v/>
      </c>
      <c r="H39" s="538" t="str">
        <f t="shared" si="7"/>
        <v/>
      </c>
    </row>
    <row r="40" spans="2:8" ht="16.5" thickBot="1" x14ac:dyDescent="0.25">
      <c r="B40" s="505" t="s">
        <v>225</v>
      </c>
      <c r="C40" s="545">
        <v>1</v>
      </c>
      <c r="D40" s="539" t="str">
        <f t="shared" si="4"/>
        <v/>
      </c>
      <c r="E40" s="540" t="str">
        <f t="shared" si="5"/>
        <v/>
      </c>
      <c r="F40" s="545">
        <v>1</v>
      </c>
      <c r="G40" s="539" t="str">
        <f t="shared" si="6"/>
        <v/>
      </c>
      <c r="H40" s="540" t="str">
        <f t="shared" si="7"/>
        <v/>
      </c>
    </row>
    <row r="41" spans="2:8" ht="43.5" customHeight="1" thickBot="1" x14ac:dyDescent="0.25">
      <c r="D41" s="541" t="s">
        <v>595</v>
      </c>
      <c r="E41" s="542" t="str">
        <f>IFERROR((AVERAGE(E34:E40)+MAX((E34:E40))/2),"")</f>
        <v/>
      </c>
      <c r="G41" s="541" t="s">
        <v>595</v>
      </c>
      <c r="H41" s="542" t="str">
        <f>IFERROR((AVERAGE(H34:H40)+MAX((H34:H40))/2),"")</f>
        <v/>
      </c>
    </row>
  </sheetData>
  <sheetProtection algorithmName="SHA-512" hashValue="5q+S5KEHvdNQ7VRYDH+3AV0fnPLUpTyvzBzRF+KyIBbYQXvESIRP6fFxgly9/cygt5r2figTPKocF5/QAW+sKw==" saltValue="Z9OM9K7rVxVkdeLvxORx/A==" spinCount="100000" sheet="1" objects="1" scenarios="1" formatCells="0" formatColumns="0" formatRows="0"/>
  <mergeCells count="9">
    <mergeCell ref="B1:I1"/>
    <mergeCell ref="B2:I2"/>
    <mergeCell ref="F32:H32"/>
    <mergeCell ref="C32:E32"/>
    <mergeCell ref="C30:H30"/>
    <mergeCell ref="C18:E18"/>
    <mergeCell ref="F18:H18"/>
    <mergeCell ref="C27:I27"/>
    <mergeCell ref="C28:I28"/>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
  <sheetViews>
    <sheetView workbookViewId="0">
      <selection activeCell="E23" sqref="E23"/>
    </sheetView>
  </sheetViews>
  <sheetFormatPr defaultColWidth="8.28515625" defaultRowHeight="12.75" x14ac:dyDescent="0.25"/>
  <cols>
    <col min="1" max="1" width="5.28515625" style="25" customWidth="1"/>
    <col min="2" max="2" width="48.7109375" style="25" customWidth="1"/>
    <col min="3" max="3" width="9.28515625" style="23" customWidth="1"/>
    <col min="4" max="4" width="11.140625" style="27" customWidth="1"/>
    <col min="5" max="5" width="7.42578125" style="27" customWidth="1"/>
    <col min="6" max="6" width="78.85546875" style="18" customWidth="1"/>
    <col min="7" max="16384" width="8.28515625" style="18"/>
  </cols>
  <sheetData>
    <row r="1" spans="1:7" ht="21" thickBot="1" x14ac:dyDescent="0.3">
      <c r="A1" s="617" t="s">
        <v>140</v>
      </c>
      <c r="B1" s="618"/>
      <c r="C1" s="16"/>
      <c r="D1" s="26"/>
      <c r="E1" s="26"/>
      <c r="F1" s="100"/>
    </row>
    <row r="2" spans="1:7" ht="24" customHeight="1" x14ac:dyDescent="0.25">
      <c r="A2" s="190" t="s">
        <v>0</v>
      </c>
      <c r="B2" s="29" t="s">
        <v>1</v>
      </c>
      <c r="C2" s="47" t="s">
        <v>269</v>
      </c>
      <c r="D2" s="179" t="s">
        <v>198</v>
      </c>
      <c r="E2" s="180"/>
      <c r="F2" s="143" t="s">
        <v>139</v>
      </c>
    </row>
    <row r="3" spans="1:7" ht="15" x14ac:dyDescent="0.25">
      <c r="A3" s="191" t="s">
        <v>124</v>
      </c>
      <c r="B3" s="35" t="s">
        <v>5</v>
      </c>
      <c r="C3" s="30">
        <f>kelp</f>
        <v>0</v>
      </c>
      <c r="D3" s="30" t="s">
        <v>158</v>
      </c>
      <c r="E3" s="138"/>
      <c r="F3" s="177" t="s">
        <v>270</v>
      </c>
    </row>
    <row r="4" spans="1:7" ht="15" x14ac:dyDescent="0.25">
      <c r="A4" s="191" t="s">
        <v>125</v>
      </c>
      <c r="B4" s="35" t="s">
        <v>160</v>
      </c>
      <c r="C4" s="30">
        <f>marsh</f>
        <v>0</v>
      </c>
      <c r="D4" s="30" t="s">
        <v>159</v>
      </c>
      <c r="E4" s="138"/>
      <c r="F4" s="177" t="s">
        <v>391</v>
      </c>
    </row>
    <row r="5" spans="1:7" ht="15" x14ac:dyDescent="0.25">
      <c r="A5" s="192" t="s">
        <v>146</v>
      </c>
      <c r="B5" s="181" t="s">
        <v>364</v>
      </c>
      <c r="C5" s="109" t="str">
        <f>IF((shedestu=""),"",shedestu)</f>
        <v/>
      </c>
      <c r="D5" s="109" t="s">
        <v>175</v>
      </c>
      <c r="E5" s="182"/>
      <c r="F5" s="183" t="s">
        <v>473</v>
      </c>
    </row>
    <row r="6" spans="1:7" ht="15" x14ac:dyDescent="0.25">
      <c r="A6" s="191" t="s">
        <v>149</v>
      </c>
      <c r="B6" s="35" t="s">
        <v>15</v>
      </c>
      <c r="C6" s="30" t="str">
        <f>IF((C_outS=""),"", C_outS)</f>
        <v/>
      </c>
      <c r="D6" s="30" t="s">
        <v>172</v>
      </c>
      <c r="E6" s="138"/>
      <c r="F6" s="177" t="s">
        <v>474</v>
      </c>
    </row>
    <row r="7" spans="1:7" ht="15.75" thickBot="1" x14ac:dyDescent="0.3">
      <c r="A7" s="191" t="s">
        <v>150</v>
      </c>
      <c r="B7" s="35" t="s">
        <v>16</v>
      </c>
      <c r="C7" s="30" t="str">
        <f>IF((C_outF=""),"", C_outF)</f>
        <v/>
      </c>
      <c r="D7" s="30" t="s">
        <v>173</v>
      </c>
      <c r="E7" s="138"/>
      <c r="F7" s="177" t="s">
        <v>474</v>
      </c>
    </row>
    <row r="8" spans="1:7" ht="26.25" thickBot="1" x14ac:dyDescent="0.3">
      <c r="A8" s="193" t="s">
        <v>22</v>
      </c>
      <c r="B8" s="187" t="s">
        <v>18</v>
      </c>
      <c r="C8" s="150">
        <f>shedslope</f>
        <v>0</v>
      </c>
      <c r="D8" s="150" t="s">
        <v>182</v>
      </c>
      <c r="E8" s="188"/>
      <c r="F8" s="189" t="s">
        <v>392</v>
      </c>
    </row>
    <row r="9" spans="1:7" ht="30" customHeight="1" x14ac:dyDescent="0.25">
      <c r="A9" s="194" t="s">
        <v>89</v>
      </c>
      <c r="B9" s="120" t="s">
        <v>226</v>
      </c>
      <c r="C9" s="147">
        <f>floodpct</f>
        <v>0</v>
      </c>
      <c r="D9" s="199" t="s">
        <v>205</v>
      </c>
      <c r="E9" s="200"/>
      <c r="F9" s="220" t="s">
        <v>256</v>
      </c>
      <c r="G9" s="12"/>
    </row>
    <row r="10" spans="1:7" ht="15" x14ac:dyDescent="0.25">
      <c r="A10" s="194" t="s">
        <v>90</v>
      </c>
      <c r="B10" s="184" t="s">
        <v>227</v>
      </c>
      <c r="C10" s="147">
        <f>IF(('3_FormF'!D20=1),1,algapct)</f>
        <v>0</v>
      </c>
      <c r="D10" s="147" t="s">
        <v>200</v>
      </c>
      <c r="E10" s="185"/>
      <c r="F10" s="186" t="s">
        <v>250</v>
      </c>
    </row>
    <row r="11" spans="1:7" ht="30" x14ac:dyDescent="0.25">
      <c r="A11" s="191" t="s">
        <v>91</v>
      </c>
      <c r="B11" s="48" t="s">
        <v>472</v>
      </c>
      <c r="C11" s="30">
        <f>kelppct</f>
        <v>0</v>
      </c>
      <c r="D11" s="30" t="s">
        <v>201</v>
      </c>
      <c r="E11" s="138"/>
      <c r="F11" s="177" t="s">
        <v>395</v>
      </c>
    </row>
    <row r="12" spans="1:7" ht="38.25" x14ac:dyDescent="0.25">
      <c r="A12" s="191" t="s">
        <v>97</v>
      </c>
      <c r="B12" s="46" t="s">
        <v>63</v>
      </c>
      <c r="C12" s="30">
        <f>IF((muting=""),"",muting)</f>
        <v>0.1</v>
      </c>
      <c r="D12" s="30" t="s">
        <v>202</v>
      </c>
      <c r="E12" s="138"/>
      <c r="F12" s="177" t="s">
        <v>394</v>
      </c>
    </row>
    <row r="13" spans="1:7" ht="26.25" thickBot="1" x14ac:dyDescent="0.3">
      <c r="A13" s="192" t="s">
        <v>100</v>
      </c>
      <c r="B13" s="356" t="s">
        <v>81</v>
      </c>
      <c r="C13" s="109">
        <f>nfixers</f>
        <v>0</v>
      </c>
      <c r="D13" s="109" t="s">
        <v>199</v>
      </c>
      <c r="E13" s="182"/>
      <c r="F13" s="183" t="s">
        <v>251</v>
      </c>
    </row>
    <row r="14" spans="1:7" ht="38.25" x14ac:dyDescent="0.25">
      <c r="A14" s="385" t="s">
        <v>448</v>
      </c>
      <c r="B14" s="386" t="s">
        <v>197</v>
      </c>
      <c r="C14" s="387" t="str">
        <f>IF((NumInvSpp=""),"",NumInvSpp)</f>
        <v/>
      </c>
      <c r="D14" s="387" t="s">
        <v>393</v>
      </c>
      <c r="E14" s="388"/>
      <c r="F14" s="389" t="s">
        <v>458</v>
      </c>
    </row>
    <row r="15" spans="1:7" ht="26.25" thickBot="1" x14ac:dyDescent="0.3">
      <c r="A15" s="195" t="s">
        <v>455</v>
      </c>
      <c r="B15" s="390" t="s">
        <v>471</v>
      </c>
      <c r="C15" s="105" t="str">
        <f>IF((InvertBiomass=""),"",InvertBiomass)</f>
        <v/>
      </c>
      <c r="D15" s="105" t="s">
        <v>456</v>
      </c>
      <c r="E15" s="391"/>
      <c r="F15" s="178" t="s">
        <v>457</v>
      </c>
    </row>
    <row r="16" spans="1:7" ht="13.5" thickBot="1" x14ac:dyDescent="0.25">
      <c r="F16" s="357" t="s">
        <v>203</v>
      </c>
    </row>
    <row r="17" spans="2:6" ht="28.9" customHeight="1" x14ac:dyDescent="0.25">
      <c r="B17" s="22" t="s">
        <v>563</v>
      </c>
      <c r="C17" s="49"/>
      <c r="D17" s="22" t="s">
        <v>481</v>
      </c>
      <c r="E17" s="424" t="str">
        <f>IF((DidBiosurvey=0),"",10*AVERAGE(factorA1,FactorB1,FactorC1))</f>
        <v/>
      </c>
      <c r="F17" s="425" t="s">
        <v>514</v>
      </c>
    </row>
    <row r="18" spans="2:6" ht="25.15" customHeight="1" x14ac:dyDescent="0.25">
      <c r="B18" s="18"/>
      <c r="C18" s="25"/>
      <c r="D18" s="22" t="s">
        <v>482</v>
      </c>
      <c r="E18" s="426">
        <f>IFERROR(10*AVERAGE(factorA1,FactorB1r,FactorC1),"")</f>
        <v>0.25</v>
      </c>
      <c r="F18" s="21" t="s">
        <v>515</v>
      </c>
    </row>
    <row r="19" spans="2:6" x14ac:dyDescent="0.25">
      <c r="F19" s="114" t="s">
        <v>229</v>
      </c>
    </row>
    <row r="20" spans="2:6" x14ac:dyDescent="0.25">
      <c r="D20" s="86" t="s">
        <v>512</v>
      </c>
      <c r="E20" s="87" t="str">
        <f>IF((kelp=1),kelppct, IF((marsh=1), marshwidth,""))</f>
        <v/>
      </c>
      <c r="F20" s="21" t="s">
        <v>249</v>
      </c>
    </row>
    <row r="21" spans="2:6" x14ac:dyDescent="0.25">
      <c r="D21" s="86" t="s">
        <v>509</v>
      </c>
      <c r="E21" s="87">
        <f>AVERAGE(InvertBiomass,NumInvSpp,algapct, floodpct, nfixers,muting)</f>
        <v>2.5000000000000001E-2</v>
      </c>
      <c r="F21" s="21" t="s">
        <v>459</v>
      </c>
    </row>
    <row r="22" spans="2:6" x14ac:dyDescent="0.25">
      <c r="D22" s="86" t="s">
        <v>513</v>
      </c>
      <c r="E22" s="87" t="str">
        <f>IFERROR(AVERAGE(C_outS, C_outF, shedslope, shedestu),"")</f>
        <v/>
      </c>
      <c r="F22" s="21" t="s">
        <v>228</v>
      </c>
    </row>
    <row r="24" spans="2:6" x14ac:dyDescent="0.25">
      <c r="D24" s="86" t="s">
        <v>511</v>
      </c>
      <c r="E24" s="87">
        <f>AVERAGE(algapct, floodpct, nfixers,muting)</f>
        <v>2.5000000000000001E-2</v>
      </c>
      <c r="F24" s="21" t="s">
        <v>510</v>
      </c>
    </row>
  </sheetData>
  <sheetProtection password="C08A"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topLeftCell="A14" zoomScaleNormal="100" workbookViewId="0">
      <selection activeCell="E35" sqref="E35"/>
    </sheetView>
  </sheetViews>
  <sheetFormatPr defaultColWidth="8.28515625" defaultRowHeight="12.75" x14ac:dyDescent="0.25"/>
  <cols>
    <col min="1" max="1" width="5.28515625" style="25" customWidth="1"/>
    <col min="2" max="2" width="49.28515625" style="25" customWidth="1"/>
    <col min="3" max="3" width="7.28515625" style="18" customWidth="1"/>
    <col min="4" max="4" width="12.28515625" style="23" customWidth="1"/>
    <col min="5" max="5" width="7.28515625" style="24" customWidth="1"/>
    <col min="6" max="6" width="104.140625" style="18" customWidth="1"/>
    <col min="7" max="7" width="5" style="18" customWidth="1"/>
    <col min="8" max="16384" width="8.28515625" style="18"/>
  </cols>
  <sheetData>
    <row r="1" spans="1:7" ht="21" thickBot="1" x14ac:dyDescent="0.3">
      <c r="A1" s="617" t="s">
        <v>204</v>
      </c>
      <c r="B1" s="618"/>
      <c r="C1" s="16"/>
      <c r="D1" s="26"/>
      <c r="E1" s="49"/>
      <c r="F1" s="17"/>
    </row>
    <row r="2" spans="1:7" s="28" customFormat="1" ht="24" customHeight="1" x14ac:dyDescent="0.2">
      <c r="A2" s="196" t="s">
        <v>0</v>
      </c>
      <c r="B2" s="19" t="s">
        <v>1</v>
      </c>
      <c r="C2" s="215" t="s">
        <v>269</v>
      </c>
      <c r="D2" s="216" t="s">
        <v>198</v>
      </c>
      <c r="E2" s="217"/>
      <c r="F2" s="218" t="s">
        <v>139</v>
      </c>
    </row>
    <row r="3" spans="1:7" ht="33.6" customHeight="1" x14ac:dyDescent="0.25">
      <c r="A3" s="191" t="s">
        <v>116</v>
      </c>
      <c r="B3" s="221" t="s">
        <v>444</v>
      </c>
      <c r="C3" s="30" t="str">
        <f>IF(OR(BCclass=27,BCclass=28,BCclass=30),0,"")</f>
        <v/>
      </c>
      <c r="D3" s="116" t="s">
        <v>156</v>
      </c>
      <c r="E3" s="137"/>
      <c r="F3" s="248" t="s">
        <v>360</v>
      </c>
    </row>
    <row r="4" spans="1:7" ht="25.5" x14ac:dyDescent="0.25">
      <c r="A4" s="191" t="s">
        <v>117</v>
      </c>
      <c r="B4" s="37" t="s">
        <v>17</v>
      </c>
      <c r="C4" s="30">
        <f>classfreq</f>
        <v>0</v>
      </c>
      <c r="D4" s="116" t="s">
        <v>153</v>
      </c>
      <c r="E4" s="137"/>
      <c r="F4" s="267" t="s">
        <v>299</v>
      </c>
    </row>
    <row r="5" spans="1:7" ht="27.6" customHeight="1" x14ac:dyDescent="0.25">
      <c r="A5" s="191" t="s">
        <v>118</v>
      </c>
      <c r="B5" s="37" t="s">
        <v>3</v>
      </c>
      <c r="C5" s="30" t="str">
        <f>IF((Subregn=1),1, "")</f>
        <v/>
      </c>
      <c r="D5" s="116" t="s">
        <v>151</v>
      </c>
      <c r="E5" s="137"/>
      <c r="F5" s="205" t="s">
        <v>281</v>
      </c>
    </row>
    <row r="6" spans="1:7" ht="25.5" x14ac:dyDescent="0.25">
      <c r="A6" s="191" t="s">
        <v>119</v>
      </c>
      <c r="B6" s="37" t="s">
        <v>32</v>
      </c>
      <c r="C6" s="30">
        <f>exposure</f>
        <v>0</v>
      </c>
      <c r="D6" s="116" t="s">
        <v>152</v>
      </c>
      <c r="E6" s="137"/>
      <c r="F6" s="205" t="s">
        <v>396</v>
      </c>
    </row>
    <row r="7" spans="1:7" ht="25.5" x14ac:dyDescent="0.25">
      <c r="A7" s="191" t="s">
        <v>121</v>
      </c>
      <c r="B7" s="37" t="s">
        <v>7</v>
      </c>
      <c r="C7" s="66">
        <f>numbands1</f>
        <v>0</v>
      </c>
      <c r="D7" s="136" t="s">
        <v>154</v>
      </c>
      <c r="E7" s="137"/>
      <c r="F7" s="205" t="s">
        <v>252</v>
      </c>
    </row>
    <row r="8" spans="1:7" ht="16.5" x14ac:dyDescent="0.25">
      <c r="A8" s="191" t="s">
        <v>122</v>
      </c>
      <c r="B8" s="37" t="s">
        <v>8</v>
      </c>
      <c r="C8" s="66">
        <f>numbandsall</f>
        <v>0</v>
      </c>
      <c r="D8" s="136" t="s">
        <v>155</v>
      </c>
      <c r="E8" s="137"/>
      <c r="F8" s="41" t="s">
        <v>253</v>
      </c>
    </row>
    <row r="9" spans="1:7" ht="25.5" x14ac:dyDescent="0.25">
      <c r="A9" s="191" t="s">
        <v>123</v>
      </c>
      <c r="B9" s="37" t="s">
        <v>483</v>
      </c>
      <c r="C9" s="66">
        <f>eelgrass</f>
        <v>0</v>
      </c>
      <c r="D9" s="136" t="s">
        <v>157</v>
      </c>
      <c r="E9" s="137"/>
      <c r="F9" s="205" t="s">
        <v>488</v>
      </c>
    </row>
    <row r="10" spans="1:7" ht="25.5" x14ac:dyDescent="0.25">
      <c r="A10" s="191" t="s">
        <v>124</v>
      </c>
      <c r="B10" s="37" t="s">
        <v>5</v>
      </c>
      <c r="C10" s="30">
        <f>kelp</f>
        <v>0</v>
      </c>
      <c r="D10" s="116" t="s">
        <v>158</v>
      </c>
      <c r="E10" s="137"/>
      <c r="F10" s="205" t="s">
        <v>489</v>
      </c>
    </row>
    <row r="11" spans="1:7" ht="26.25" thickBot="1" x14ac:dyDescent="0.3">
      <c r="A11" s="192" t="s">
        <v>359</v>
      </c>
      <c r="B11" s="118" t="s">
        <v>12</v>
      </c>
      <c r="C11" s="109" t="str">
        <f>IF((karst=0),"",1)</f>
        <v/>
      </c>
      <c r="D11" s="197" t="s">
        <v>177</v>
      </c>
      <c r="E11" s="198"/>
      <c r="F11" s="219" t="s">
        <v>397</v>
      </c>
    </row>
    <row r="12" spans="1:7" ht="16.5" x14ac:dyDescent="0.25">
      <c r="A12" s="201" t="s">
        <v>19</v>
      </c>
      <c r="B12" s="123" t="s">
        <v>476</v>
      </c>
      <c r="C12" s="124">
        <f>tidalwidth</f>
        <v>0</v>
      </c>
      <c r="D12" s="202" t="s">
        <v>180</v>
      </c>
      <c r="E12" s="203"/>
      <c r="F12" s="204" t="s">
        <v>254</v>
      </c>
      <c r="G12" s="12"/>
    </row>
    <row r="13" spans="1:7" ht="25.5" x14ac:dyDescent="0.25">
      <c r="A13" s="358" t="s">
        <v>27</v>
      </c>
      <c r="B13" s="288" t="s">
        <v>487</v>
      </c>
      <c r="C13" s="66">
        <f>distsameclass</f>
        <v>0</v>
      </c>
      <c r="D13" s="136" t="s">
        <v>187</v>
      </c>
      <c r="E13" s="137"/>
      <c r="F13" s="248" t="s">
        <v>398</v>
      </c>
      <c r="G13" s="12"/>
    </row>
    <row r="14" spans="1:7" ht="25.5" x14ac:dyDescent="0.25">
      <c r="A14" s="359" t="s">
        <v>28</v>
      </c>
      <c r="B14" s="45" t="s">
        <v>484</v>
      </c>
      <c r="C14" s="66">
        <f>numclasses</f>
        <v>0</v>
      </c>
      <c r="D14" s="136" t="s">
        <v>188</v>
      </c>
      <c r="E14" s="137"/>
      <c r="F14" s="205" t="s">
        <v>399</v>
      </c>
      <c r="G14" s="12"/>
    </row>
    <row r="15" spans="1:7" ht="26.25" thickBot="1" x14ac:dyDescent="0.3">
      <c r="A15" s="360" t="s">
        <v>29</v>
      </c>
      <c r="B15" s="361" t="s">
        <v>486</v>
      </c>
      <c r="C15" s="66">
        <f>numsameclass</f>
        <v>0</v>
      </c>
      <c r="D15" s="245" t="s">
        <v>189</v>
      </c>
      <c r="E15" s="198"/>
      <c r="F15" s="249" t="s">
        <v>255</v>
      </c>
      <c r="G15" s="12"/>
    </row>
    <row r="16" spans="1:7" ht="38.25" x14ac:dyDescent="0.25">
      <c r="A16" s="246" t="s">
        <v>89</v>
      </c>
      <c r="B16" s="85" t="s">
        <v>226</v>
      </c>
      <c r="C16" s="211">
        <f>floodpct</f>
        <v>0</v>
      </c>
      <c r="D16" s="212" t="s">
        <v>205</v>
      </c>
      <c r="E16" s="203"/>
      <c r="F16" s="204" t="s">
        <v>400</v>
      </c>
      <c r="G16" s="12"/>
    </row>
    <row r="17" spans="1:7" ht="25.5" x14ac:dyDescent="0.25">
      <c r="A17" s="191" t="s">
        <v>90</v>
      </c>
      <c r="B17" s="44" t="s">
        <v>227</v>
      </c>
      <c r="C17" s="30">
        <f>algapct</f>
        <v>0</v>
      </c>
      <c r="D17" s="116" t="s">
        <v>200</v>
      </c>
      <c r="E17" s="137"/>
      <c r="F17" s="205" t="s">
        <v>401</v>
      </c>
      <c r="G17" s="12"/>
    </row>
    <row r="18" spans="1:7" ht="18" customHeight="1" x14ac:dyDescent="0.25">
      <c r="A18" s="191" t="s">
        <v>91</v>
      </c>
      <c r="B18" s="44" t="s">
        <v>491</v>
      </c>
      <c r="C18" s="30">
        <f>kelppct</f>
        <v>0</v>
      </c>
      <c r="D18" s="116" t="s">
        <v>201</v>
      </c>
      <c r="E18" s="137"/>
      <c r="F18" s="205" t="s">
        <v>408</v>
      </c>
      <c r="G18" s="12"/>
    </row>
    <row r="19" spans="1:7" ht="25.5" x14ac:dyDescent="0.25">
      <c r="A19" s="191" t="s">
        <v>92</v>
      </c>
      <c r="B19" s="43" t="s">
        <v>88</v>
      </c>
      <c r="C19" s="30">
        <f>tidepools</f>
        <v>0</v>
      </c>
      <c r="D19" s="116" t="s">
        <v>207</v>
      </c>
      <c r="E19" s="137"/>
      <c r="F19" s="205" t="s">
        <v>417</v>
      </c>
      <c r="G19" s="12"/>
    </row>
    <row r="20" spans="1:7" ht="15" x14ac:dyDescent="0.25">
      <c r="A20" s="191" t="s">
        <v>94</v>
      </c>
      <c r="B20" s="43" t="s">
        <v>111</v>
      </c>
      <c r="C20" s="30">
        <f>turbid</f>
        <v>0</v>
      </c>
      <c r="D20" s="116" t="s">
        <v>208</v>
      </c>
      <c r="E20" s="137"/>
      <c r="F20" s="205" t="s">
        <v>266</v>
      </c>
      <c r="G20" s="12"/>
    </row>
    <row r="21" spans="1:7" ht="15" x14ac:dyDescent="0.25">
      <c r="A21" s="191" t="s">
        <v>96</v>
      </c>
      <c r="B21" s="43" t="s">
        <v>61</v>
      </c>
      <c r="C21" s="30">
        <f>armoring</f>
        <v>0.1</v>
      </c>
      <c r="D21" s="116" t="s">
        <v>209</v>
      </c>
      <c r="E21" s="137"/>
      <c r="F21" s="205" t="s">
        <v>267</v>
      </c>
      <c r="G21" s="12"/>
    </row>
    <row r="22" spans="1:7" ht="15.75" thickBot="1" x14ac:dyDescent="0.3">
      <c r="A22" s="247" t="s">
        <v>103</v>
      </c>
      <c r="B22" s="170" t="s">
        <v>105</v>
      </c>
      <c r="C22" s="105" t="str">
        <f>IF((salin=""),"",salin)</f>
        <v/>
      </c>
      <c r="D22" s="213" t="s">
        <v>206</v>
      </c>
      <c r="E22" s="208"/>
      <c r="F22" s="214" t="s">
        <v>268</v>
      </c>
      <c r="G22" s="12"/>
    </row>
    <row r="23" spans="1:7" ht="16.149999999999999" customHeight="1" x14ac:dyDescent="0.25">
      <c r="A23" s="209" t="s">
        <v>196</v>
      </c>
      <c r="B23" s="210" t="s">
        <v>195</v>
      </c>
      <c r="C23" s="211" t="str">
        <f>IF((NumAlgaSpp=""),"",NumAlgaSpp)</f>
        <v/>
      </c>
      <c r="D23" s="212" t="s">
        <v>404</v>
      </c>
      <c r="E23" s="203"/>
      <c r="F23" s="204" t="s">
        <v>402</v>
      </c>
    </row>
    <row r="24" spans="1:7" ht="15.75" thickBot="1" x14ac:dyDescent="0.3">
      <c r="A24" s="195" t="s">
        <v>448</v>
      </c>
      <c r="B24" s="104" t="s">
        <v>197</v>
      </c>
      <c r="C24" s="105" t="str">
        <f>IF((NumInvSpp=""),"",NumInvSpp)</f>
        <v/>
      </c>
      <c r="D24" s="213" t="s">
        <v>405</v>
      </c>
      <c r="E24" s="208"/>
      <c r="F24" s="214" t="s">
        <v>402</v>
      </c>
    </row>
    <row r="25" spans="1:7" ht="15.75" thickBot="1" x14ac:dyDescent="0.3">
      <c r="E25" s="27"/>
      <c r="F25" s="115" t="s">
        <v>203</v>
      </c>
      <c r="G25" s="12"/>
    </row>
    <row r="26" spans="1:7" ht="32.450000000000003" customHeight="1" thickBot="1" x14ac:dyDescent="0.3">
      <c r="B26" s="22" t="s">
        <v>243</v>
      </c>
      <c r="C26" s="21"/>
      <c r="D26" s="430" t="s">
        <v>481</v>
      </c>
      <c r="E26" s="429" t="str">
        <f>IF((DidBiosurvey=0),"",10*AVERAGE(factorA2,factorB2,factorC2,factorD2,factorE2,factorF2))</f>
        <v/>
      </c>
      <c r="F26" s="92" t="s">
        <v>516</v>
      </c>
    </row>
    <row r="27" spans="1:7" ht="32.450000000000003" customHeight="1" thickBot="1" x14ac:dyDescent="0.3">
      <c r="B27" s="427"/>
      <c r="D27" s="428" t="s">
        <v>482</v>
      </c>
      <c r="E27" s="429">
        <f>IFERROR(10*AVERAGE(factorB2,factorC2, factorD2, factorE2, factorF2),"")</f>
        <v>0</v>
      </c>
      <c r="F27" s="92" t="s">
        <v>517</v>
      </c>
    </row>
    <row r="28" spans="1:7" x14ac:dyDescent="0.25">
      <c r="E28" s="91"/>
      <c r="F28" s="114" t="s">
        <v>229</v>
      </c>
    </row>
    <row r="29" spans="1:7" ht="19.149999999999999" customHeight="1" x14ac:dyDescent="0.25">
      <c r="B29" s="90"/>
      <c r="D29" s="88" t="s">
        <v>547</v>
      </c>
      <c r="E29" s="87" t="str">
        <f>IFERROR(AVERAGE(NumAlgaSpp,NumInvSpp),"")</f>
        <v/>
      </c>
      <c r="F29" s="89" t="s">
        <v>406</v>
      </c>
    </row>
    <row r="30" spans="1:7" ht="16.899999999999999" customHeight="1" x14ac:dyDescent="0.25">
      <c r="D30" s="88" t="s">
        <v>548</v>
      </c>
      <c r="E30" s="87" t="str">
        <f>IFERROR(AVERAGE(Subregn, salin),"")</f>
        <v/>
      </c>
      <c r="F30" s="89" t="s">
        <v>230</v>
      </c>
    </row>
    <row r="31" spans="1:7" ht="14.45" customHeight="1" x14ac:dyDescent="0.25">
      <c r="D31" s="88" t="s">
        <v>549</v>
      </c>
      <c r="E31" s="87">
        <f>AVERAGE(MAX(kelp,eelgrass),kelppct)</f>
        <v>0</v>
      </c>
      <c r="F31" s="89" t="s">
        <v>403</v>
      </c>
    </row>
    <row r="32" spans="1:7" ht="17.45" customHeight="1" x14ac:dyDescent="0.25">
      <c r="D32" s="86" t="s">
        <v>550</v>
      </c>
      <c r="E32" s="87">
        <f>AVERAGE(exposure,BCclassScore,tidalwidth, floodpct,numbands1,numbandsall)</f>
        <v>0</v>
      </c>
      <c r="F32" s="21" t="s">
        <v>568</v>
      </c>
    </row>
    <row r="33" spans="4:6" ht="15.6" customHeight="1" x14ac:dyDescent="0.25">
      <c r="D33" s="86" t="s">
        <v>551</v>
      </c>
      <c r="E33" s="87">
        <f>AVERAGE(turbid, tidepools, karst)</f>
        <v>0</v>
      </c>
      <c r="F33" s="21" t="s">
        <v>231</v>
      </c>
    </row>
    <row r="34" spans="4:6" ht="15.6" customHeight="1" x14ac:dyDescent="0.25">
      <c r="D34" s="86" t="s">
        <v>552</v>
      </c>
      <c r="E34" s="87" t="str">
        <f>IFERROR(AVERAGE(numsameclass,distsameclass,numclasses),"")</f>
        <v/>
      </c>
      <c r="F34" s="21" t="s">
        <v>569</v>
      </c>
    </row>
    <row r="35" spans="4:6" x14ac:dyDescent="0.25">
      <c r="E35" s="91"/>
    </row>
  </sheetData>
  <sheetProtection password="C08A" sheet="1" objects="1" scenarios="1"/>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110</vt:i4>
      </vt:variant>
    </vt:vector>
  </HeadingPairs>
  <TitlesOfParts>
    <vt:vector size="124" baseType="lpstr">
      <vt:lpstr>Intro</vt:lpstr>
      <vt:lpstr>DIRECTIONS</vt:lpstr>
      <vt:lpstr>1_FormDB</vt:lpstr>
      <vt:lpstr>2_FormM</vt:lpstr>
      <vt:lpstr>3_FormF</vt:lpstr>
      <vt:lpstr>4_Biosurvey</vt:lpstr>
      <vt:lpstr>RESULTS</vt:lpstr>
      <vt:lpstr>SubsidyFunction</vt:lpstr>
      <vt:lpstr>FoodWebDiversity</vt:lpstr>
      <vt:lpstr>FocalFish</vt:lpstr>
      <vt:lpstr>Sea&amp;ShoreBirds</vt:lpstr>
      <vt:lpstr>Pinnipeds</vt:lpstr>
      <vt:lpstr>BufferWildlife</vt:lpstr>
      <vt:lpstr>FilterFunction</vt:lpstr>
      <vt:lpstr>A4r</vt:lpstr>
      <vt:lpstr>algapct</vt:lpstr>
      <vt:lpstr>altered</vt:lpstr>
      <vt:lpstr>armoring</vt:lpstr>
      <vt:lpstr>BarnacleMax</vt:lpstr>
      <vt:lpstr>BCclass</vt:lpstr>
      <vt:lpstr>BCclass2</vt:lpstr>
      <vt:lpstr>BCclassScore</vt:lpstr>
      <vt:lpstr>bearhab</vt:lpstr>
      <vt:lpstr>berries</vt:lpstr>
      <vt:lpstr>boats</vt:lpstr>
      <vt:lpstr>BufferWildlifeScore</vt:lpstr>
      <vt:lpstr>buffwidth</vt:lpstr>
      <vt:lpstr>C_outF</vt:lpstr>
      <vt:lpstr>C_outS</vt:lpstr>
      <vt:lpstr>classfreq</vt:lpstr>
      <vt:lpstr>deerhab</vt:lpstr>
      <vt:lpstr>DidBiosurvey</vt:lpstr>
      <vt:lpstr>distAnad</vt:lpstr>
      <vt:lpstr>distbdg</vt:lpstr>
      <vt:lpstr>distpond</vt:lpstr>
      <vt:lpstr>distpop</vt:lpstr>
      <vt:lpstr>distsameclass</vt:lpstr>
      <vt:lpstr>diststream</vt:lpstr>
      <vt:lpstr>eaglenests</vt:lpstr>
      <vt:lpstr>eelgrass</vt:lpstr>
      <vt:lpstr>eulachon</vt:lpstr>
      <vt:lpstr>exposure</vt:lpstr>
      <vt:lpstr>factorA1</vt:lpstr>
      <vt:lpstr>factorA2</vt:lpstr>
      <vt:lpstr>factorA3</vt:lpstr>
      <vt:lpstr>factorA4</vt:lpstr>
      <vt:lpstr>factorA4r</vt:lpstr>
      <vt:lpstr>factorA5</vt:lpstr>
      <vt:lpstr>FactorB1</vt:lpstr>
      <vt:lpstr>FactorB1r</vt:lpstr>
      <vt:lpstr>factorB2</vt:lpstr>
      <vt:lpstr>factorB3</vt:lpstr>
      <vt:lpstr>factorB4</vt:lpstr>
      <vt:lpstr>factorB5</vt:lpstr>
      <vt:lpstr>FactorC1</vt:lpstr>
      <vt:lpstr>factorC2</vt:lpstr>
      <vt:lpstr>factorC3</vt:lpstr>
      <vt:lpstr>factorC4</vt:lpstr>
      <vt:lpstr>factorC5</vt:lpstr>
      <vt:lpstr>factorD2</vt:lpstr>
      <vt:lpstr>factorD3</vt:lpstr>
      <vt:lpstr>factorD4</vt:lpstr>
      <vt:lpstr>factorD5</vt:lpstr>
      <vt:lpstr>factorE2</vt:lpstr>
      <vt:lpstr>factorE3</vt:lpstr>
      <vt:lpstr>factorE5</vt:lpstr>
      <vt:lpstr>factorF2</vt:lpstr>
      <vt:lpstr>FilterScore</vt:lpstr>
      <vt:lpstr>floodpct</vt:lpstr>
      <vt:lpstr>FocalFishScore</vt:lpstr>
      <vt:lpstr>FoodWebScore</vt:lpstr>
      <vt:lpstr>FoodWebScoreR</vt:lpstr>
      <vt:lpstr>haulout</vt:lpstr>
      <vt:lpstr>herring</vt:lpstr>
      <vt:lpstr>intactness</vt:lpstr>
      <vt:lpstr>InvertBiomass</vt:lpstr>
      <vt:lpstr>karst</vt:lpstr>
      <vt:lpstr>kelp</vt:lpstr>
      <vt:lpstr>kelppct</vt:lpstr>
      <vt:lpstr>LimpetMax</vt:lpstr>
      <vt:lpstr>Lwood</vt:lpstr>
      <vt:lpstr>marsh</vt:lpstr>
      <vt:lpstr>marshwidth</vt:lpstr>
      <vt:lpstr>mussel</vt:lpstr>
      <vt:lpstr>MusselMax</vt:lpstr>
      <vt:lpstr>muting</vt:lpstr>
      <vt:lpstr>nfixers</vt:lpstr>
      <vt:lpstr>num_inverts1</vt:lpstr>
      <vt:lpstr>num_seaweeds1</vt:lpstr>
      <vt:lpstr>NumAlgaSpp</vt:lpstr>
      <vt:lpstr>numbands1</vt:lpstr>
      <vt:lpstr>numbandsall</vt:lpstr>
      <vt:lpstr>numclasses</vt:lpstr>
      <vt:lpstr>numcovertypes</vt:lpstr>
      <vt:lpstr>NumInvertSpp</vt:lpstr>
      <vt:lpstr>NumInvSpp</vt:lpstr>
      <vt:lpstr>numsameclass</vt:lpstr>
      <vt:lpstr>partIBA</vt:lpstr>
      <vt:lpstr>PinnipedScore</vt:lpstr>
      <vt:lpstr>RESULTS!Print_Area</vt:lpstr>
      <vt:lpstr>rarebirds</vt:lpstr>
      <vt:lpstr>salin</vt:lpstr>
      <vt:lpstr>salmoshedAll</vt:lpstr>
      <vt:lpstr>salmoshedBest</vt:lpstr>
      <vt:lpstr>seabird_S</vt:lpstr>
      <vt:lpstr>seabird_W</vt:lpstr>
      <vt:lpstr>SeaShoreBirdScore</vt:lpstr>
      <vt:lpstr>SeaShoreBirdScoreR</vt:lpstr>
      <vt:lpstr>SeastarMax</vt:lpstr>
      <vt:lpstr>shedbigtrees</vt:lpstr>
      <vt:lpstr>shedestu</vt:lpstr>
      <vt:lpstr>shedmamu</vt:lpstr>
      <vt:lpstr>shedslope</vt:lpstr>
      <vt:lpstr>SnailMax</vt:lpstr>
      <vt:lpstr>Subregn</vt:lpstr>
      <vt:lpstr>SubsidyScore</vt:lpstr>
      <vt:lpstr>SubsidyScoreR</vt:lpstr>
      <vt:lpstr>tidalslope</vt:lpstr>
      <vt:lpstr>tidalwidth</vt:lpstr>
      <vt:lpstr>tidepools</vt:lpstr>
      <vt:lpstr>treedivers</vt:lpstr>
      <vt:lpstr>turbid</vt:lpstr>
      <vt:lpstr>wildsign</vt:lpstr>
      <vt:lpstr>WormMax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 adamus</cp:lastModifiedBy>
  <cp:lastPrinted>2016-03-15T22:34:08Z</cp:lastPrinted>
  <dcterms:created xsi:type="dcterms:W3CDTF">2016-02-09T00:57:07Z</dcterms:created>
  <dcterms:modified xsi:type="dcterms:W3CDTF">2022-05-25T19:32:07Z</dcterms:modified>
</cp:coreProperties>
</file>