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mc:AlternateContent xmlns:mc="http://schemas.openxmlformats.org/markup-compatibility/2006">
    <mc:Choice Requires="x15">
      <x15ac:absPath xmlns:x15ac="http://schemas.microsoft.com/office/spreadsheetml/2010/11/ac" url="D:\Paul\documents\ALASKA_SEAL\FINAL\Calculators_Final_UNprotected\"/>
    </mc:Choice>
  </mc:AlternateContent>
  <xr:revisionPtr revIDLastSave="0" documentId="13_ncr:1_{C5325638-45C5-4547-92BF-94C51937564A}" xr6:coauthVersionLast="45" xr6:coauthVersionMax="45" xr10:uidLastSave="{00000000-0000-0000-0000-000000000000}"/>
  <bookViews>
    <workbookView xWindow="-120" yWindow="-120" windowWidth="29040" windowHeight="15840" tabRatio="897" activeTab="3" xr2:uid="{00000000-000D-0000-FFFF-FFFF00000000}"/>
  </bookViews>
  <sheets>
    <sheet name="OF" sheetId="2" r:id="rId1"/>
    <sheet name="F" sheetId="3" r:id="rId2"/>
    <sheet name="S" sheetId="4" r:id="rId3"/>
    <sheet name="Scores" sheetId="5" r:id="rId4"/>
    <sheet name="WS" sheetId="8" r:id="rId5"/>
    <sheet name="SFS" sheetId="31" r:id="rId6"/>
    <sheet name="WC" sheetId="12" r:id="rId7"/>
    <sheet name="WW" sheetId="34" r:id="rId8"/>
    <sheet name="SR" sheetId="9" r:id="rId9"/>
    <sheet name="PR" sheetId="10" r:id="rId10"/>
    <sheet name="NR" sheetId="11" r:id="rId11"/>
    <sheet name="CS" sheetId="13" r:id="rId12"/>
    <sheet name="OE" sheetId="14" r:id="rId13"/>
    <sheet name="FA" sheetId="16" r:id="rId14"/>
    <sheet name="FR" sheetId="17" r:id="rId15"/>
    <sheet name="INV" sheetId="15" r:id="rId16"/>
    <sheet name="AM" sheetId="18" r:id="rId17"/>
    <sheet name="WBF" sheetId="19" r:id="rId18"/>
    <sheet name="WBN" sheetId="20" r:id="rId19"/>
    <sheet name="SBM" sheetId="21" r:id="rId20"/>
    <sheet name="POL" sheetId="22" r:id="rId21"/>
    <sheet name="PH" sheetId="23" r:id="rId22"/>
    <sheet name="PU" sheetId="27" r:id="rId23"/>
    <sheet name="SubSis" sheetId="28" r:id="rId24"/>
    <sheet name="EC" sheetId="26" r:id="rId25"/>
    <sheet name="Sen" sheetId="25" r:id="rId26"/>
    <sheet name="STR" sheetId="24" r:id="rId27"/>
    <sheet name="PlantList" sheetId="48" r:id="rId28"/>
    <sheet name="WildlifeList" sheetId="49" r:id="rId29"/>
    <sheet name="LitCitedAll" sheetId="50" r:id="rId30"/>
  </sheets>
  <externalReferences>
    <externalReference r:id="rId31"/>
    <externalReference r:id="rId32"/>
    <externalReference r:id="rId33"/>
  </externalReferences>
  <definedNames>
    <definedName name="__AMT7">AM!#REF!</definedName>
    <definedName name="__FHR3">FR!#REF!</definedName>
    <definedName name="__IBA12">WBF!$D$173</definedName>
    <definedName name="__WBF5">WBF!#REF!</definedName>
    <definedName name="_ABpct9" localSheetId="2">[1]FA!$G$85</definedName>
    <definedName name="_ABpct9">FA!$G$83</definedName>
    <definedName name="_Alk3" localSheetId="29">[2]PR!#REF!</definedName>
    <definedName name="_Alk3" localSheetId="27">[2]PR!#REF!</definedName>
    <definedName name="_Alk3" localSheetId="2">[1]PR!$G$3</definedName>
    <definedName name="_Alk3" localSheetId="28">[2]PR!#REF!</definedName>
    <definedName name="_Alk3" localSheetId="7">PR!#REF!</definedName>
    <definedName name="_Alk3">PR!#REF!</definedName>
    <definedName name="_AMT1" localSheetId="29">[2]AM!#REF!</definedName>
    <definedName name="_AMT1" localSheetId="27">[2]AM!#REF!</definedName>
    <definedName name="_AMT1" localSheetId="2">[1]AM!$G$251</definedName>
    <definedName name="_AMT1" localSheetId="28">[2]AM!#REF!</definedName>
    <definedName name="_AMT1">AM!#REF!</definedName>
    <definedName name="_AMT2" localSheetId="29">[2]AM!#REF!</definedName>
    <definedName name="_AMT2" localSheetId="27">[2]AM!#REF!</definedName>
    <definedName name="_AMT2" localSheetId="2">[1]AM!$G$253</definedName>
    <definedName name="_AMT2" localSheetId="28">[2]AM!#REF!</definedName>
    <definedName name="_AMT2">AM!#REF!</definedName>
    <definedName name="_AMT3" localSheetId="29">[2]AM!#REF!</definedName>
    <definedName name="_AMT3" localSheetId="27">[2]AM!#REF!</definedName>
    <definedName name="_AMT3" localSheetId="2">[1]AM!$G$254</definedName>
    <definedName name="_AMT3" localSheetId="28">[2]AM!#REF!</definedName>
    <definedName name="_AMT3">AM!#REF!</definedName>
    <definedName name="_AMT4" localSheetId="29">[2]AM!#REF!</definedName>
    <definedName name="_AMT4" localSheetId="27">[2]AM!#REF!</definedName>
    <definedName name="_AMT4" localSheetId="2">[1]AM!$G$255</definedName>
    <definedName name="_AMT4" localSheetId="28">[2]AM!#REF!</definedName>
    <definedName name="_AMT4" localSheetId="7">AM!#REF!</definedName>
    <definedName name="_AMT4">AM!#REF!</definedName>
    <definedName name="_AMT5" localSheetId="29">[2]AM!#REF!</definedName>
    <definedName name="_AMT5" localSheetId="27">[2]AM!#REF!</definedName>
    <definedName name="_AMT5" localSheetId="2">[1]AM!$G$250</definedName>
    <definedName name="_AMT5" localSheetId="28">[2]AM!#REF!</definedName>
    <definedName name="_AMT5">AM!#REF!</definedName>
    <definedName name="_AMT6" localSheetId="29">[2]AM!#REF!</definedName>
    <definedName name="_AMT6" localSheetId="27">[2]AM!#REF!</definedName>
    <definedName name="_AMT6" localSheetId="2">[1]AM!$G$252</definedName>
    <definedName name="_AMT6" localSheetId="28">[2]AM!#REF!</definedName>
    <definedName name="_AMT6">AM!#REF!</definedName>
    <definedName name="_AMT7" localSheetId="2">[1]AM!$G$249</definedName>
    <definedName name="_AMT7" localSheetId="7">AM!#REF!</definedName>
    <definedName name="_AMT7">AM!#REF!</definedName>
    <definedName name="_AMT8" localSheetId="29">[2]AM!#REF!</definedName>
    <definedName name="_AMT8" localSheetId="27">[2]AM!#REF!</definedName>
    <definedName name="_AMT8" localSheetId="2">[1]AM!$G$256</definedName>
    <definedName name="_AMT8" localSheetId="28">[2]AM!#REF!</definedName>
    <definedName name="_AMT8" localSheetId="7">AM!#REF!</definedName>
    <definedName name="_AMT8">AM!#REF!</definedName>
    <definedName name="_BMP11">AM!$G$203</definedName>
    <definedName name="_BMP12">WBF!$G$158</definedName>
    <definedName name="_BMP13">WBN!$G$190</definedName>
    <definedName name="_Bog4" localSheetId="29">[2]NR!#REF!</definedName>
    <definedName name="_Bog4" localSheetId="27">[2]NR!#REF!</definedName>
    <definedName name="_Bog4" localSheetId="2">[1]NR!$D$3</definedName>
    <definedName name="_Bog4" localSheetId="28">[2]NR!#REF!</definedName>
    <definedName name="_Bog4">NR!#REF!</definedName>
    <definedName name="_Bog5" localSheetId="29">[2]CS!#REF!</definedName>
    <definedName name="_Bog5" localSheetId="27">[2]CS!#REF!</definedName>
    <definedName name="_Bog5" localSheetId="2">[1]CS!$D$3</definedName>
    <definedName name="_Bog5" localSheetId="28">[2]CS!#REF!</definedName>
    <definedName name="_Bog5">CS!#REF!</definedName>
    <definedName name="_Bog6">OE!$D$32</definedName>
    <definedName name="_CSQ1" localSheetId="29">[2]CS!#REF!</definedName>
    <definedName name="_CSQ1" localSheetId="27">[2]CS!#REF!</definedName>
    <definedName name="_CSQ1" localSheetId="2">[1]CS!$G$137</definedName>
    <definedName name="_CSQ1" localSheetId="28">[2]CS!#REF!</definedName>
    <definedName name="_CSQ1">CS!#REF!</definedName>
    <definedName name="_CSQ2" localSheetId="29">[2]CS!#REF!</definedName>
    <definedName name="_CSQ2" localSheetId="27">[2]CS!#REF!</definedName>
    <definedName name="_CSQ2" localSheetId="2">[1]CS!$G$138</definedName>
    <definedName name="_CSQ2" localSheetId="28">[2]CS!#REF!</definedName>
    <definedName name="_CSQ2" localSheetId="7">CS!#REF!</definedName>
    <definedName name="_CSQ2">CS!#REF!</definedName>
    <definedName name="_CSQ3" localSheetId="29">[2]CS!#REF!</definedName>
    <definedName name="_CSQ3" localSheetId="27">[2]CS!#REF!</definedName>
    <definedName name="_CSQ3" localSheetId="2">[1]CS!$G$139</definedName>
    <definedName name="_CSQ3" localSheetId="28">[2]CS!#REF!</definedName>
    <definedName name="_CSQ3">CS!#REF!</definedName>
    <definedName name="_CSQ4" localSheetId="29">[2]CS!#REF!</definedName>
    <definedName name="_CSQ4" localSheetId="27">[2]CS!#REF!</definedName>
    <definedName name="_CSQ4" localSheetId="2">[1]CS!$G$140</definedName>
    <definedName name="_CSQ4" localSheetId="28">[2]CS!#REF!</definedName>
    <definedName name="_CSQ4">CS!#REF!</definedName>
    <definedName name="_Fen5" localSheetId="29">[2]CS!#REF!</definedName>
    <definedName name="_Fen5" localSheetId="27">[2]CS!#REF!</definedName>
    <definedName name="_Fen5" localSheetId="2">[1]CS!#REF!</definedName>
    <definedName name="_Fen5" localSheetId="28">[2]CS!#REF!</definedName>
    <definedName name="_Fen5" localSheetId="7">CS!#REF!</definedName>
    <definedName name="_Fen5">CS!#REF!</definedName>
    <definedName name="_Fen7" localSheetId="7">WW!#REF!</definedName>
    <definedName name="_Fen7">WC!#REF!</definedName>
    <definedName name="_FHA1" localSheetId="29">[2]FA!#REF!</definedName>
    <definedName name="_FHA1" localSheetId="27">[2]FA!#REF!</definedName>
    <definedName name="_FHA1" localSheetId="2">[1]FA!$G$126</definedName>
    <definedName name="_FHA1" localSheetId="28">[2]FA!#REF!</definedName>
    <definedName name="_FHA1">FA!#REF!</definedName>
    <definedName name="_FHA2" localSheetId="29">[2]FA!#REF!</definedName>
    <definedName name="_FHA2" localSheetId="27">[2]FA!#REF!</definedName>
    <definedName name="_FHA2" localSheetId="2">[1]FA!$G$127</definedName>
    <definedName name="_FHA2" localSheetId="28">[2]FA!#REF!</definedName>
    <definedName name="_FHA2">FA!#REF!</definedName>
    <definedName name="_FHA3" localSheetId="29">[2]FA!#REF!</definedName>
    <definedName name="_FHA3" localSheetId="27">[2]FA!#REF!</definedName>
    <definedName name="_FHA3" localSheetId="2">[1]FA!#REF!</definedName>
    <definedName name="_FHA3" localSheetId="28">[2]FA!#REF!</definedName>
    <definedName name="_FHA3" localSheetId="7">FA!#REF!</definedName>
    <definedName name="_FHA3">FA!#REF!</definedName>
    <definedName name="_FHA4" localSheetId="29">[2]FA!#REF!</definedName>
    <definedName name="_FHA4" localSheetId="27">[2]FA!#REF!</definedName>
    <definedName name="_FHA4" localSheetId="2">[1]FA!$G$128</definedName>
    <definedName name="_FHA4" localSheetId="28">[2]FA!#REF!</definedName>
    <definedName name="_FHA4" localSheetId="7">FA!#REF!</definedName>
    <definedName name="_FHA4">FA!#REF!</definedName>
    <definedName name="_FHA5" localSheetId="29">[2]FA!#REF!</definedName>
    <definedName name="_FHA5" localSheetId="27">[2]FA!#REF!</definedName>
    <definedName name="_FHA5" localSheetId="2">[1]FA!$G$129</definedName>
    <definedName name="_FHA5" localSheetId="28">[2]FA!#REF!</definedName>
    <definedName name="_FHA5">FA!#REF!</definedName>
    <definedName name="_FHA6" localSheetId="29">[2]FA!#REF!</definedName>
    <definedName name="_FHA6" localSheetId="27">[2]FA!#REF!</definedName>
    <definedName name="_FHA6" localSheetId="2">[1]FA!$G$130</definedName>
    <definedName name="_FHA6" localSheetId="28">[2]FA!#REF!</definedName>
    <definedName name="_FHA6" localSheetId="7">FA!#REF!</definedName>
    <definedName name="_FHA6">FA!#REF!</definedName>
    <definedName name="_FHR1" localSheetId="29">[2]FR!#REF!</definedName>
    <definedName name="_FHR1" localSheetId="27">[2]FR!#REF!</definedName>
    <definedName name="_FHR1" localSheetId="2">[1]FR!$G$114</definedName>
    <definedName name="_FHR1" localSheetId="28">[2]FR!#REF!</definedName>
    <definedName name="_FHR1" localSheetId="7">FR!#REF!</definedName>
    <definedName name="_FHR1">FR!#REF!</definedName>
    <definedName name="_FHR2" localSheetId="29">[2]FR!#REF!</definedName>
    <definedName name="_FHR2" localSheetId="27">[2]FR!#REF!</definedName>
    <definedName name="_FHR2" localSheetId="2">[1]FR!$G$115</definedName>
    <definedName name="_FHR2" localSheetId="28">[2]FR!#REF!</definedName>
    <definedName name="_FHR2">FR!#REF!</definedName>
    <definedName name="_FHR3" localSheetId="29">[2]FR!#REF!</definedName>
    <definedName name="_FHR3" localSheetId="27">[2]FR!#REF!</definedName>
    <definedName name="_FHR3" localSheetId="2">[1]FR!$G$116</definedName>
    <definedName name="_FHR3" localSheetId="28">[2]FR!#REF!</definedName>
    <definedName name="_FHR3" localSheetId="7">FR!#REF!</definedName>
    <definedName name="_FHR3">FR!#REF!</definedName>
    <definedName name="_FHR4" localSheetId="29">[2]FR!#REF!</definedName>
    <definedName name="_FHR4" localSheetId="27">[2]FR!#REF!</definedName>
    <definedName name="_FHR4" localSheetId="2">[1]FR!$G$117</definedName>
    <definedName name="_FHR4" localSheetId="28">[2]FR!#REF!</definedName>
    <definedName name="_FHR4">FR!#REF!</definedName>
    <definedName name="_FHR5" localSheetId="29">[2]FR!#REF!</definedName>
    <definedName name="_FHR5" localSheetId="27">[2]FR!#REF!</definedName>
    <definedName name="_FHR5" localSheetId="2">[1]FR!$G$118</definedName>
    <definedName name="_FHR5" localSheetId="28">[2]FR!#REF!</definedName>
    <definedName name="_FHR5">FR!#REF!</definedName>
    <definedName name="_GDD1">WS!$G$9</definedName>
    <definedName name="_GDD10">FR!#REF!</definedName>
    <definedName name="_GDD11">AM!$G$62</definedName>
    <definedName name="_GDD12" localSheetId="7">WBF!#REF!</definedName>
    <definedName name="_GDD12">WBF!#REF!</definedName>
    <definedName name="_GDD2">SR!$G$9</definedName>
    <definedName name="_GDD3">PR!$G$9</definedName>
    <definedName name="_GDD4">NR!#REF!</definedName>
    <definedName name="_GDD5">CS!#REF!</definedName>
    <definedName name="_GDD6">OE!#REF!</definedName>
    <definedName name="_GpA1">WS!$G$112</definedName>
    <definedName name="_GpB1">WS!$G$113</definedName>
    <definedName name="_GpC1">WS!$G$114</definedName>
    <definedName name="_GrW8">INV!$G$32</definedName>
    <definedName name="_HUC6" localSheetId="29">#REF!</definedName>
    <definedName name="_HUC6" localSheetId="27">#REF!</definedName>
    <definedName name="_HUC6" localSheetId="2">#REF!</definedName>
    <definedName name="_HUC6" localSheetId="28">#REF!</definedName>
    <definedName name="_HUC6" localSheetId="7">#REF!</definedName>
    <definedName name="_HUC6">#REF!</definedName>
    <definedName name="_IBA12" localSheetId="29">[2]WBF!#REF!</definedName>
    <definedName name="_IBA12" localSheetId="27">[2]WBF!#REF!</definedName>
    <definedName name="_IBA12" localSheetId="2">[1]WBF!$G$162</definedName>
    <definedName name="_IBA12" localSheetId="28">[2]WBF!#REF!</definedName>
    <definedName name="_IBA12" localSheetId="7">WBF!#REF!</definedName>
    <definedName name="_IBA12">WBF!#REF!</definedName>
    <definedName name="_IBA13" localSheetId="29">[2]WBN!$G$199</definedName>
    <definedName name="_IBA13" localSheetId="27">[2]WBN!$G$199</definedName>
    <definedName name="_IBA13" localSheetId="2">[1]WBN!$G$198</definedName>
    <definedName name="_IBA13" localSheetId="28">[2]WBN!$G$199</definedName>
    <definedName name="_IBA13">WBN!$G$199</definedName>
    <definedName name="_IBA14" localSheetId="29">[2]SBM!$G$233</definedName>
    <definedName name="_IBA14" localSheetId="27">[2]SBM!$G$233</definedName>
    <definedName name="_IBA14" localSheetId="2">[1]SBM!$G$198</definedName>
    <definedName name="_IBA14" localSheetId="28">[2]SBM!$G$233</definedName>
    <definedName name="_IBA14">SBM!$G$234</definedName>
    <definedName name="_Ice11">AM!$G$146</definedName>
    <definedName name="_Ice12">WBF!$G$116</definedName>
    <definedName name="_INV1" localSheetId="29">[2]INV!#REF!</definedName>
    <definedName name="_INV1" localSheetId="27">[2]INV!#REF!</definedName>
    <definedName name="_INV1" localSheetId="2">[1]INV!$G$173</definedName>
    <definedName name="_INV1" localSheetId="28">[2]INV!#REF!</definedName>
    <definedName name="_INV1">INV!#REF!</definedName>
    <definedName name="_INV2" localSheetId="29">[2]INV!#REF!</definedName>
    <definedName name="_INV2" localSheetId="27">[2]INV!#REF!</definedName>
    <definedName name="_INV2" localSheetId="2">[1]INV!$G$166</definedName>
    <definedName name="_INV2" localSheetId="28">[2]INV!#REF!</definedName>
    <definedName name="_INV2">INV!#REF!</definedName>
    <definedName name="_INV3" localSheetId="29">[2]INV!#REF!</definedName>
    <definedName name="_INV3" localSheetId="27">[2]INV!#REF!</definedName>
    <definedName name="_INV3" localSheetId="2">[1]INV!$G$167</definedName>
    <definedName name="_INV3" localSheetId="28">[2]INV!#REF!</definedName>
    <definedName name="_INV3">INV!#REF!</definedName>
    <definedName name="_INV4" localSheetId="29">[2]INV!#REF!</definedName>
    <definedName name="_INV4" localSheetId="27">[2]INV!#REF!</definedName>
    <definedName name="_INV4" localSheetId="2">[1]INV!$G$168</definedName>
    <definedName name="_INV4" localSheetId="28">[2]INV!#REF!</definedName>
    <definedName name="_INV4" localSheetId="7">INV!#REF!</definedName>
    <definedName name="_INV4">INV!#REF!</definedName>
    <definedName name="_INV5" localSheetId="29">[2]INV!#REF!</definedName>
    <definedName name="_INV5" localSheetId="27">[2]INV!#REF!</definedName>
    <definedName name="_INV5" localSheetId="2">[1]INV!$G$169</definedName>
    <definedName name="_INV5" localSheetId="28">[2]INV!#REF!</definedName>
    <definedName name="_INV5" localSheetId="7">INV!#REF!</definedName>
    <definedName name="_INV5">INV!#REF!</definedName>
    <definedName name="_INV6" localSheetId="29">[2]INV!#REF!</definedName>
    <definedName name="_INV6" localSheetId="27">[2]INV!#REF!</definedName>
    <definedName name="_INV6" localSheetId="2">[1]INV!$G$170</definedName>
    <definedName name="_INV6" localSheetId="28">[2]INV!#REF!</definedName>
    <definedName name="_INV6">INV!#REF!</definedName>
    <definedName name="_INV7" localSheetId="29">[2]INV!#REF!</definedName>
    <definedName name="_INV7" localSheetId="27">[2]INV!#REF!</definedName>
    <definedName name="_INV7" localSheetId="2">[1]INV!$G$171</definedName>
    <definedName name="_INV7" localSheetId="28">[2]INV!#REF!</definedName>
    <definedName name="_INV7">INV!#REF!</definedName>
    <definedName name="_INV8" localSheetId="29">[2]INV!#REF!</definedName>
    <definedName name="_INV8" localSheetId="27">[2]INV!#REF!</definedName>
    <definedName name="_INV8" localSheetId="2">[1]INV!$G$172</definedName>
    <definedName name="_INV8" localSheetId="28">[2]INV!#REF!</definedName>
    <definedName name="_INV8">INV!#REF!</definedName>
    <definedName name="_Iso2" localSheetId="2">[1]SR!$G$10</definedName>
    <definedName name="_Iso2">SR!$G$64</definedName>
    <definedName name="_ISO3" localSheetId="29">[2]PR!#REF!</definedName>
    <definedName name="_ISO3" localSheetId="27">[2]PR!#REF!</definedName>
    <definedName name="_ISO3" localSheetId="2">[1]PR!$G$20</definedName>
    <definedName name="_ISO3" localSheetId="28">[2]PR!#REF!</definedName>
    <definedName name="_ISO3">PR!#REF!</definedName>
    <definedName name="_NRE1" localSheetId="29">[2]NR!#REF!</definedName>
    <definedName name="_NRE1" localSheetId="27">[2]NR!#REF!</definedName>
    <definedName name="_NRE1" localSheetId="2">[1]NR!$G$166</definedName>
    <definedName name="_NRE1" localSheetId="28">[2]NR!#REF!</definedName>
    <definedName name="_NRE1">NR!#REF!</definedName>
    <definedName name="_NRE2" localSheetId="29">[2]NR!#REF!</definedName>
    <definedName name="_NRE2" localSheetId="27">[2]NR!#REF!</definedName>
    <definedName name="_NRE2" localSheetId="2">[1]NR!$G$167</definedName>
    <definedName name="_NRE2" localSheetId="28">[2]NR!#REF!</definedName>
    <definedName name="_NRE2">NR!#REF!</definedName>
    <definedName name="_NRE3" localSheetId="29">[2]NR!#REF!</definedName>
    <definedName name="_NRE3" localSheetId="27">[2]NR!#REF!</definedName>
    <definedName name="_NRE3" localSheetId="2">[1]NR!$G$170</definedName>
    <definedName name="_NRE3" localSheetId="28">[2]NR!#REF!</definedName>
    <definedName name="_NRE3" localSheetId="7">NR!#REF!</definedName>
    <definedName name="_NRE3">NR!#REF!</definedName>
    <definedName name="_NRE4" localSheetId="29">[2]NR!#REF!</definedName>
    <definedName name="_NRE4" localSheetId="27">[2]NR!#REF!</definedName>
    <definedName name="_NRE4" localSheetId="2">[1]NR!$G$169</definedName>
    <definedName name="_NRE4" localSheetId="28">[2]NR!#REF!</definedName>
    <definedName name="_NRE4">NR!#REF!</definedName>
    <definedName name="_NRE5" localSheetId="29">[2]NR!#REF!</definedName>
    <definedName name="_NRE5" localSheetId="27">[2]NR!#REF!</definedName>
    <definedName name="_NRE5" localSheetId="2">[1]NR!$G$165</definedName>
    <definedName name="_NRE5" localSheetId="28">[2]NR!#REF!</definedName>
    <definedName name="_NRE5">NR!#REF!</definedName>
    <definedName name="_OMX1" localSheetId="29">[2]OE!#REF!</definedName>
    <definedName name="_OMX1" localSheetId="27">[2]OE!#REF!</definedName>
    <definedName name="_OMX1" localSheetId="2">[1]OE!$G$118</definedName>
    <definedName name="_OMX1" localSheetId="28">[2]OE!#REF!</definedName>
    <definedName name="_OMX1">OE!#REF!</definedName>
    <definedName name="_OMX2" localSheetId="29">[2]OE!#REF!</definedName>
    <definedName name="_OMX2" localSheetId="27">[2]OE!#REF!</definedName>
    <definedName name="_OMX2" localSheetId="2">[1]OE!$G$119</definedName>
    <definedName name="_OMX2" localSheetId="28">[2]OE!#REF!</definedName>
    <definedName name="_OMX2" localSheetId="7">OE!#REF!</definedName>
    <definedName name="_OMX2">OE!#REF!</definedName>
    <definedName name="_OMX3" localSheetId="29">[2]OE!#REF!</definedName>
    <definedName name="_OMX3" localSheetId="27">[2]OE!#REF!</definedName>
    <definedName name="_OMX3" localSheetId="2">[1]OE!$G$120</definedName>
    <definedName name="_OMX3" localSheetId="28">[2]OE!#REF!</definedName>
    <definedName name="_OMX3">OE!#REF!</definedName>
    <definedName name="_OMX4" localSheetId="29">[2]OE!#REF!</definedName>
    <definedName name="_OMX4" localSheetId="27">[2]OE!#REF!</definedName>
    <definedName name="_OMX4" localSheetId="2">[1]OE!$G$121</definedName>
    <definedName name="_OMX4" localSheetId="28">[2]OE!#REF!</definedName>
    <definedName name="_OMX4">OE!#REF!</definedName>
    <definedName name="_OMX5">OE!#REF!</definedName>
    <definedName name="_Out3">PR!#REF!</definedName>
    <definedName name="_pcp13" localSheetId="29">[2]WBN!#REF!</definedName>
    <definedName name="_pcp13" localSheetId="27">[2]WBN!#REF!</definedName>
    <definedName name="_pcp13" localSheetId="2">[1]WBN!$G$204</definedName>
    <definedName name="_pcp13" localSheetId="28">[2]WBN!#REF!</definedName>
    <definedName name="_pcp13" localSheetId="7">WBN!#REF!</definedName>
    <definedName name="_pcp13">WBN!#REF!</definedName>
    <definedName name="_pcp14" localSheetId="29">[2]SBM!#REF!</definedName>
    <definedName name="_pcp14" localSheetId="27">[2]SBM!#REF!</definedName>
    <definedName name="_pcp14" localSheetId="2">[1]SBM!$G$204</definedName>
    <definedName name="_pcp14" localSheetId="28">[2]SBM!#REF!</definedName>
    <definedName name="_pcp14" localSheetId="7">SBM!#REF!</definedName>
    <definedName name="_pcp14">SBM!#REF!</definedName>
    <definedName name="_pcp8" localSheetId="29">[2]INV!#REF!</definedName>
    <definedName name="_pcp8" localSheetId="27">[2]INV!#REF!</definedName>
    <definedName name="_pcp8" localSheetId="2">[1]INV!$G$148</definedName>
    <definedName name="_pcp8" localSheetId="28">[2]INV!#REF!</definedName>
    <definedName name="_pcp8" localSheetId="7">INV!#REF!</definedName>
    <definedName name="_pcp8">INV!#REF!</definedName>
    <definedName name="_PLD1" localSheetId="29">[2]PH!#REF!</definedName>
    <definedName name="_PLD1" localSheetId="27">[2]PH!#REF!</definedName>
    <definedName name="_PLD1" localSheetId="2">[1]PD!$G$203</definedName>
    <definedName name="_PLD1" localSheetId="28">[2]PH!#REF!</definedName>
    <definedName name="_PLD1">PH!#REF!</definedName>
    <definedName name="_PLD2" localSheetId="29">[2]PH!#REF!</definedName>
    <definedName name="_PLD2" localSheetId="27">[2]PH!#REF!</definedName>
    <definedName name="_PLD2" localSheetId="2">[1]PD!$G$204</definedName>
    <definedName name="_PLD2" localSheetId="28">[2]PH!#REF!</definedName>
    <definedName name="_PLD2">PH!#REF!</definedName>
    <definedName name="_PLD3" localSheetId="29">[2]PH!#REF!</definedName>
    <definedName name="_PLD3" localSheetId="27">[2]PH!#REF!</definedName>
    <definedName name="_PLD3" localSheetId="2">[1]PD!$G$205</definedName>
    <definedName name="_PLD3" localSheetId="28">[2]PH!#REF!</definedName>
    <definedName name="_PLD3">PH!#REF!</definedName>
    <definedName name="_PR1" localSheetId="29">[2]PR!#REF!</definedName>
    <definedName name="_PR1" localSheetId="27">[2]PR!#REF!</definedName>
    <definedName name="_PR1" localSheetId="2">[1]PR!$G$160</definedName>
    <definedName name="_PR1" localSheetId="28">[2]PR!#REF!</definedName>
    <definedName name="_PR1" localSheetId="7">PR!#REF!</definedName>
    <definedName name="_PR1">PR!#REF!</definedName>
    <definedName name="_PR2" localSheetId="29">[2]PR!#REF!</definedName>
    <definedName name="_PR2" localSheetId="27">[2]PR!#REF!</definedName>
    <definedName name="_PR2" localSheetId="2">[1]PR!$G$161</definedName>
    <definedName name="_PR2" localSheetId="28">[2]PR!#REF!</definedName>
    <definedName name="_PR2">PR!#REF!</definedName>
    <definedName name="_PR3" localSheetId="29">[2]PR!#REF!</definedName>
    <definedName name="_PR3" localSheetId="27">[2]PR!#REF!</definedName>
    <definedName name="_PR3" localSheetId="2">[1]PR!$G$162</definedName>
    <definedName name="_PR3" localSheetId="28">[2]PR!#REF!</definedName>
    <definedName name="_PR3">PR!#REF!</definedName>
    <definedName name="_PR4" localSheetId="29">[2]PR!#REF!</definedName>
    <definedName name="_PR4" localSheetId="27">[2]PR!#REF!</definedName>
    <definedName name="_PR4" localSheetId="2">[1]PR!$G$163</definedName>
    <definedName name="_PR4" localSheetId="28">[2]PR!#REF!</definedName>
    <definedName name="_PR4">PR!#REF!</definedName>
    <definedName name="_PR5" localSheetId="29">[2]PR!#REF!</definedName>
    <definedName name="_PR5" localSheetId="27">[2]PR!#REF!</definedName>
    <definedName name="_PR5" localSheetId="2">[1]PR!$G$164</definedName>
    <definedName name="_PR5" localSheetId="28">[2]PR!#REF!</definedName>
    <definedName name="_PR5">PR!#REF!</definedName>
    <definedName name="_PR6" localSheetId="29">[2]PR!#REF!</definedName>
    <definedName name="_PR6" localSheetId="27">[2]PR!#REF!</definedName>
    <definedName name="_PR6" localSheetId="2">[1]PR!$G$165</definedName>
    <definedName name="_PR6" localSheetId="28">[2]PR!#REF!</definedName>
    <definedName name="_PR6">PR!#REF!</definedName>
    <definedName name="_Pt2">S!#REF!</definedName>
    <definedName name="_Pt3">S!#REF!</definedName>
    <definedName name="_pt4">S!#REF!</definedName>
    <definedName name="_SED1" localSheetId="29">[2]SR!#REF!</definedName>
    <definedName name="_SED1" localSheetId="27">[2]SR!#REF!</definedName>
    <definedName name="_SED1" localSheetId="2">[1]SR!#REF!</definedName>
    <definedName name="_SED1" localSheetId="28">[2]SR!#REF!</definedName>
    <definedName name="_SED1" localSheetId="7">SR!#REF!</definedName>
    <definedName name="_SED1">SR!#REF!</definedName>
    <definedName name="_SM1" localSheetId="29">[2]SBM!#REF!</definedName>
    <definedName name="_SM1" localSheetId="27">[2]SBM!#REF!</definedName>
    <definedName name="_SM1" localSheetId="2">[1]SBM!$G$216</definedName>
    <definedName name="_SM1" localSheetId="28">[2]SBM!#REF!</definedName>
    <definedName name="_SM1">SBM!#REF!</definedName>
    <definedName name="_SM2" localSheetId="29">[2]SBM!#REF!</definedName>
    <definedName name="_SM2" localSheetId="27">[2]SBM!#REF!</definedName>
    <definedName name="_SM2" localSheetId="2">[1]SBM!$G$217</definedName>
    <definedName name="_SM2" localSheetId="28">[2]SBM!#REF!</definedName>
    <definedName name="_SM2">SBM!#REF!</definedName>
    <definedName name="_SM3" localSheetId="29">[2]SBM!#REF!</definedName>
    <definedName name="_SM3" localSheetId="27">[2]SBM!#REF!</definedName>
    <definedName name="_SM3" localSheetId="2">[1]SBM!$G$218</definedName>
    <definedName name="_SM3" localSheetId="28">[2]SBM!#REF!</definedName>
    <definedName name="_SM3" localSheetId="7">SBM!#REF!</definedName>
    <definedName name="_SM3">SBM!#REF!</definedName>
    <definedName name="_SM4" localSheetId="29">[2]SBM!#REF!</definedName>
    <definedName name="_SM4" localSheetId="27">[2]SBM!#REF!</definedName>
    <definedName name="_SM4" localSheetId="2">[1]SBM!$G$219</definedName>
    <definedName name="_SM4" localSheetId="28">[2]SBM!#REF!</definedName>
    <definedName name="_SM4">SBM!#REF!</definedName>
    <definedName name="_SM5" localSheetId="29">[2]SBM!#REF!</definedName>
    <definedName name="_SM5" localSheetId="27">[2]SBM!#REF!</definedName>
    <definedName name="_SM5" localSheetId="28">[2]SBM!#REF!</definedName>
    <definedName name="_SM5">SBM!#REF!</definedName>
    <definedName name="_SWO10" localSheetId="29">[2]FR!#REF!</definedName>
    <definedName name="_SWO10" localSheetId="27">[2]FR!#REF!</definedName>
    <definedName name="_SWO10" localSheetId="2">[1]FR!#REF!</definedName>
    <definedName name="_SWO10" localSheetId="28">[2]FR!#REF!</definedName>
    <definedName name="_SWO10" localSheetId="7">FR!#REF!</definedName>
    <definedName name="_SWO10">FR!#REF!</definedName>
    <definedName name="_SWO12" localSheetId="29">[2]WBF!#REF!</definedName>
    <definedName name="_SWO12" localSheetId="27">[2]WBF!#REF!</definedName>
    <definedName name="_SWO12" localSheetId="2">[1]WBF!#REF!</definedName>
    <definedName name="_SWO12" localSheetId="28">[2]WBF!#REF!</definedName>
    <definedName name="_SWO12" localSheetId="7">WBF!#REF!</definedName>
    <definedName name="_SWO12">WBF!#REF!</definedName>
    <definedName name="_SWO13" localSheetId="29">[2]WBN!#REF!</definedName>
    <definedName name="_SWO13" localSheetId="27">[2]WBN!#REF!</definedName>
    <definedName name="_SWO13" localSheetId="2">[1]WBN!#REF!</definedName>
    <definedName name="_SWO13" localSheetId="28">[2]WBN!#REF!</definedName>
    <definedName name="_SWO13" localSheetId="7">WBN!#REF!</definedName>
    <definedName name="_SWO13">WBN!#REF!</definedName>
    <definedName name="_SWO2" localSheetId="29">[2]SR!#REF!</definedName>
    <definedName name="_SWO2" localSheetId="27">[2]SR!#REF!</definedName>
    <definedName name="_SWO2" localSheetId="2">[1]SR!#REF!</definedName>
    <definedName name="_SWO2" localSheetId="28">[2]SR!#REF!</definedName>
    <definedName name="_SWO2" localSheetId="7">SR!#REF!</definedName>
    <definedName name="_SWO2">SR!#REF!</definedName>
    <definedName name="_SWO3" localSheetId="29">[2]PR!#REF!</definedName>
    <definedName name="_SWO3" localSheetId="27">[2]PR!#REF!</definedName>
    <definedName name="_SWO3" localSheetId="2">[1]PR!#REF!</definedName>
    <definedName name="_SWO3" localSheetId="28">[2]PR!#REF!</definedName>
    <definedName name="_SWO3" localSheetId="7">PR!#REF!</definedName>
    <definedName name="_SWO3">PR!#REF!</definedName>
    <definedName name="_SWO4" localSheetId="29">[2]NR!#REF!</definedName>
    <definedName name="_SWO4" localSheetId="27">[2]NR!#REF!</definedName>
    <definedName name="_SWO4" localSheetId="2">[1]NR!#REF!</definedName>
    <definedName name="_SWO4" localSheetId="28">[2]NR!#REF!</definedName>
    <definedName name="_SWO4" localSheetId="7">NR!#REF!</definedName>
    <definedName name="_SWO4">NR!#REF!</definedName>
    <definedName name="_SWO5" localSheetId="29">[2]CS!#REF!</definedName>
    <definedName name="_SWO5" localSheetId="27">[2]CS!#REF!</definedName>
    <definedName name="_SWO5" localSheetId="2">[1]CS!#REF!</definedName>
    <definedName name="_SWO5" localSheetId="28">[2]CS!#REF!</definedName>
    <definedName name="_SWO5" localSheetId="7">CS!#REF!</definedName>
    <definedName name="_SWO5">CS!#REF!</definedName>
    <definedName name="_SWO6" localSheetId="29">[2]OE!#REF!</definedName>
    <definedName name="_SWO6" localSheetId="27">[2]OE!#REF!</definedName>
    <definedName name="_SWO6" localSheetId="2">[1]OE!#REF!</definedName>
    <definedName name="_SWO6" localSheetId="28">[2]OE!#REF!</definedName>
    <definedName name="_SWO6" localSheetId="7">OE!#REF!</definedName>
    <definedName name="_SWO6">OE!#REF!</definedName>
    <definedName name="_SWO7" localSheetId="29">[2]WC!#REF!</definedName>
    <definedName name="_SWO7" localSheetId="27">[2]WC!#REF!</definedName>
    <definedName name="_SWO7" localSheetId="2">[1]T!#REF!</definedName>
    <definedName name="_SWO7" localSheetId="28">[2]WC!#REF!</definedName>
    <definedName name="_SWO7" localSheetId="7">WW!#REF!</definedName>
    <definedName name="_SWO7">WC!#REF!</definedName>
    <definedName name="_SWO9" localSheetId="29">[2]FA!#REF!</definedName>
    <definedName name="_SWO9" localSheetId="27">[2]FA!#REF!</definedName>
    <definedName name="_SWO9" localSheetId="2">[1]FA!#REF!</definedName>
    <definedName name="_SWO9" localSheetId="28">[2]FA!#REF!</definedName>
    <definedName name="_SWO9" localSheetId="7">FA!#REF!</definedName>
    <definedName name="_SWO9">FA!#REF!</definedName>
    <definedName name="_TMO1" localSheetId="29">[2]WC!#REF!</definedName>
    <definedName name="_TMO1" localSheetId="27">[2]WC!#REF!</definedName>
    <definedName name="_TMO1" localSheetId="2">[1]T!$G$47</definedName>
    <definedName name="_TMO1" localSheetId="28">[2]WC!#REF!</definedName>
    <definedName name="_TMO1" localSheetId="7">WW!#REF!</definedName>
    <definedName name="_TMO1">WC!#REF!</definedName>
    <definedName name="_TMO2" localSheetId="29">[2]WC!#REF!</definedName>
    <definedName name="_TMO2" localSheetId="27">[2]WC!#REF!</definedName>
    <definedName name="_TMO2" localSheetId="2">[1]T!$G$46</definedName>
    <definedName name="_TMO2" localSheetId="28">[2]WC!#REF!</definedName>
    <definedName name="_TMO2" localSheetId="7">WW!#REF!</definedName>
    <definedName name="_TMO2">WC!#REF!</definedName>
    <definedName name="_Tox12" localSheetId="29">[2]WBF!$G$48</definedName>
    <definedName name="_Tox12" localSheetId="27">[2]WBF!$G$48</definedName>
    <definedName name="_Tox12" localSheetId="28">[2]WBF!$G$48</definedName>
    <definedName name="_Tox12">WBF!$G$41</definedName>
    <definedName name="_WBF10">FR!$G$152</definedName>
    <definedName name="_WBF2" localSheetId="29">[2]WBF!#REF!</definedName>
    <definedName name="_WBF2" localSheetId="27">[2]WBF!#REF!</definedName>
    <definedName name="_WBF2" localSheetId="2">[1]WBF!$G$186</definedName>
    <definedName name="_WBF2" localSheetId="28">[2]WBF!#REF!</definedName>
    <definedName name="_WBF2">WBF!#REF!</definedName>
    <definedName name="_WBF3" localSheetId="29">[2]WBF!#REF!</definedName>
    <definedName name="_WBF3" localSheetId="27">[2]WBF!#REF!</definedName>
    <definedName name="_WBF3" localSheetId="2">[1]WBF!$G$187</definedName>
    <definedName name="_WBF3" localSheetId="28">[2]WBF!#REF!</definedName>
    <definedName name="_WBF3">WBF!#REF!</definedName>
    <definedName name="_WBF4" localSheetId="29">[2]WBF!#REF!</definedName>
    <definedName name="_WBF4" localSheetId="27">[2]WBF!#REF!</definedName>
    <definedName name="_WBF4" localSheetId="2">[1]WBF!$G$188</definedName>
    <definedName name="_WBF4" localSheetId="28">[2]WBF!#REF!</definedName>
    <definedName name="_WBF4">WBF!#REF!</definedName>
    <definedName name="_WBF5" localSheetId="29">[2]WBF!#REF!</definedName>
    <definedName name="_WBF5" localSheetId="27">[2]WBF!#REF!</definedName>
    <definedName name="_WBF5" localSheetId="2">[1]WBF!$G$189</definedName>
    <definedName name="_WBF5" localSheetId="28">[2]WBF!#REF!</definedName>
    <definedName name="_WBF5" localSheetId="7">WBF!#REF!</definedName>
    <definedName name="_WBF5">WBF!#REF!</definedName>
    <definedName name="_WBF6" localSheetId="29">[2]WBF!#REF!</definedName>
    <definedName name="_WBF6" localSheetId="27">[2]WBF!#REF!</definedName>
    <definedName name="_WBF6" localSheetId="2">[1]WBF!$G$190</definedName>
    <definedName name="_WBF6" localSheetId="28">[2]WBF!#REF!</definedName>
    <definedName name="_WBF6">WBF!#REF!</definedName>
    <definedName name="_WBF7" localSheetId="29">[2]WBF!#REF!</definedName>
    <definedName name="_WBF7" localSheetId="27">[2]WBF!#REF!</definedName>
    <definedName name="_WBF7" localSheetId="2">[1]WBF!$G$191</definedName>
    <definedName name="_WBF7" localSheetId="28">[2]WBF!#REF!</definedName>
    <definedName name="_WBF7">WBF!#REF!</definedName>
    <definedName name="_WBF8" localSheetId="29">[2]WBF!#REF!</definedName>
    <definedName name="_WBF8" localSheetId="27">[2]WBF!#REF!</definedName>
    <definedName name="_WBF8" localSheetId="2">[1]WBF!$G$192</definedName>
    <definedName name="_WBF8" localSheetId="28">[2]WBF!#REF!</definedName>
    <definedName name="_WBF8">WBF!#REF!</definedName>
    <definedName name="_WBN1" localSheetId="29">[2]WBN!#REF!</definedName>
    <definedName name="_WBN1" localSheetId="27">[2]WBN!#REF!</definedName>
    <definedName name="_WBN1" localSheetId="2">[1]WBN!$G$216</definedName>
    <definedName name="_WBN1" localSheetId="28">[2]WBN!#REF!</definedName>
    <definedName name="_WBN1">WBN!#REF!</definedName>
    <definedName name="_WBN2" localSheetId="29">[2]WBN!#REF!</definedName>
    <definedName name="_WBN2" localSheetId="27">[2]WBN!#REF!</definedName>
    <definedName name="_WBN2" localSheetId="2">[1]WBN!$G$217</definedName>
    <definedName name="_WBN2" localSheetId="28">[2]WBN!#REF!</definedName>
    <definedName name="_WBN2">WBN!#REF!</definedName>
    <definedName name="_WBN3" localSheetId="29">[2]WBN!#REF!</definedName>
    <definedName name="_WBN3" localSheetId="27">[2]WBN!#REF!</definedName>
    <definedName name="_WBN3" localSheetId="2">[1]WBN!$G$218</definedName>
    <definedName name="_WBN3" localSheetId="28">[2]WBN!#REF!</definedName>
    <definedName name="_WBN3">WBN!#REF!</definedName>
    <definedName name="_WBN4" localSheetId="29">[2]WBN!#REF!</definedName>
    <definedName name="_WBN4" localSheetId="27">[2]WBN!#REF!</definedName>
    <definedName name="_WBN4" localSheetId="2">[1]WBN!$G$219</definedName>
    <definedName name="_WBN4" localSheetId="28">[2]WBN!#REF!</definedName>
    <definedName name="_WBN4">WBN!#REF!</definedName>
    <definedName name="_WBN5" localSheetId="29">[2]WBN!#REF!</definedName>
    <definedName name="_WBN5" localSheetId="27">[2]WBN!#REF!</definedName>
    <definedName name="_WBN5" localSheetId="2">[1]WBN!$G$220</definedName>
    <definedName name="_WBN5" localSheetId="28">[2]WBN!#REF!</definedName>
    <definedName name="_WBN5">WBN!#REF!</definedName>
    <definedName name="_WBN6" localSheetId="29">[2]WBN!#REF!</definedName>
    <definedName name="_WBN6" localSheetId="27">[2]WBN!#REF!</definedName>
    <definedName name="_WBN6" localSheetId="2">[1]WBN!$G$221</definedName>
    <definedName name="_WBN6" localSheetId="28">[2]WBN!#REF!</definedName>
    <definedName name="_WBN6">WBN!#REF!</definedName>
    <definedName name="_WBN7" localSheetId="29">[2]WBN!#REF!</definedName>
    <definedName name="_WBN7" localSheetId="27">[2]WBN!#REF!</definedName>
    <definedName name="_WBN7" localSheetId="2">[1]WBN!$G$222</definedName>
    <definedName name="_WBN7" localSheetId="28">[2]WBN!#REF!</definedName>
    <definedName name="_WBN7">WBN!#REF!</definedName>
    <definedName name="_WBN8" localSheetId="29">[2]WBN!#REF!</definedName>
    <definedName name="_WBN8" localSheetId="27">[2]WBN!#REF!</definedName>
    <definedName name="_WBN8" localSheetId="2">[1]WBN!$G$223</definedName>
    <definedName name="_WBN8" localSheetId="28">[2]WBN!#REF!</definedName>
    <definedName name="_WBN8">WBN!#REF!</definedName>
    <definedName name="_WBN9" localSheetId="29">[2]WBN!#REF!</definedName>
    <definedName name="_WBN9" localSheetId="27">[2]WBN!#REF!</definedName>
    <definedName name="_WBN9" localSheetId="2">[1]WBN!#REF!</definedName>
    <definedName name="_WBN9" localSheetId="28">[2]WBN!#REF!</definedName>
    <definedName name="_WBN9" localSheetId="7">WBN!#REF!</definedName>
    <definedName name="_WBN9">WBN!#REF!</definedName>
    <definedName name="_WST1" localSheetId="29">[2]WS!#REF!</definedName>
    <definedName name="_WST1" localSheetId="27">[2]WS!#REF!</definedName>
    <definedName name="_WST1" localSheetId="2">[1]WS!$G$111</definedName>
    <definedName name="_WST1" localSheetId="28">[2]WS!#REF!</definedName>
    <definedName name="_WST1" localSheetId="7">WS!#REF!</definedName>
    <definedName name="_WST1">WS!#REF!</definedName>
    <definedName name="_WST2" localSheetId="29">[2]WS!#REF!</definedName>
    <definedName name="_WST2" localSheetId="27">[2]WS!#REF!</definedName>
    <definedName name="_WST2" localSheetId="2">[1]WS!$G$112</definedName>
    <definedName name="_WST2" localSheetId="28">[2]WS!#REF!</definedName>
    <definedName name="_WST2" localSheetId="7">WS!#REF!</definedName>
    <definedName name="_WST2">WS!#REF!</definedName>
    <definedName name="_WST3" localSheetId="29">[2]WS!#REF!</definedName>
    <definedName name="_WST3" localSheetId="27">[2]WS!#REF!</definedName>
    <definedName name="_WST3" localSheetId="2">[1]WS!$G$113</definedName>
    <definedName name="_WST3" localSheetId="28">[2]WS!#REF!</definedName>
    <definedName name="_WST3" localSheetId="7">WS!#REF!</definedName>
    <definedName name="_WST3">WS!#REF!</definedName>
    <definedName name="AbioSens" localSheetId="29">[2]Sen!$G$241</definedName>
    <definedName name="AbioSens" localSheetId="27">[2]Sen!$G$241</definedName>
    <definedName name="AbioSens" localSheetId="28">[2]Sen!$G$241</definedName>
    <definedName name="AbioSens">Sen!$G$241</definedName>
    <definedName name="ABpct10" localSheetId="29">[2]FR!$G$79</definedName>
    <definedName name="ABpct10" localSheetId="27">[2]FR!$G$79</definedName>
    <definedName name="ABpct10" localSheetId="2">[1]FR!$G$89</definedName>
    <definedName name="ABpct10" localSheetId="28">[2]FR!$G$79</definedName>
    <definedName name="ABpct10">FR!$G$79</definedName>
    <definedName name="ABpct11" localSheetId="29">[2]AM!$G$131</definedName>
    <definedName name="ABpct11" localSheetId="27">[2]AM!$G$131</definedName>
    <definedName name="ABpct11" localSheetId="2">[1]AM!$G$74</definedName>
    <definedName name="ABpct11" localSheetId="28">[2]AM!$G$131</definedName>
    <definedName name="ABpct11">AM!$G$135</definedName>
    <definedName name="ABpct12" localSheetId="29">[2]WBF!$G$106</definedName>
    <definedName name="ABpct12" localSheetId="27">[2]WBF!$G$106</definedName>
    <definedName name="ABpct12" localSheetId="2">[1]WBF!$G$72</definedName>
    <definedName name="ABpct12" localSheetId="28">[2]WBF!$G$106</definedName>
    <definedName name="ABpct12">WBF!$G$104</definedName>
    <definedName name="ABpct8" localSheetId="29">[2]INV!$G$86</definedName>
    <definedName name="ABpct8" localSheetId="27">[2]INV!$G$86</definedName>
    <definedName name="ABpct8" localSheetId="2">[1]INV!$G$82</definedName>
    <definedName name="ABpct8" localSheetId="28">[2]INV!$G$86</definedName>
    <definedName name="ABpct8">INV!$G$86</definedName>
    <definedName name="ABpct9">FA!$G$83</definedName>
    <definedName name="Access10" localSheetId="29">[2]FR!$G$13</definedName>
    <definedName name="Access10" localSheetId="27">[2]FR!$G$13</definedName>
    <definedName name="Access10" localSheetId="2">[1]FR!#REF!</definedName>
    <definedName name="Access10" localSheetId="28">[2]FR!$G$13</definedName>
    <definedName name="Access10">FR!$G$13</definedName>
    <definedName name="Access11" localSheetId="29">[2]AM!#REF!</definedName>
    <definedName name="Access11" localSheetId="27">[2]AM!#REF!</definedName>
    <definedName name="Access11" localSheetId="2">[1]AM!$D$4</definedName>
    <definedName name="Access11" localSheetId="28">[2]AM!#REF!</definedName>
    <definedName name="Access11" localSheetId="7">AM!#REF!</definedName>
    <definedName name="Access11">AM!#REF!</definedName>
    <definedName name="Access12">WBF!$D$28</definedName>
    <definedName name="Access8" localSheetId="2">[1]INV!$G$115</definedName>
    <definedName name="Access9" localSheetId="29">[2]FA!$G$13</definedName>
    <definedName name="Access9" localSheetId="27">[2]FA!$G$13</definedName>
    <definedName name="Access9" localSheetId="2">[1]FA!#REF!</definedName>
    <definedName name="Access9" localSheetId="28">[2]FA!$G$13</definedName>
    <definedName name="Access9">FA!$G$13</definedName>
    <definedName name="AccessFR10" localSheetId="29">[2]FR!#REF!</definedName>
    <definedName name="AccessFR10" localSheetId="27">[2]FR!#REF!</definedName>
    <definedName name="AccessFR10" localSheetId="2">[1]FR!$D$96</definedName>
    <definedName name="AccessFR10" localSheetId="28">[2]FR!#REF!</definedName>
    <definedName name="AccessFR10" localSheetId="7">FR!#REF!</definedName>
    <definedName name="AccessFR10">FR!#REF!</definedName>
    <definedName name="Acidic11">[2]AM!$G$118</definedName>
    <definedName name="Acidic13" localSheetId="29">[2]WBN!$G$132</definedName>
    <definedName name="Acidic13" localSheetId="27">[2]WBN!$G$132</definedName>
    <definedName name="Acidic13" localSheetId="28">[2]WBN!$G$132</definedName>
    <definedName name="Acidic13">WBN!$G$130</definedName>
    <definedName name="AcidicPool10">FR!$G$91</definedName>
    <definedName name="AcidPool10">FR!$D$91</definedName>
    <definedName name="AcidPool7">WW!$G$37</definedName>
    <definedName name="Adsorb3" localSheetId="29">[2]PR!$G$181</definedName>
    <definedName name="Adsorb3" localSheetId="27">[2]PR!$G$181</definedName>
    <definedName name="Adsorb3" localSheetId="28">[2]PR!$G$181</definedName>
    <definedName name="Adsorb3">PR!$G$180</definedName>
    <definedName name="AfishAccess9" localSheetId="29">[2]FA!#REF!</definedName>
    <definedName name="AfishAccess9" localSheetId="27">[2]FA!#REF!</definedName>
    <definedName name="AfishAccess9" localSheetId="2">[1]FA!$D$7</definedName>
    <definedName name="AfishAccess9" localSheetId="28">[2]FA!#REF!</definedName>
    <definedName name="AfishAccess9" localSheetId="7">FA!#REF!</definedName>
    <definedName name="AfishAccess9">FA!#REF!</definedName>
    <definedName name="AfishShed" localSheetId="29">#REF!</definedName>
    <definedName name="AfishShed" localSheetId="27">#REF!</definedName>
    <definedName name="AfishShed" localSheetId="2">#REF!</definedName>
    <definedName name="AfishShed" localSheetId="28">#REF!</definedName>
    <definedName name="AfishShed" localSheetId="7">#REF!</definedName>
    <definedName name="AfishShed">#REF!</definedName>
    <definedName name="AfishShed9" localSheetId="2">[1]FA!$D$6</definedName>
    <definedName name="AfishShed9">FA!$D$13</definedName>
    <definedName name="AFshed" localSheetId="29">#REF!</definedName>
    <definedName name="AFshed" localSheetId="27">#REF!</definedName>
    <definedName name="AFshed" localSheetId="2">#REF!</definedName>
    <definedName name="AFshed" localSheetId="28">#REF!</definedName>
    <definedName name="AFshed" localSheetId="7">#REF!</definedName>
    <definedName name="AFshed">#REF!</definedName>
    <definedName name="aglandprox" localSheetId="29">[2]POL!#REF!</definedName>
    <definedName name="aglandprox" localSheetId="27">[2]POL!#REF!</definedName>
    <definedName name="aglandprox" localSheetId="28">[2]POL!#REF!</definedName>
    <definedName name="aglandprox">POL!#REF!</definedName>
    <definedName name="Algae12" localSheetId="29">[2]WBF!$G$117</definedName>
    <definedName name="Algae12" localSheetId="27">[2]WBF!$G$117</definedName>
    <definedName name="Algae12" localSheetId="28">[2]WBF!$G$117</definedName>
    <definedName name="Algae12">WBF!$G$115</definedName>
    <definedName name="Algae3">PR!$G$78</definedName>
    <definedName name="AlkPlaya" localSheetId="29">#REF!</definedName>
    <definedName name="AlkPlaya" localSheetId="27">#REF!</definedName>
    <definedName name="AlkPlaya" localSheetId="2">#REF!</definedName>
    <definedName name="AlkPlaya" localSheetId="28">#REF!</definedName>
    <definedName name="AlkPlaya" localSheetId="7">#REF!</definedName>
    <definedName name="AlkPlaya">#REF!</definedName>
    <definedName name="AllDry10" localSheetId="29">[2]FR!#REF!</definedName>
    <definedName name="AllDry10" localSheetId="27">[2]FR!#REF!</definedName>
    <definedName name="AllDry10" localSheetId="2">[1]FR!#REF!</definedName>
    <definedName name="AllDry10" localSheetId="28">[2]FR!#REF!</definedName>
    <definedName name="AllDry10" localSheetId="7">FR!#REF!</definedName>
    <definedName name="AllDry10">FR!#REF!</definedName>
    <definedName name="AllDry11" localSheetId="2">[1]AM!$D$5</definedName>
    <definedName name="AllDry11">AM!$D$98</definedName>
    <definedName name="AllDry12" localSheetId="2">[1]WBF!$D$23</definedName>
    <definedName name="AllDry12">WBF!$D$64</definedName>
    <definedName name="AllDry13" localSheetId="29">[2]WBN!#REF!</definedName>
    <definedName name="AllDry13" localSheetId="27">[2]WBN!#REF!</definedName>
    <definedName name="AllDry13" localSheetId="2">[1]WBN!#REF!</definedName>
    <definedName name="AllDry13" localSheetId="28">[2]WBN!#REF!</definedName>
    <definedName name="AllDry13" localSheetId="7">WBN!#REF!</definedName>
    <definedName name="AllDry13">WBN!#REF!</definedName>
    <definedName name="AllDry2" localSheetId="29">[2]SR!#REF!</definedName>
    <definedName name="AllDry2" localSheetId="27">[2]SR!#REF!</definedName>
    <definedName name="AllDry2" localSheetId="2">[1]SR!$D$9</definedName>
    <definedName name="AllDry2" localSheetId="28">[2]SR!#REF!</definedName>
    <definedName name="AllDry2">SR!#REF!</definedName>
    <definedName name="AllDry5" localSheetId="29">[2]CS!#REF!</definedName>
    <definedName name="AllDry5" localSheetId="27">[2]CS!#REF!</definedName>
    <definedName name="AllDry5" localSheetId="2">[1]CS!#REF!</definedName>
    <definedName name="AllDry5" localSheetId="28">[2]CS!#REF!</definedName>
    <definedName name="AllDry5" localSheetId="7">CS!#REF!</definedName>
    <definedName name="AllDry5">CS!#REF!</definedName>
    <definedName name="AllDry5a" localSheetId="29">[2]CS!#REF!</definedName>
    <definedName name="AllDry5a" localSheetId="27">[2]CS!#REF!</definedName>
    <definedName name="AllDry5a" localSheetId="28">[2]CS!#REF!</definedName>
    <definedName name="AllDry5a">CS!#REF!</definedName>
    <definedName name="AllDry6" localSheetId="29">[2]OE!#REF!</definedName>
    <definedName name="AllDry6" localSheetId="27">[2]OE!#REF!</definedName>
    <definedName name="AllDry6" localSheetId="2">[1]OE!#REF!</definedName>
    <definedName name="AllDry6" localSheetId="28">[2]OE!#REF!</definedName>
    <definedName name="AllDry6" localSheetId="7">OE!#REF!</definedName>
    <definedName name="AllDry6">OE!#REF!</definedName>
    <definedName name="AllDry6a" localSheetId="29">[2]OE!#REF!</definedName>
    <definedName name="AllDry6a" localSheetId="27">[2]OE!#REF!</definedName>
    <definedName name="AllDry6a" localSheetId="2">[1]OE!$D$21</definedName>
    <definedName name="AllDry6a" localSheetId="28">[2]OE!#REF!</definedName>
    <definedName name="AllDry6a">OE!#REF!</definedName>
    <definedName name="Alldry7" localSheetId="29">[2]WC!#REF!</definedName>
    <definedName name="Alldry7" localSheetId="27">[2]WC!#REF!</definedName>
    <definedName name="Alldry7" localSheetId="2">[1]T!$D$5</definedName>
    <definedName name="Alldry7" localSheetId="28">[2]WC!#REF!</definedName>
    <definedName name="Alldry7" localSheetId="7">WW!#REF!</definedName>
    <definedName name="Alldry7">WC!#REF!</definedName>
    <definedName name="AllDry7a" localSheetId="29">[2]WC!#REF!</definedName>
    <definedName name="AllDry7a" localSheetId="27">[2]WC!#REF!</definedName>
    <definedName name="AllDry7a" localSheetId="28">[2]WC!#REF!</definedName>
    <definedName name="AllDry7a" localSheetId="7">WW!#REF!</definedName>
    <definedName name="AllDry7a">WC!#REF!</definedName>
    <definedName name="AllDry8" localSheetId="29">[2]INV!#REF!</definedName>
    <definedName name="AllDry8" localSheetId="27">[2]INV!#REF!</definedName>
    <definedName name="AllDry8" localSheetId="2">[1]INV!$D$15</definedName>
    <definedName name="AllDry8" localSheetId="28">[2]INV!#REF!</definedName>
    <definedName name="AllDry8" localSheetId="7">INV!#REF!</definedName>
    <definedName name="AllDry8">INV!#REF!</definedName>
    <definedName name="AllDry8a" localSheetId="29">[2]INV!#REF!</definedName>
    <definedName name="AllDry8a" localSheetId="27">[2]INV!#REF!</definedName>
    <definedName name="AllDry8a" localSheetId="28">[2]INV!#REF!</definedName>
    <definedName name="AllDry8a" localSheetId="7">INV!#REF!</definedName>
    <definedName name="AllDry8a">INV!#REF!</definedName>
    <definedName name="AllDry9" localSheetId="2">[1]FA!$D$20</definedName>
    <definedName name="AllDry9">FA!$D$38</definedName>
    <definedName name="AllFlowDry" localSheetId="29">[2]F!#REF!</definedName>
    <definedName name="AllFlowDry" localSheetId="27">[2]F!#REF!</definedName>
    <definedName name="AllFlowDry" localSheetId="28">[2]F!#REF!</definedName>
    <definedName name="AllFlowDry">F!#REF!</definedName>
    <definedName name="AllFlowing" localSheetId="29">[2]F!#REF!</definedName>
    <definedName name="AllFlowing" localSheetId="27">[2]F!#REF!</definedName>
    <definedName name="AllFlowing" localSheetId="28">[2]F!#REF!</definedName>
    <definedName name="AllFlowing">F!#REF!</definedName>
    <definedName name="AllFlowingDry" localSheetId="29">[2]F!#REF!</definedName>
    <definedName name="AllFlowingDry" localSheetId="27">[2]F!#REF!</definedName>
    <definedName name="AllFlowingDry" localSheetId="28">[2]F!#REF!</definedName>
    <definedName name="AllFlowingDry">F!#REF!</definedName>
    <definedName name="AllFlowingWet" localSheetId="29">[2]F!#REF!</definedName>
    <definedName name="AllFlowingWet" localSheetId="27">[2]F!#REF!</definedName>
    <definedName name="AllFlowingWet" localSheetId="28">[2]F!#REF!</definedName>
    <definedName name="AllFlowingWet">F!#REF!</definedName>
    <definedName name="AllForbCov" localSheetId="29">[2]F!$D$233</definedName>
    <definedName name="AllForbCov" localSheetId="27">[2]F!$D$233</definedName>
    <definedName name="AllForbCov" localSheetId="28">[2]F!$D$233</definedName>
    <definedName name="AllForbCov">F!$D$244</definedName>
    <definedName name="AllHerbCov">F!#REF!</definedName>
    <definedName name="AllMoss">F!#REF!</definedName>
    <definedName name="AllNat">F!#REF!</definedName>
    <definedName name="AllOpenPond" localSheetId="29">[2]F!$D$77</definedName>
    <definedName name="AllOpenPond" localSheetId="27">[2]F!$D$77</definedName>
    <definedName name="AllOpenPond" localSheetId="28">[2]F!$D$77</definedName>
    <definedName name="AllOpenPond">F!$D$85</definedName>
    <definedName name="AllSat" localSheetId="29">[2]F!$D$19</definedName>
    <definedName name="AllSat" localSheetId="27">[2]F!$D$19</definedName>
    <definedName name="AllSat" localSheetId="28">[2]F!$D$19</definedName>
    <definedName name="AllSat">F!$D$17</definedName>
    <definedName name="AllSat1" localSheetId="29">[2]F!$D$18</definedName>
    <definedName name="AllSat1" localSheetId="27">[2]F!$D$18</definedName>
    <definedName name="AllSat1" localSheetId="28">[2]F!$D$18</definedName>
    <definedName name="AllSat1">F!$D$16</definedName>
    <definedName name="AllSat2" localSheetId="29">[2]F!$D$17</definedName>
    <definedName name="AllSat2" localSheetId="27">[2]F!$D$17</definedName>
    <definedName name="AllSat2" localSheetId="28">[2]F!$D$17</definedName>
    <definedName name="AllSat2">F!$D$15</definedName>
    <definedName name="AllWater14" localSheetId="29">[2]SBM!#REF!</definedName>
    <definedName name="AllWater14" localSheetId="27">[2]SBM!#REF!</definedName>
    <definedName name="AllWater14" localSheetId="28">[2]SBM!#REF!</definedName>
    <definedName name="AllWater14">SBM!#REF!</definedName>
    <definedName name="AllWet" localSheetId="29">[2]F!$D$26</definedName>
    <definedName name="AllWet" localSheetId="27">[2]F!$D$26</definedName>
    <definedName name="AllWet" localSheetId="28">[2]F!$D$26</definedName>
    <definedName name="AllWet">F!$D$24</definedName>
    <definedName name="AltTime10" localSheetId="29">[2]FR!$G$125</definedName>
    <definedName name="AltTime10" localSheetId="27">[2]FR!$G$125</definedName>
    <definedName name="AltTime10" localSheetId="28">[2]FR!$G$125</definedName>
    <definedName name="AltTime10">FR!$G$125</definedName>
    <definedName name="AltTime11" localSheetId="29">[2]AM!#REF!</definedName>
    <definedName name="AltTime11" localSheetId="27">[2]AM!#REF!</definedName>
    <definedName name="AltTime11" localSheetId="28">[2]AM!#REF!</definedName>
    <definedName name="AltTime11">AM!#REF!</definedName>
    <definedName name="AltTime20" localSheetId="29">[2]PH!$G$208</definedName>
    <definedName name="AltTime20" localSheetId="27">[2]PH!$G$208</definedName>
    <definedName name="AltTime20" localSheetId="28">[2]PH!$G$208</definedName>
    <definedName name="AltTime20">PH!$G$208</definedName>
    <definedName name="AltTime8" localSheetId="29">[2]INV!$G$149</definedName>
    <definedName name="AltTime8" localSheetId="27">[2]INV!$G$149</definedName>
    <definedName name="AltTime8" localSheetId="28">[2]INV!$G$149</definedName>
    <definedName name="AltTime8">INV!$D$149</definedName>
    <definedName name="AltTime9" localSheetId="29">[2]FA!$G$124</definedName>
    <definedName name="AltTime9" localSheetId="27">[2]FA!$G$124</definedName>
    <definedName name="AltTime9" localSheetId="28">[2]FA!$G$124</definedName>
    <definedName name="AltTime9">FA!$G$130</definedName>
    <definedName name="AltTiming" localSheetId="29">[2]STR!$G$74</definedName>
    <definedName name="AltTiming" localSheetId="27">[2]STR!$G$74</definedName>
    <definedName name="AltTiming" localSheetId="2">[1]STR!$G$4</definedName>
    <definedName name="AltTiming" localSheetId="28">[2]STR!$G$74</definedName>
    <definedName name="AltTiming">STR!$G$74</definedName>
    <definedName name="AltTimingIN">STR!$G$74</definedName>
    <definedName name="AltTimingOut" localSheetId="29">[2]STR!#REF!</definedName>
    <definedName name="AltTimingOut" localSheetId="27">[2]STR!#REF!</definedName>
    <definedName name="AltTimingOut" localSheetId="2">[1]STR!$G$5</definedName>
    <definedName name="AltTimingOut" localSheetId="28">[2]STR!#REF!</definedName>
    <definedName name="AltTimingOut" localSheetId="7">STR!#REF!</definedName>
    <definedName name="AltTimingOut">STR!#REF!</definedName>
    <definedName name="Amphib" localSheetId="29">[2]INV!$G$178</definedName>
    <definedName name="Amphib" localSheetId="27">[2]INV!$G$178</definedName>
    <definedName name="Amphib" localSheetId="2">[1]INV!$G$161</definedName>
    <definedName name="Amphib" localSheetId="28">[2]INV!$G$178</definedName>
    <definedName name="Amphib">INV!$G$177</definedName>
    <definedName name="AmphScore" localSheetId="29">[2]WW!$G$74</definedName>
    <definedName name="AmphScore" localSheetId="27">[2]WW!$G$74</definedName>
    <definedName name="AmphScore" localSheetId="28">[2]WW!$G$74</definedName>
    <definedName name="AmphScore">WW!$G$80</definedName>
    <definedName name="AmPres11" localSheetId="29">[2]AM!$G$81</definedName>
    <definedName name="AmPres11" localSheetId="27">[2]AM!$G$81</definedName>
    <definedName name="AmPres11" localSheetId="28">[2]AM!$G$81</definedName>
    <definedName name="AmPres11">AM!$G$86</definedName>
    <definedName name="AmpSiteS" localSheetId="29">[2]Sen!$G$97</definedName>
    <definedName name="AmpSiteS" localSheetId="27">[2]Sen!$G$97</definedName>
    <definedName name="AmpSiteS" localSheetId="28">[2]Sen!$G$97</definedName>
    <definedName name="AmpSiteS">Sen!$G$90</definedName>
    <definedName name="Anad3" localSheetId="29">[2]PR!$G$118</definedName>
    <definedName name="Anad3" localSheetId="27">[2]PR!$G$118</definedName>
    <definedName name="Anad3" localSheetId="28">[2]PR!$G$118</definedName>
    <definedName name="Anad3">PR!$G$118</definedName>
    <definedName name="Anad4" localSheetId="29">[2]NR!$G$162</definedName>
    <definedName name="Anad4" localSheetId="27">[2]NR!$G$162</definedName>
    <definedName name="Anad4" localSheetId="28">[2]NR!$G$162</definedName>
    <definedName name="Anad4">NR!$G$162</definedName>
    <definedName name="AnadFish" localSheetId="29">[2]INV!$G$176</definedName>
    <definedName name="AnadFish" localSheetId="27">[2]INV!$G$176</definedName>
    <definedName name="AnadFish" localSheetId="2">[1]INV!$G$159</definedName>
    <definedName name="AnadFish" localSheetId="28">[2]INV!$G$176</definedName>
    <definedName name="AnadFish">INV!$G$175</definedName>
    <definedName name="AnadFish7" localSheetId="29">[2]WC!$G$71</definedName>
    <definedName name="AnadFish7" localSheetId="27">[2]WC!$G$71</definedName>
    <definedName name="AnadFish7" localSheetId="28">[2]WC!$G$71</definedName>
    <definedName name="AnadFish7" localSheetId="7">WW!#REF!</definedName>
    <definedName name="AnadFish7">WC!$G$77</definedName>
    <definedName name="AnadHUC7" localSheetId="29">[2]WC!#REF!</definedName>
    <definedName name="AnadHUC7" localSheetId="27">[2]WC!#REF!</definedName>
    <definedName name="AnadHUC7" localSheetId="2">[1]T!$G$37</definedName>
    <definedName name="AnadHUC7" localSheetId="28">[2]WC!#REF!</definedName>
    <definedName name="AnadHUC7" localSheetId="7">WW!#REF!</definedName>
    <definedName name="AnadHUC7">WC!#REF!</definedName>
    <definedName name="AnadPrio7" localSheetId="29">[2]WC!#REF!</definedName>
    <definedName name="AnadPrio7" localSheetId="27">[2]WC!#REF!</definedName>
    <definedName name="AnadPrio7" localSheetId="2">[1]T!#REF!</definedName>
    <definedName name="AnadPrio7" localSheetId="28">[2]WC!#REF!</definedName>
    <definedName name="AnadPrio7" localSheetId="7">WW!#REF!</definedName>
    <definedName name="AnadPrio7">WC!#REF!</definedName>
    <definedName name="AnadPrioShed" localSheetId="29">[2]FA!#REF!</definedName>
    <definedName name="AnadPrioShed" localSheetId="27">[2]FA!#REF!</definedName>
    <definedName name="AnadPrioShed" localSheetId="2">[1]FA!$G$123</definedName>
    <definedName name="AnadPrioShed" localSheetId="28">[2]FA!#REF!</definedName>
    <definedName name="AnadPrioShed">FA!#REF!</definedName>
    <definedName name="AnadScore2_" localSheetId="29">[2]SFS!$G$56</definedName>
    <definedName name="AnadScore2_" localSheetId="27">[2]SFS!$G$56</definedName>
    <definedName name="AnadScore2_" localSheetId="28">[2]SFS!$G$56</definedName>
    <definedName name="AnadScore2_">SFS!$G$56</definedName>
    <definedName name="AnimSens_S" localSheetId="29">[2]Sen!#REF!</definedName>
    <definedName name="AnimSens_S" localSheetId="27">[2]Sen!#REF!</definedName>
    <definedName name="AnimSens_S" localSheetId="2">[1]Sen!#REF!</definedName>
    <definedName name="AnimSens_S" localSheetId="28">[2]Sen!#REF!</definedName>
    <definedName name="AnimSens_S" localSheetId="7">Sen!#REF!</definedName>
    <definedName name="AnimSens_S">Sen!#REF!</definedName>
    <definedName name="AnoxRisk10" localSheetId="29">[2]FR!$G$157</definedName>
    <definedName name="AnoxRisk10" localSheetId="27">[2]FR!$G$157</definedName>
    <definedName name="AnoxRisk10" localSheetId="28">[2]FR!$G$157</definedName>
    <definedName name="AnoxRisk10">FR!$G$157</definedName>
    <definedName name="AqCov8" localSheetId="29">[2]INV!$G$74</definedName>
    <definedName name="AqCov8" localSheetId="27">[2]INV!$G$74</definedName>
    <definedName name="AqCov8" localSheetId="28">[2]INV!$G$74</definedName>
    <definedName name="AqCov8">INV!$G$74</definedName>
    <definedName name="AqFertilPD" localSheetId="29">[2]PH!$G$246</definedName>
    <definedName name="AqFertilPD" localSheetId="27">[2]PH!$G$246</definedName>
    <definedName name="AqFertilPD" localSheetId="28">[2]PH!$G$246</definedName>
    <definedName name="AqFertilPD">PH!$G$246</definedName>
    <definedName name="AqPest8" localSheetId="29">[2]INV!#REF!</definedName>
    <definedName name="AqPest8" localSheetId="27">[2]INV!#REF!</definedName>
    <definedName name="AqPest8" localSheetId="2">[1]INV!$G$76</definedName>
    <definedName name="AqPest8" localSheetId="28">[2]INV!#REF!</definedName>
    <definedName name="AqPest8" localSheetId="7">INV!#REF!</definedName>
    <definedName name="AqPest8">INV!#REF!</definedName>
    <definedName name="AqPlantCov13" localSheetId="29">[2]WBN!$G$121</definedName>
    <definedName name="AqPlantCov13" localSheetId="27">[2]WBN!$G$121</definedName>
    <definedName name="AqPlantCov13" localSheetId="28">[2]WBN!$G$121</definedName>
    <definedName name="AqPlantCov13">WBN!$G$119</definedName>
    <definedName name="AqPlantCov2" localSheetId="29">[2]SR!$G$67</definedName>
    <definedName name="AqPlantCov2" localSheetId="27">[2]SR!$G$67</definedName>
    <definedName name="AqPlantCov2" localSheetId="28">[2]SR!$G$67</definedName>
    <definedName name="AqPlantCov2">SR!$G$72</definedName>
    <definedName name="AqPlantCov3" localSheetId="29">[2]PR!$G$62</definedName>
    <definedName name="AqPlantCov3" localSheetId="27">[2]PR!$G$62</definedName>
    <definedName name="AqPlantCov3" localSheetId="28">[2]PR!$G$62</definedName>
    <definedName name="AqPlantCov3">PR!$G$67</definedName>
    <definedName name="AqPlantCov4" localSheetId="29">[2]NR!$G$84</definedName>
    <definedName name="AqPlantCov4" localSheetId="27">[2]NR!$G$84</definedName>
    <definedName name="AqPlantCov4" localSheetId="28">[2]NR!$G$84</definedName>
    <definedName name="AqPlantCov4">NR!$G$89</definedName>
    <definedName name="AqPlantCov5">CS!$G$62</definedName>
    <definedName name="AqPlantCov6" localSheetId="29">[2]OE!$G$79</definedName>
    <definedName name="AqPlantCov6" localSheetId="27">[2]OE!$G$79</definedName>
    <definedName name="AqPlantCov6" localSheetId="28">[2]OE!$G$79</definedName>
    <definedName name="AqPlantCov6">OE!$G$70</definedName>
    <definedName name="AqPlantCov9" localSheetId="29">[2]FA!$G$77</definedName>
    <definedName name="AqPlantCov9" localSheetId="27">[2]FA!$G$77</definedName>
    <definedName name="AqPlantCov9" localSheetId="28">[2]FA!$G$77</definedName>
    <definedName name="AqPlantCov9">FA!$G$83</definedName>
    <definedName name="AqStruc11" localSheetId="29">[2]AM!$G$244</definedName>
    <definedName name="AqStruc11" localSheetId="27">[2]AM!$G$244</definedName>
    <definedName name="AqStruc11" localSheetId="28">[2]AM!$G$244</definedName>
    <definedName name="AqStruc11">AM!$G$243</definedName>
    <definedName name="Aquif1" localSheetId="29">[2]WS!#REF!</definedName>
    <definedName name="Aquif1" localSheetId="27">[2]WS!#REF!</definedName>
    <definedName name="Aquif1" localSheetId="2">[1]WS!#REF!</definedName>
    <definedName name="Aquif1" localSheetId="28">[2]WS!#REF!</definedName>
    <definedName name="Aquif1" localSheetId="7">WS!#REF!</definedName>
    <definedName name="Aquif1">WS!#REF!</definedName>
    <definedName name="Aquifer" localSheetId="29">[2]WS!#REF!</definedName>
    <definedName name="Aquifer" localSheetId="27">[2]WS!#REF!</definedName>
    <definedName name="Aquifer" localSheetId="2">[1]WS!#REF!</definedName>
    <definedName name="Aquifer" localSheetId="28">[2]WS!#REF!</definedName>
    <definedName name="Aquifer" localSheetId="7">WS!#REF!</definedName>
    <definedName name="Aquifer">WS!#REF!</definedName>
    <definedName name="Aquifer4" localSheetId="29">[2]NR!$G$216</definedName>
    <definedName name="Aquifer4" localSheetId="27">[2]NR!$G$216</definedName>
    <definedName name="Aquifer4" localSheetId="2">[1]NR!$G$151</definedName>
    <definedName name="Aquifer4" localSheetId="28">[2]NR!$G$216</definedName>
    <definedName name="Aquifer4">NR!$G$216</definedName>
    <definedName name="aspect0" localSheetId="29">[2]POL!$G$18</definedName>
    <definedName name="aspect0" localSheetId="27">[2]POL!$G$18</definedName>
    <definedName name="aspect0" localSheetId="28">[2]POL!$G$18</definedName>
    <definedName name="aspect0">POL!$G$18</definedName>
    <definedName name="Aspect1" localSheetId="29">[2]WS!$G$20</definedName>
    <definedName name="Aspect1" localSheetId="27">[2]WS!$G$20</definedName>
    <definedName name="Aspect1" localSheetId="28">[2]WS!$G$20</definedName>
    <definedName name="Aspect1">WS!$G$20</definedName>
    <definedName name="Aspect11" localSheetId="29">[2]AM!$G$77</definedName>
    <definedName name="Aspect11" localSheetId="27">[2]AM!$G$77</definedName>
    <definedName name="Aspect11" localSheetId="28">[2]AM!$G$77</definedName>
    <definedName name="Aspect11">AM!$G$77</definedName>
    <definedName name="Aspect2_" localSheetId="29">[2]SFS!$G$3</definedName>
    <definedName name="Aspect2_" localSheetId="27">[2]SFS!$G$3</definedName>
    <definedName name="Aspect2_" localSheetId="28">[2]SFS!$G$3</definedName>
    <definedName name="Aspect2_">SFS!$G$3</definedName>
    <definedName name="Aspect4" localSheetId="29">[2]NR!$G$27</definedName>
    <definedName name="Aspect4" localSheetId="27">[2]NR!$G$27</definedName>
    <definedName name="Aspect4" localSheetId="28">[2]NR!$G$27</definedName>
    <definedName name="Aspect4">NR!$G$27</definedName>
    <definedName name="Aspect7" localSheetId="29">[2]WC!$G$3</definedName>
    <definedName name="Aspect7" localSheetId="27">[2]WC!$G$3</definedName>
    <definedName name="Aspect7" localSheetId="28">[2]WC!$G$3</definedName>
    <definedName name="Aspect7" localSheetId="7">WW!#REF!</definedName>
    <definedName name="Aspect7">WC!$G$3</definedName>
    <definedName name="Aspect7v" localSheetId="7">WW!$G$68</definedName>
    <definedName name="Aspect7v">WC!$G$61</definedName>
    <definedName name="Aspect7vw">WW!$G$68</definedName>
    <definedName name="Aspect7w" localSheetId="29">[2]WW!#REF!</definedName>
    <definedName name="Aspect7w" localSheetId="27">[2]WW!#REF!</definedName>
    <definedName name="Aspect7w" localSheetId="28">[2]WW!#REF!</definedName>
    <definedName name="Aspect7w">WW!#REF!</definedName>
    <definedName name="AspectPD" localSheetId="29">[2]PH!$G$59</definedName>
    <definedName name="AspectPD" localSheetId="27">[2]PH!$G$59</definedName>
    <definedName name="AspectPD" localSheetId="28">[2]PH!$G$59</definedName>
    <definedName name="AspectPD">PH!$G$52</definedName>
    <definedName name="BareGpct" localSheetId="29">[2]EC!$G$7</definedName>
    <definedName name="BareGpct" localSheetId="27">[2]EC!$G$7</definedName>
    <definedName name="BareGpct" localSheetId="28">[2]EC!$G$7</definedName>
    <definedName name="BareGpct">EC!$G$7</definedName>
    <definedName name="BearHab9" localSheetId="29">[2]FA!#REF!</definedName>
    <definedName name="BearHab9" localSheetId="27">[2]FA!#REF!</definedName>
    <definedName name="BearHab9" localSheetId="28">[2]FA!#REF!</definedName>
    <definedName name="BearHab9">FA!#REF!</definedName>
    <definedName name="BearPD" localSheetId="29">[2]PH!#REF!</definedName>
    <definedName name="BearPD" localSheetId="27">[2]PH!#REF!</definedName>
    <definedName name="BearPD" localSheetId="28">[2]PH!#REF!</definedName>
    <definedName name="BearPD">PH!#REF!</definedName>
    <definedName name="BearShed" localSheetId="29">[2]FA!#REF!</definedName>
    <definedName name="BearShed" localSheetId="27">[2]FA!#REF!</definedName>
    <definedName name="BearShed" localSheetId="28">[2]FA!#REF!</definedName>
    <definedName name="BearShed">FA!#REF!</definedName>
    <definedName name="BearShed14" localSheetId="29">[2]SBM!#REF!</definedName>
    <definedName name="BearShed14" localSheetId="27">[2]SBM!#REF!</definedName>
    <definedName name="BearShed14" localSheetId="28">[2]SBM!#REF!</definedName>
    <definedName name="BearShed14">SBM!#REF!</definedName>
    <definedName name="BearShed9" localSheetId="29">[2]FA!#REF!</definedName>
    <definedName name="BearShed9" localSheetId="27">[2]FA!#REF!</definedName>
    <definedName name="BearShed9" localSheetId="28">[2]FA!#REF!</definedName>
    <definedName name="BearShed9">FA!#REF!</definedName>
    <definedName name="Beaver_S" localSheetId="29">[2]Sen!$G$158</definedName>
    <definedName name="Beaver_S" localSheetId="27">[2]Sen!$G$158</definedName>
    <definedName name="Beaver_S" localSheetId="28">[2]Sen!$G$158</definedName>
    <definedName name="Beaver_S">Sen!$G$151</definedName>
    <definedName name="Beaver10" localSheetId="29">[2]FR!$G$92</definedName>
    <definedName name="Beaver10" localSheetId="27">[2]FR!$G$92</definedName>
    <definedName name="Beaver10" localSheetId="28">[2]FR!$G$92</definedName>
    <definedName name="Beaver10">FR!$G$92</definedName>
    <definedName name="Beaver12" localSheetId="29">[2]WBF!$G$119</definedName>
    <definedName name="Beaver12" localSheetId="27">[2]WBF!$G$119</definedName>
    <definedName name="Beaver12" localSheetId="28">[2]WBF!$G$119</definedName>
    <definedName name="Beaver12">WBF!$G$117</definedName>
    <definedName name="Beaver13" localSheetId="29">[2]WBN!$G$134</definedName>
    <definedName name="Beaver13" localSheetId="27">[2]WBN!$G$134</definedName>
    <definedName name="Beaver13" localSheetId="28">[2]WBN!$G$134</definedName>
    <definedName name="Beaver13">WBN!$G$132</definedName>
    <definedName name="Beaver14">SBM!$D$103</definedName>
    <definedName name="Beaver14a" localSheetId="29">[2]SBM!$G$109</definedName>
    <definedName name="Beaver14a" localSheetId="27">[2]SBM!$G$109</definedName>
    <definedName name="Beaver14a" localSheetId="28">[2]SBM!$G$109</definedName>
    <definedName name="Beaver14a">SBM!$G$103</definedName>
    <definedName name="Beaver9" localSheetId="29">[2]FA!$G$88</definedName>
    <definedName name="Beaver9" localSheetId="27">[2]FA!$G$88</definedName>
    <definedName name="Beaver9" localSheetId="28">[2]FA!$G$88</definedName>
    <definedName name="Beaver9">FA!$G$94</definedName>
    <definedName name="BeaverPD" localSheetId="29">[2]PH!$G$105</definedName>
    <definedName name="BeaverPD" localSheetId="27">[2]PH!$G$105</definedName>
    <definedName name="BeaverPD" localSheetId="28">[2]PH!$G$105</definedName>
    <definedName name="BeaverPD">PH!$G$98</definedName>
    <definedName name="BestInScape" localSheetId="29">#REF!</definedName>
    <definedName name="BestInScape" localSheetId="27">#REF!</definedName>
    <definedName name="BestInScape" localSheetId="2">#REF!</definedName>
    <definedName name="BestInScape" localSheetId="28">#REF!</definedName>
    <definedName name="BestInScape" localSheetId="7">#REF!</definedName>
    <definedName name="BestInScape">#REF!</definedName>
    <definedName name="BestInShed" localSheetId="29">#REF!</definedName>
    <definedName name="BestInShed" localSheetId="27">#REF!</definedName>
    <definedName name="BestInShed" localSheetId="2">#REF!</definedName>
    <definedName name="BestInShed" localSheetId="28">#REF!</definedName>
    <definedName name="BestInShed" localSheetId="7">#REF!</definedName>
    <definedName name="BestInShed">#REF!</definedName>
    <definedName name="BigPondProx12" localSheetId="29">[2]WBF!$G$24</definedName>
    <definedName name="BigPondProx12" localSheetId="27">[2]WBF!$G$24</definedName>
    <definedName name="BigPondProx12" localSheetId="2">[1]WBF!$G$137</definedName>
    <definedName name="BigPondProx12" localSheetId="28">[2]WBF!$G$24</definedName>
    <definedName name="BigPondProx12">WBF!$G$17</definedName>
    <definedName name="Biological">EC!$G$33</definedName>
    <definedName name="BioSens" localSheetId="29">[2]Sen!$G$242</definedName>
    <definedName name="BioSens" localSheetId="27">[2]Sen!$G$242</definedName>
    <definedName name="BioSens" localSheetId="28">[2]Sen!$G$242</definedName>
    <definedName name="BioSens">Sen!$G$242</definedName>
    <definedName name="Bioshed14" localSheetId="29">[2]SBM!#REF!</definedName>
    <definedName name="Bioshed14" localSheetId="27">[2]SBM!#REF!</definedName>
    <definedName name="Bioshed14" localSheetId="28">[2]SBM!#REF!</definedName>
    <definedName name="Bioshed14">SBM!#REF!</definedName>
    <definedName name="BioShedX" localSheetId="29">[2]STR!#REF!</definedName>
    <definedName name="BioShedX" localSheetId="27">[2]STR!#REF!</definedName>
    <definedName name="BioShedX" localSheetId="28">[2]STR!#REF!</definedName>
    <definedName name="BioShedX">STR!#REF!</definedName>
    <definedName name="BMPsoils20" localSheetId="29">[2]PH!$G$207</definedName>
    <definedName name="BMPsoils20" localSheetId="27">[2]PH!$G$207</definedName>
    <definedName name="BMPsoils20" localSheetId="28">[2]PH!$G$207</definedName>
    <definedName name="BMPsoils20">PH!$G$207</definedName>
    <definedName name="BMPsoilsPU" localSheetId="29">[2]PU!$G$53</definedName>
    <definedName name="BMPsoilsPU" localSheetId="27">[2]PU!$G$53</definedName>
    <definedName name="BMPsoilsPU" localSheetId="28">[2]PU!$G$53</definedName>
    <definedName name="BMPsoilsPU">PU!$G$54</definedName>
    <definedName name="BMPwild11">[2]AM!$G$204</definedName>
    <definedName name="BMPwild12">[2]WBF!$G$158</definedName>
    <definedName name="BMPwild13">[2]WBN!$G$190</definedName>
    <definedName name="BMPwildPU" localSheetId="29">[2]PU!$G$54</definedName>
    <definedName name="BMPwildPU" localSheetId="27">[2]PU!$G$54</definedName>
    <definedName name="BMPwildPU" localSheetId="28">[2]PU!$G$54</definedName>
    <definedName name="BMPwildPU">PU!$G$55</definedName>
    <definedName name="BoatsPD" localSheetId="29">[2]PH!#REF!</definedName>
    <definedName name="BoatsPD" localSheetId="27">[2]PH!#REF!</definedName>
    <definedName name="BoatsPD" localSheetId="2">[1]PD!$G$114</definedName>
    <definedName name="BoatsPD" localSheetId="28">[2]PH!#REF!</definedName>
    <definedName name="BoatsPD" localSheetId="7">PH!#REF!</definedName>
    <definedName name="BoatsPD">PH!#REF!</definedName>
    <definedName name="BoatVector" localSheetId="29">[2]STR!#REF!</definedName>
    <definedName name="BoatVector" localSheetId="27">[2]STR!#REF!</definedName>
    <definedName name="BoatVector" localSheetId="2">[1]STR!$G$19</definedName>
    <definedName name="BoatVector" localSheetId="28">[2]STR!#REF!</definedName>
    <definedName name="BoatVector" localSheetId="7">STR!#REF!</definedName>
    <definedName name="BoatVector">STR!#REF!</definedName>
    <definedName name="Bog" localSheetId="29">#REF!</definedName>
    <definedName name="Bog" localSheetId="27">#REF!</definedName>
    <definedName name="Bog" localSheetId="2">#REF!</definedName>
    <definedName name="Bog" localSheetId="28">#REF!</definedName>
    <definedName name="Bog" localSheetId="7">#REF!</definedName>
    <definedName name="Bog">#REF!</definedName>
    <definedName name="Bog_S" localSheetId="29">[2]Sen!#REF!</definedName>
    <definedName name="Bog_S" localSheetId="27">[2]Sen!#REF!</definedName>
    <definedName name="Bog_S" localSheetId="2">[1]Sen!$D$3</definedName>
    <definedName name="Bog_S" localSheetId="28">[2]Sen!#REF!</definedName>
    <definedName name="Bog_S">Sen!#REF!</definedName>
    <definedName name="Bogs6" localSheetId="2">[1]OE!$G$3</definedName>
    <definedName name="Bogs6">OE!$G$32</definedName>
    <definedName name="BogW" localSheetId="29">#REF!</definedName>
    <definedName name="BogW" localSheetId="27">#REF!</definedName>
    <definedName name="BogW" localSheetId="2">#REF!</definedName>
    <definedName name="BogW" localSheetId="28">#REF!</definedName>
    <definedName name="BogW" localSheetId="7">#REF!</definedName>
    <definedName name="BogW">#REF!</definedName>
    <definedName name="Browsed14">SBM!$G$65</definedName>
    <definedName name="BrowsedS" localSheetId="29">[2]STR!#REF!</definedName>
    <definedName name="BrowsedS" localSheetId="27">[2]STR!#REF!</definedName>
    <definedName name="BrowsedS" localSheetId="28">[2]STR!#REF!</definedName>
    <definedName name="BrowsedS">STR!#REF!</definedName>
    <definedName name="BuffAllNat" localSheetId="29">[2]F!$D$258</definedName>
    <definedName name="BuffAllNat" localSheetId="27">[2]F!$D$258</definedName>
    <definedName name="BuffAllNat" localSheetId="28">[2]F!$D$258</definedName>
    <definedName name="BuffAllNat">F!$D$269</definedName>
    <definedName name="BuffCovTyp4" localSheetId="29">[2]NR!$G$208</definedName>
    <definedName name="BuffCovTyp4" localSheetId="27">[2]NR!$G$208</definedName>
    <definedName name="BuffCovTyp4" localSheetId="28">[2]NR!$G$208</definedName>
    <definedName name="BuffCovTyp4">NR!$G$208</definedName>
    <definedName name="BuffCUnatPct9" localSheetId="29">[2]FA!#REF!</definedName>
    <definedName name="BuffCUnatPct9" localSheetId="27">[2]FA!#REF!</definedName>
    <definedName name="BuffCUnatPct9" localSheetId="2">[1]FA!#REF!</definedName>
    <definedName name="BuffCUnatPct9" localSheetId="28">[2]FA!#REF!</definedName>
    <definedName name="BuffCUnatPct9" localSheetId="7">FA!#REF!</definedName>
    <definedName name="BuffCUnatPct9">FA!#REF!</definedName>
    <definedName name="BuffDisturbTyp" localSheetId="2">[1]STR!$G$46</definedName>
    <definedName name="BuffDisturbTyp">STR!$G$41</definedName>
    <definedName name="BufferWeeds" localSheetId="29">#REF!</definedName>
    <definedName name="BufferWeeds" localSheetId="27">#REF!</definedName>
    <definedName name="BufferWeeds" localSheetId="2">#REF!</definedName>
    <definedName name="BufferWeeds" localSheetId="28">#REF!</definedName>
    <definedName name="BufferWeeds" localSheetId="7">#REF!</definedName>
    <definedName name="BufferWeeds">#REF!</definedName>
    <definedName name="BuffLU10" localSheetId="29">[2]FR!#REF!</definedName>
    <definedName name="BuffLU10" localSheetId="27">[2]FR!#REF!</definedName>
    <definedName name="BuffLU10" localSheetId="2">[1]FR!#REF!</definedName>
    <definedName name="BuffLU10" localSheetId="28">[2]FR!#REF!</definedName>
    <definedName name="BuffLU10" localSheetId="7">FR!#REF!</definedName>
    <definedName name="BuffLU10">FR!#REF!</definedName>
    <definedName name="BuffLU11" localSheetId="29">[2]AM!$G$189</definedName>
    <definedName name="BuffLU11" localSheetId="27">[2]AM!$G$189</definedName>
    <definedName name="BuffLU11" localSheetId="2">[1]AM!$G$158</definedName>
    <definedName name="BuffLU11" localSheetId="28">[2]AM!$G$189</definedName>
    <definedName name="BuffLU11">AM!$G$188</definedName>
    <definedName name="BuffLU14" localSheetId="29">[2]SBM!#REF!</definedName>
    <definedName name="BuffLU14" localSheetId="27">[2]SBM!#REF!</definedName>
    <definedName name="BuffLU14" localSheetId="2">[1]SBM!#REF!</definedName>
    <definedName name="BuffLU14" localSheetId="28">[2]SBM!#REF!</definedName>
    <definedName name="BuffLU14" localSheetId="7">SBM!#REF!</definedName>
    <definedName name="BuffLU14">SBM!#REF!</definedName>
    <definedName name="BuffLU8" localSheetId="29">[2]INV!#REF!</definedName>
    <definedName name="BuffLU8" localSheetId="27">[2]INV!#REF!</definedName>
    <definedName name="BuffLU8" localSheetId="2">[1]INV!#REF!</definedName>
    <definedName name="BuffLU8" localSheetId="28">[2]INV!#REF!</definedName>
    <definedName name="BuffLU8" localSheetId="7">INV!#REF!</definedName>
    <definedName name="BuffLU8">INV!#REF!</definedName>
    <definedName name="BuffLU9" localSheetId="29">[2]FA!$G$121</definedName>
    <definedName name="BuffLU9" localSheetId="27">[2]FA!$G$121</definedName>
    <definedName name="BuffLU9" localSheetId="2">[1]FA!$G$99</definedName>
    <definedName name="BuffLU9" localSheetId="28">[2]FA!$G$121</definedName>
    <definedName name="BuffLU9">FA!$G$127</definedName>
    <definedName name="BuffLUpd" localSheetId="29">[2]PH!$G$185</definedName>
    <definedName name="BuffLUpd" localSheetId="27">[2]PH!$G$185</definedName>
    <definedName name="BuffLUpd" localSheetId="2">[1]PD!$G$141</definedName>
    <definedName name="BuffLUpd" localSheetId="28">[2]PH!$G$185</definedName>
    <definedName name="BuffLUpd">PH!$G$185</definedName>
    <definedName name="BuffLUtype13" localSheetId="29">[2]WBN!$G$175</definedName>
    <definedName name="BuffLUtype13" localSheetId="27">[2]WBN!$G$175</definedName>
    <definedName name="BuffLUtype13" localSheetId="2">[1]WBN!$G$134</definedName>
    <definedName name="BuffLUtype13" localSheetId="28">[2]WBN!$G$175</definedName>
    <definedName name="BuffLUtype13">WBN!$G$175</definedName>
    <definedName name="BuffNatPct13" localSheetId="29">[2]WBN!$G$169</definedName>
    <definedName name="BuffNatPct13" localSheetId="27">[2]WBN!$G$169</definedName>
    <definedName name="BuffNatPct13" localSheetId="2">[1]WBN!$G$128</definedName>
    <definedName name="BuffNatPct13" localSheetId="28">[2]WBN!$G$169</definedName>
    <definedName name="BuffNatPct13">WBN!$G$169</definedName>
    <definedName name="BuffPctCU10" localSheetId="29">[2]FR!#REF!</definedName>
    <definedName name="BuffPctCU10" localSheetId="27">[2]FR!#REF!</definedName>
    <definedName name="BuffPctCU10" localSheetId="2">[1]FR!#REF!</definedName>
    <definedName name="BuffPctCU10" localSheetId="28">[2]FR!#REF!</definedName>
    <definedName name="BuffPctCU10" localSheetId="7">FR!#REF!</definedName>
    <definedName name="BuffPctCU10">FR!#REF!</definedName>
    <definedName name="BuffPctNat9" localSheetId="29">[2]FA!$G$115</definedName>
    <definedName name="BuffPctNat9" localSheetId="27">[2]FA!$G$115</definedName>
    <definedName name="BuffPctNat9" localSheetId="28">[2]FA!$G$115</definedName>
    <definedName name="BuffPctNat9">FA!$G$121</definedName>
    <definedName name="BuffSlope_S" localSheetId="29">[2]Sen!$G$228</definedName>
    <definedName name="BuffSlope_S" localSheetId="27">[2]Sen!$G$228</definedName>
    <definedName name="BuffSlope_S" localSheetId="2">[1]Sen!$G$122</definedName>
    <definedName name="BuffSlope_S" localSheetId="28">[2]Sen!$G$228</definedName>
    <definedName name="BuffSlope_S">Sen!$G$228</definedName>
    <definedName name="BuffSlope2" localSheetId="29">[2]SR!$G$169</definedName>
    <definedName name="BuffSlope2" localSheetId="27">[2]SR!$G$169</definedName>
    <definedName name="BuffSlope2" localSheetId="28">[2]SR!$G$169</definedName>
    <definedName name="BuffSlope2">SR!$G$170</definedName>
    <definedName name="BuffSlope3" localSheetId="29">[2]PR!$G$162</definedName>
    <definedName name="BuffSlope3" localSheetId="27">[2]PR!$G$162</definedName>
    <definedName name="BuffSlope3" localSheetId="28">[2]PR!$G$162</definedName>
    <definedName name="BuffSlope3">PR!$G$162</definedName>
    <definedName name="BuffSlope4" localSheetId="29">[2]NR!$G$211</definedName>
    <definedName name="BuffSlope4" localSheetId="27">[2]NR!$G$211</definedName>
    <definedName name="BuffSlope4" localSheetId="28">[2]NR!$G$211</definedName>
    <definedName name="BuffSlope4">NR!$G$211</definedName>
    <definedName name="BuffVdens" localSheetId="29">[2]STR!#REF!</definedName>
    <definedName name="BuffVdens" localSheetId="27">[2]STR!#REF!</definedName>
    <definedName name="BuffVdens" localSheetId="2">[1]STR!#REF!</definedName>
    <definedName name="BuffVdens" localSheetId="28">[2]STR!#REF!</definedName>
    <definedName name="BuffVdens" localSheetId="7">STR!#REF!</definedName>
    <definedName name="BuffVdens">STR!#REF!</definedName>
    <definedName name="BuffVeg2" localSheetId="29">[2]SR!#REF!</definedName>
    <definedName name="BuffVeg2" localSheetId="27">[2]SR!#REF!</definedName>
    <definedName name="BuffVeg2" localSheetId="2">[1]SR!#REF!</definedName>
    <definedName name="BuffVeg2" localSheetId="28">[2]SR!#REF!</definedName>
    <definedName name="BuffVeg2" localSheetId="7">SR!#REF!</definedName>
    <definedName name="BuffVeg2">SR!#REF!</definedName>
    <definedName name="BuffVpct3" localSheetId="29">[2]PR!#REF!</definedName>
    <definedName name="BuffVpct3" localSheetId="27">[2]PR!#REF!</definedName>
    <definedName name="BuffVpct3" localSheetId="2">[1]PR!#REF!</definedName>
    <definedName name="BuffVpct3" localSheetId="28">[2]PR!#REF!</definedName>
    <definedName name="BuffVpct3" localSheetId="7">PR!#REF!</definedName>
    <definedName name="BuffVpct3">PR!#REF!</definedName>
    <definedName name="BuffVpct4" localSheetId="29">[2]NR!#REF!</definedName>
    <definedName name="BuffVpct4" localSheetId="27">[2]NR!#REF!</definedName>
    <definedName name="BuffVpct4" localSheetId="2">[1]NR!#REF!</definedName>
    <definedName name="BuffVpct4" localSheetId="28">[2]NR!#REF!</definedName>
    <definedName name="BuffVpct4" localSheetId="7">NR!#REF!</definedName>
    <definedName name="BuffVpct4">NR!#REF!</definedName>
    <definedName name="CAimperv" localSheetId="29">[2]STR!$G$26</definedName>
    <definedName name="CAimperv" localSheetId="27">[2]STR!$G$26</definedName>
    <definedName name="CAimperv" localSheetId="28">[2]STR!$G$26</definedName>
    <definedName name="CAimperv">STR!$G$22</definedName>
    <definedName name="calcarPD" localSheetId="29">[2]PH!#REF!</definedName>
    <definedName name="calcarPD" localSheetId="27">[2]PH!#REF!</definedName>
    <definedName name="calcarPD" localSheetId="2">[1]PD!#REF!</definedName>
    <definedName name="calcarPD" localSheetId="28">[2]PH!#REF!</definedName>
    <definedName name="calcarPD" localSheetId="7">PH!#REF!</definedName>
    <definedName name="calcarPD">PH!#REF!</definedName>
    <definedName name="Calcium3" localSheetId="29">[2]PR!#REF!</definedName>
    <definedName name="Calcium3" localSheetId="27">[2]PR!#REF!</definedName>
    <definedName name="Calcium3" localSheetId="2">[1]PR!#REF!</definedName>
    <definedName name="Calcium3" localSheetId="28">[2]PR!#REF!</definedName>
    <definedName name="Calcium3" localSheetId="7">PR!#REF!</definedName>
    <definedName name="Calcium3">PR!#REF!</definedName>
    <definedName name="Calcium5" localSheetId="29">[2]CS!#REF!</definedName>
    <definedName name="Calcium5" localSheetId="27">[2]CS!#REF!</definedName>
    <definedName name="Calcium5" localSheetId="2">[1]CS!#REF!</definedName>
    <definedName name="Calcium5" localSheetId="28">[2]CS!#REF!</definedName>
    <definedName name="Calcium5" localSheetId="7">CS!#REF!</definedName>
    <definedName name="Calcium5">CS!#REF!</definedName>
    <definedName name="CAnatPct2" localSheetId="29">[2]SR!$G$163</definedName>
    <definedName name="CAnatPct2" localSheetId="27">[2]SR!$G$163</definedName>
    <definedName name="CAnatPct2" localSheetId="2">[1]SR!$G$154</definedName>
    <definedName name="CAnatPct2" localSheetId="28">[2]SR!$G$163</definedName>
    <definedName name="CAnatPct2">SR!$G$164</definedName>
    <definedName name="CAnatPct4" localSheetId="29">[2]NR!$G$202</definedName>
    <definedName name="CAnatPct4" localSheetId="27">[2]NR!$G$202</definedName>
    <definedName name="CAnatPct4" localSheetId="2">[1]NR!$G$155</definedName>
    <definedName name="CAnatPct4" localSheetId="28">[2]NR!$G$202</definedName>
    <definedName name="CAnatPct4">NR!$G$202</definedName>
    <definedName name="CApct1" localSheetId="29">[2]WS!$G$97</definedName>
    <definedName name="CApct1" localSheetId="27">[2]WS!$G$97</definedName>
    <definedName name="CApct1" localSheetId="2">[1]WS!$G$79</definedName>
    <definedName name="CApct1" localSheetId="28">[2]WS!$G$97</definedName>
    <definedName name="CApct1">WS!$G$97</definedName>
    <definedName name="CApct2" localSheetId="29">[2]SR!$G$133</definedName>
    <definedName name="CApct2" localSheetId="27">[2]SR!$G$133</definedName>
    <definedName name="CApct2" localSheetId="2">[1]SR!$G$85</definedName>
    <definedName name="CApct2" localSheetId="28">[2]SR!$G$133</definedName>
    <definedName name="CApct2">SR!$G$133</definedName>
    <definedName name="CApct2F" localSheetId="29">[2]SR!#REF!</definedName>
    <definedName name="CApct2F" localSheetId="27">[2]SR!#REF!</definedName>
    <definedName name="CApct2F" localSheetId="2">[1]SR!$G$75</definedName>
    <definedName name="CApct2F" localSheetId="28">[2]SR!#REF!</definedName>
    <definedName name="CApct2F">SR!#REF!</definedName>
    <definedName name="CApct3" localSheetId="29">[2]PR!$G$139</definedName>
    <definedName name="CApct3" localSheetId="27">[2]PR!$G$139</definedName>
    <definedName name="CApct3" localSheetId="2">[1]PR!$G$111</definedName>
    <definedName name="CApct3" localSheetId="28">[2]PR!$G$139</definedName>
    <definedName name="CApct3">PR!$G$133</definedName>
    <definedName name="CApct4" localSheetId="29">[2]NR!$G$182</definedName>
    <definedName name="CApct4" localSheetId="27">[2]NR!$G$182</definedName>
    <definedName name="CApct4" localSheetId="2">[1]NR!$G$111</definedName>
    <definedName name="CApct4" localSheetId="28">[2]NR!$G$182</definedName>
    <definedName name="CApct4">NR!$G$182</definedName>
    <definedName name="CApctB3" localSheetId="29">[2]PR!$G$18</definedName>
    <definedName name="CApctB3" localSheetId="27">[2]PR!$G$18</definedName>
    <definedName name="CApctB3" localSheetId="28">[2]PR!$G$18</definedName>
    <definedName name="CApctB3">PR!$G$18</definedName>
    <definedName name="CarbShed" localSheetId="29">[2]OE!#REF!</definedName>
    <definedName name="CarbShed" localSheetId="27">[2]OE!#REF!</definedName>
    <definedName name="CarbShed" localSheetId="28">[2]OE!#REF!</definedName>
    <definedName name="CarbShed">OE!#REF!</definedName>
    <definedName name="CAunveg1" localSheetId="29">[2]WS!$G$102</definedName>
    <definedName name="CAunveg1" localSheetId="27">[2]WS!$G$102</definedName>
    <definedName name="CAunveg1" localSheetId="2">[1]WS!$G$84</definedName>
    <definedName name="CAunveg1" localSheetId="28">[2]WS!$G$102</definedName>
    <definedName name="CAunveg1">WS!$G$102</definedName>
    <definedName name="Cedar14" localSheetId="29">[2]SBM!$G$77</definedName>
    <definedName name="Cedar14" localSheetId="27">[2]SBM!$G$77</definedName>
    <definedName name="Cedar14" localSheetId="28">[2]SBM!$G$77</definedName>
    <definedName name="Cedar14">SBM!$G$70</definedName>
    <definedName name="CedarPD" localSheetId="29">[2]PH!$G$238</definedName>
    <definedName name="CedarPD" localSheetId="27">[2]PH!$G$238</definedName>
    <definedName name="CedarPD" localSheetId="28">[2]PH!$G$238</definedName>
    <definedName name="CedarPD">PH!$G$238</definedName>
    <definedName name="Class" localSheetId="29">#REF!</definedName>
    <definedName name="Class" localSheetId="27">#REF!</definedName>
    <definedName name="Class" localSheetId="2">#REF!</definedName>
    <definedName name="Class" localSheetId="28">#REF!</definedName>
    <definedName name="Class" localSheetId="7">#REF!</definedName>
    <definedName name="Class">#REF!</definedName>
    <definedName name="cliff0" localSheetId="29">[2]POL!$G$74</definedName>
    <definedName name="cliff0" localSheetId="27">[2]POL!$G$74</definedName>
    <definedName name="cliff0" localSheetId="2">[1]POL!$G$76</definedName>
    <definedName name="cliff0" localSheetId="28">[2]POL!$G$74</definedName>
    <definedName name="cliff0">POL!$G$74</definedName>
    <definedName name="Cliff14">SBM!$D$191</definedName>
    <definedName name="Cliffs14" localSheetId="29">[2]SBM!$G$190</definedName>
    <definedName name="Cliffs14" localSheetId="27">[2]SBM!$G$190</definedName>
    <definedName name="Cliffs14" localSheetId="2">[1]SBM!$G$78</definedName>
    <definedName name="Cliffs14" localSheetId="28">[2]SBM!$G$190</definedName>
    <definedName name="Cliffs14">SBM!$G$191</definedName>
    <definedName name="Climate11" localSheetId="29">[2]AM!$G$247</definedName>
    <definedName name="Climate11" localSheetId="27">[2]AM!$G$247</definedName>
    <definedName name="Climate11" localSheetId="28">[2]AM!$G$247</definedName>
    <definedName name="Climate11">AM!$G$246</definedName>
    <definedName name="Climate12" localSheetId="29">[2]WBF!$G$189</definedName>
    <definedName name="Climate12" localSheetId="27">[2]WBF!$G$189</definedName>
    <definedName name="Climate12" localSheetId="28">[2]WBF!$G$189</definedName>
    <definedName name="Climate12">WBF!$G$189</definedName>
    <definedName name="ClimateLF" localSheetId="29">[2]SFS!$G$60</definedName>
    <definedName name="ClimateLF" localSheetId="27">[2]SFS!$G$60</definedName>
    <definedName name="ClimateLF" localSheetId="28">[2]SFS!$G$60</definedName>
    <definedName name="ClimateLF">SFS!$G$60</definedName>
    <definedName name="ClimatePD" localSheetId="29">[2]PH!$G$248</definedName>
    <definedName name="ClimatePD" localSheetId="27">[2]PH!$G$248</definedName>
    <definedName name="ClimatePD" localSheetId="28">[2]PH!$G$248</definedName>
    <definedName name="ClimatePD">PH!$G$248</definedName>
    <definedName name="ClimateS" localSheetId="29">[2]Sen!$G$244</definedName>
    <definedName name="ClimateS" localSheetId="27">[2]Sen!$G$244</definedName>
    <definedName name="ClimateS" localSheetId="28">[2]Sen!$G$244</definedName>
    <definedName name="ClimateS">Sen!$G$244</definedName>
    <definedName name="COA" localSheetId="29">[2]PU!#REF!</definedName>
    <definedName name="COA" localSheetId="27">[2]PU!#REF!</definedName>
    <definedName name="COA" localSheetId="28">[2]PU!#REF!</definedName>
    <definedName name="COA">PU!#REF!</definedName>
    <definedName name="Colonizer" localSheetId="29">[2]Sen!$G$245</definedName>
    <definedName name="Colonizer" localSheetId="27">[2]Sen!$G$245</definedName>
    <definedName name="Colonizer" localSheetId="28">[2]Sen!$G$245</definedName>
    <definedName name="Colonizer">Sen!$G$245</definedName>
    <definedName name="CompetPD" localSheetId="29">[2]PH!$G$249</definedName>
    <definedName name="CompetPD" localSheetId="27">[2]PH!$G$249</definedName>
    <definedName name="CompetPD" localSheetId="28">[2]PH!$G$249</definedName>
    <definedName name="CompetPD">PH!$G$249</definedName>
    <definedName name="Connec3" localSheetId="29">[2]PR!$G$180</definedName>
    <definedName name="Connec3" localSheetId="27">[2]PR!$G$180</definedName>
    <definedName name="Connec3" localSheetId="28">[2]PR!$G$180</definedName>
    <definedName name="Connec3">PR!$G$179</definedName>
    <definedName name="Connec4" localSheetId="29">[2]NR!$G$224</definedName>
    <definedName name="Connec4" localSheetId="27">[2]NR!$G$224</definedName>
    <definedName name="Connec4" localSheetId="28">[2]NR!$G$224</definedName>
    <definedName name="Connec4">NR!$G$224</definedName>
    <definedName name="Connec8" localSheetId="29">[2]INV!$G$185</definedName>
    <definedName name="Connec8" localSheetId="27">[2]INV!$G$185</definedName>
    <definedName name="Connec8" localSheetId="28">[2]INV!$G$185</definedName>
    <definedName name="Connec8">INV!$G$184</definedName>
    <definedName name="Connectiv2" localSheetId="29">[2]SR!#REF!</definedName>
    <definedName name="Connectiv2" localSheetId="27">[2]SR!#REF!</definedName>
    <definedName name="Connectiv2" localSheetId="28">[2]SR!#REF!</definedName>
    <definedName name="Connectiv2">SR!#REF!</definedName>
    <definedName name="ConnectivLF" localSheetId="29">[2]SFS!$G$59</definedName>
    <definedName name="ConnectivLF" localSheetId="27">[2]SFS!$G$59</definedName>
    <definedName name="ConnectivLF" localSheetId="28">[2]SFS!$G$59</definedName>
    <definedName name="ConnectivLF">SFS!$G$59</definedName>
    <definedName name="ConsInvest" localSheetId="29">[2]PU!$G$25</definedName>
    <definedName name="ConsInvest" localSheetId="27">[2]PU!$G$25</definedName>
    <definedName name="ConsInvest" localSheetId="2">[1]PU!$G$22</definedName>
    <definedName name="ConsInvest" localSheetId="28">[2]PU!$G$25</definedName>
    <definedName name="ConsInvest">PU!$G$25</definedName>
    <definedName name="Constric_C" localSheetId="29">[2]EC!#REF!</definedName>
    <definedName name="Constric_C" localSheetId="27">[2]EC!#REF!</definedName>
    <definedName name="Constric_C" localSheetId="2">[1]CQ!#REF!</definedName>
    <definedName name="Constric_C" localSheetId="28">[2]EC!#REF!</definedName>
    <definedName name="Constric_C" localSheetId="7">EC!#REF!</definedName>
    <definedName name="Constric_C">EC!#REF!</definedName>
    <definedName name="Constric_S" localSheetId="29">[2]Sen!$G$169</definedName>
    <definedName name="Constric_S" localSheetId="27">[2]Sen!$G$169</definedName>
    <definedName name="Constric_S" localSheetId="2">[1]Sen!$G$34</definedName>
    <definedName name="Constric_S" localSheetId="28">[2]Sen!$G$169</definedName>
    <definedName name="Constric_S">Sen!$G$162</definedName>
    <definedName name="Constric1" localSheetId="29">[2]WS!$G$63</definedName>
    <definedName name="Constric1" localSheetId="27">[2]WS!$G$63</definedName>
    <definedName name="Constric1" localSheetId="2">[1]WS!$G$53</definedName>
    <definedName name="Constric1" localSheetId="28">[2]WS!$G$63</definedName>
    <definedName name="Constric1">WS!$G$68</definedName>
    <definedName name="Constric10" localSheetId="29">[2]FR!#REF!</definedName>
    <definedName name="Constric10" localSheetId="27">[2]FR!#REF!</definedName>
    <definedName name="Constric10" localSheetId="2">[1]FR!$G$64</definedName>
    <definedName name="Constric10" localSheetId="28">[2]FR!#REF!</definedName>
    <definedName name="Constric10" localSheetId="7">FR!#REF!</definedName>
    <definedName name="Constric10">FR!#REF!</definedName>
    <definedName name="Constric2" localSheetId="2">[1]SR!$G$41</definedName>
    <definedName name="Constric2">SR!$G$96</definedName>
    <definedName name="Constric3" localSheetId="29">[2]PR!$G$88</definedName>
    <definedName name="Constric3" localSheetId="27">[2]PR!$G$88</definedName>
    <definedName name="Constric3" localSheetId="2">[1]PR!$G$58</definedName>
    <definedName name="Constric3" localSheetId="28">[2]PR!$G$88</definedName>
    <definedName name="Constric3">PR!$G$93</definedName>
    <definedName name="Constric4" localSheetId="29">[2]NR!$G$108</definedName>
    <definedName name="Constric4" localSheetId="27">[2]NR!$G$108</definedName>
    <definedName name="Constric4" localSheetId="2">[1]NR!$G$54</definedName>
    <definedName name="Constric4" localSheetId="28">[2]NR!$G$108</definedName>
    <definedName name="Constric4">NR!$G$113</definedName>
    <definedName name="Constric5" localSheetId="2">[1]CS!$G$63</definedName>
    <definedName name="Constric5">CS!$G$76</definedName>
    <definedName name="Constric6" localSheetId="29">[2]OE!$G$104</definedName>
    <definedName name="Constric6" localSheetId="27">[2]OE!$G$104</definedName>
    <definedName name="Constric6" localSheetId="2">[1]OE!$G$60</definedName>
    <definedName name="Constric6" localSheetId="28">[2]OE!$G$104</definedName>
    <definedName name="Constric6">OE!$G$95</definedName>
    <definedName name="Constricted">STR!$G$26</definedName>
    <definedName name="ConsumpU" localSheetId="29">[2]SubSis!$G$29</definedName>
    <definedName name="ConsumpU" localSheetId="27">[2]SubSis!$G$29</definedName>
    <definedName name="ConsumpU" localSheetId="28">[2]SubSis!$G$29</definedName>
    <definedName name="ConsumpU">SubSis!$G$30</definedName>
    <definedName name="ContribUp" localSheetId="29">#REF!</definedName>
    <definedName name="ContribUp" localSheetId="27">#REF!</definedName>
    <definedName name="ContribUp" localSheetId="2">#REF!</definedName>
    <definedName name="ContribUp" localSheetId="28">#REF!</definedName>
    <definedName name="ContribUp" localSheetId="7">#REF!</definedName>
    <definedName name="ContribUp">#REF!</definedName>
    <definedName name="Conven" localSheetId="29">[2]PU!$G$56</definedName>
    <definedName name="Conven" localSheetId="27">[2]PU!$G$56</definedName>
    <definedName name="Conven" localSheetId="28">[2]PU!$G$56</definedName>
    <definedName name="Conven">PU!$G$57</definedName>
    <definedName name="Core1" localSheetId="29">[2]STR!$G$58</definedName>
    <definedName name="Core1" localSheetId="27">[2]STR!$G$58</definedName>
    <definedName name="Core1" localSheetId="2">[1]STR!$G$25</definedName>
    <definedName name="Core1" localSheetId="28">[2]STR!$G$58</definedName>
    <definedName name="Core1">STR!$G$58</definedName>
    <definedName name="Core1_11" localSheetId="29">[2]AM!$G$192</definedName>
    <definedName name="Core1_11" localSheetId="27">[2]AM!$G$192</definedName>
    <definedName name="Core1_11" localSheetId="2">[1]AM!$G$125</definedName>
    <definedName name="Core1_11" localSheetId="28">[2]AM!$G$192</definedName>
    <definedName name="Core1_11">AM!$G$191</definedName>
    <definedName name="Core1_13" localSheetId="29">[2]WBN!$G$178</definedName>
    <definedName name="Core1_13" localSheetId="27">[2]WBN!$G$178</definedName>
    <definedName name="Core1_13" localSheetId="2">[1]WBN!$G$118</definedName>
    <definedName name="Core1_13" localSheetId="28">[2]WBN!$G$178</definedName>
    <definedName name="Core1_13">WBN!$G$178</definedName>
    <definedName name="Core10" localSheetId="29">[2]FR!$G$144</definedName>
    <definedName name="Core10" localSheetId="27">[2]FR!$G$144</definedName>
    <definedName name="Core10" localSheetId="28">[2]FR!$G$144</definedName>
    <definedName name="Core10">FR!$G$144</definedName>
    <definedName name="Core12a" localSheetId="29">[2]WBF!$G$146</definedName>
    <definedName name="Core12a" localSheetId="27">[2]WBF!$G$146</definedName>
    <definedName name="Core12a" localSheetId="2">[1]WBF!$G$102</definedName>
    <definedName name="Core12a" localSheetId="28">[2]WBF!$G$146</definedName>
    <definedName name="Core12a">WBF!$G$146</definedName>
    <definedName name="Core12b" localSheetId="29">[2]WBF!$G$153</definedName>
    <definedName name="Core12b" localSheetId="27">[2]WBF!$G$153</definedName>
    <definedName name="Core12b" localSheetId="2">[1]WBF!$G$107</definedName>
    <definedName name="Core12b" localSheetId="28">[2]WBF!$G$153</definedName>
    <definedName name="Core12b">WBF!$G$153</definedName>
    <definedName name="Core13a">WBN!$G$178</definedName>
    <definedName name="Core14a" localSheetId="29">[2]SBM!$G$191</definedName>
    <definedName name="Core14a" localSheetId="27">[2]SBM!$G$191</definedName>
    <definedName name="Core14a" localSheetId="2">[1]SBM!$G$84</definedName>
    <definedName name="Core14a" localSheetId="28">[2]SBM!$G$191</definedName>
    <definedName name="Core14a">SBM!$G$192</definedName>
    <definedName name="Core14b" localSheetId="29">[2]SBM!$G$198</definedName>
    <definedName name="Core14b" localSheetId="27">[2]SBM!$G$198</definedName>
    <definedName name="Core14b" localSheetId="2">[1]SBM!$G$89</definedName>
    <definedName name="Core14b" localSheetId="28">[2]SBM!$G$198</definedName>
    <definedName name="Core14b">SBM!$G$199</definedName>
    <definedName name="Core1pd" localSheetId="29">[2]PH!$G$195</definedName>
    <definedName name="Core1pd" localSheetId="27">[2]PH!$G$195</definedName>
    <definedName name="Core1pd" localSheetId="2">[1]PD!$G$120</definedName>
    <definedName name="Core1pd" localSheetId="28">[2]PH!$G$195</definedName>
    <definedName name="Core1pd">PH!$G$195</definedName>
    <definedName name="Core1PU" localSheetId="29">[2]PU!$G$41</definedName>
    <definedName name="Core1PU" localSheetId="27">[2]PU!$G$41</definedName>
    <definedName name="Core1PU" localSheetId="28">[2]PU!$G$41</definedName>
    <definedName name="Core1PU">PU!$G$42</definedName>
    <definedName name="Core2" localSheetId="29">[2]STR!$G$65</definedName>
    <definedName name="Core2" localSheetId="27">[2]STR!$G$65</definedName>
    <definedName name="Core2" localSheetId="2">[1]STR!$G$30</definedName>
    <definedName name="Core2" localSheetId="28">[2]STR!$G$65</definedName>
    <definedName name="Core2">STR!$G$65</definedName>
    <definedName name="Core2_11" localSheetId="29">[2]AM!$G$199</definedName>
    <definedName name="Core2_11" localSheetId="27">[2]AM!$G$199</definedName>
    <definedName name="Core2_11" localSheetId="2">[1]AM!$G$130</definedName>
    <definedName name="Core2_11" localSheetId="28">[2]AM!$G$199</definedName>
    <definedName name="Core2_11">AM!$G$198</definedName>
    <definedName name="Core2_13" localSheetId="29">[2]WBN!$G$185</definedName>
    <definedName name="Core2_13" localSheetId="27">[2]WBN!$G$185</definedName>
    <definedName name="Core2_13" localSheetId="2">[1]WBN!$G$123</definedName>
    <definedName name="Core2_13" localSheetId="28">[2]WBN!$G$185</definedName>
    <definedName name="Core2_13">WBN!$G$185</definedName>
    <definedName name="Core2pd" localSheetId="29">[2]PH!$G$202</definedName>
    <definedName name="Core2pd" localSheetId="27">[2]PH!$G$202</definedName>
    <definedName name="Core2pd" localSheetId="2">[1]PD!$G$125</definedName>
    <definedName name="Core2pd" localSheetId="28">[2]PH!$G$202</definedName>
    <definedName name="Core2pd">PH!$G$202</definedName>
    <definedName name="Core2PU" localSheetId="29">[2]PU!$G$48</definedName>
    <definedName name="Core2PU" localSheetId="27">[2]PU!$G$48</definedName>
    <definedName name="Core2PU" localSheetId="28">[2]PU!$G$48</definedName>
    <definedName name="Core2PU">PU!$G$49</definedName>
    <definedName name="Core9" localSheetId="29">[2]FA!$G$146</definedName>
    <definedName name="Core9" localSheetId="27">[2]FA!$G$146</definedName>
    <definedName name="Core9" localSheetId="28">[2]FA!$G$146</definedName>
    <definedName name="Core9">FA!$G$152</definedName>
    <definedName name="County" localSheetId="29">#REF!</definedName>
    <definedName name="County" localSheetId="27">#REF!</definedName>
    <definedName name="County" localSheetId="2">#REF!</definedName>
    <definedName name="County" localSheetId="28">#REF!</definedName>
    <definedName name="County" localSheetId="7">#REF!</definedName>
    <definedName name="County">#REF!</definedName>
    <definedName name="CountyNPrank" localSheetId="29">#REF!</definedName>
    <definedName name="CountyNPrank" localSheetId="27">#REF!</definedName>
    <definedName name="CountyNPrank" localSheetId="2">#REF!</definedName>
    <definedName name="CountyNPrank" localSheetId="28">#REF!</definedName>
    <definedName name="CountyNPrank" localSheetId="7">#REF!</definedName>
    <definedName name="CountyNPrank">#REF!</definedName>
    <definedName name="Cover2miDiv" localSheetId="29">[2]POL!$G$3</definedName>
    <definedName name="Cover2miDiv" localSheetId="27">[2]POL!$G$3</definedName>
    <definedName name="Cover2miDiv" localSheetId="28">[2]POL!$G$3</definedName>
    <definedName name="Cover2miDiv">POL!$G$3</definedName>
    <definedName name="CoverAppro_C" localSheetId="29">[2]EC!#REF!</definedName>
    <definedName name="CoverAppro_C" localSheetId="27">[2]EC!#REF!</definedName>
    <definedName name="CoverAppro_C" localSheetId="2">[1]CQ!#REF!</definedName>
    <definedName name="CoverAppro_C" localSheetId="28">[2]EC!#REF!</definedName>
    <definedName name="CoverAppro_C" localSheetId="7">EC!#REF!</definedName>
    <definedName name="CoverAppro_C">EC!#REF!</definedName>
    <definedName name="CoverAppro2" localSheetId="29">#REF!</definedName>
    <definedName name="CoverAppro2" localSheetId="27">#REF!</definedName>
    <definedName name="CoverAppro2" localSheetId="2">#REF!</definedName>
    <definedName name="CoverAppro2" localSheetId="28">#REF!</definedName>
    <definedName name="CoverAppro2" localSheetId="7">#REF!</definedName>
    <definedName name="CoverAppro2">#REF!</definedName>
    <definedName name="Cowardin" localSheetId="29">#REF!</definedName>
    <definedName name="Cowardin" localSheetId="27">#REF!</definedName>
    <definedName name="Cowardin" localSheetId="2">#REF!</definedName>
    <definedName name="Cowardin" localSheetId="28">#REF!</definedName>
    <definedName name="Cowardin" localSheetId="7">#REF!</definedName>
    <definedName name="Cowardin">#REF!</definedName>
    <definedName name="crops0" localSheetId="29">[2]POL!#REF!</definedName>
    <definedName name="crops0" localSheetId="27">[2]POL!#REF!</definedName>
    <definedName name="crops0" localSheetId="2">[1]POL!$G$105</definedName>
    <definedName name="crops0" localSheetId="28">[2]POL!#REF!</definedName>
    <definedName name="crops0" localSheetId="7">POL!#REF!</definedName>
    <definedName name="crops0">POL!#REF!</definedName>
    <definedName name="Crowds" localSheetId="29">#REF!</definedName>
    <definedName name="Crowds" localSheetId="27">#REF!</definedName>
    <definedName name="Crowds" localSheetId="2">#REF!</definedName>
    <definedName name="Crowds" localSheetId="28">#REF!</definedName>
    <definedName name="Crowds" localSheetId="7">#REF!</definedName>
    <definedName name="Crowds">#REF!</definedName>
    <definedName name="Crowds2" localSheetId="29">#REF!</definedName>
    <definedName name="Crowds2" localSheetId="27">#REF!</definedName>
    <definedName name="Crowds2" localSheetId="2">#REF!</definedName>
    <definedName name="Crowds2" localSheetId="28">#REF!</definedName>
    <definedName name="Crowds2" localSheetId="7">#REF!</definedName>
    <definedName name="Crowds2">#REF!</definedName>
    <definedName name="Cshed6" localSheetId="29">[2]OE!#REF!</definedName>
    <definedName name="Cshed6" localSheetId="27">[2]OE!#REF!</definedName>
    <definedName name="Cshed6" localSheetId="28">[2]OE!#REF!</definedName>
    <definedName name="Cshed6">OE!#REF!</definedName>
    <definedName name="Cshed9" localSheetId="29">[2]CS!#REF!</definedName>
    <definedName name="Cshed9" localSheetId="27">[2]CS!#REF!</definedName>
    <definedName name="Cshed9" localSheetId="28">[2]CS!#REF!</definedName>
    <definedName name="Cshed9">CS!#REF!</definedName>
    <definedName name="CSshed" localSheetId="29">[2]CS!#REF!</definedName>
    <definedName name="CSshed" localSheetId="27">[2]CS!#REF!</definedName>
    <definedName name="CSshed" localSheetId="28">[2]CS!#REF!</definedName>
    <definedName name="CSshed">CS!#REF!</definedName>
    <definedName name="CtyRankNP" localSheetId="29">#REF!</definedName>
    <definedName name="CtyRankNP" localSheetId="27">#REF!</definedName>
    <definedName name="CtyRankNP" localSheetId="2">#REF!</definedName>
    <definedName name="CtyRankNP" localSheetId="28">#REF!</definedName>
    <definedName name="CtyRankNP" localSheetId="7">#REF!</definedName>
    <definedName name="CtyRankNP">#REF!</definedName>
    <definedName name="CUbuffLUtype8" localSheetId="29">[2]INV!$G$146</definedName>
    <definedName name="CUbuffLUtype8" localSheetId="27">[2]INV!$G$146</definedName>
    <definedName name="CUbuffLUtype8" localSheetId="2">[1]INV!$G$128</definedName>
    <definedName name="CUbuffLUtype8" localSheetId="28">[2]INV!$G$146</definedName>
    <definedName name="CUbuffLUtype8">INV!$G$146</definedName>
    <definedName name="CUbuffNatPct14" localSheetId="29">[2]SBM!$G$181</definedName>
    <definedName name="CUbuffNatPct14" localSheetId="27">[2]SBM!$G$181</definedName>
    <definedName name="CUbuffNatPct14" localSheetId="2">[1]SBM!$G$94</definedName>
    <definedName name="CUbuffNatPct14" localSheetId="28">[2]SBM!$G$181</definedName>
    <definedName name="CUbuffNatPct14">SBM!$G$182</definedName>
    <definedName name="CUbuffPctNat_S" localSheetId="29">[2]Sen!#REF!</definedName>
    <definedName name="CUbuffPctNat_S" localSheetId="27">[2]Sen!#REF!</definedName>
    <definedName name="CUbuffPctNat_S" localSheetId="2">[1]Sen!#REF!</definedName>
    <definedName name="CUbuffPctNat_S" localSheetId="28">[2]Sen!#REF!</definedName>
    <definedName name="CUbuffPctNat_S" localSheetId="7">Sen!#REF!</definedName>
    <definedName name="CUbuffPctNat_S">Sen!#REF!</definedName>
    <definedName name="CUbuffPctNat8">INV!$G$146</definedName>
    <definedName name="CUratio_S" localSheetId="29">[2]Sen!$G$88</definedName>
    <definedName name="CUratio_S" localSheetId="27">[2]Sen!$G$88</definedName>
    <definedName name="CUratio_S" localSheetId="2">[1]Sen!$G$174</definedName>
    <definedName name="CUratio_S" localSheetId="28">[2]Sen!$G$88</definedName>
    <definedName name="CUratio_S">Sen!$G$81</definedName>
    <definedName name="CUratioSS">SR!$G$133</definedName>
    <definedName name="CUtypeLU14" localSheetId="29">[2]SBM!$G$187</definedName>
    <definedName name="CUtypeLU14" localSheetId="27">[2]SBM!$G$187</definedName>
    <definedName name="CUtypeLU14" localSheetId="2">[1]SBM!$G$100</definedName>
    <definedName name="CUtypeLU14" localSheetId="28">[2]SBM!$G$187</definedName>
    <definedName name="CUtypeLU14">SBM!$G$188</definedName>
    <definedName name="DeadZone" localSheetId="29">#REF!</definedName>
    <definedName name="DeadZone" localSheetId="27">#REF!</definedName>
    <definedName name="DeadZone" localSheetId="2">#REF!</definedName>
    <definedName name="DeadZone" localSheetId="28">#REF!</definedName>
    <definedName name="DeadZone" localSheetId="7">#REF!</definedName>
    <definedName name="DeadZone">#REF!</definedName>
    <definedName name="Decid6" localSheetId="29">[2]OE!$G$123</definedName>
    <definedName name="Decid6" localSheetId="27">[2]OE!$G$123</definedName>
    <definedName name="Decid6" localSheetId="28">[2]OE!$G$123</definedName>
    <definedName name="Decid6">OE!$G$109</definedName>
    <definedName name="DecidPct5" localSheetId="29">[2]CS!$G$105</definedName>
    <definedName name="DecidPct5" localSheetId="27">[2]CS!$G$105</definedName>
    <definedName name="DecidPct5" localSheetId="28">[2]CS!$G$105</definedName>
    <definedName name="DecidPct5">CS!$G$99</definedName>
    <definedName name="DecidTree14" localSheetId="29">[2]SBM!$G$120</definedName>
    <definedName name="DecidTree14" localSheetId="27">[2]SBM!$G$120</definedName>
    <definedName name="DecidTree14" localSheetId="28">[2]SBM!$G$120</definedName>
    <definedName name="DecidTree14">SBM!$G$114</definedName>
    <definedName name="DecidTree5" localSheetId="29">[2]CS!$G$90</definedName>
    <definedName name="DecidTree5" localSheetId="27">[2]CS!$G$90</definedName>
    <definedName name="DecidTree5" localSheetId="28">[2]CS!$G$90</definedName>
    <definedName name="DecidTree5">CS!$G$84</definedName>
    <definedName name="DecidTree6" localSheetId="29">[2]OE!$G$117</definedName>
    <definedName name="DecidTree6" localSheetId="27">[2]OE!$G$117</definedName>
    <definedName name="DecidTree6" localSheetId="28">[2]OE!$G$117</definedName>
    <definedName name="DecidTree6">OE!$G$103</definedName>
    <definedName name="DecidTree8" localSheetId="29">[2]INV!$G$107</definedName>
    <definedName name="DecidTree8" localSheetId="27">[2]INV!$G$107</definedName>
    <definedName name="DecidTree8" localSheetId="28">[2]INV!$G$107</definedName>
    <definedName name="DecidTree8">INV!$G$107</definedName>
    <definedName name="DecidTreePD" localSheetId="29">[2]PH!$G$121</definedName>
    <definedName name="DecidTreePD" localSheetId="27">[2]PH!$G$121</definedName>
    <definedName name="DecidTreePD" localSheetId="28">[2]PH!$G$121</definedName>
    <definedName name="DecidTreePD">PH!$G$114</definedName>
    <definedName name="DeepSpot10" localSheetId="29">[2]FR!#REF!</definedName>
    <definedName name="DeepSpot10" localSheetId="27">[2]FR!#REF!</definedName>
    <definedName name="DeepSpot10" localSheetId="28">[2]FR!#REF!</definedName>
    <definedName name="DeepSpot10">FR!#REF!</definedName>
    <definedName name="DeepSpot11" localSheetId="29">[2]AM!#REF!</definedName>
    <definedName name="DeepSpot11" localSheetId="27">[2]AM!#REF!</definedName>
    <definedName name="DeepSpot11" localSheetId="2">[1]AM!$G$43</definedName>
    <definedName name="DeepSpot11" localSheetId="28">[2]AM!#REF!</definedName>
    <definedName name="DeepSpot11">AM!#REF!</definedName>
    <definedName name="DeepSpot12" localSheetId="29">[2]WBF!#REF!</definedName>
    <definedName name="DeepSpot12" localSheetId="27">[2]WBF!#REF!</definedName>
    <definedName name="DeepSpot12" localSheetId="2">[1]WBF!#REF!</definedName>
    <definedName name="DeepSpot12" localSheetId="28">[2]WBF!#REF!</definedName>
    <definedName name="DeepSpot12" localSheetId="7">WBF!#REF!</definedName>
    <definedName name="DeepSpot12">WBF!#REF!</definedName>
    <definedName name="DeepSpot13" localSheetId="29">[2]WBN!#REF!</definedName>
    <definedName name="DeepSpot13" localSheetId="27">[2]WBN!#REF!</definedName>
    <definedName name="DeepSpot13" localSheetId="28">[2]WBN!#REF!</definedName>
    <definedName name="DeepSpot13">WBN!#REF!</definedName>
    <definedName name="DeepSpot2" localSheetId="29">[2]SR!#REF!</definedName>
    <definedName name="DeepSpot2" localSheetId="27">[2]SR!#REF!</definedName>
    <definedName name="DeepSpot2" localSheetId="28">[2]SR!#REF!</definedName>
    <definedName name="DeepSpot2">SR!#REF!</definedName>
    <definedName name="DeepSpot3" localSheetId="29">[2]PR!#REF!</definedName>
    <definedName name="DeepSpot3" localSheetId="27">[2]PR!#REF!</definedName>
    <definedName name="DeepSpot3" localSheetId="28">[2]PR!#REF!</definedName>
    <definedName name="DeepSpot3">PR!#REF!</definedName>
    <definedName name="DeerHab14">SBM!$G$62</definedName>
    <definedName name="DeerShed14" localSheetId="29">[2]SBM!$D$69</definedName>
    <definedName name="DeerShed14" localSheetId="27">[2]SBM!$D$69</definedName>
    <definedName name="DeerShed14" localSheetId="28">[2]SBM!$D$69</definedName>
    <definedName name="DeerShed14">SBM!$D$62</definedName>
    <definedName name="DeerShedPS">SubSis!$D$21</definedName>
    <definedName name="DeerShedPS2" localSheetId="29">[2]SubSis!$G$21</definedName>
    <definedName name="DeerShedPS2" localSheetId="27">[2]SubSis!$G$21</definedName>
    <definedName name="DeerShedPS2" localSheetId="28">[2]SubSis!$G$21</definedName>
    <definedName name="DeerShedPS2">SubSis!$G$21</definedName>
    <definedName name="Depth_S" localSheetId="29">[2]Sen!$G$137</definedName>
    <definedName name="Depth_S" localSheetId="27">[2]Sen!$G$137</definedName>
    <definedName name="Depth_S" localSheetId="2">[1]Sen!$G$18</definedName>
    <definedName name="Depth_S" localSheetId="28">[2]Sen!$G$137</definedName>
    <definedName name="Depth_S">Sen!$G$130</definedName>
    <definedName name="Depth10" localSheetId="29">[2]FR!$G$57</definedName>
    <definedName name="Depth10" localSheetId="27">[2]FR!$G$57</definedName>
    <definedName name="Depth10" localSheetId="2">[1]FR!$G$48</definedName>
    <definedName name="Depth10" localSheetId="28">[2]FR!$G$57</definedName>
    <definedName name="Depth10">FR!$G$57</definedName>
    <definedName name="Depth12" localSheetId="29">[2]WBF!$G$88</definedName>
    <definedName name="Depth12" localSheetId="27">[2]WBF!$G$88</definedName>
    <definedName name="Depth12" localSheetId="2">[1]WBF!$G$44</definedName>
    <definedName name="Depth12" localSheetId="28">[2]WBF!$G$88</definedName>
    <definedName name="Depth12">WBF!$G$86</definedName>
    <definedName name="Depth13" localSheetId="29">[2]WBN!$G$91</definedName>
    <definedName name="Depth13" localSheetId="27">[2]WBN!$G$91</definedName>
    <definedName name="Depth13" localSheetId="2">[1]WBN!$G$36</definedName>
    <definedName name="Depth13" localSheetId="28">[2]WBN!$G$91</definedName>
    <definedName name="Depth13">WBN!$G$89</definedName>
    <definedName name="Depth15" localSheetId="29">[2]PH!$G$89</definedName>
    <definedName name="Depth15" localSheetId="27">[2]PH!$G$89</definedName>
    <definedName name="Depth15" localSheetId="2">[1]PD!$G$37</definedName>
    <definedName name="Depth15" localSheetId="28">[2]PH!$G$89</definedName>
    <definedName name="Depth15">PH!$G$82</definedName>
    <definedName name="Depth2_" localSheetId="29">[2]SFS!$G$14</definedName>
    <definedName name="Depth2_" localSheetId="27">[2]SFS!$G$14</definedName>
    <definedName name="Depth2_" localSheetId="28">[2]SFS!$G$14</definedName>
    <definedName name="Depth2_">SFS!$G$14</definedName>
    <definedName name="Depth5" localSheetId="29">[2]CS!$G$43</definedName>
    <definedName name="Depth5" localSheetId="27">[2]CS!$G$43</definedName>
    <definedName name="Depth5" localSheetId="2">[1]CS!$G$47</definedName>
    <definedName name="Depth5" localSheetId="28">[2]CS!$G$43</definedName>
    <definedName name="Depth5">CS!$G$42</definedName>
    <definedName name="Depth6" localSheetId="29">[2]OE!$G$59</definedName>
    <definedName name="Depth6" localSheetId="27">[2]OE!$G$59</definedName>
    <definedName name="Depth6" localSheetId="2">[1]OE!$G$48</definedName>
    <definedName name="Depth6" localSheetId="28">[2]OE!$G$59</definedName>
    <definedName name="Depth6">OE!$G$50</definedName>
    <definedName name="Depth7" localSheetId="29">[2]WC!$G$14</definedName>
    <definedName name="Depth7" localSheetId="27">[2]WC!$G$14</definedName>
    <definedName name="Depth7" localSheetId="2">[1]T!$G$13</definedName>
    <definedName name="Depth7" localSheetId="28">[2]WC!$G$14</definedName>
    <definedName name="Depth7" localSheetId="7">WW!$G$16</definedName>
    <definedName name="Depth7">WC!$G$20</definedName>
    <definedName name="Depth7w" localSheetId="29">[2]WW!$G$10</definedName>
    <definedName name="Depth7w" localSheetId="27">[2]WW!$G$10</definedName>
    <definedName name="Depth7w" localSheetId="28">[2]WW!$G$10</definedName>
    <definedName name="Depth7w">WW!$G$16</definedName>
    <definedName name="Depth8" localSheetId="29">[2]INV!$G$64</definedName>
    <definedName name="Depth8" localSheetId="27">[2]INV!$G$64</definedName>
    <definedName name="Depth8" localSheetId="2">[1]INV!$G$53</definedName>
    <definedName name="Depth8" localSheetId="28">[2]INV!$G$64</definedName>
    <definedName name="Depth8">INV!$G$64</definedName>
    <definedName name="Depth9" localSheetId="29">[2]FA!$G$59</definedName>
    <definedName name="Depth9" localSheetId="27">[2]FA!$G$59</definedName>
    <definedName name="Depth9" localSheetId="2">[1]FA!$G$38</definedName>
    <definedName name="Depth9" localSheetId="28">[2]FA!$G$59</definedName>
    <definedName name="Depth9">FA!$G$65</definedName>
    <definedName name="DepthC2" localSheetId="2">[1]SR!$G$30</definedName>
    <definedName name="DepthC2">SR!$G$46</definedName>
    <definedName name="DepthDiv8" localSheetId="29">[2]INV!$G$70</definedName>
    <definedName name="DepthDiv8" localSheetId="27">[2]INV!$G$70</definedName>
    <definedName name="DepthDiv8" localSheetId="28">[2]INV!$G$70</definedName>
    <definedName name="DepthDiv8">INV!$G$70</definedName>
    <definedName name="DepthDom5">CS!$G$42</definedName>
    <definedName name="DepthEven10" localSheetId="29">[2]FR!$G$63</definedName>
    <definedName name="DepthEven10" localSheetId="27">[2]FR!$G$63</definedName>
    <definedName name="DepthEven10" localSheetId="2">[1]FR!$G$54</definedName>
    <definedName name="DepthEven10" localSheetId="28">[2]FR!$G$63</definedName>
    <definedName name="DepthEven10">FR!$G$63</definedName>
    <definedName name="DepthEven11" localSheetId="29">[2]AM!#REF!</definedName>
    <definedName name="DepthEven11" localSheetId="27">[2]AM!#REF!</definedName>
    <definedName name="DepthEven11" localSheetId="2">[1]AM!#REF!</definedName>
    <definedName name="DepthEven11" localSheetId="28">[2]AM!#REF!</definedName>
    <definedName name="DepthEven11" localSheetId="7">AM!#REF!</definedName>
    <definedName name="DepthEven11">AM!#REF!</definedName>
    <definedName name="DepthEven12" localSheetId="29">[2]WBF!$G$94</definedName>
    <definedName name="DepthEven12" localSheetId="27">[2]WBF!$G$94</definedName>
    <definedName name="DepthEven12" localSheetId="2">[1]WBF!$G$50</definedName>
    <definedName name="DepthEven12" localSheetId="28">[2]WBF!$G$94</definedName>
    <definedName name="DepthEven12">WBF!$G$92</definedName>
    <definedName name="DepthEven13" localSheetId="29">[2]WBN!$G$97</definedName>
    <definedName name="DepthEven13" localSheetId="27">[2]WBN!$G$97</definedName>
    <definedName name="DepthEven13" localSheetId="2">[1]WBN!$G$42</definedName>
    <definedName name="DepthEven13" localSheetId="28">[2]WBN!$G$97</definedName>
    <definedName name="DepthEven13">WBN!$G$95</definedName>
    <definedName name="DepthEven8" localSheetId="29">[2]INV!#REF!</definedName>
    <definedName name="DepthEven8" localSheetId="27">[2]INV!#REF!</definedName>
    <definedName name="DepthEven8" localSheetId="2">[1]INV!$G$59</definedName>
    <definedName name="DepthEven8" localSheetId="28">[2]INV!#REF!</definedName>
    <definedName name="DepthEven8">INV!#REF!</definedName>
    <definedName name="Designated" localSheetId="29">#REF!</definedName>
    <definedName name="Designated" localSheetId="27">#REF!</definedName>
    <definedName name="Designated" localSheetId="2">#REF!</definedName>
    <definedName name="Designated" localSheetId="28">#REF!</definedName>
    <definedName name="Designated" localSheetId="7">#REF!</definedName>
    <definedName name="Designated">#REF!</definedName>
    <definedName name="Desorb3" localSheetId="29">[2]PR!$G$182</definedName>
    <definedName name="Desorb3" localSheetId="27">[2]PR!$G$182</definedName>
    <definedName name="Desorb3" localSheetId="28">[2]PR!$G$182</definedName>
    <definedName name="Desorb3">PR!$G$181</definedName>
    <definedName name="Deveg_C" localSheetId="29">[2]EC!#REF!</definedName>
    <definedName name="Deveg_C" localSheetId="27">[2]EC!#REF!</definedName>
    <definedName name="Deveg_C" localSheetId="28">[2]EC!#REF!</definedName>
    <definedName name="Deveg_C" localSheetId="7">EC!#REF!</definedName>
    <definedName name="Deveg_C">EC!#REF!</definedName>
    <definedName name="Deveg11" localSheetId="29">[2]AM!#REF!</definedName>
    <definedName name="Deveg11" localSheetId="27">[2]AM!#REF!</definedName>
    <definedName name="Deveg11" localSheetId="2">[1]AM!$G$113</definedName>
    <definedName name="Deveg11" localSheetId="28">[2]AM!#REF!</definedName>
    <definedName name="Deveg11">AM!#REF!</definedName>
    <definedName name="Deveg13" localSheetId="29">[2]WBN!#REF!</definedName>
    <definedName name="Deveg13" localSheetId="27">[2]WBN!#REF!</definedName>
    <definedName name="Deveg13" localSheetId="2">[1]WBN!$G$113</definedName>
    <definedName name="Deveg13" localSheetId="28">[2]WBN!#REF!</definedName>
    <definedName name="Deveg13">WBN!#REF!</definedName>
    <definedName name="Deveg14" localSheetId="29">[2]SBM!#REF!</definedName>
    <definedName name="Deveg14" localSheetId="27">[2]SBM!#REF!</definedName>
    <definedName name="Deveg14" localSheetId="2">[1]SBM!$G$79</definedName>
    <definedName name="Deveg14" localSheetId="28">[2]SBM!#REF!</definedName>
    <definedName name="Deveg14">SBM!#REF!</definedName>
    <definedName name="Deveg2" localSheetId="29">[2]SR!#REF!</definedName>
    <definedName name="Deveg2" localSheetId="27">[2]SR!#REF!</definedName>
    <definedName name="Deveg2" localSheetId="2">[1]SR!$G$70</definedName>
    <definedName name="Deveg2" localSheetId="28">[2]SR!#REF!</definedName>
    <definedName name="Deveg2">SR!#REF!</definedName>
    <definedName name="Deveg5" localSheetId="29">[2]CS!#REF!</definedName>
    <definedName name="Deveg5" localSheetId="27">[2]CS!#REF!</definedName>
    <definedName name="Deveg5" localSheetId="2">[1]CS!$G$126</definedName>
    <definedName name="Deveg5" localSheetId="28">[2]CS!#REF!</definedName>
    <definedName name="Deveg5" localSheetId="7">CS!#REF!</definedName>
    <definedName name="Deveg5">CS!#REF!</definedName>
    <definedName name="Deveg6" localSheetId="29">[2]OE!#REF!</definedName>
    <definedName name="Deveg6" localSheetId="27">[2]OE!#REF!</definedName>
    <definedName name="Deveg6" localSheetId="2">[1]OE!$G$110</definedName>
    <definedName name="Deveg6" localSheetId="28">[2]OE!#REF!</definedName>
    <definedName name="Deveg6">OE!#REF!</definedName>
    <definedName name="Deveg8" localSheetId="29">[2]INV!#REF!</definedName>
    <definedName name="Deveg8" localSheetId="27">[2]INV!#REF!</definedName>
    <definedName name="Deveg8" localSheetId="2">[1]INV!$G$116</definedName>
    <definedName name="Deveg8" localSheetId="28">[2]INV!#REF!</definedName>
    <definedName name="Deveg8">INV!#REF!</definedName>
    <definedName name="devegPD" localSheetId="29">[2]PH!#REF!</definedName>
    <definedName name="devegPD" localSheetId="27">[2]PH!#REF!</definedName>
    <definedName name="devegPD" localSheetId="2">[1]PD!$G$109</definedName>
    <definedName name="devegPD" localSheetId="28">[2]PH!#REF!</definedName>
    <definedName name="devegPD">PH!#REF!</definedName>
    <definedName name="DisRd14" localSheetId="29">[2]SBM!$G$10</definedName>
    <definedName name="DisRd14" localSheetId="27">[2]SBM!$G$10</definedName>
    <definedName name="DisRd14" localSheetId="2">[1]SBM!$G$109</definedName>
    <definedName name="DisRd14" localSheetId="28">[2]SBM!$G$10</definedName>
    <definedName name="DisRd14">SBM!$G$10</definedName>
    <definedName name="Dist2RareCov0">POL!$G$91</definedName>
    <definedName name="DistAnad">OE!$G$155</definedName>
    <definedName name="DistExceedSS" localSheetId="29">[2]SR!#REF!</definedName>
    <definedName name="DistExceedSS" localSheetId="27">[2]SR!#REF!</definedName>
    <definedName name="DistExceedSS" localSheetId="2">[1]SR!#REF!</definedName>
    <definedName name="DistExceedSS" localSheetId="28">[2]SR!#REF!</definedName>
    <definedName name="DistExceedSS" localSheetId="7">SR!#REF!</definedName>
    <definedName name="DistExceedSS">SR!#REF!</definedName>
    <definedName name="DistRareTyp11" localSheetId="29">[2]AM!$G$221</definedName>
    <definedName name="DistRareTyp11" localSheetId="27">[2]AM!$G$221</definedName>
    <definedName name="DistRareTyp11" localSheetId="28">[2]AM!$G$221</definedName>
    <definedName name="DistRareTyp11">AM!$G$220</definedName>
    <definedName name="DistRareTyp14" localSheetId="29">[2]SBM!$G$219</definedName>
    <definedName name="DistRareTyp14" localSheetId="27">[2]SBM!$G$219</definedName>
    <definedName name="DistRareTyp14" localSheetId="28">[2]SBM!$G$219</definedName>
    <definedName name="DistRareTyp14">SBM!$G$220</definedName>
    <definedName name="DistRareTyp8" localSheetId="29">[2]INV!$G$168</definedName>
    <definedName name="DistRareTyp8" localSheetId="27">[2]INV!$G$168</definedName>
    <definedName name="DistRareTyp8" localSheetId="28">[2]INV!$G$168</definedName>
    <definedName name="DistRareTyp8">INV!$G$168</definedName>
    <definedName name="DistRareTypPD" localSheetId="29">[2]PH!$G$226</definedName>
    <definedName name="DistRareTypPD" localSheetId="27">[2]PH!$G$226</definedName>
    <definedName name="DistRareTypPD" localSheetId="28">[2]PH!$G$226</definedName>
    <definedName name="DistRareTypPD">PH!$G$226</definedName>
    <definedName name="DistRareTypS" localSheetId="29">[2]Sen!$G$37</definedName>
    <definedName name="DistRareTypS" localSheetId="27">[2]Sen!$G$37</definedName>
    <definedName name="DistRareTypS" localSheetId="28">[2]Sen!$G$37</definedName>
    <definedName name="DistRareTypS">Sen!$G$30</definedName>
    <definedName name="DistRd" localSheetId="29">[2]STR!$G$10</definedName>
    <definedName name="DistRd" localSheetId="27">[2]STR!$G$10</definedName>
    <definedName name="DistRd" localSheetId="2">[1]STR!$G$54</definedName>
    <definedName name="DistRd" localSheetId="28">[2]STR!$G$10</definedName>
    <definedName name="DistRd">STR!$G$10</definedName>
    <definedName name="DistRd10" localSheetId="29">[2]FR!$G$133</definedName>
    <definedName name="DistRd10" localSheetId="27">[2]FR!$G$133</definedName>
    <definedName name="DistRd10" localSheetId="28">[2]FR!$G$133</definedName>
    <definedName name="DistRd10">FR!$G$133</definedName>
    <definedName name="DistRd15">PH!$G$3</definedName>
    <definedName name="DistRd9" localSheetId="29">[2]FA!$G$134</definedName>
    <definedName name="DistRd9" localSheetId="27">[2]FA!$G$134</definedName>
    <definedName name="DistRd9" localSheetId="28">[2]FA!$G$134</definedName>
    <definedName name="DistRd9">FA!$G$140</definedName>
    <definedName name="DistRdPD" localSheetId="29">[2]PH!$G$9</definedName>
    <definedName name="DistRdPD" localSheetId="27">[2]PH!$G$9</definedName>
    <definedName name="DistRdPD" localSheetId="2">[1]PD!$G$163</definedName>
    <definedName name="DistRdPD" localSheetId="28">[2]PH!$G$9</definedName>
    <definedName name="DistRdPD">PH!$G$9</definedName>
    <definedName name="DistRdPU" localSheetId="29">[2]PU!$G$9</definedName>
    <definedName name="DistRdPU" localSheetId="27">[2]PU!$G$9</definedName>
    <definedName name="DistRdPU" localSheetId="28">[2]PU!$G$9</definedName>
    <definedName name="DistRdPU">PU!$G$9</definedName>
    <definedName name="DistToRareCov0">POL!$G$91</definedName>
    <definedName name="Disturb" localSheetId="29">#REF!</definedName>
    <definedName name="Disturb" localSheetId="27">#REF!</definedName>
    <definedName name="Disturb" localSheetId="2">#REF!</definedName>
    <definedName name="Disturb" localSheetId="28">#REF!</definedName>
    <definedName name="Disturb" localSheetId="7">#REF!</definedName>
    <definedName name="Disturb">#REF!</definedName>
    <definedName name="DisturbStress" localSheetId="29">[2]STR!$G$83</definedName>
    <definedName name="DisturbStress" localSheetId="27">[2]STR!$G$83</definedName>
    <definedName name="DisturbStress" localSheetId="28">[2]STR!$G$83</definedName>
    <definedName name="DisturbStress">STR!$G$83</definedName>
    <definedName name="Ditching1" localSheetId="29">[2]WS!#REF!</definedName>
    <definedName name="Ditching1" localSheetId="27">[2]WS!#REF!</definedName>
    <definedName name="Ditching1" localSheetId="28">[2]WS!#REF!</definedName>
    <definedName name="Ditching1" localSheetId="7">WS!#REF!</definedName>
    <definedName name="Ditching1">WS!#REF!</definedName>
    <definedName name="DomDepth3" localSheetId="29">[2]PR!$G$50</definedName>
    <definedName name="DomDepth3" localSheetId="27">[2]PR!$G$50</definedName>
    <definedName name="DomDepth3" localSheetId="2">[1]PR!$G$47</definedName>
    <definedName name="DomDepth3" localSheetId="28">[2]PR!$G$50</definedName>
    <definedName name="DomDepth3">PR!$G$55</definedName>
    <definedName name="DownDistExceedSS" localSheetId="29">[2]SR!#REF!</definedName>
    <definedName name="DownDistExceedSS" localSheetId="27">[2]SR!#REF!</definedName>
    <definedName name="DownDistExceedSS" localSheetId="2">[1]SR!$G$112</definedName>
    <definedName name="DownDistExceedSS" localSheetId="28">[2]SR!#REF!</definedName>
    <definedName name="DownDistExceedSS" localSheetId="7">SR!#REF!</definedName>
    <definedName name="DownDistExceedSS">SR!#REF!</definedName>
    <definedName name="DownEroding" localSheetId="29">#REF!</definedName>
    <definedName name="DownEroding" localSheetId="27">#REF!</definedName>
    <definedName name="DownEroding" localSheetId="2">#REF!</definedName>
    <definedName name="DownEroding" localSheetId="28">#REF!</definedName>
    <definedName name="DownEroding" localSheetId="7">#REF!</definedName>
    <definedName name="DownEroding">#REF!</definedName>
    <definedName name="DownExceed" localSheetId="29">#REF!</definedName>
    <definedName name="DownExceed" localSheetId="27">#REF!</definedName>
    <definedName name="DownExceed" localSheetId="2">#REF!</definedName>
    <definedName name="DownExceed" localSheetId="28">#REF!</definedName>
    <definedName name="DownExceed" localSheetId="7">#REF!</definedName>
    <definedName name="DownExceed">#REF!</definedName>
    <definedName name="DownExceed2" localSheetId="29">[2]SR!#REF!</definedName>
    <definedName name="DownExceed2" localSheetId="27">[2]SR!#REF!</definedName>
    <definedName name="DownExceed2" localSheetId="28">[2]SR!#REF!</definedName>
    <definedName name="DownExceed2" localSheetId="7">SR!#REF!</definedName>
    <definedName name="DownExceed2">SR!#REF!</definedName>
    <definedName name="DownExceedDist" localSheetId="29">#REF!</definedName>
    <definedName name="DownExceedDist" localSheetId="27">#REF!</definedName>
    <definedName name="DownExceedDist" localSheetId="2">#REF!</definedName>
    <definedName name="DownExceedDist" localSheetId="28">#REF!</definedName>
    <definedName name="DownExceedDist" localSheetId="7">#REF!</definedName>
    <definedName name="DownExceedDist">#REF!</definedName>
    <definedName name="DownExceedSS" localSheetId="29">[2]SR!#REF!</definedName>
    <definedName name="DownExceedSS" localSheetId="27">[2]SR!#REF!</definedName>
    <definedName name="DownExceedSS" localSheetId="28">[2]SR!#REF!</definedName>
    <definedName name="DownExceedSS" localSheetId="7">SR!#REF!</definedName>
    <definedName name="DownExceedSS">SR!#REF!</definedName>
    <definedName name="DownNitrate" localSheetId="29">#REF!</definedName>
    <definedName name="DownNitrate" localSheetId="27">#REF!</definedName>
    <definedName name="DownNitrate" localSheetId="2">#REF!</definedName>
    <definedName name="DownNitrate" localSheetId="28">#REF!</definedName>
    <definedName name="DownNitrate" localSheetId="7">#REF!</definedName>
    <definedName name="DownNitrate">#REF!</definedName>
    <definedName name="DownPhos" localSheetId="29">#REF!</definedName>
    <definedName name="DownPhos" localSheetId="27">#REF!</definedName>
    <definedName name="DownPhos" localSheetId="2">#REF!</definedName>
    <definedName name="DownPhos" localSheetId="28">#REF!</definedName>
    <definedName name="DownPhos" localSheetId="7">#REF!</definedName>
    <definedName name="DownPhos">#REF!</definedName>
    <definedName name="DownStorage" localSheetId="29">#REF!</definedName>
    <definedName name="DownStorage" localSheetId="27">#REF!</definedName>
    <definedName name="DownStorage" localSheetId="2">#REF!</definedName>
    <definedName name="DownStorage" localSheetId="28">#REF!</definedName>
    <definedName name="DownStorage" localSheetId="7">#REF!</definedName>
    <definedName name="DownStorage">#REF!</definedName>
    <definedName name="DownStore1" localSheetId="29">[2]WS!#REF!</definedName>
    <definedName name="DownStore1" localSheetId="27">[2]WS!#REF!</definedName>
    <definedName name="DownStore1" localSheetId="2">[1]WS!$G$102</definedName>
    <definedName name="DownStore1" localSheetId="28">[2]WS!#REF!</definedName>
    <definedName name="DownStore1">WS!#REF!</definedName>
    <definedName name="DownThermo" localSheetId="29">#REF!</definedName>
    <definedName name="DownThermo" localSheetId="27">#REF!</definedName>
    <definedName name="DownThermo" localSheetId="2">#REF!</definedName>
    <definedName name="DownThermo" localSheetId="28">#REF!</definedName>
    <definedName name="DownThermo" localSheetId="7">#REF!</definedName>
    <definedName name="DownThermo">#REF!</definedName>
    <definedName name="DownTurb" localSheetId="29">#REF!</definedName>
    <definedName name="DownTurb" localSheetId="27">#REF!</definedName>
    <definedName name="DownTurb" localSheetId="2">#REF!</definedName>
    <definedName name="DownTurb" localSheetId="28">#REF!</definedName>
    <definedName name="DownTurb" localSheetId="7">#REF!</definedName>
    <definedName name="DownTurb">#REF!</definedName>
    <definedName name="downwood0" localSheetId="29">[2]POL!$G$42</definedName>
    <definedName name="downwood0" localSheetId="27">[2]POL!$G$42</definedName>
    <definedName name="downwood0" localSheetId="2">[1]POL!$G$69</definedName>
    <definedName name="downwood0" localSheetId="28">[2]POL!$G$42</definedName>
    <definedName name="downwood0">POL!$G$42</definedName>
    <definedName name="DownWQdis2" localSheetId="29">[2]SR!#REF!</definedName>
    <definedName name="DownWQdis2" localSheetId="27">[2]SR!#REF!</definedName>
    <definedName name="DownWQdis2" localSheetId="28">[2]SR!#REF!</definedName>
    <definedName name="DownWQdis2" localSheetId="7">SR!#REF!</definedName>
    <definedName name="DownWQdis2">SR!#REF!</definedName>
    <definedName name="Drawdown3" localSheetId="29">[2]PR!#REF!</definedName>
    <definedName name="Drawdown3" localSheetId="27">[2]PR!#REF!</definedName>
    <definedName name="Drawdown3" localSheetId="2">[1]PR!$G$14</definedName>
    <definedName name="Drawdown3" localSheetId="28">[2]PR!#REF!</definedName>
    <definedName name="Drawdown3">PR!#REF!</definedName>
    <definedName name="Drier" localSheetId="29">[2]STR!$G$72</definedName>
    <definedName name="Drier" localSheetId="27">[2]STR!$G$72</definedName>
    <definedName name="Drier" localSheetId="2">[1]STR!$G$3</definedName>
    <definedName name="Drier" localSheetId="28">[2]STR!$G$72</definedName>
    <definedName name="Drier">STR!$G$72</definedName>
    <definedName name="drier1" localSheetId="29">[2]WS!#REF!</definedName>
    <definedName name="drier1" localSheetId="27">[2]WS!#REF!</definedName>
    <definedName name="drier1" localSheetId="28">[2]WS!#REF!</definedName>
    <definedName name="drier1" localSheetId="7">WS!#REF!</definedName>
    <definedName name="drier1">WS!#REF!</definedName>
    <definedName name="drier1a" localSheetId="29">[2]WS!#REF!</definedName>
    <definedName name="drier1a" localSheetId="27">[2]WS!#REF!</definedName>
    <definedName name="drier1a" localSheetId="28">[2]WS!#REF!</definedName>
    <definedName name="drier1a" localSheetId="7">WS!#REF!</definedName>
    <definedName name="drier1a">WS!#REF!</definedName>
    <definedName name="Drier3" localSheetId="29">[2]PR!#REF!</definedName>
    <definedName name="Drier3" localSheetId="27">[2]PR!#REF!</definedName>
    <definedName name="Drier3" localSheetId="2">[1]PR!$G$105</definedName>
    <definedName name="Drier3" localSheetId="28">[2]PR!#REF!</definedName>
    <definedName name="Drier3">PR!#REF!</definedName>
    <definedName name="Drier4" localSheetId="29">[2]NR!#REF!</definedName>
    <definedName name="Drier4" localSheetId="27">[2]NR!#REF!</definedName>
    <definedName name="Drier4" localSheetId="2">[1]NR!$G$103</definedName>
    <definedName name="Drier4" localSheetId="28">[2]NR!#REF!</definedName>
    <definedName name="Drier4" localSheetId="7">NR!#REF!</definedName>
    <definedName name="Drier4">NR!#REF!</definedName>
    <definedName name="Drier5" localSheetId="29">[2]CS!#REF!</definedName>
    <definedName name="Drier5" localSheetId="27">[2]CS!#REF!</definedName>
    <definedName name="Drier5" localSheetId="2">[1]CS!$G$135</definedName>
    <definedName name="Drier5" localSheetId="28">[2]CS!#REF!</definedName>
    <definedName name="Drier5">CS!#REF!</definedName>
    <definedName name="DrierEx" localSheetId="29">[2]STR!$G$73</definedName>
    <definedName name="DrierEx" localSheetId="27">[2]STR!$G$73</definedName>
    <definedName name="DrierEx" localSheetId="28">[2]STR!$G$73</definedName>
    <definedName name="DrierEx">STR!$G$73</definedName>
    <definedName name="Drink4" localSheetId="29">[2]NR!$G$168</definedName>
    <definedName name="Drink4" localSheetId="27">[2]NR!$G$168</definedName>
    <definedName name="Drink4" localSheetId="2">[1]NR!$G$136</definedName>
    <definedName name="Drink4" localSheetId="28">[2]NR!$G$168</definedName>
    <definedName name="Drink4">NR!$G$168</definedName>
    <definedName name="DryIntercept" localSheetId="29">[2]SR!$G$184</definedName>
    <definedName name="DryIntercept" localSheetId="27">[2]SR!$G$184</definedName>
    <definedName name="DryIntercept" localSheetId="28">[2]SR!$G$184</definedName>
    <definedName name="DryIntercept">SR!$G$185</definedName>
    <definedName name="DuckFood12" localSheetId="29">[2]WBF!#REF!</definedName>
    <definedName name="DuckFood12" localSheetId="27">[2]WBF!#REF!</definedName>
    <definedName name="DuckFood12" localSheetId="2">[1]WBF!$G$84</definedName>
    <definedName name="DuckFood12" localSheetId="28">[2]WBF!#REF!</definedName>
    <definedName name="DuckFood12" localSheetId="7">WBF!#REF!</definedName>
    <definedName name="DuckFood12">WBF!#REF!</definedName>
    <definedName name="DuckFood13" localSheetId="29">[2]WBN!#REF!</definedName>
    <definedName name="DuckFood13" localSheetId="27">[2]WBN!#REF!</definedName>
    <definedName name="DuckFood13" localSheetId="2">[1]WBN!$G$93</definedName>
    <definedName name="DuckFood13" localSheetId="28">[2]WBN!#REF!</definedName>
    <definedName name="DuckFood13" localSheetId="7">WBN!#REF!</definedName>
    <definedName name="DuckFood13">WBN!#REF!</definedName>
    <definedName name="DuckHunt" localSheetId="29">[2]WBF!$D$184</definedName>
    <definedName name="DuckHunt" localSheetId="27">[2]WBF!$D$184</definedName>
    <definedName name="DuckHunt" localSheetId="28">[2]WBF!$D$184</definedName>
    <definedName name="DuckHunt">WBF!$G$184</definedName>
    <definedName name="DWsource3" localSheetId="29">[2]PR!#REF!</definedName>
    <definedName name="DWsource3" localSheetId="27">[2]PR!#REF!</definedName>
    <definedName name="DWsource3" localSheetId="28">[2]PR!#REF!</definedName>
    <definedName name="DWsource3" localSheetId="7">PR!#REF!</definedName>
    <definedName name="DWsource3">PR!#REF!</definedName>
    <definedName name="Elev" localSheetId="29">[2]SR!$G$129</definedName>
    <definedName name="Elev" localSheetId="27">[2]SR!$G$129</definedName>
    <definedName name="Elev" localSheetId="28">[2]SR!$G$129</definedName>
    <definedName name="Elev">SR!$G$129</definedName>
    <definedName name="Elev1" localSheetId="29">[2]WS!$G$16</definedName>
    <definedName name="Elev1" localSheetId="27">[2]WS!$G$16</definedName>
    <definedName name="Elev1" localSheetId="28">[2]WS!$G$16</definedName>
    <definedName name="Elev1">WS!$G$16</definedName>
    <definedName name="Elev10" localSheetId="29">[2]FR!$G$33</definedName>
    <definedName name="Elev10" localSheetId="27">[2]FR!$G$33</definedName>
    <definedName name="Elev10" localSheetId="28">[2]FR!$G$33</definedName>
    <definedName name="Elev10">FR!$G$33</definedName>
    <definedName name="Elev11" localSheetId="29">[2]AM!$G$75</definedName>
    <definedName name="Elev11" localSheetId="27">[2]AM!$G$75</definedName>
    <definedName name="Elev11" localSheetId="28">[2]AM!$G$75</definedName>
    <definedName name="Elev11">AM!$G$75</definedName>
    <definedName name="Elev12" localSheetId="29">[2]WBF!$G$53</definedName>
    <definedName name="Elev12" localSheetId="27">[2]WBF!$G$53</definedName>
    <definedName name="Elev12" localSheetId="28">[2]WBF!$G$53</definedName>
    <definedName name="Elev12">WBF!$G$46</definedName>
    <definedName name="Elev13" localSheetId="29">[2]WBN!#REF!</definedName>
    <definedName name="Elev13" localSheetId="27">[2]WBN!#REF!</definedName>
    <definedName name="Elev13" localSheetId="28">[2]WBN!#REF!</definedName>
    <definedName name="Elev13">WBN!#REF!</definedName>
    <definedName name="Elev14" localSheetId="29">[2]SBM!$G$70</definedName>
    <definedName name="Elev14" localSheetId="27">[2]SBM!$G$70</definedName>
    <definedName name="Elev14" localSheetId="28">[2]SBM!$G$70</definedName>
    <definedName name="Elev14">SBM!$G$63</definedName>
    <definedName name="Elev2" localSheetId="29">[2]SR!$G$16</definedName>
    <definedName name="Elev2" localSheetId="27">[2]SR!$G$16</definedName>
    <definedName name="Elev2" localSheetId="28">[2]SR!$G$16</definedName>
    <definedName name="Elev2">SR!$G$16</definedName>
    <definedName name="Elev2_" localSheetId="29">[2]SFS!#REF!</definedName>
    <definedName name="Elev2_" localSheetId="27">[2]SFS!#REF!</definedName>
    <definedName name="Elev2_" localSheetId="28">[2]SFS!#REF!</definedName>
    <definedName name="Elev2_">SFS!#REF!</definedName>
    <definedName name="Elev2a">SR!$G$129</definedName>
    <definedName name="Elev3" localSheetId="29">[2]PR!$G$16</definedName>
    <definedName name="Elev3" localSheetId="27">[2]PR!$G$16</definedName>
    <definedName name="Elev3" localSheetId="28">[2]PR!$G$16</definedName>
    <definedName name="Elev3">PR!$G$16</definedName>
    <definedName name="Elev4" localSheetId="29">[2]NR!$G$20</definedName>
    <definedName name="Elev4" localSheetId="27">[2]NR!$G$20</definedName>
    <definedName name="Elev4" localSheetId="28">[2]NR!$G$20</definedName>
    <definedName name="Elev4">NR!$G$20</definedName>
    <definedName name="Elev5" localSheetId="29">[2]CS!$G$16</definedName>
    <definedName name="Elev5" localSheetId="27">[2]CS!$G$16</definedName>
    <definedName name="Elev5" localSheetId="28">[2]CS!$G$16</definedName>
    <definedName name="Elev5">CS!$G$10</definedName>
    <definedName name="Elev6" localSheetId="29">[2]OE!$G$30</definedName>
    <definedName name="Elev6" localSheetId="27">[2]OE!$G$30</definedName>
    <definedName name="Elev6" localSheetId="28">[2]OE!$G$30</definedName>
    <definedName name="Elev6">OE!$G$151</definedName>
    <definedName name="Elev7" localSheetId="29">[2]WC!$G$51</definedName>
    <definedName name="Elev7" localSheetId="27">[2]WC!$G$51</definedName>
    <definedName name="Elev7" localSheetId="28">[2]WC!$G$51</definedName>
    <definedName name="Elev7" localSheetId="7">WW!$G$60</definedName>
    <definedName name="Elev7">WC!$G$57</definedName>
    <definedName name="Elev7w" localSheetId="29">[2]WW!$G$54</definedName>
    <definedName name="Elev7w" localSheetId="27">[2]WW!$G$54</definedName>
    <definedName name="Elev7w" localSheetId="28">[2]WW!$G$54</definedName>
    <definedName name="Elev7w">WW!$G$60</definedName>
    <definedName name="Elev9" localSheetId="29">[2]FA!$G$25</definedName>
    <definedName name="Elev9" localSheetId="27">[2]FA!$G$25</definedName>
    <definedName name="Elev9" localSheetId="28">[2]FA!$G$25</definedName>
    <definedName name="Elev9">FA!$G$25</definedName>
    <definedName name="Elevatn2" localSheetId="29">[2]SFS!$G$51</definedName>
    <definedName name="Elevatn2" localSheetId="27">[2]SFS!$G$51</definedName>
    <definedName name="Elevatn2" localSheetId="28">[2]SFS!$G$51</definedName>
    <definedName name="Elevatn2">SFS!$G$51</definedName>
    <definedName name="ElevPD" localSheetId="29">[2]PH!$G$57</definedName>
    <definedName name="ElevPD" localSheetId="27">[2]PH!$G$57</definedName>
    <definedName name="ElevPD" localSheetId="28">[2]PH!$G$57</definedName>
    <definedName name="ElevPD">PH!$G$50</definedName>
    <definedName name="ElevPU" localSheetId="29">[2]PU!$G$22</definedName>
    <definedName name="ElevPU" localSheetId="27">[2]PU!$G$22</definedName>
    <definedName name="ElevPU" localSheetId="28">[2]PU!$G$22</definedName>
    <definedName name="ElevPU">PU!$G$22</definedName>
    <definedName name="ElevS" localSheetId="29">[2]SubSis!$G$22</definedName>
    <definedName name="ElevS" localSheetId="27">[2]SubSis!$G$22</definedName>
    <definedName name="ElevS" localSheetId="28">[2]SubSis!$G$22</definedName>
    <definedName name="ElevS">SubSis!$G$22</definedName>
    <definedName name="EmPct12" localSheetId="29">[2]WBF!$G$140</definedName>
    <definedName name="EmPct12" localSheetId="27">[2]WBF!$G$140</definedName>
    <definedName name="EmPct12" localSheetId="2">[1]WBF!$G$78</definedName>
    <definedName name="EmPct12" localSheetId="28">[2]WBF!$G$140</definedName>
    <definedName name="EmPct12">WBF!$G$140</definedName>
    <definedName name="EmPct13" localSheetId="29">[2]WBN!$G$163</definedName>
    <definedName name="EmPct13" localSheetId="27">[2]WBN!$G$163</definedName>
    <definedName name="EmPct13" localSheetId="2">[1]WBN!$G$74</definedName>
    <definedName name="EmPct13" localSheetId="28">[2]WBN!$G$163</definedName>
    <definedName name="EmPct13">WBN!$G$163</definedName>
    <definedName name="EmPct8" localSheetId="29">[2]INV!#REF!</definedName>
    <definedName name="EmPct8" localSheetId="27">[2]INV!#REF!</definedName>
    <definedName name="EmPct8" localSheetId="2">[1]INV!$G$88</definedName>
    <definedName name="EmPct8" localSheetId="28">[2]INV!#REF!</definedName>
    <definedName name="EmPct8">INV!#REF!</definedName>
    <definedName name="EmSens1_C" localSheetId="29">[2]EC!$G$20</definedName>
    <definedName name="EmSens1_C" localSheetId="27">[2]EC!$G$20</definedName>
    <definedName name="EmSens1_C" localSheetId="2">[1]CQ!$G$37</definedName>
    <definedName name="EmSens1_C" localSheetId="28">[2]EC!$G$20</definedName>
    <definedName name="EmSens1_C">EC!$G$20</definedName>
    <definedName name="EmSens1_S" localSheetId="29">[2]Sen!$G$216</definedName>
    <definedName name="EmSens1_S" localSheetId="27">[2]Sen!$G$216</definedName>
    <definedName name="EmSens1_S" localSheetId="2">[1]Sen!$G$62</definedName>
    <definedName name="EmSens1_S" localSheetId="28">[2]Sen!$G$216</definedName>
    <definedName name="EmSens1_S">Sen!$G$216</definedName>
    <definedName name="EmSens2_C" localSheetId="29">[2]EC!#REF!</definedName>
    <definedName name="EmSens2_C" localSheetId="27">[2]EC!#REF!</definedName>
    <definedName name="EmSens2_C" localSheetId="2">[1]CQ!$G$46</definedName>
    <definedName name="EmSens2_C" localSheetId="28">[2]EC!#REF!</definedName>
    <definedName name="EmSens2_C" localSheetId="7">EC!#REF!</definedName>
    <definedName name="EmSens2_C">EC!#REF!</definedName>
    <definedName name="EmSens2_S" localSheetId="29">[2]Sen!#REF!</definedName>
    <definedName name="EmSens2_S" localSheetId="27">[2]Sen!#REF!</definedName>
    <definedName name="EmSens2_S" localSheetId="2">[1]Sen!#REF!</definedName>
    <definedName name="EmSens2_S" localSheetId="28">[2]Sen!#REF!</definedName>
    <definedName name="EmSens2_S" localSheetId="7">Sen!#REF!</definedName>
    <definedName name="EmSens2_S">Sen!#REF!</definedName>
    <definedName name="Enrich" localSheetId="29">[2]STR!$G$76</definedName>
    <definedName name="Enrich" localSheetId="27">[2]STR!$G$76</definedName>
    <definedName name="Enrich" localSheetId="28">[2]STR!$G$76</definedName>
    <definedName name="Enrich">STR!$G$76</definedName>
    <definedName name="Entrain" localSheetId="29">[2]SR!$G$183</definedName>
    <definedName name="Entrain" localSheetId="27">[2]SR!$G$183</definedName>
    <definedName name="Entrain" localSheetId="28">[2]SR!$G$183</definedName>
    <definedName name="Entrain">SR!$G$184</definedName>
    <definedName name="Erodib_S" localSheetId="29">[2]Sen!$G$80</definedName>
    <definedName name="Erodib_S" localSheetId="27">[2]Sen!$G$80</definedName>
    <definedName name="Erodib_S" localSheetId="2">[1]Sen!$G$157</definedName>
    <definedName name="Erodib_S" localSheetId="28">[2]Sen!$G$80</definedName>
    <definedName name="Erodib_S">Sen!$G$73</definedName>
    <definedName name="Erodible2">SR!$G$181</definedName>
    <definedName name="ErodibleSS" localSheetId="29">[2]SR!$G$180</definedName>
    <definedName name="ErodibleSS" localSheetId="27">[2]SR!$G$180</definedName>
    <definedName name="ErodibleSS" localSheetId="2">[1]SR!$G$116</definedName>
    <definedName name="ErodibleSS" localSheetId="28">[2]SR!$G$180</definedName>
    <definedName name="ErodibleSS">SR!$G$181</definedName>
    <definedName name="Eroding_C" localSheetId="29">[2]EC!#REF!</definedName>
    <definedName name="Eroding_C" localSheetId="27">[2]EC!#REF!</definedName>
    <definedName name="Eroding_C" localSheetId="2">[1]CQ!#REF!</definedName>
    <definedName name="Eroding_C" localSheetId="28">[2]EC!#REF!</definedName>
    <definedName name="Eroding_C" localSheetId="7">EC!#REF!</definedName>
    <definedName name="Eroding_C">EC!#REF!</definedName>
    <definedName name="Eroding2" localSheetId="29">#REF!</definedName>
    <definedName name="Eroding2" localSheetId="27">#REF!</definedName>
    <definedName name="Eroding2" localSheetId="2">#REF!</definedName>
    <definedName name="Eroding2" localSheetId="28">#REF!</definedName>
    <definedName name="Eroding2" localSheetId="7">#REF!</definedName>
    <definedName name="Eroding2">#REF!</definedName>
    <definedName name="ErodScore3" localSheetId="29">[2]PR!$G$124</definedName>
    <definedName name="ErodScore3" localSheetId="27">[2]PR!$G$124</definedName>
    <definedName name="ErodScore3" localSheetId="2">[1]PR!$G$128</definedName>
    <definedName name="ErodScore3" localSheetId="28">[2]PR!$G$124</definedName>
    <definedName name="ErodScore3">PR!$G$124</definedName>
    <definedName name="EstuPos1" localSheetId="29">[2]WS!#REF!</definedName>
    <definedName name="EstuPos1" localSheetId="27">[2]WS!#REF!</definedName>
    <definedName name="EstuPos1" localSheetId="28">[2]WS!#REF!</definedName>
    <definedName name="EstuPos1" localSheetId="7">WS!#REF!</definedName>
    <definedName name="EstuPos1">WS!#REF!</definedName>
    <definedName name="EstuPos1low" localSheetId="29">[2]WS!#REF!</definedName>
    <definedName name="EstuPos1low" localSheetId="27">[2]WS!#REF!</definedName>
    <definedName name="EstuPos1low" localSheetId="2">[1]WS!$D$5</definedName>
    <definedName name="EstuPos1low" localSheetId="28">[2]WS!#REF!</definedName>
    <definedName name="EstuPos1low" localSheetId="7">WS!#REF!</definedName>
    <definedName name="EstuPos1low">WS!#REF!</definedName>
    <definedName name="EstuPos1mid" localSheetId="29">[2]WS!#REF!</definedName>
    <definedName name="EstuPos1mid" localSheetId="27">[2]WS!#REF!</definedName>
    <definedName name="EstuPos1mid" localSheetId="2">[1]WS!$D$6</definedName>
    <definedName name="EstuPos1mid" localSheetId="28">[2]WS!#REF!</definedName>
    <definedName name="EstuPos1mid" localSheetId="7">WS!#REF!</definedName>
    <definedName name="EstuPos1mid">WS!#REF!</definedName>
    <definedName name="EstuPos1up" localSheetId="29">[2]WS!#REF!</definedName>
    <definedName name="EstuPos1up" localSheetId="27">[2]WS!#REF!</definedName>
    <definedName name="EstuPos1up" localSheetId="28">[2]WS!#REF!</definedName>
    <definedName name="EstuPos1up" localSheetId="7">WS!#REF!</definedName>
    <definedName name="EstuPos1up">WS!#REF!</definedName>
    <definedName name="EstuPos3" localSheetId="29">[2]PR!#REF!</definedName>
    <definedName name="EstuPos3" localSheetId="27">[2]PR!#REF!</definedName>
    <definedName name="EstuPos3" localSheetId="2">[1]PR!$G$10</definedName>
    <definedName name="EstuPos3" localSheetId="28">[2]PR!#REF!</definedName>
    <definedName name="EstuPos3" localSheetId="7">PR!#REF!</definedName>
    <definedName name="EstuPos3">PR!#REF!</definedName>
    <definedName name="EstuPos5" localSheetId="29">[2]CS!#REF!</definedName>
    <definedName name="EstuPos5" localSheetId="27">[2]CS!#REF!</definedName>
    <definedName name="EstuPos5" localSheetId="28">[2]CS!#REF!</definedName>
    <definedName name="EstuPos5" localSheetId="7">CS!#REF!</definedName>
    <definedName name="EstuPos5">CS!#REF!</definedName>
    <definedName name="EstuPos9" localSheetId="29">[2]FA!#REF!</definedName>
    <definedName name="EstuPos9" localSheetId="27">[2]FA!#REF!</definedName>
    <definedName name="EstuPos9" localSheetId="2">[1]FA!#REF!</definedName>
    <definedName name="EstuPos9" localSheetId="28">[2]FA!#REF!</definedName>
    <definedName name="EstuPos9" localSheetId="7">FA!#REF!</definedName>
    <definedName name="EstuPos9">FA!#REF!</definedName>
    <definedName name="EstuPosLo9" localSheetId="29">[2]FA!#REF!</definedName>
    <definedName name="EstuPosLo9" localSheetId="27">[2]FA!#REF!</definedName>
    <definedName name="EstuPosLo9" localSheetId="2">[1]FA!#REF!</definedName>
    <definedName name="EstuPosLo9" localSheetId="28">[2]FA!#REF!</definedName>
    <definedName name="EstuPosLo9" localSheetId="7">FA!#REF!</definedName>
    <definedName name="EstuPosLo9">FA!#REF!</definedName>
    <definedName name="EstuPosMid9" localSheetId="29">[2]FA!#REF!</definedName>
    <definedName name="EstuPosMid9" localSheetId="27">[2]FA!#REF!</definedName>
    <definedName name="EstuPosMid9" localSheetId="2">[1]FA!#REF!</definedName>
    <definedName name="EstuPosMid9" localSheetId="28">[2]FA!#REF!</definedName>
    <definedName name="EstuPosMid9" localSheetId="7">FA!#REF!</definedName>
    <definedName name="EstuPosMid9">FA!#REF!</definedName>
    <definedName name="EstuPosPD" localSheetId="29">[2]PH!#REF!</definedName>
    <definedName name="EstuPosPD" localSheetId="27">[2]PH!#REF!</definedName>
    <definedName name="EstuPosPD" localSheetId="2">[1]PD!$G$21</definedName>
    <definedName name="EstuPosPD" localSheetId="28">[2]PH!#REF!</definedName>
    <definedName name="EstuPosPD" localSheetId="7">PH!#REF!</definedName>
    <definedName name="EstuPosPD">PH!#REF!</definedName>
    <definedName name="EstuPosUp9" localSheetId="29">[2]FA!#REF!</definedName>
    <definedName name="EstuPosUp9" localSheetId="27">[2]FA!#REF!</definedName>
    <definedName name="EstuPosUp9" localSheetId="2">[1]FA!#REF!</definedName>
    <definedName name="EstuPosUp9" localSheetId="28">[2]FA!#REF!</definedName>
    <definedName name="EstuPosUp9" localSheetId="7">FA!#REF!</definedName>
    <definedName name="EstuPosUp9">FA!#REF!</definedName>
    <definedName name="exoticmivs8" localSheetId="29">[2]INV!#REF!</definedName>
    <definedName name="exoticmivs8" localSheetId="27">[2]INV!#REF!</definedName>
    <definedName name="exoticmivs8" localSheetId="2">[1]INV!$G$75</definedName>
    <definedName name="exoticmivs8" localSheetId="28">[2]INV!#REF!</definedName>
    <definedName name="exoticmivs8" localSheetId="7">INV!#REF!</definedName>
    <definedName name="exoticmivs8">INV!#REF!</definedName>
    <definedName name="Exotics" localSheetId="29">[2]EC!#REF!</definedName>
    <definedName name="Exotics" localSheetId="27">[2]EC!#REF!</definedName>
    <definedName name="Exotics" localSheetId="2">[1]CQ!$G$13</definedName>
    <definedName name="Exotics" localSheetId="28">[2]EC!#REF!</definedName>
    <definedName name="Exotics" localSheetId="7">EC!#REF!</definedName>
    <definedName name="Exotics">EC!#REF!</definedName>
    <definedName name="ExportPot6" localSheetId="29">[2]OE!$G$160</definedName>
    <definedName name="ExportPot6" localSheetId="27">[2]OE!$G$160</definedName>
    <definedName name="ExportPot6" localSheetId="28">[2]OE!$G$160</definedName>
    <definedName name="ExportPot6">OE!$G$162</definedName>
    <definedName name="Fen2_">SFS!$D$10</definedName>
    <definedName name="Fen7a">WC!#REF!</definedName>
    <definedName name="Fen7w">WW!#REF!</definedName>
    <definedName name="FenMarsh" localSheetId="29">[2]F!$D$9</definedName>
    <definedName name="FenMarsh" localSheetId="27">[2]F!$D$9</definedName>
    <definedName name="FenMarsh" localSheetId="28">[2]F!$D$9</definedName>
    <definedName name="FenMarsh">F!$D$7</definedName>
    <definedName name="Fertility" localSheetId="29">[2]Sen!$G$243</definedName>
    <definedName name="Fertility" localSheetId="27">[2]Sen!$G$243</definedName>
    <definedName name="Fertility" localSheetId="28">[2]Sen!$G$243</definedName>
    <definedName name="Fertility">Sen!$G$243</definedName>
    <definedName name="FHA4a" localSheetId="2">[1]FA!#REF!</definedName>
    <definedName name="FHA4a" localSheetId="7">FA!#REF!</definedName>
    <definedName name="FHA4a">FA!#REF!</definedName>
    <definedName name="Fire4" localSheetId="29">[2]NR!#REF!</definedName>
    <definedName name="Fire4" localSheetId="27">[2]NR!#REF!</definedName>
    <definedName name="Fire4" localSheetId="2">[1]NR!$G$69</definedName>
    <definedName name="Fire4" localSheetId="28">[2]NR!#REF!</definedName>
    <definedName name="Fire4" localSheetId="7">NR!#REF!</definedName>
    <definedName name="Fire4">NR!#REF!</definedName>
    <definedName name="firehay0" localSheetId="29">[2]POL!#REF!</definedName>
    <definedName name="firehay0" localSheetId="27">[2]POL!#REF!</definedName>
    <definedName name="firehay0" localSheetId="2">[1]POL!$G$55</definedName>
    <definedName name="firehay0" localSheetId="28">[2]POL!#REF!</definedName>
    <definedName name="firehay0" localSheetId="7">POL!#REF!</definedName>
    <definedName name="firehay0">POL!#REF!</definedName>
    <definedName name="FireHay12" localSheetId="29">[2]WBF!#REF!</definedName>
    <definedName name="FireHay12" localSheetId="27">[2]WBF!#REF!</definedName>
    <definedName name="FireHay12" localSheetId="2">[1]WBF!$G$90</definedName>
    <definedName name="FireHay12" localSheetId="28">[2]WBF!#REF!</definedName>
    <definedName name="FireHay12" localSheetId="7">WBF!#REF!</definedName>
    <definedName name="FireHay12">WBF!#REF!</definedName>
    <definedName name="FireHay13" localSheetId="29">[2]WBN!#REF!</definedName>
    <definedName name="FireHay13" localSheetId="27">[2]WBN!#REF!</definedName>
    <definedName name="FireHay13" localSheetId="2">[1]WBN!$G$99</definedName>
    <definedName name="FireHay13" localSheetId="28">[2]WBN!#REF!</definedName>
    <definedName name="FireHay13" localSheetId="7">WBN!#REF!</definedName>
    <definedName name="FireHay13">WBN!#REF!</definedName>
    <definedName name="FireHay3" localSheetId="29">[2]PR!#REF!</definedName>
    <definedName name="FireHay3" localSheetId="27">[2]PR!#REF!</definedName>
    <definedName name="FireHay3" localSheetId="2">[1]PR!$G$75</definedName>
    <definedName name="FireHay3" localSheetId="28">[2]PR!#REF!</definedName>
    <definedName name="FireHay3" localSheetId="7">PR!#REF!</definedName>
    <definedName name="FireHay3">PR!#REF!</definedName>
    <definedName name="FireHay5" localSheetId="29">[2]CS!#REF!</definedName>
    <definedName name="FireHay5" localSheetId="27">[2]CS!#REF!</definedName>
    <definedName name="FireHay5" localSheetId="2">[1]CS!$G$101</definedName>
    <definedName name="FireHay5" localSheetId="28">[2]CS!#REF!</definedName>
    <definedName name="FireHay5" localSheetId="7">CS!#REF!</definedName>
    <definedName name="FireHay5">CS!#REF!</definedName>
    <definedName name="FireHay6" localSheetId="29">[2]OE!#REF!</definedName>
    <definedName name="FireHay6" localSheetId="27">[2]OE!#REF!</definedName>
    <definedName name="FireHay6" localSheetId="2">[1]OE!$G$85</definedName>
    <definedName name="FireHay6" localSheetId="28">[2]OE!#REF!</definedName>
    <definedName name="FireHay6" localSheetId="7">OE!#REF!</definedName>
    <definedName name="FireHay6">OE!#REF!</definedName>
    <definedName name="FireHayPD" localSheetId="29">[2]PH!#REF!</definedName>
    <definedName name="FireHayPD" localSheetId="27">[2]PH!#REF!</definedName>
    <definedName name="FireHayPD" localSheetId="2">[1]PD!$G$86</definedName>
    <definedName name="FireHayPD" localSheetId="28">[2]PH!#REF!</definedName>
    <definedName name="FireHayPD" localSheetId="7">PH!#REF!</definedName>
    <definedName name="FireHayPD">PH!#REF!</definedName>
    <definedName name="Fish10" localSheetId="29">[2]FR!#REF!</definedName>
    <definedName name="Fish10" localSheetId="27">[2]FR!#REF!</definedName>
    <definedName name="Fish10" localSheetId="28">[2]FR!#REF!</definedName>
    <definedName name="Fish10">FR!#REF!</definedName>
    <definedName name="Fish11" localSheetId="29">[2]AM!#REF!</definedName>
    <definedName name="Fish11" localSheetId="27">[2]AM!#REF!</definedName>
    <definedName name="Fish11" localSheetId="28">[2]AM!#REF!</definedName>
    <definedName name="Fish11">AM!#REF!</definedName>
    <definedName name="Fish12a" localSheetId="29">[2]WBF!$G$35</definedName>
    <definedName name="Fish12a" localSheetId="27">[2]WBF!$G$35</definedName>
    <definedName name="Fish12a" localSheetId="28">[2]WBF!$G$35</definedName>
    <definedName name="Fish12a">WBF!$G$28</definedName>
    <definedName name="Fish13" localSheetId="29">[2]WBN!#REF!</definedName>
    <definedName name="Fish13" localSheetId="27">[2]WBN!#REF!</definedName>
    <definedName name="Fish13" localSheetId="28">[2]WBN!#REF!</definedName>
    <definedName name="Fish13">WBN!#REF!</definedName>
    <definedName name="fISH13A" localSheetId="29">[2]WBN!$G$47</definedName>
    <definedName name="fISH13A" localSheetId="27">[2]WBN!$G$47</definedName>
    <definedName name="fISH13A" localSheetId="28">[2]WBN!$G$47</definedName>
    <definedName name="fISH13A">WBN!$G$40</definedName>
    <definedName name="Fish8" localSheetId="29">[2]INV!$G$13</definedName>
    <definedName name="Fish8" localSheetId="27">[2]INV!$G$13</definedName>
    <definedName name="Fish8" localSheetId="28">[2]INV!$G$13</definedName>
    <definedName name="Fish8">INV!$G$13</definedName>
    <definedName name="FishAcc11" localSheetId="29">[2]AM!$G$56</definedName>
    <definedName name="FishAcc11" localSheetId="27">[2]AM!$G$56</definedName>
    <definedName name="FishAcc11" localSheetId="28">[2]AM!$G$56</definedName>
    <definedName name="FishAcc11">AM!$G$56</definedName>
    <definedName name="FishAcc12" localSheetId="29">[2]WBF!#REF!</definedName>
    <definedName name="FishAcc12" localSheetId="27">[2]WBF!#REF!</definedName>
    <definedName name="FishAcc12" localSheetId="2">[1]WBF!$G$101</definedName>
    <definedName name="FishAcc12" localSheetId="28">[2]WBF!#REF!</definedName>
    <definedName name="FishAcc12" localSheetId="7">WBF!#REF!</definedName>
    <definedName name="FishAcc12">WBF!#REF!</definedName>
    <definedName name="FishAccessS" localSheetId="29">[2]SubSis!$G$15</definedName>
    <definedName name="FishAccessS" localSheetId="27">[2]SubSis!$G$15</definedName>
    <definedName name="FishAccessS" localSheetId="28">[2]SubSis!$G$15</definedName>
    <definedName name="FishAccessS">SubSis!$G$15</definedName>
    <definedName name="Fishing" localSheetId="29">[2]FR!$D$151</definedName>
    <definedName name="Fishing" localSheetId="27">[2]FR!$D$151</definedName>
    <definedName name="Fishing" localSheetId="2">[1]FR!$D$111</definedName>
    <definedName name="Fishing" localSheetId="28">[2]FR!$D$151</definedName>
    <definedName name="Fishing">FR!$D$151</definedName>
    <definedName name="Fishing9" localSheetId="29">[2]FA!$D$153</definedName>
    <definedName name="Fishing9" localSheetId="27">[2]FA!$D$153</definedName>
    <definedName name="Fishing9" localSheetId="28">[2]FA!$D$153</definedName>
    <definedName name="Fishing9">FA!$D$159</definedName>
    <definedName name="Fishless">OF!$D$101</definedName>
    <definedName name="FloDist1" localSheetId="29">[2]WS!$G$24</definedName>
    <definedName name="FloDist1" localSheetId="27">[2]WS!$G$24</definedName>
    <definedName name="FloDist1" localSheetId="28">[2]WS!$G$24</definedName>
    <definedName name="FloDist1">WS!$G$29</definedName>
    <definedName name="FloDist4" localSheetId="29">[2]NR!$G$31</definedName>
    <definedName name="FloDist4" localSheetId="27">[2]NR!$G$31</definedName>
    <definedName name="FloDist4" localSheetId="28">[2]NR!$G$31</definedName>
    <definedName name="FloDist4">NR!$G$36</definedName>
    <definedName name="FloDist6" localSheetId="29">[2]OE!$G$34</definedName>
    <definedName name="FloDist6" localSheetId="27">[2]OE!$G$34</definedName>
    <definedName name="FloDist6" localSheetId="28">[2]OE!$G$34</definedName>
    <definedName name="FloDist6">OE!$G$25</definedName>
    <definedName name="Floodable" localSheetId="29">#REF!</definedName>
    <definedName name="Floodable" localSheetId="27">#REF!</definedName>
    <definedName name="Floodable" localSheetId="2">#REF!</definedName>
    <definedName name="Floodable" localSheetId="28">#REF!</definedName>
    <definedName name="Floodable" localSheetId="7">#REF!</definedName>
    <definedName name="Floodable">#REF!</definedName>
    <definedName name="FloodBdg1" localSheetId="29">[2]WS!$G$88</definedName>
    <definedName name="FloodBdg1" localSheetId="27">[2]WS!$G$88</definedName>
    <definedName name="FloodBdg1" localSheetId="2">[1]WS!$G$96</definedName>
    <definedName name="FloodBdg1" localSheetId="28">[2]WS!$G$88</definedName>
    <definedName name="FloodBdg1">WS!$G$88</definedName>
    <definedName name="Flow8" localSheetId="29">[2]INV!#REF!</definedName>
    <definedName name="Flow8" localSheetId="27">[2]INV!#REF!</definedName>
    <definedName name="Flow8" localSheetId="28">[2]INV!#REF!</definedName>
    <definedName name="Flow8">INV!#REF!</definedName>
    <definedName name="FlowDist2" localSheetId="29">[2]SR!$G$23</definedName>
    <definedName name="FlowDist2" localSheetId="27">[2]SR!$G$23</definedName>
    <definedName name="FlowDist2" localSheetId="28">[2]SR!$G$23</definedName>
    <definedName name="FlowDist2">SR!$G$28</definedName>
    <definedName name="FlowDist3" localSheetId="29">[2]PR!$G$23</definedName>
    <definedName name="FlowDist3" localSheetId="27">[2]PR!$G$23</definedName>
    <definedName name="FlowDist3" localSheetId="28">[2]PR!$G$23</definedName>
    <definedName name="FlowDist3">PR!$G$28</definedName>
    <definedName name="FlowIn2" localSheetId="29">[2]SR!$G$158</definedName>
    <definedName name="FlowIn2" localSheetId="27">[2]SR!$G$158</definedName>
    <definedName name="FlowIn2" localSheetId="28">[2]SR!$G$158</definedName>
    <definedName name="FlowIn2">SR!$G$159</definedName>
    <definedName name="FlowThruFringe" localSheetId="29">[2]F!#REF!</definedName>
    <definedName name="FlowThruFringe" localSheetId="27">[2]F!#REF!</definedName>
    <definedName name="FlowThruFringe" localSheetId="28">[2]F!#REF!</definedName>
    <definedName name="FlowThruFringe" localSheetId="7">F!#REF!</definedName>
    <definedName name="FlowThruFringe">F!#REF!</definedName>
    <definedName name="Fluc2" localSheetId="29">[2]SR!$G$36</definedName>
    <definedName name="Fluc2" localSheetId="27">[2]SR!$G$36</definedName>
    <definedName name="Fluc2" localSheetId="28">[2]SR!$G$36</definedName>
    <definedName name="Fluc2">SR!$G$41</definedName>
    <definedName name="FlucMax1" localSheetId="29">[2]WS!#REF!</definedName>
    <definedName name="FlucMax1" localSheetId="27">[2]WS!#REF!</definedName>
    <definedName name="FlucMax1" localSheetId="2">[1]WS!#REF!</definedName>
    <definedName name="FlucMax1" localSheetId="28">[2]WS!#REF!</definedName>
    <definedName name="FlucMax1" localSheetId="7">WS!#REF!</definedName>
    <definedName name="FlucMax1">WS!#REF!</definedName>
    <definedName name="FlucMax11" localSheetId="29">[2]AM!#REF!</definedName>
    <definedName name="FlucMax11" localSheetId="27">[2]AM!#REF!</definedName>
    <definedName name="FlucMax11" localSheetId="2">[1]AM!#REF!</definedName>
    <definedName name="FlucMax11" localSheetId="28">[2]AM!#REF!</definedName>
    <definedName name="FlucMax11" localSheetId="7">AM!#REF!</definedName>
    <definedName name="FlucMax11">AM!#REF!</definedName>
    <definedName name="FlucMax13" localSheetId="29">[2]WBN!#REF!</definedName>
    <definedName name="FlucMax13" localSheetId="27">[2]WBN!#REF!</definedName>
    <definedName name="FlucMax13" localSheetId="2">[1]WBN!#REF!</definedName>
    <definedName name="FlucMax13" localSheetId="28">[2]WBN!#REF!</definedName>
    <definedName name="FlucMax13" localSheetId="7">WBN!#REF!</definedName>
    <definedName name="FlucMax13">WBN!#REF!</definedName>
    <definedName name="FlucMax2" localSheetId="29">[2]SR!#REF!</definedName>
    <definedName name="FlucMax2" localSheetId="27">[2]SR!#REF!</definedName>
    <definedName name="FlucMax2" localSheetId="2">[1]SR!#REF!</definedName>
    <definedName name="FlucMax2" localSheetId="28">[2]SR!#REF!</definedName>
    <definedName name="FlucMax2" localSheetId="7">SR!#REF!</definedName>
    <definedName name="FlucMax2">SR!#REF!</definedName>
    <definedName name="FlucMax3" localSheetId="29">[2]PR!#REF!</definedName>
    <definedName name="FlucMax3" localSheetId="27">[2]PR!#REF!</definedName>
    <definedName name="FlucMax3" localSheetId="2">[1]PR!#REF!</definedName>
    <definedName name="FlucMax3" localSheetId="28">[2]PR!#REF!</definedName>
    <definedName name="FlucMax3" localSheetId="7">PR!#REF!</definedName>
    <definedName name="FlucMax3">PR!#REF!</definedName>
    <definedName name="FlucMax4" localSheetId="29">[2]NR!#REF!</definedName>
    <definedName name="FlucMax4" localSheetId="27">[2]NR!#REF!</definedName>
    <definedName name="FlucMax4" localSheetId="2">[1]NR!#REF!</definedName>
    <definedName name="FlucMax4" localSheetId="28">[2]NR!#REF!</definedName>
    <definedName name="FlucMax4" localSheetId="7">NR!#REF!</definedName>
    <definedName name="FlucMax4">NR!#REF!</definedName>
    <definedName name="FlucMax5" localSheetId="29">[2]CS!#REF!</definedName>
    <definedName name="FlucMax5" localSheetId="27">[2]CS!#REF!</definedName>
    <definedName name="FlucMax5" localSheetId="2">[1]CS!#REF!</definedName>
    <definedName name="FlucMax5" localSheetId="28">[2]CS!#REF!</definedName>
    <definedName name="FlucMax5" localSheetId="7">CS!#REF!</definedName>
    <definedName name="FlucMax5">CS!#REF!</definedName>
    <definedName name="FlucMax6" localSheetId="29">[2]OE!#REF!</definedName>
    <definedName name="FlucMax6" localSheetId="27">[2]OE!#REF!</definedName>
    <definedName name="FlucMax6" localSheetId="2">[1]OE!#REF!</definedName>
    <definedName name="FlucMax6" localSheetId="28">[2]OE!#REF!</definedName>
    <definedName name="FlucMax6" localSheetId="7">OE!#REF!</definedName>
    <definedName name="FlucMax6">OE!#REF!</definedName>
    <definedName name="FlucMost2" localSheetId="29">[2]SR!#REF!</definedName>
    <definedName name="FlucMost2" localSheetId="27">[2]SR!#REF!</definedName>
    <definedName name="FlucMost2" localSheetId="2">[1]SR!#REF!</definedName>
    <definedName name="FlucMost2" localSheetId="28">[2]SR!#REF!</definedName>
    <definedName name="FlucMost2" localSheetId="7">SR!#REF!</definedName>
    <definedName name="FlucMost2">SR!#REF!</definedName>
    <definedName name="FlucPD" localSheetId="29">[2]PH!$G$84</definedName>
    <definedName name="FlucPD" localSheetId="27">[2]PH!$G$84</definedName>
    <definedName name="FlucPD" localSheetId="28">[2]PH!$G$84</definedName>
    <definedName name="FlucPD">PH!$G$77</definedName>
    <definedName name="Fluctu11" localSheetId="29">[2]AM!$G$107</definedName>
    <definedName name="Fluctu11" localSheetId="27">[2]AM!$G$107</definedName>
    <definedName name="Fluctu11" localSheetId="2">[1]AM!$G$37</definedName>
    <definedName name="Fluctu11" localSheetId="28">[2]AM!$G$107</definedName>
    <definedName name="Fluctu11">AM!$G$112</definedName>
    <definedName name="Fluctu13" localSheetId="29">[2]WBN!$G$86</definedName>
    <definedName name="Fluctu13" localSheetId="27">[2]WBN!$G$86</definedName>
    <definedName name="Fluctu13" localSheetId="2">[1]WBN!$G$30</definedName>
    <definedName name="Fluctu13" localSheetId="28">[2]WBN!$G$86</definedName>
    <definedName name="Fluctu13">WBN!$G$84</definedName>
    <definedName name="Fluctu3" localSheetId="29">[2]PR!$G$45</definedName>
    <definedName name="Fluctu3" localSheetId="27">[2]PR!$G$45</definedName>
    <definedName name="Fluctu3" localSheetId="2">[1]PR!$G$41</definedName>
    <definedName name="Fluctu3" localSheetId="28">[2]PR!$G$45</definedName>
    <definedName name="Fluctu3">PR!$G$50</definedName>
    <definedName name="Fluctu4" localSheetId="29">[2]NR!$G$65</definedName>
    <definedName name="Fluctu4" localSheetId="27">[2]NR!$G$65</definedName>
    <definedName name="Fluctu4" localSheetId="2">[1]NR!$G$37</definedName>
    <definedName name="Fluctu4" localSheetId="28">[2]NR!$G$65</definedName>
    <definedName name="Fluctu4">NR!$G$70</definedName>
    <definedName name="Fluctu5" localSheetId="29">[2]CS!$G$38</definedName>
    <definedName name="Fluctu5" localSheetId="27">[2]CS!$G$38</definedName>
    <definedName name="Fluctu5" localSheetId="2">[1]CS!$G$41</definedName>
    <definedName name="Fluctu5" localSheetId="28">[2]CS!$G$38</definedName>
    <definedName name="Fluctu5">CS!$G$37</definedName>
    <definedName name="Fluctu6" localSheetId="29">[2]OE!$G$54</definedName>
    <definedName name="Fluctu6" localSheetId="27">[2]OE!$G$54</definedName>
    <definedName name="Fluctu6" localSheetId="2">[1]OE!$G$42</definedName>
    <definedName name="Fluctu6" localSheetId="28">[2]OE!$G$54</definedName>
    <definedName name="Fluctu6">OE!$G$45</definedName>
    <definedName name="Fluctu8" localSheetId="29">[2]INV!$G$59</definedName>
    <definedName name="Fluctu8" localSheetId="27">[2]INV!$G$59</definedName>
    <definedName name="Fluctu8" localSheetId="2">[1]INV!$G$47</definedName>
    <definedName name="Fluctu8" localSheetId="28">[2]INV!$G$59</definedName>
    <definedName name="Fluctu8">INV!$G$59</definedName>
    <definedName name="Fluctua1" localSheetId="29">[2]WS!$G$37</definedName>
    <definedName name="Fluctua1" localSheetId="27">[2]WS!$G$37</definedName>
    <definedName name="Fluctua1" localSheetId="2">[1]WS!$G$42</definedName>
    <definedName name="Fluctua1" localSheetId="28">[2]WS!$G$37</definedName>
    <definedName name="Fluctua1">WS!$G$42</definedName>
    <definedName name="FocalSp14" localSheetId="29">[2]SBM!#REF!</definedName>
    <definedName name="FocalSp14" localSheetId="27">[2]SBM!#REF!</definedName>
    <definedName name="FocalSp14" localSheetId="28">[2]SBM!#REF!</definedName>
    <definedName name="FocalSp14">SBM!#REF!</definedName>
    <definedName name="Food8" localSheetId="29">[2]INV!$G$186</definedName>
    <definedName name="Food8" localSheetId="27">[2]INV!$G$186</definedName>
    <definedName name="Food8" localSheetId="28">[2]INV!$G$186</definedName>
    <definedName name="Food8">INV!$G$185</definedName>
    <definedName name="ForestedPeat" localSheetId="29">[2]F!$D$7</definedName>
    <definedName name="ForestedPeat" localSheetId="27">[2]F!$D$7</definedName>
    <definedName name="ForestedPeat" localSheetId="28">[2]F!$D$7</definedName>
    <definedName name="ForestedPeat">F!$D$5</definedName>
    <definedName name="ForestPctScape11" localSheetId="29">[2]AM!#REF!</definedName>
    <definedName name="ForestPctScape11" localSheetId="27">[2]AM!#REF!</definedName>
    <definedName name="ForestPctScape11" localSheetId="2">[1]AM!$G$135</definedName>
    <definedName name="ForestPctScape11" localSheetId="28">[2]AM!#REF!</definedName>
    <definedName name="ForestPctScape11" localSheetId="7">AM!#REF!</definedName>
    <definedName name="ForestPctScape11">AM!#REF!</definedName>
    <definedName name="ForestPctScape14" localSheetId="29">[2]SBM!#REF!</definedName>
    <definedName name="ForestPctScape14" localSheetId="27">[2]SBM!#REF!</definedName>
    <definedName name="ForestPctScape14" localSheetId="2">[1]SBM!$G$116</definedName>
    <definedName name="ForestPctScape14" localSheetId="28">[2]SBM!#REF!</definedName>
    <definedName name="ForestPctScape14" localSheetId="7">SBM!#REF!</definedName>
    <definedName name="ForestPctScape14">SBM!#REF!</definedName>
    <definedName name="ForestProx11" localSheetId="29">[2]AM!#REF!</definedName>
    <definedName name="ForestProx11" localSheetId="27">[2]AM!#REF!</definedName>
    <definedName name="ForestProx11" localSheetId="2">[1]AM!$G$141</definedName>
    <definedName name="ForestProx11" localSheetId="28">[2]AM!#REF!</definedName>
    <definedName name="ForestProx11" localSheetId="7">AM!#REF!</definedName>
    <definedName name="ForestProx11">AM!#REF!</definedName>
    <definedName name="ForestProx14" localSheetId="29">[2]SBM!#REF!</definedName>
    <definedName name="ForestProx14" localSheetId="27">[2]SBM!#REF!</definedName>
    <definedName name="ForestProx14" localSheetId="2">[1]SBM!$G$122</definedName>
    <definedName name="ForestProx14" localSheetId="28">[2]SBM!#REF!</definedName>
    <definedName name="ForestProx14" localSheetId="7">SBM!#REF!</definedName>
    <definedName name="ForestProx14">SBM!#REF!</definedName>
    <definedName name="ForestSize11" localSheetId="29">[2]AM!#REF!</definedName>
    <definedName name="ForestSize11" localSheetId="27">[2]AM!#REF!</definedName>
    <definedName name="ForestSize11" localSheetId="2">[1]AM!$G$146</definedName>
    <definedName name="ForestSize11" localSheetId="28">[2]AM!#REF!</definedName>
    <definedName name="ForestSize11" localSheetId="7">AM!#REF!</definedName>
    <definedName name="ForestSize11">AM!#REF!</definedName>
    <definedName name="ForestSize14" localSheetId="29">[2]SBM!#REF!</definedName>
    <definedName name="ForestSize14" localSheetId="27">[2]SBM!#REF!</definedName>
    <definedName name="ForestSize14" localSheetId="2">[1]SBM!$G$127</definedName>
    <definedName name="ForestSize14" localSheetId="28">[2]SBM!#REF!</definedName>
    <definedName name="ForestSize14" localSheetId="7">SBM!#REF!</definedName>
    <definedName name="ForestSize14">SBM!#REF!</definedName>
    <definedName name="FragStress" localSheetId="29">[2]STR!$G$82</definedName>
    <definedName name="FragStress" localSheetId="27">[2]STR!$G$82</definedName>
    <definedName name="FragStress" localSheetId="28">[2]STR!$G$82</definedName>
    <definedName name="FragStress">STR!$G$82</definedName>
    <definedName name="Freeze_S" localSheetId="29">[2]Sen!$G$157</definedName>
    <definedName name="Freeze_S" localSheetId="27">[2]Sen!$G$157</definedName>
    <definedName name="Freeze_S" localSheetId="2">[1]Sen!$G$115</definedName>
    <definedName name="Freeze_S" localSheetId="28">[2]Sen!$G$157</definedName>
    <definedName name="Freeze_S">Sen!$G$150</definedName>
    <definedName name="Freeze1" localSheetId="29">[2]WS!$G$50</definedName>
    <definedName name="Freeze1" localSheetId="27">[2]WS!$G$50</definedName>
    <definedName name="Freeze1" localSheetId="2">[1]WS!$G$62</definedName>
    <definedName name="Freeze1" localSheetId="28">[2]WS!$G$50</definedName>
    <definedName name="Freeze1">WS!$G$55</definedName>
    <definedName name="Freeze10">FR!$D$90</definedName>
    <definedName name="Freeze12" localSheetId="29">[2]WBF!#REF!</definedName>
    <definedName name="Freeze12" localSheetId="27">[2]WBF!#REF!</definedName>
    <definedName name="Freeze12" localSheetId="2">[1]WBF!$D$71</definedName>
    <definedName name="Freeze12" localSheetId="28">[2]WBF!#REF!</definedName>
    <definedName name="Freeze12">WBF!#REF!</definedName>
    <definedName name="Freeze2" localSheetId="29">[2]SR!$G$78</definedName>
    <definedName name="Freeze2" localSheetId="27">[2]SR!$G$78</definedName>
    <definedName name="Freeze2" localSheetId="2">[1]SR!#REF!</definedName>
    <definedName name="Freeze2" localSheetId="28">[2]SR!$G$78</definedName>
    <definedName name="Freeze2" localSheetId="7">SR!#REF!</definedName>
    <definedName name="Freeze2">SR!$G$83</definedName>
    <definedName name="Freeze3" localSheetId="29">[2]PR!$G$74</definedName>
    <definedName name="Freeze3" localSheetId="27">[2]PR!$G$74</definedName>
    <definedName name="Freeze3" localSheetId="2">[1]PR!$G$73</definedName>
    <definedName name="Freeze3" localSheetId="28">[2]PR!$G$74</definedName>
    <definedName name="Freeze3">PR!$G$79</definedName>
    <definedName name="Freeze4" localSheetId="29">[2]NR!$G$95</definedName>
    <definedName name="Freeze4" localSheetId="27">[2]NR!$G$95</definedName>
    <definedName name="Freeze4" localSheetId="2">[1]NR!$G$101</definedName>
    <definedName name="Freeze4" localSheetId="28">[2]NR!$G$95</definedName>
    <definedName name="Freeze4">NR!$G$100</definedName>
    <definedName name="Freeze5" localSheetId="29">[2]CS!$G$70</definedName>
    <definedName name="Freeze5" localSheetId="27">[2]CS!$G$70</definedName>
    <definedName name="Freeze5" localSheetId="2">[1]CS!$G$81</definedName>
    <definedName name="Freeze5" localSheetId="28">[2]CS!$G$70</definedName>
    <definedName name="Freeze5">CS!$G$69</definedName>
    <definedName name="Freeze6" localSheetId="29">[2]OE!$G$90</definedName>
    <definedName name="Freeze6" localSheetId="27">[2]OE!$G$90</definedName>
    <definedName name="Freeze6" localSheetId="2">[1]OE!$G$78</definedName>
    <definedName name="Freeze6" localSheetId="28">[2]OE!$G$90</definedName>
    <definedName name="Freeze6">OE!$G$81</definedName>
    <definedName name="Freeze9" localSheetId="29">[2]FA!#REF!</definedName>
    <definedName name="Freeze9" localSheetId="27">[2]FA!#REF!</definedName>
    <definedName name="Freeze9" localSheetId="2">[1]FA!#REF!</definedName>
    <definedName name="Freeze9" localSheetId="28">[2]FA!#REF!</definedName>
    <definedName name="Freeze9" localSheetId="7">FA!#REF!</definedName>
    <definedName name="Freeze9">FA!#REF!</definedName>
    <definedName name="FreezeDur5" localSheetId="29">[2]CS!#REF!</definedName>
    <definedName name="FreezeDur5" localSheetId="27">[2]CS!#REF!</definedName>
    <definedName name="FreezeDur5" localSheetId="28">[2]CS!#REF!</definedName>
    <definedName name="FreezeDur5">CS!#REF!</definedName>
    <definedName name="FreezeDura3" localSheetId="29">[2]PR!$G$177</definedName>
    <definedName name="FreezeDura3" localSheetId="27">[2]PR!$G$177</definedName>
    <definedName name="FreezeDura3" localSheetId="28">[2]PR!$G$177</definedName>
    <definedName name="FreezeDura3">PR!$G$176</definedName>
    <definedName name="FreezeProne" localSheetId="29">#REF!</definedName>
    <definedName name="FreezeProne" localSheetId="27">#REF!</definedName>
    <definedName name="FreezeProne" localSheetId="2">#REF!</definedName>
    <definedName name="FreezeProne" localSheetId="28">#REF!</definedName>
    <definedName name="FreezeProne" localSheetId="7">#REF!</definedName>
    <definedName name="FreezeProne">#REF!</definedName>
    <definedName name="Freezing" localSheetId="29">[2]WS!$G$112</definedName>
    <definedName name="Freezing" localSheetId="27">[2]WS!$G$112</definedName>
    <definedName name="Freezing" localSheetId="28">[2]WS!$G$112</definedName>
    <definedName name="Freezing">WS!$G$112</definedName>
    <definedName name="Fresh11" localSheetId="29">[2]AM!#REF!</definedName>
    <definedName name="Fresh11" localSheetId="27">[2]AM!#REF!</definedName>
    <definedName name="Fresh11" localSheetId="2">[1]AM!#REF!</definedName>
    <definedName name="Fresh11" localSheetId="28">[2]AM!#REF!</definedName>
    <definedName name="Fresh11" localSheetId="7">AM!#REF!</definedName>
    <definedName name="Fresh11">AM!#REF!</definedName>
    <definedName name="Friction" localSheetId="29">[2]WS!$G$114</definedName>
    <definedName name="Friction" localSheetId="27">[2]WS!$G$114</definedName>
    <definedName name="Friction" localSheetId="28">[2]WS!$G$114</definedName>
    <definedName name="Friction">WS!$G$114</definedName>
    <definedName name="Fringe">F!$D$31</definedName>
    <definedName name="Fringe1" localSheetId="29">[2]WS!#REF!</definedName>
    <definedName name="Fringe1" localSheetId="27">[2]WS!#REF!</definedName>
    <definedName name="Fringe1" localSheetId="2">[1]WS!$G$3</definedName>
    <definedName name="Fringe1" localSheetId="28">[2]WS!#REF!</definedName>
    <definedName name="Fringe1" localSheetId="7">WS!#REF!</definedName>
    <definedName name="Fringe1">WS!#REF!</definedName>
    <definedName name="Fringe10" localSheetId="29">[2]FR!#REF!</definedName>
    <definedName name="Fringe10" localSheetId="27">[2]FR!#REF!</definedName>
    <definedName name="Fringe10" localSheetId="2">[1]FR!$D$3</definedName>
    <definedName name="Fringe10" localSheetId="28">[2]FR!#REF!</definedName>
    <definedName name="Fringe10">FR!#REF!</definedName>
    <definedName name="Fringe12" localSheetId="29">[2]WBF!$D$80</definedName>
    <definedName name="Fringe12" localSheetId="27">[2]WBF!$D$80</definedName>
    <definedName name="Fringe12" localSheetId="2">[1]WBF!$D$3</definedName>
    <definedName name="Fringe12" localSheetId="28">[2]WBF!$D$80</definedName>
    <definedName name="Fringe12">WBF!$D$78</definedName>
    <definedName name="Fringe12a">WBF!$G$78</definedName>
    <definedName name="Fringe13" localSheetId="29">[2]WBN!$G$78</definedName>
    <definedName name="Fringe13" localSheetId="27">[2]WBN!$G$78</definedName>
    <definedName name="Fringe13" localSheetId="28">[2]WBN!$G$78</definedName>
    <definedName name="Fringe13">WBN!$G$76</definedName>
    <definedName name="Fringe14" localSheetId="29">[2]SBM!#REF!</definedName>
    <definedName name="Fringe14" localSheetId="27">[2]SBM!#REF!</definedName>
    <definedName name="Fringe14" localSheetId="28">[2]SBM!#REF!</definedName>
    <definedName name="Fringe14">SBM!#REF!</definedName>
    <definedName name="Fringe14a" localSheetId="29">[2]SBM!#REF!</definedName>
    <definedName name="Fringe14a" localSheetId="27">[2]SBM!#REF!</definedName>
    <definedName name="Fringe14a" localSheetId="28">[2]SBM!#REF!</definedName>
    <definedName name="Fringe14a">SBM!#REF!</definedName>
    <definedName name="Fringe2" localSheetId="29">[2]SR!#REF!</definedName>
    <definedName name="Fringe2" localSheetId="27">[2]SR!#REF!</definedName>
    <definedName name="Fringe2" localSheetId="2">[1]SR!#REF!</definedName>
    <definedName name="Fringe2" localSheetId="28">[2]SR!#REF!</definedName>
    <definedName name="Fringe2" localSheetId="7">SR!#REF!</definedName>
    <definedName name="Fringe2">SR!#REF!</definedName>
    <definedName name="Fringe7a" localSheetId="7">WW!$G$72</definedName>
    <definedName name="Fringe7a">WC!$D$69</definedName>
    <definedName name="Fringe7b" localSheetId="29">[2]WC!$G$63</definedName>
    <definedName name="Fringe7b" localSheetId="27">[2]WC!$G$63</definedName>
    <definedName name="Fringe7b" localSheetId="28">[2]WC!$G$63</definedName>
    <definedName name="Fringe7b" localSheetId="7">WW!#REF!</definedName>
    <definedName name="Fringe7b">WC!$G$69</definedName>
    <definedName name="Fringe9" localSheetId="29">[2]FA!#REF!</definedName>
    <definedName name="Fringe9" localSheetId="27">[2]FA!#REF!</definedName>
    <definedName name="Fringe9" localSheetId="28">[2]FA!#REF!</definedName>
    <definedName name="Fringe9">FA!#REF!</definedName>
    <definedName name="FrozDur4" localSheetId="29">[2]NR!$G$222</definedName>
    <definedName name="FrozDur4" localSheetId="27">[2]NR!$G$222</definedName>
    <definedName name="FrozDur4" localSheetId="28">[2]NR!$G$222</definedName>
    <definedName name="FrozDur4">NR!$G$222</definedName>
    <definedName name="FrozDur6" localSheetId="29">[2]OE!$G$157</definedName>
    <definedName name="FrozDur6" localSheetId="27">[2]OE!$G$157</definedName>
    <definedName name="FrozDur6" localSheetId="28">[2]OE!$G$157</definedName>
    <definedName name="FrozDur6">OE!$G$159</definedName>
    <definedName name="Frozen2" localSheetId="29">[2]SR!$G$186</definedName>
    <definedName name="Frozen2" localSheetId="27">[2]SR!$G$186</definedName>
    <definedName name="Frozen2" localSheetId="28">[2]SR!$G$186</definedName>
    <definedName name="Frozen2">SR!$G$187</definedName>
    <definedName name="FscoreSRM">SBM!$G$250</definedName>
    <definedName name="FscoreWBF" localSheetId="29">[2]WBF!$G$193</definedName>
    <definedName name="FscoreWBF" localSheetId="27">[2]WBF!$G$193</definedName>
    <definedName name="FscoreWBF" localSheetId="28">[2]WBF!$G$193</definedName>
    <definedName name="FscoreWBF">WBF!$G$193</definedName>
    <definedName name="FscoreWBN">WBN!$G$215</definedName>
    <definedName name="Gcover_S" localSheetId="29">[2]Sen!$G$202</definedName>
    <definedName name="Gcover_S" localSheetId="27">[2]Sen!$G$202</definedName>
    <definedName name="Gcover_S" localSheetId="2">[1]Sen!$G$105</definedName>
    <definedName name="Gcover_S" localSheetId="28">[2]Sen!$G$202</definedName>
    <definedName name="Gcover_S">Sen!$G$195</definedName>
    <definedName name="gcover0" localSheetId="29">[2]POL!$G$45</definedName>
    <definedName name="gcover0" localSheetId="27">[2]POL!$G$45</definedName>
    <definedName name="gcover0" localSheetId="2">[1]POL!$G$64</definedName>
    <definedName name="gcover0" localSheetId="28">[2]POL!$G$45</definedName>
    <definedName name="gcover0">POL!$G$45</definedName>
    <definedName name="Gcover11" localSheetId="29">[2]AM!$G$170</definedName>
    <definedName name="Gcover11" localSheetId="27">[2]AM!$G$170</definedName>
    <definedName name="Gcover11" localSheetId="2">[1]AM!$G$93</definedName>
    <definedName name="Gcover11" localSheetId="28">[2]AM!$G$170</definedName>
    <definedName name="Gcover11">AM!$G$169</definedName>
    <definedName name="Gcover14" localSheetId="29">[2]SBM!$G$168</definedName>
    <definedName name="Gcover14" localSheetId="27">[2]SBM!$G$168</definedName>
    <definedName name="Gcover14" localSheetId="2">[1]SBM!$G$57</definedName>
    <definedName name="Gcover14" localSheetId="28">[2]SBM!$G$168</definedName>
    <definedName name="Gcover14">SBM!$G$162</definedName>
    <definedName name="Gcover2" localSheetId="29">[2]SR!$G$100</definedName>
    <definedName name="Gcover2" localSheetId="27">[2]SR!$G$100</definedName>
    <definedName name="Gcover2" localSheetId="2">[1]SR!$G$56</definedName>
    <definedName name="Gcover2" localSheetId="28">[2]SR!$G$100</definedName>
    <definedName name="Gcover2">SR!$G$100</definedName>
    <definedName name="Gcover3" localSheetId="29">[2]PR!$G$97</definedName>
    <definedName name="Gcover3" localSheetId="27">[2]PR!$G$97</definedName>
    <definedName name="Gcover3" localSheetId="2">[1]PR!$G$81</definedName>
    <definedName name="Gcover3" localSheetId="28">[2]PR!$G$97</definedName>
    <definedName name="Gcover3">PR!$G$97</definedName>
    <definedName name="Gcover4" localSheetId="29">[2]NR!$G$127</definedName>
    <definedName name="Gcover4" localSheetId="27">[2]NR!$G$127</definedName>
    <definedName name="Gcover4" localSheetId="2">[1]NR!$G$75</definedName>
    <definedName name="Gcover4" localSheetId="28">[2]NR!$G$127</definedName>
    <definedName name="Gcover4">NR!$G$127</definedName>
    <definedName name="Gcover5" localSheetId="29">[2]CS!#REF!</definedName>
    <definedName name="Gcover5" localSheetId="27">[2]CS!#REF!</definedName>
    <definedName name="Gcover5" localSheetId="2">[1]CS!$G$107</definedName>
    <definedName name="Gcover5" localSheetId="28">[2]CS!#REF!</definedName>
    <definedName name="Gcover5">CS!#REF!</definedName>
    <definedName name="Gcover6" localSheetId="29">[2]OE!$G$135</definedName>
    <definedName name="Gcover6" localSheetId="27">[2]OE!$G$135</definedName>
    <definedName name="Gcover6" localSheetId="2">[1]OE!$G$91</definedName>
    <definedName name="Gcover6" localSheetId="28">[2]OE!$G$135</definedName>
    <definedName name="Gcover6">OE!$G$121</definedName>
    <definedName name="Gcover8" localSheetId="29">[2]INV!$G$128</definedName>
    <definedName name="Gcover8" localSheetId="27">[2]INV!$G$128</definedName>
    <definedName name="Gcover8" localSheetId="2">[1]INV!$G$103</definedName>
    <definedName name="Gcover8" localSheetId="28">[2]INV!$G$128</definedName>
    <definedName name="Gcover8">INV!$G$128</definedName>
    <definedName name="GDD_S" localSheetId="29">[2]Sen!$G$73</definedName>
    <definedName name="GDD_S" localSheetId="27">[2]Sen!$G$73</definedName>
    <definedName name="GDD_S" localSheetId="28">[2]Sen!$G$73</definedName>
    <definedName name="GDD_S">Sen!$G$66</definedName>
    <definedName name="GDD2_">SFS!$G$43</definedName>
    <definedName name="GDDays1">[2]WS!$G$9</definedName>
    <definedName name="GDDays11">[2]AM!$G$62</definedName>
    <definedName name="GDDays2">[2]SR!$G$9</definedName>
    <definedName name="GDDays3">[2]PR!$G$9</definedName>
    <definedName name="GDDpd" localSheetId="29">[2]PH!$G$43</definedName>
    <definedName name="GDDpd" localSheetId="27">[2]PH!$G$43</definedName>
    <definedName name="GDDpd" localSheetId="28">[2]PH!$G$43</definedName>
    <definedName name="GDDpd">PH!$G$36</definedName>
    <definedName name="Geog11" localSheetId="29">[2]AM!$G$236</definedName>
    <definedName name="Geog11" localSheetId="27">[2]AM!$G$236</definedName>
    <definedName name="Geog11" localSheetId="28">[2]AM!$G$236</definedName>
    <definedName name="Geog11">AM!$G$235</definedName>
    <definedName name="GeogPD" localSheetId="29">[2]PH!#REF!</definedName>
    <definedName name="GeogPD" localSheetId="27">[2]PH!#REF!</definedName>
    <definedName name="GeogPD" localSheetId="28">[2]PH!#REF!</definedName>
    <definedName name="GeogPD">PH!#REF!</definedName>
    <definedName name="Geograph14">SBM!$G$65</definedName>
    <definedName name="Geography12" localSheetId="29">[2]WBF!$G$55</definedName>
    <definedName name="Geography12" localSheetId="27">[2]WBF!$G$55</definedName>
    <definedName name="Geography12" localSheetId="28">[2]WBF!$G$55</definedName>
    <definedName name="Geography12">WBF!$G$53</definedName>
    <definedName name="Geography14">SBM!$G$65</definedName>
    <definedName name="GeogS" localSheetId="29">[2]Sen!$G$93</definedName>
    <definedName name="GeogS" localSheetId="27">[2]Sen!$G$93</definedName>
    <definedName name="GeogS" localSheetId="28">[2]Sen!$G$93</definedName>
    <definedName name="GeogS">Sen!$G$86</definedName>
    <definedName name="girreg0" localSheetId="29">[2]POL!$G$50</definedName>
    <definedName name="girreg0" localSheetId="27">[2]POL!$G$50</definedName>
    <definedName name="girreg0" localSheetId="2">[1]POL!$G$72</definedName>
    <definedName name="girreg0" localSheetId="28">[2]POL!$G$50</definedName>
    <definedName name="girreg0">POL!$G$50</definedName>
    <definedName name="Girreg1" localSheetId="29">[2]WS!$G$76</definedName>
    <definedName name="Girreg1" localSheetId="27">[2]WS!$G$76</definedName>
    <definedName name="Girreg1" localSheetId="2">[1]WS!$G$63</definedName>
    <definedName name="Girreg1" localSheetId="28">[2]WS!$G$76</definedName>
    <definedName name="Girreg1">WS!$G$76</definedName>
    <definedName name="Girreg11" localSheetId="29">[2]AM!$G$175</definedName>
    <definedName name="Girreg11" localSheetId="27">[2]AM!$G$175</definedName>
    <definedName name="Girreg11" localSheetId="2">[1]AM!$G$104</definedName>
    <definedName name="Girreg11" localSheetId="28">[2]AM!$G$175</definedName>
    <definedName name="Girreg11">AM!$G$174</definedName>
    <definedName name="Girreg14" localSheetId="29">[2]SBM!$G$173</definedName>
    <definedName name="Girreg14" localSheetId="27">[2]SBM!$G$173</definedName>
    <definedName name="Girreg14" localSheetId="2">[1]SBM!$G$72</definedName>
    <definedName name="Girreg14" localSheetId="28">[2]SBM!$G$173</definedName>
    <definedName name="Girreg14">SBM!$G$167</definedName>
    <definedName name="Girreg2" localSheetId="29">[2]SR!$G$105</definedName>
    <definedName name="Girreg2" localSheetId="27">[2]SR!$G$105</definedName>
    <definedName name="Girreg2" localSheetId="2">[1]SR!$G$61</definedName>
    <definedName name="Girreg2" localSheetId="28">[2]SR!$G$105</definedName>
    <definedName name="Girreg2">SR!$G$105</definedName>
    <definedName name="Girreg3" localSheetId="29">[2]PR!$G$102</definedName>
    <definedName name="Girreg3" localSheetId="27">[2]PR!$G$102</definedName>
    <definedName name="Girreg3" localSheetId="2">[1]PR!$G$91</definedName>
    <definedName name="Girreg3" localSheetId="28">[2]PR!$G$102</definedName>
    <definedName name="Girreg3">PR!$G$102</definedName>
    <definedName name="Girreg4" localSheetId="29">[2]NR!$G$132</definedName>
    <definedName name="Girreg4" localSheetId="27">[2]NR!$G$132</definedName>
    <definedName name="Girreg4" localSheetId="2">[1]NR!$G$92</definedName>
    <definedName name="Girreg4" localSheetId="28">[2]NR!$G$132</definedName>
    <definedName name="Girreg4">NR!$G$132</definedName>
    <definedName name="Girreg5" localSheetId="29">[2]CS!#REF!</definedName>
    <definedName name="Girreg5" localSheetId="27">[2]CS!#REF!</definedName>
    <definedName name="Girreg5" localSheetId="2">[1]CS!$G$117</definedName>
    <definedName name="Girreg5" localSheetId="28">[2]CS!#REF!</definedName>
    <definedName name="Girreg5">CS!#REF!</definedName>
    <definedName name="Girreg6" localSheetId="29">[2]OE!#REF!</definedName>
    <definedName name="Girreg6" localSheetId="27">[2]OE!#REF!</definedName>
    <definedName name="Girreg6" localSheetId="2">[1]OE!$G$101</definedName>
    <definedName name="Girreg6" localSheetId="28">[2]OE!#REF!</definedName>
    <definedName name="Girreg6">OE!#REF!</definedName>
    <definedName name="Girreg8" localSheetId="29">[2]INV!$G$133</definedName>
    <definedName name="Girreg8" localSheetId="27">[2]INV!$G$133</definedName>
    <definedName name="Girreg8" localSheetId="2">[1]INV!$G$111</definedName>
    <definedName name="Girreg8" localSheetId="28">[2]INV!$G$133</definedName>
    <definedName name="Girreg8">INV!$G$133</definedName>
    <definedName name="GirregCQ" localSheetId="29">[2]EC!$G$13</definedName>
    <definedName name="GirregCQ" localSheetId="27">[2]EC!$G$13</definedName>
    <definedName name="GirregCQ" localSheetId="28">[2]EC!$G$13</definedName>
    <definedName name="GirregCQ">EC!$G$13</definedName>
    <definedName name="GirregPD" localSheetId="29">[2]PH!$G$154</definedName>
    <definedName name="GirregPD" localSheetId="27">[2]PH!$G$154</definedName>
    <definedName name="GirregPD" localSheetId="2">[1]PD!$G$100</definedName>
    <definedName name="GirregPD" localSheetId="28">[2]PH!$G$154</definedName>
    <definedName name="GirregPD">PH!$G$147</definedName>
    <definedName name="Glacier1" localSheetId="29">[2]WS!$G$89</definedName>
    <definedName name="Glacier1" localSheetId="27">[2]WS!$G$89</definedName>
    <definedName name="Glacier1" localSheetId="28">[2]WS!$G$89</definedName>
    <definedName name="Glacier1">WS!$G$89</definedName>
    <definedName name="Glacier10" localSheetId="29">[2]FR!$G$9</definedName>
    <definedName name="Glacier10" localSheetId="27">[2]FR!$G$9</definedName>
    <definedName name="Glacier10" localSheetId="28">[2]FR!$G$9</definedName>
    <definedName name="Glacier10">FR!$G$9</definedName>
    <definedName name="Glacier11" localSheetId="29">[2]AM!$G$52</definedName>
    <definedName name="Glacier11" localSheetId="27">[2]AM!$G$52</definedName>
    <definedName name="Glacier11" localSheetId="28">[2]AM!$G$52</definedName>
    <definedName name="Glacier11">AM!$G$52</definedName>
    <definedName name="Glacier2" localSheetId="29">[2]SR!$G$110</definedName>
    <definedName name="Glacier2" localSheetId="27">[2]SR!$G$110</definedName>
    <definedName name="Glacier2" localSheetId="28">[2]SR!$G$110</definedName>
    <definedName name="Glacier2">SR!$G$110</definedName>
    <definedName name="glacier2_" localSheetId="29">[2]SFS!$G$39</definedName>
    <definedName name="glacier2_" localSheetId="27">[2]SFS!$G$39</definedName>
    <definedName name="glacier2_" localSheetId="28">[2]SFS!$G$39</definedName>
    <definedName name="glacier2_">SFS!$G$39</definedName>
    <definedName name="Glacier3" localSheetId="29">[2]PR!$G$114</definedName>
    <definedName name="Glacier3" localSheetId="27">[2]PR!$G$114</definedName>
    <definedName name="Glacier3" localSheetId="28">[2]PR!$G$114</definedName>
    <definedName name="Glacier3">PR!$G$114</definedName>
    <definedName name="Glacier5" localSheetId="29">[2]CS!#REF!</definedName>
    <definedName name="Glacier5" localSheetId="27">[2]CS!#REF!</definedName>
    <definedName name="Glacier5" localSheetId="28">[2]CS!#REF!</definedName>
    <definedName name="Glacier5">CS!#REF!</definedName>
    <definedName name="Glacier6" localSheetId="29">[2]OE!$G$9</definedName>
    <definedName name="Glacier6" localSheetId="27">[2]OE!$G$9</definedName>
    <definedName name="Glacier6" localSheetId="28">[2]OE!$G$9</definedName>
    <definedName name="Glacier6">OE!$G$147</definedName>
    <definedName name="Glacier7" localSheetId="29">[2]WC!$G$40</definedName>
    <definedName name="Glacier7" localSheetId="27">[2]WC!$G$40</definedName>
    <definedName name="Glacier7" localSheetId="28">[2]WC!$G$40</definedName>
    <definedName name="Glacier7" localSheetId="7">WW!$G$49</definedName>
    <definedName name="Glacier7">WC!$G$46</definedName>
    <definedName name="Glacier7w" localSheetId="29">[2]WW!$G$43</definedName>
    <definedName name="Glacier7w" localSheetId="27">[2]WW!$G$43</definedName>
    <definedName name="Glacier7w" localSheetId="28">[2]WW!$G$43</definedName>
    <definedName name="Glacier7w">WW!$G$49</definedName>
    <definedName name="Glacier8" localSheetId="29">[2]INV!$G$9</definedName>
    <definedName name="Glacier8" localSheetId="27">[2]INV!$G$9</definedName>
    <definedName name="Glacier8" localSheetId="28">[2]INV!$G$9</definedName>
    <definedName name="Glacier8">INV!$G$9</definedName>
    <definedName name="Glacier9" localSheetId="29">[2]FA!$G$9</definedName>
    <definedName name="Glacier9" localSheetId="27">[2]FA!$G$9</definedName>
    <definedName name="Glacier9" localSheetId="28">[2]FA!$G$9</definedName>
    <definedName name="Glacier9">FA!$G$9</definedName>
    <definedName name="GlacierPD" localSheetId="29">[2]PH!#REF!</definedName>
    <definedName name="GlacierPD" localSheetId="27">[2]PH!#REF!</definedName>
    <definedName name="GlacierPD" localSheetId="28">[2]PH!#REF!</definedName>
    <definedName name="GlacierPD">PH!#REF!</definedName>
    <definedName name="Glean20" localSheetId="29">[2]PH!$G$239</definedName>
    <definedName name="Glean20" localSheetId="27">[2]PH!$G$239</definedName>
    <definedName name="Glean20" localSheetId="28">[2]PH!$G$239</definedName>
    <definedName name="Glean20">PH!$G$239</definedName>
    <definedName name="GpA_2">SFS!$G$59</definedName>
    <definedName name="GpA7c">WC!#REF!</definedName>
    <definedName name="GpA7w">WW!#REF!</definedName>
    <definedName name="GpB_2">SFS!$G$60</definedName>
    <definedName name="GpB7c">WC!#REF!</definedName>
    <definedName name="GpB7w">WW!#REF!</definedName>
    <definedName name="GpC_2">SFS!$G$61</definedName>
    <definedName name="Gradient1" localSheetId="29">[2]WS!$G$71</definedName>
    <definedName name="Gradient1" localSheetId="27">[2]WS!$G$71</definedName>
    <definedName name="Gradient1" localSheetId="2">[1]WS!$G$67</definedName>
    <definedName name="Gradient1" localSheetId="28">[2]WS!$G$71</definedName>
    <definedName name="Gradient1">WS!$G$24</definedName>
    <definedName name="Gradient11" localSheetId="29">[2]AM!$G$147</definedName>
    <definedName name="Gradient11" localSheetId="27">[2]AM!$G$147</definedName>
    <definedName name="Gradient11" localSheetId="2">[1]AM!$G$108</definedName>
    <definedName name="Gradient11" localSheetId="28">[2]AM!$G$147</definedName>
    <definedName name="Gradient11">AM!$G$81</definedName>
    <definedName name="Gradient12" localSheetId="29">[2]WBF!$G$124</definedName>
    <definedName name="Gradient12" localSheetId="27">[2]WBF!$G$124</definedName>
    <definedName name="Gradient12" localSheetId="2">[1]WBF!$G$96</definedName>
    <definedName name="Gradient12" localSheetId="28">[2]WBF!$G$124</definedName>
    <definedName name="Gradient12">WBF!$G$48</definedName>
    <definedName name="Gradient13" localSheetId="29">[2]WBN!$G$139</definedName>
    <definedName name="Gradient13" localSheetId="27">[2]WBN!$G$139</definedName>
    <definedName name="Gradient13" localSheetId="2">[1]WBN!$G$108</definedName>
    <definedName name="Gradient13" localSheetId="28">[2]WBN!$G$139</definedName>
    <definedName name="Gradient13">WBN!$G$51</definedName>
    <definedName name="Gradient2" localSheetId="29">[2]SR!$G$95</definedName>
    <definedName name="Gradient2" localSheetId="27">[2]SR!$G$95</definedName>
    <definedName name="Gradient2" localSheetId="2">[1]SR!$G$65</definedName>
    <definedName name="Gradient2" localSheetId="28">[2]SR!$G$95</definedName>
    <definedName name="Gradient2">SR!$G$23</definedName>
    <definedName name="Gradient3" localSheetId="29">[2]PR!$G$92</definedName>
    <definedName name="Gradient3" localSheetId="27">[2]PR!$G$92</definedName>
    <definedName name="Gradient3" localSheetId="2">[1]PR!$G$95</definedName>
    <definedName name="Gradient3" localSheetId="28">[2]PR!$G$92</definedName>
    <definedName name="Gradient3">PR!$G$23</definedName>
    <definedName name="Gradient4" localSheetId="29">[2]NR!$G$116</definedName>
    <definedName name="Gradient4" localSheetId="27">[2]NR!$G$116</definedName>
    <definedName name="Gradient4" localSheetId="2">[1]NR!$G$96</definedName>
    <definedName name="Gradient4" localSheetId="28">[2]NR!$G$116</definedName>
    <definedName name="Gradient4">NR!$G$31</definedName>
    <definedName name="Gradient5" localSheetId="29">[2]CS!$G$85</definedName>
    <definedName name="Gradient5" localSheetId="27">[2]CS!$G$85</definedName>
    <definedName name="Gradient5" localSheetId="2">[1]CS!$G$121</definedName>
    <definedName name="Gradient5" localSheetId="28">[2]CS!$G$85</definedName>
    <definedName name="Gradient5">CS!$G$12</definedName>
    <definedName name="Gradient6" localSheetId="29">[2]OE!$G$112</definedName>
    <definedName name="Gradient6" localSheetId="27">[2]OE!$G$112</definedName>
    <definedName name="Gradient6" localSheetId="2">[1]OE!$G$105</definedName>
    <definedName name="Gradient6" localSheetId="28">[2]OE!$G$112</definedName>
    <definedName name="Gradient6">OE!$G$20</definedName>
    <definedName name="gramin0" localSheetId="29">[2]POL!$G$60</definedName>
    <definedName name="gramin0" localSheetId="27">[2]POL!$G$60</definedName>
    <definedName name="gramin0" localSheetId="2">[1]POL!$G$18</definedName>
    <definedName name="gramin0" localSheetId="28">[2]POL!$G$60</definedName>
    <definedName name="gramin0">POL!$G$60</definedName>
    <definedName name="Granite10" localSheetId="29">[2]FR!$G$27</definedName>
    <definedName name="Granite10" localSheetId="27">[2]FR!$G$27</definedName>
    <definedName name="Granite10" localSheetId="28">[2]FR!$G$27</definedName>
    <definedName name="Granite10">FR!$G$27</definedName>
    <definedName name="Granite4" localSheetId="29">[2]NR!#REF!</definedName>
    <definedName name="Granite4" localSheetId="27">[2]NR!#REF!</definedName>
    <definedName name="Granite4" localSheetId="28">[2]NR!#REF!</definedName>
    <definedName name="Granite4">NR!#REF!</definedName>
    <definedName name="Granite5" localSheetId="29">[2]CS!#REF!</definedName>
    <definedName name="Granite5" localSheetId="27">[2]CS!#REF!</definedName>
    <definedName name="Granite5" localSheetId="28">[2]CS!#REF!</definedName>
    <definedName name="Granite5">CS!#REF!</definedName>
    <definedName name="Granite6" localSheetId="29">[2]OE!$G$29</definedName>
    <definedName name="Granite6" localSheetId="27">[2]OE!$G$29</definedName>
    <definedName name="Granite6" localSheetId="28">[2]OE!$G$29</definedName>
    <definedName name="Granite6">OE!$G$19</definedName>
    <definedName name="Granite7" localSheetId="29">[2]INV!$G$27</definedName>
    <definedName name="Granite7" localSheetId="27">[2]INV!$G$27</definedName>
    <definedName name="Granite7" localSheetId="28">[2]INV!$G$27</definedName>
    <definedName name="Granite7">INV!$G$27</definedName>
    <definedName name="GranitePD">PH!$D$44</definedName>
    <definedName name="GraniteSoilPD" localSheetId="29">[2]PH!$G$51</definedName>
    <definedName name="GraniteSoilPD" localSheetId="27">[2]PH!$G$51</definedName>
    <definedName name="GraniteSoilPD" localSheetId="28">[2]PH!$G$51</definedName>
    <definedName name="GraniteSoilPD">PH!$G$44</definedName>
    <definedName name="groundw0" localSheetId="29">[2]POL!#REF!</definedName>
    <definedName name="groundw0" localSheetId="27">[2]POL!#REF!</definedName>
    <definedName name="groundw0" localSheetId="2">[1]POL!#REF!</definedName>
    <definedName name="groundw0" localSheetId="28">[2]POL!#REF!</definedName>
    <definedName name="groundw0" localSheetId="7">POL!#REF!</definedName>
    <definedName name="groundw0">POL!#REF!</definedName>
    <definedName name="Groundw1" localSheetId="29">[2]WS!$G$67</definedName>
    <definedName name="Groundw1" localSheetId="27">[2]WS!$G$67</definedName>
    <definedName name="Groundw1" localSheetId="28">[2]WS!$G$67</definedName>
    <definedName name="Groundw1">WS!$G$72</definedName>
    <definedName name="Groundw10" localSheetId="29">[2]FR!$G$109</definedName>
    <definedName name="Groundw10" localSheetId="27">[2]FR!$G$109</definedName>
    <definedName name="Groundw10" localSheetId="28">[2]FR!$G$109</definedName>
    <definedName name="Groundw10">FR!$G$109</definedName>
    <definedName name="GroundW11" localSheetId="29">[2]AM!$G$143</definedName>
    <definedName name="GroundW11" localSheetId="27">[2]AM!$G$143</definedName>
    <definedName name="GroundW11" localSheetId="2">[1]AM!$G$49</definedName>
    <definedName name="GroundW11" localSheetId="28">[2]AM!$G$143</definedName>
    <definedName name="GroundW11">AM!$G$147</definedName>
    <definedName name="Groundw13" localSheetId="29">[2]WBN!#REF!</definedName>
    <definedName name="Groundw13" localSheetId="27">[2]WBN!#REF!</definedName>
    <definedName name="Groundw13" localSheetId="2">[1]WBN!#REF!</definedName>
    <definedName name="Groundw13" localSheetId="28">[2]WBN!#REF!</definedName>
    <definedName name="Groundw13" localSheetId="7">WBN!#REF!</definedName>
    <definedName name="Groundw13">WBN!#REF!</definedName>
    <definedName name="Groundw2_" localSheetId="29">[2]SFS!$G$27</definedName>
    <definedName name="Groundw2_" localSheetId="27">[2]SFS!$G$27</definedName>
    <definedName name="Groundw2_" localSheetId="28">[2]SFS!$G$27</definedName>
    <definedName name="Groundw2_">SFS!$G$27</definedName>
    <definedName name="Groundw3" localSheetId="29">[2]PR!$G$144</definedName>
    <definedName name="Groundw3" localSheetId="27">[2]PR!$G$144</definedName>
    <definedName name="Groundw3" localSheetId="28">[2]PR!$G$144</definedName>
    <definedName name="Groundw3">PR!$G$152</definedName>
    <definedName name="Groundw4" localSheetId="29">[2]NR!$G$112</definedName>
    <definedName name="Groundw4" localSheetId="27">[2]NR!$G$112</definedName>
    <definedName name="Groundw4" localSheetId="2">[1]NR!$G$44</definedName>
    <definedName name="Groundw4" localSheetId="28">[2]NR!$G$112</definedName>
    <definedName name="Groundw4">NR!$G$117</definedName>
    <definedName name="GroundW5" localSheetId="29">[2]CS!$G$81</definedName>
    <definedName name="GroundW5" localSheetId="27">[2]CS!$G$81</definedName>
    <definedName name="GroundW5" localSheetId="2">[1]CS!$G$53</definedName>
    <definedName name="GroundW5" localSheetId="28">[2]CS!$G$81</definedName>
    <definedName name="GroundW5">CS!$G$80</definedName>
    <definedName name="Groundw6" localSheetId="29">[2]OE!$G$108</definedName>
    <definedName name="Groundw6" localSheetId="27">[2]OE!$G$108</definedName>
    <definedName name="Groundw6" localSheetId="28">[2]OE!$G$108</definedName>
    <definedName name="Groundw6">OE!$G$99</definedName>
    <definedName name="Groundw8" localSheetId="29">[2]INV!$G$103</definedName>
    <definedName name="Groundw8" localSheetId="27">[2]INV!$G$103</definedName>
    <definedName name="GroundW8" localSheetId="2">[1]INV!$G$64</definedName>
    <definedName name="Groundw8" localSheetId="28">[2]INV!$G$103</definedName>
    <definedName name="GroundW8" localSheetId="7">INV!#REF!</definedName>
    <definedName name="Groundw8">INV!$G$103</definedName>
    <definedName name="GroundW9" localSheetId="29">[2]FA!$G$105</definedName>
    <definedName name="GroundW9" localSheetId="27">[2]FA!$G$105</definedName>
    <definedName name="GroundW9" localSheetId="2">[1]FA!$G$45</definedName>
    <definedName name="GroundW9" localSheetId="28">[2]FA!$G$105</definedName>
    <definedName name="GroundW9">FA!$G$111</definedName>
    <definedName name="GroundwCooling" localSheetId="29">[2]WC!#REF!</definedName>
    <definedName name="GroundwCooling" localSheetId="27">[2]WC!#REF!</definedName>
    <definedName name="GroundwCooling" localSheetId="28">[2]WC!#REF!</definedName>
    <definedName name="GroundwCooling">WC!#REF!</definedName>
    <definedName name="GroundwDisch" localSheetId="29">[2]SFS!$G$61</definedName>
    <definedName name="GroundwDisch" localSheetId="27">[2]SFS!$G$61</definedName>
    <definedName name="GroundwDisch" localSheetId="28">[2]SFS!$G$61</definedName>
    <definedName name="GroundwDisch">SFS!$G$61</definedName>
    <definedName name="GroundwLF">SFS!$G$61</definedName>
    <definedName name="GroundwWarming" localSheetId="29">[2]WW!#REF!</definedName>
    <definedName name="GroundwWarming" localSheetId="27">[2]WW!#REF!</definedName>
    <definedName name="GroundwWarming" localSheetId="28">[2]WW!#REF!</definedName>
    <definedName name="GroundwWarming">WW!#REF!</definedName>
    <definedName name="GrowthRate" localSheetId="29">[2]Sen!$G$246</definedName>
    <definedName name="GrowthRate" localSheetId="27">[2]Sen!$G$246</definedName>
    <definedName name="GrowthRate" localSheetId="28">[2]Sen!$G$246</definedName>
    <definedName name="GrowthRate">Sen!$G$246</definedName>
    <definedName name="Gwater7" localSheetId="29">[2]WC!$G$35</definedName>
    <definedName name="Gwater7" localSheetId="27">[2]WC!$G$35</definedName>
    <definedName name="Gwater7" localSheetId="2">[1]T!$G$19</definedName>
    <definedName name="Gwater7" localSheetId="28">[2]WC!$G$35</definedName>
    <definedName name="Gwater7" localSheetId="7">WW!$G$38</definedName>
    <definedName name="Gwater7">WC!$G$41</definedName>
    <definedName name="Gwater7w" localSheetId="29">[2]WW!$G$32</definedName>
    <definedName name="Gwater7w" localSheetId="27">[2]WW!$G$32</definedName>
    <definedName name="Gwater7w" localSheetId="28">[2]WW!$G$32</definedName>
    <definedName name="Gwater7w">WW!$G$38</definedName>
    <definedName name="GWpd" localSheetId="29">[2]PH!$G$111</definedName>
    <definedName name="GWpd" localSheetId="27">[2]PH!$G$111</definedName>
    <definedName name="GWpd" localSheetId="28">[2]PH!$G$111</definedName>
    <definedName name="GWpd">PH!$G$104</definedName>
    <definedName name="GWrisk4" localSheetId="29">[2]NR!#REF!</definedName>
    <definedName name="GWrisk4" localSheetId="27">[2]NR!#REF!</definedName>
    <definedName name="GWrisk4" localSheetId="2">[1]NR!$G$139</definedName>
    <definedName name="GWrisk4" localSheetId="28">[2]NR!#REF!</definedName>
    <definedName name="GWrisk4" localSheetId="7">NR!#REF!</definedName>
    <definedName name="GWrisk4">NR!#REF!</definedName>
    <definedName name="GWval7" localSheetId="29">[2]WC!#REF!</definedName>
    <definedName name="GWval7" localSheetId="27">[2]WC!#REF!</definedName>
    <definedName name="GWval7" localSheetId="2">[1]T!#REF!</definedName>
    <definedName name="GWval7" localSheetId="28">[2]WC!#REF!</definedName>
    <definedName name="GWval7" localSheetId="7">WW!#REF!</definedName>
    <definedName name="GWval7">WC!#REF!</definedName>
    <definedName name="Hardwd14" localSheetId="29">[2]SBM!$G$156</definedName>
    <definedName name="Hardwd14" localSheetId="27">[2]SBM!$G$156</definedName>
    <definedName name="Hardwd14" localSheetId="28">[2]SBM!$G$156</definedName>
    <definedName name="Hardwd14">SBM!$G$150</definedName>
    <definedName name="HardwdPD" localSheetId="29">[2]PH!$G$136</definedName>
    <definedName name="HardwdPD" localSheetId="27">[2]PH!$G$136</definedName>
    <definedName name="HardwdPD" localSheetId="28">[2]PH!$G$136</definedName>
    <definedName name="HardwdPD">PH!$G$129</definedName>
    <definedName name="Hardwood8" localSheetId="29">[2]INV!$G$116</definedName>
    <definedName name="Hardwood8" localSheetId="27">[2]INV!$G$116</definedName>
    <definedName name="Hardwood8" localSheetId="28">[2]INV!$G$116</definedName>
    <definedName name="Hardwood8">INV!$G$116</definedName>
    <definedName name="Harvested" localSheetId="29">#REF!</definedName>
    <definedName name="Harvested" localSheetId="27">#REF!</definedName>
    <definedName name="Harvested" localSheetId="2">#REF!</definedName>
    <definedName name="Harvested" localSheetId="28">#REF!</definedName>
    <definedName name="Harvested" localSheetId="7">#REF!</definedName>
    <definedName name="Harvested">#REF!</definedName>
    <definedName name="HasWater5" localSheetId="29">[2]CS!#REF!</definedName>
    <definedName name="HasWater5" localSheetId="27">[2]CS!#REF!</definedName>
    <definedName name="HasWater5" localSheetId="28">[2]CS!#REF!</definedName>
    <definedName name="HasWater5">CS!#REF!</definedName>
    <definedName name="herb1pd" localSheetId="29">[2]PH!$G$168</definedName>
    <definedName name="herb1pd" localSheetId="27">[2]PH!$G$168</definedName>
    <definedName name="herb1pd" localSheetId="2">[1]PD!$G$60</definedName>
    <definedName name="herb1pd" localSheetId="28">[2]PH!$G$168</definedName>
    <definedName name="herb1pd">PH!$G$168</definedName>
    <definedName name="herb2pd" localSheetId="29">[2]PH!#REF!</definedName>
    <definedName name="herb2pd" localSheetId="27">[2]PH!#REF!</definedName>
    <definedName name="herb2pd" localSheetId="2">[1]PD!$G$69</definedName>
    <definedName name="herb2pd" localSheetId="28">[2]PH!#REF!</definedName>
    <definedName name="herb2pd" localSheetId="7">PH!#REF!</definedName>
    <definedName name="herb2pd">PH!#REF!</definedName>
    <definedName name="herbdiv0" localSheetId="29">[2]POL!$G$66</definedName>
    <definedName name="herbdiv0" localSheetId="27">[2]POL!$G$66</definedName>
    <definedName name="herbdiv0" localSheetId="28">[2]POL!$G$66</definedName>
    <definedName name="herbdiv0">POL!$G$66</definedName>
    <definedName name="HerbDiv8" localSheetId="29">[2]INV!$G$137</definedName>
    <definedName name="HerbDiv8" localSheetId="27">[2]INV!$G$137</definedName>
    <definedName name="HerbDiv8" localSheetId="28">[2]INV!$G$137</definedName>
    <definedName name="HerbDiv8">INV!$G$137</definedName>
    <definedName name="HerbDom1" localSheetId="29">[2]EC!$G$17</definedName>
    <definedName name="HerbDom1" localSheetId="27">[2]EC!$G$17</definedName>
    <definedName name="HerbDom1" localSheetId="28">[2]EC!$G$17</definedName>
    <definedName name="HerbDom1">EC!$G$17</definedName>
    <definedName name="herbdom15" localSheetId="29">[2]PH!$G$165</definedName>
    <definedName name="herbdom15" localSheetId="27">[2]PH!$G$165</definedName>
    <definedName name="herbdom15" localSheetId="28">[2]PH!$G$165</definedName>
    <definedName name="herbdom15">PH!$G$165</definedName>
    <definedName name="HerbDom2" localSheetId="29">[2]Sen!$G$213</definedName>
    <definedName name="HerbDom2" localSheetId="27">[2]Sen!$G$213</definedName>
    <definedName name="HerbDom2" localSheetId="2">[1]Sen!$G$68</definedName>
    <definedName name="HerbDom2" localSheetId="28">[2]Sen!$G$213</definedName>
    <definedName name="HerbDom2">Sen!$G$213</definedName>
    <definedName name="herblt50" localSheetId="29">[2]POL!$D$59</definedName>
    <definedName name="herblt50" localSheetId="27">[2]POL!$D$59</definedName>
    <definedName name="herblt50" localSheetId="28">[2]POL!$D$59</definedName>
    <definedName name="herblt50">POL!$D$59</definedName>
    <definedName name="herbpct0" localSheetId="29">[2]POL!$G$54</definedName>
    <definedName name="herbpct0" localSheetId="27">[2]POL!$G$54</definedName>
    <definedName name="herbpct0" localSheetId="28">[2]POL!$G$54</definedName>
    <definedName name="herbpct0">POL!$G$54</definedName>
    <definedName name="herbrare0" localSheetId="29">[2]POL!#REF!</definedName>
    <definedName name="herbrare0" localSheetId="27">[2]POL!#REF!</definedName>
    <definedName name="herbrare0" localSheetId="2">[1]POL!$G$31</definedName>
    <definedName name="herbrare0" localSheetId="28">[2]POL!#REF!</definedName>
    <definedName name="herbrare0" localSheetId="7">POL!#REF!</definedName>
    <definedName name="herbrare0">POL!#REF!</definedName>
    <definedName name="herbsens0" localSheetId="29">[2]POL!$G$69</definedName>
    <definedName name="herbsens0" localSheetId="27">[2]POL!$G$69</definedName>
    <definedName name="herbsens0" localSheetId="2">[1]POL!$G$22</definedName>
    <definedName name="herbsens0" localSheetId="28">[2]POL!$G$69</definedName>
    <definedName name="herbsens0">POL!$G$69</definedName>
    <definedName name="HerbSens2_S" localSheetId="29">[2]Sen!#REF!</definedName>
    <definedName name="HerbSens2_S" localSheetId="27">[2]Sen!#REF!</definedName>
    <definedName name="HerbSens2_S" localSheetId="2">[1]Sen!$G$71</definedName>
    <definedName name="HerbSens2_S" localSheetId="28">[2]Sen!#REF!</definedName>
    <definedName name="HerbSens2_S" localSheetId="7">Sen!#REF!</definedName>
    <definedName name="HerbSens2_S">Sen!#REF!</definedName>
    <definedName name="HerbUbiq1" localSheetId="29">[2]EC!#REF!</definedName>
    <definedName name="HerbUbiq1" localSheetId="27">[2]EC!#REF!</definedName>
    <definedName name="HerbUbiq1" localSheetId="28">[2]EC!#REF!</definedName>
    <definedName name="HerbUbiq1" localSheetId="7">EC!#REF!</definedName>
    <definedName name="HerbUbiq1">EC!#REF!</definedName>
    <definedName name="HistAccum5" localSheetId="29">[2]CS!$G$139</definedName>
    <definedName name="HistAccum5" localSheetId="27">[2]CS!$G$139</definedName>
    <definedName name="HistAccum5" localSheetId="28">[2]CS!$G$139</definedName>
    <definedName name="HistAccum5">CS!$G$133</definedName>
    <definedName name="HistAccum6" localSheetId="29">[2]OE!$G$155</definedName>
    <definedName name="HistAccum6" localSheetId="27">[2]OE!$G$155</definedName>
    <definedName name="HistAccum6" localSheetId="28">[2]OE!$G$155</definedName>
    <definedName name="HistAccum6">OE!$G$157</definedName>
    <definedName name="HistDry12" localSheetId="29">[2]WBF!#REF!</definedName>
    <definedName name="HistDry12" localSheetId="27">[2]WBF!#REF!</definedName>
    <definedName name="HistDry12" localSheetId="2">[1]WBF!$G$18</definedName>
    <definedName name="HistDry12" localSheetId="28">[2]WBF!#REF!</definedName>
    <definedName name="HistDry12">WBF!#REF!</definedName>
    <definedName name="HistDry13" localSheetId="29">[2]WBN!#REF!</definedName>
    <definedName name="HistDry13" localSheetId="27">[2]WBN!#REF!</definedName>
    <definedName name="HistDry13" localSheetId="2">[1]WBN!$G$10</definedName>
    <definedName name="HistDry13" localSheetId="28">[2]WBN!#REF!</definedName>
    <definedName name="HistDry13">WBN!#REF!</definedName>
    <definedName name="HistDry3" localSheetId="29">[2]PR!#REF!</definedName>
    <definedName name="HistDry3" localSheetId="27">[2]PR!#REF!</definedName>
    <definedName name="HistDry3" localSheetId="28">[2]PR!#REF!</definedName>
    <definedName name="HistDry3">PR!#REF!</definedName>
    <definedName name="HistDry4" localSheetId="29">[2]NR!#REF!</definedName>
    <definedName name="HistDry4" localSheetId="27">[2]NR!#REF!</definedName>
    <definedName name="HistDry4" localSheetId="2">[1]NR!#REF!</definedName>
    <definedName name="HistDry4" localSheetId="28">[2]NR!#REF!</definedName>
    <definedName name="HistDry4" localSheetId="7">NR!#REF!</definedName>
    <definedName name="HistDry4">NR!#REF!</definedName>
    <definedName name="HistDry5" localSheetId="29">[2]CS!#REF!</definedName>
    <definedName name="HistDry5" localSheetId="27">[2]CS!#REF!</definedName>
    <definedName name="HistDry5" localSheetId="2">[1]CS!$G$15</definedName>
    <definedName name="HistDry5" localSheetId="28">[2]CS!#REF!</definedName>
    <definedName name="HistDry5">CS!#REF!</definedName>
    <definedName name="HistWet11" localSheetId="29">[2]AM!#REF!</definedName>
    <definedName name="HistWet11" localSheetId="27">[2]AM!#REF!</definedName>
    <definedName name="HistWet11" localSheetId="2">[1]AM!#REF!</definedName>
    <definedName name="HistWet11" localSheetId="28">[2]AM!#REF!</definedName>
    <definedName name="HistWet11" localSheetId="7">AM!#REF!</definedName>
    <definedName name="HistWet11">AM!#REF!</definedName>
    <definedName name="HistWet12" localSheetId="29">[2]WBF!#REF!</definedName>
    <definedName name="HistWet12" localSheetId="27">[2]WBF!#REF!</definedName>
    <definedName name="HistWet12" localSheetId="2">[1]WBF!#REF!</definedName>
    <definedName name="HistWet12" localSheetId="28">[2]WBF!#REF!</definedName>
    <definedName name="HistWet12" localSheetId="7">WBF!#REF!</definedName>
    <definedName name="HistWet12">WBF!#REF!</definedName>
    <definedName name="HistWet13" localSheetId="29">[2]WBN!#REF!</definedName>
    <definedName name="HistWet13" localSheetId="27">[2]WBN!#REF!</definedName>
    <definedName name="HistWet13" localSheetId="2">[1]WBN!#REF!</definedName>
    <definedName name="HistWet13" localSheetId="28">[2]WBN!#REF!</definedName>
    <definedName name="HistWet13" localSheetId="7">WBN!#REF!</definedName>
    <definedName name="HistWet13">WBN!#REF!</definedName>
    <definedName name="HistWet3" localSheetId="29">[2]PR!#REF!</definedName>
    <definedName name="HistWet3" localSheetId="27">[2]PR!#REF!</definedName>
    <definedName name="HistWet3" localSheetId="2">[1]PR!#REF!</definedName>
    <definedName name="HistWet3" localSheetId="28">[2]PR!#REF!</definedName>
    <definedName name="HistWet3" localSheetId="7">PR!#REF!</definedName>
    <definedName name="HistWet3">PR!#REF!</definedName>
    <definedName name="HistWet4" localSheetId="29">[2]NR!#REF!</definedName>
    <definedName name="HistWet4" localSheetId="27">[2]NR!#REF!</definedName>
    <definedName name="HistWet4" localSheetId="2">[1]NR!#REF!</definedName>
    <definedName name="HistWet4" localSheetId="28">[2]NR!#REF!</definedName>
    <definedName name="HistWet4" localSheetId="7">NR!#REF!</definedName>
    <definedName name="HistWet4">NR!#REF!</definedName>
    <definedName name="HistWet5" localSheetId="29">[2]CS!#REF!</definedName>
    <definedName name="HistWet5" localSheetId="27">[2]CS!#REF!</definedName>
    <definedName name="HistWet5" localSheetId="2">[1]CS!#REF!</definedName>
    <definedName name="HistWet5" localSheetId="28">[2]CS!#REF!</definedName>
    <definedName name="HistWet5" localSheetId="7">CS!#REF!</definedName>
    <definedName name="HistWet5">CS!#REF!</definedName>
    <definedName name="HotSpring7" localSheetId="29">[2]WC!#REF!</definedName>
    <definedName name="HotSpring7" localSheetId="27">[2]WC!#REF!</definedName>
    <definedName name="HotSpring7" localSheetId="2">[1]T!$D$4</definedName>
    <definedName name="HotSpring7" localSheetId="28">[2]WC!#REF!</definedName>
    <definedName name="HotSpring7" localSheetId="7">WW!#REF!</definedName>
    <definedName name="HotSpring7">WC!#REF!</definedName>
    <definedName name="Hotspring9" localSheetId="29">[2]FA!#REF!</definedName>
    <definedName name="Hotspring9" localSheetId="27">[2]FA!#REF!</definedName>
    <definedName name="Hotspring9" localSheetId="2">[1]FA!$D$5</definedName>
    <definedName name="Hotspring9" localSheetId="28">[2]FA!#REF!</definedName>
    <definedName name="Hotspring9" localSheetId="7">FA!#REF!</definedName>
    <definedName name="Hotspring9">FA!#REF!</definedName>
    <definedName name="HtDiv12" localSheetId="29">[2]WBF!#REF!</definedName>
    <definedName name="HtDiv12" localSheetId="27">[2]WBF!#REF!</definedName>
    <definedName name="HtDiv12" localSheetId="2">[1]WBF!#REF!</definedName>
    <definedName name="HtDiv12" localSheetId="28">[2]WBF!#REF!</definedName>
    <definedName name="HtDiv12" localSheetId="7">WBF!#REF!</definedName>
    <definedName name="HtDiv12">WBF!#REF!</definedName>
    <definedName name="HtDiv13" localSheetId="29">[2]WBN!#REF!</definedName>
    <definedName name="HtDiv13" localSheetId="27">[2]WBN!#REF!</definedName>
    <definedName name="HtDiv13" localSheetId="2">[1]WBN!$G$105</definedName>
    <definedName name="HtDiv13" localSheetId="28">[2]WBN!#REF!</definedName>
    <definedName name="HtDiv13">WBN!#REF!</definedName>
    <definedName name="HtDivPD" localSheetId="29">[2]PH!#REF!</definedName>
    <definedName name="HtDivPD" localSheetId="27">[2]PH!#REF!</definedName>
    <definedName name="HtDivPD" localSheetId="2">[1]PD!$G$92</definedName>
    <definedName name="HtDivPD" localSheetId="28">[2]PH!#REF!</definedName>
    <definedName name="HtDivPD">PH!#REF!</definedName>
    <definedName name="htunif0" localSheetId="29">[2]POL!#REF!</definedName>
    <definedName name="htunif0" localSheetId="27">[2]POL!#REF!</definedName>
    <definedName name="htunif0" localSheetId="2">[1]POL!$G$61</definedName>
    <definedName name="htunif0" localSheetId="28">[2]POL!#REF!</definedName>
    <definedName name="htunif0">POL!#REF!</definedName>
    <definedName name="HtUnif14" localSheetId="29">[2]SBM!#REF!</definedName>
    <definedName name="HtUnif14" localSheetId="27">[2]SBM!#REF!</definedName>
    <definedName name="HtUnif14" localSheetId="28">[2]SBM!#REF!</definedName>
    <definedName name="HtUnif14">SBM!#REF!</definedName>
    <definedName name="HUCbigW12" localSheetId="29">[2]WBF!#REF!</definedName>
    <definedName name="HUCbigW12" localSheetId="27">[2]WBF!#REF!</definedName>
    <definedName name="HUCbigW12" localSheetId="2">[1]WBF!$G$164</definedName>
    <definedName name="HUCbigW12" localSheetId="28">[2]WBF!#REF!</definedName>
    <definedName name="HUCbigW12" localSheetId="7">WBF!#REF!</definedName>
    <definedName name="HUCbigW12">WBF!#REF!</definedName>
    <definedName name="HUCbigW13" localSheetId="29">[2]WBN!#REF!</definedName>
    <definedName name="HUCbigW13" localSheetId="27">[2]WBN!#REF!</definedName>
    <definedName name="HUCbigW13" localSheetId="2">[1]WBN!$G$192</definedName>
    <definedName name="HUCbigW13" localSheetId="28">[2]WBN!#REF!</definedName>
    <definedName name="HUCbigW13" localSheetId="7">WBN!#REF!</definedName>
    <definedName name="HUCbigW13">WBN!#REF!</definedName>
    <definedName name="HUCbigW14" localSheetId="29">[2]SBM!#REF!</definedName>
    <definedName name="HUCbigW14" localSheetId="27">[2]SBM!#REF!</definedName>
    <definedName name="HUCbigW14" localSheetId="28">[2]SBM!#REF!</definedName>
    <definedName name="HUCbigW14" localSheetId="7">SBM!#REF!</definedName>
    <definedName name="HUCbigW14">SBM!#REF!</definedName>
    <definedName name="HUCdiv11" localSheetId="29">[2]AM!#REF!</definedName>
    <definedName name="HUCdiv11" localSheetId="27">[2]AM!#REF!</definedName>
    <definedName name="HUCdiv11" localSheetId="2">[1]AM!$G$214</definedName>
    <definedName name="HUCdiv11" localSheetId="28">[2]AM!#REF!</definedName>
    <definedName name="HUCdiv11" localSheetId="7">AM!#REF!</definedName>
    <definedName name="HUCdiv11">AM!#REF!</definedName>
    <definedName name="HUCdiv12" localSheetId="29">[2]WBF!#REF!</definedName>
    <definedName name="HUCdiv12" localSheetId="27">[2]WBF!#REF!</definedName>
    <definedName name="HUCdiv12" localSheetId="2">[1]WBF!$G$152</definedName>
    <definedName name="HUCdiv12" localSheetId="28">[2]WBF!#REF!</definedName>
    <definedName name="HUCdiv12" localSheetId="7">WBF!#REF!</definedName>
    <definedName name="HUCdiv12">WBF!#REF!</definedName>
    <definedName name="HUCdiv13" localSheetId="29">[2]WBN!#REF!</definedName>
    <definedName name="HUCdiv13" localSheetId="27">[2]WBN!#REF!</definedName>
    <definedName name="HUCdiv13" localSheetId="28">[2]WBN!#REF!</definedName>
    <definedName name="HUCdiv13" localSheetId="7">WBN!#REF!</definedName>
    <definedName name="HUCdiv13">WBN!#REF!</definedName>
    <definedName name="HUCdiv14" localSheetId="29">[2]SBM!#REF!</definedName>
    <definedName name="HUCdiv14" localSheetId="27">[2]SBM!#REF!</definedName>
    <definedName name="HUCdiv14" localSheetId="2">[1]SBM!$G$180</definedName>
    <definedName name="HUCdiv14" localSheetId="28">[2]SBM!#REF!</definedName>
    <definedName name="HUCdiv14" localSheetId="7">SBM!#REF!</definedName>
    <definedName name="HUCdiv14">SBM!#REF!</definedName>
    <definedName name="Hydro10" localSheetId="29">[2]FR!$G$154</definedName>
    <definedName name="Hydro10" localSheetId="27">[2]FR!$G$154</definedName>
    <definedName name="Hydro10" localSheetId="28">[2]FR!$G$154</definedName>
    <definedName name="Hydro10">FR!$G$154</definedName>
    <definedName name="Hydro11" localSheetId="29">[2]AM!$G$243</definedName>
    <definedName name="Hydro11" localSheetId="27">[2]AM!$G$243</definedName>
    <definedName name="Hydro11" localSheetId="28">[2]AM!$G$243</definedName>
    <definedName name="Hydro11">AM!$G$242</definedName>
    <definedName name="Hydro12" localSheetId="29">[2]WBF!$G$186</definedName>
    <definedName name="Hydro12" localSheetId="27">[2]WBF!$G$186</definedName>
    <definedName name="Hydro12" localSheetId="28">[2]WBF!$G$186</definedName>
    <definedName name="Hydro12">WBF!$G$186</definedName>
    <definedName name="Hydro13" localSheetId="29">[2]WBN!$G$208</definedName>
    <definedName name="Hydro13" localSheetId="27">[2]WBN!$G$208</definedName>
    <definedName name="Hydro13" localSheetId="28">[2]WBN!$G$208</definedName>
    <definedName name="Hydro13">WBN!$G$208</definedName>
    <definedName name="HydroConn_C" localSheetId="29">[2]EC!#REF!</definedName>
    <definedName name="HydroConn_C" localSheetId="27">[2]EC!#REF!</definedName>
    <definedName name="HydroConn_C" localSheetId="2">[1]CQ!$G$3</definedName>
    <definedName name="HydroConn_C" localSheetId="28">[2]EC!#REF!</definedName>
    <definedName name="HydroConn_C">EC!#REF!</definedName>
    <definedName name="HydroConn2" localSheetId="29">#REF!</definedName>
    <definedName name="HydroConn2" localSheetId="27">#REF!</definedName>
    <definedName name="HydroConn2" localSheetId="2">#REF!</definedName>
    <definedName name="HydroConn2" localSheetId="28">#REF!</definedName>
    <definedName name="HydroConn2" localSheetId="7">#REF!</definedName>
    <definedName name="HydroConn2">#REF!</definedName>
    <definedName name="Hydropd8" localSheetId="29">[2]INV!$G$184</definedName>
    <definedName name="Hydropd8" localSheetId="27">[2]INV!$G$184</definedName>
    <definedName name="Hydropd8" localSheetId="28">[2]INV!$G$184</definedName>
    <definedName name="Hydropd8">INV!$G$183</definedName>
    <definedName name="Hydropd9" localSheetId="29">[2]FA!$G$156</definedName>
    <definedName name="Hydropd9" localSheetId="27">[2]FA!$G$156</definedName>
    <definedName name="Hydropd9" localSheetId="28">[2]FA!$G$156</definedName>
    <definedName name="Hydropd9">FA!$G$162</definedName>
    <definedName name="HydroStress" localSheetId="29">[2]STR!$G$80</definedName>
    <definedName name="HydroStress" localSheetId="27">[2]STR!$G$80</definedName>
    <definedName name="HydroStress" localSheetId="28">[2]STR!$G$80</definedName>
    <definedName name="HydroStress">STR!$G$80</definedName>
    <definedName name="IBA">WBF!$D$173</definedName>
    <definedName name="IBA12a">WBF!$G$173</definedName>
    <definedName name="IBird12v">WBF!$G$173</definedName>
    <definedName name="Ice2_">SFS!$D$20</definedName>
    <definedName name="IceCov11">[2]AM!$G$142</definedName>
    <definedName name="IceCov12">[2]WBF!$G$118</definedName>
    <definedName name="IceDur2" localSheetId="29">[2]SFS!$G$20</definedName>
    <definedName name="IceDur2" localSheetId="27">[2]SFS!$G$20</definedName>
    <definedName name="IceDur2" localSheetId="28">[2]SFS!$G$20</definedName>
    <definedName name="IceDur2">SFS!$G$20</definedName>
    <definedName name="IceDura10" localSheetId="29">[2]FR!$G$90</definedName>
    <definedName name="IceDura10" localSheetId="27">[2]FR!$G$90</definedName>
    <definedName name="IceDura10" localSheetId="28">[2]FR!$G$90</definedName>
    <definedName name="IceDura10">FR!$G$90</definedName>
    <definedName name="IFDRY2" localSheetId="29">[2]SR!#REF!</definedName>
    <definedName name="IFDRY2" localSheetId="27">[2]SR!#REF!</definedName>
    <definedName name="IFDRY2" localSheetId="28">[2]SR!#REF!</definedName>
    <definedName name="IFDRY2">SR!#REF!</definedName>
    <definedName name="IFNOOUT2" localSheetId="29">[2]SR!#REF!</definedName>
    <definedName name="IFNOOUT2" localSheetId="27">[2]SR!#REF!</definedName>
    <definedName name="IFNOOUT2" localSheetId="28">[2]SR!#REF!</definedName>
    <definedName name="IFNOOUT2">SR!#REF!</definedName>
    <definedName name="IFOUT2" localSheetId="29">[2]SR!#REF!</definedName>
    <definedName name="IFOUT2" localSheetId="27">[2]SR!#REF!</definedName>
    <definedName name="IFOUT2" localSheetId="28">[2]SR!#REF!</definedName>
    <definedName name="IFOUT2">SR!#REF!</definedName>
    <definedName name="imperv2_">SFS!$G$51</definedName>
    <definedName name="Imperv4" localSheetId="29">[2]NR!$G$187</definedName>
    <definedName name="Imperv4" localSheetId="27">[2]NR!$G$187</definedName>
    <definedName name="Imperv4" localSheetId="2">[1]NR!$G$116</definedName>
    <definedName name="Imperv4" localSheetId="28">[2]NR!$G$187</definedName>
    <definedName name="Imperv4">NR!$G$187</definedName>
    <definedName name="Imperv7" localSheetId="29">[2]WC!$G$59</definedName>
    <definedName name="Imperv7" localSheetId="27">[2]WC!$G$59</definedName>
    <definedName name="Imperv7" localSheetId="28">[2]WC!$G$59</definedName>
    <definedName name="Imperv7" localSheetId="7">WW!$G$64</definedName>
    <definedName name="Imperv7">WC!$G$65</definedName>
    <definedName name="Imperv7w" localSheetId="29">[2]WW!$G$62</definedName>
    <definedName name="Imperv7w" localSheetId="27">[2]WW!$G$62</definedName>
    <definedName name="Imperv7w" localSheetId="28">[2]WW!$G$62</definedName>
    <definedName name="Imperv7w">WW!$G$64</definedName>
    <definedName name="ImpervCA" localSheetId="29">[2]INV!$G$28</definedName>
    <definedName name="ImpervCA" localSheetId="27">[2]INV!$G$28</definedName>
    <definedName name="ImpervCA" localSheetId="28">[2]INV!$G$28</definedName>
    <definedName name="ImpervCA">INV!$G$28</definedName>
    <definedName name="ImpervCA3" localSheetId="29">[2]PR!$G$148</definedName>
    <definedName name="ImpervCA3" localSheetId="27">[2]PR!$G$148</definedName>
    <definedName name="ImpervCA3" localSheetId="2">[1]PR!$G$116</definedName>
    <definedName name="ImpervCA3" localSheetId="28">[2]PR!$G$148</definedName>
    <definedName name="ImpervCA3">PR!$G$138</definedName>
    <definedName name="ImpervCA9" localSheetId="29">[2]FA!$G$27</definedName>
    <definedName name="ImpervCA9" localSheetId="27">[2]FA!$G$27</definedName>
    <definedName name="ImpervCA9" localSheetId="28">[2]FA!$G$27</definedName>
    <definedName name="ImpervCA9">FA!$G$27</definedName>
    <definedName name="ImpervPct" localSheetId="29">#REF!</definedName>
    <definedName name="ImpervPct" localSheetId="27">#REF!</definedName>
    <definedName name="ImpervPct" localSheetId="2">#REF!</definedName>
    <definedName name="ImpervPct" localSheetId="28">#REF!</definedName>
    <definedName name="ImpervPct" localSheetId="7">#REF!</definedName>
    <definedName name="ImpervPct">#REF!</definedName>
    <definedName name="ImpervPctSS" localSheetId="29">[2]SR!$G$138</definedName>
    <definedName name="ImpervPctSS" localSheetId="27">[2]SR!$G$138</definedName>
    <definedName name="ImpervPctSS" localSheetId="2">[1]SR!$G$90</definedName>
    <definedName name="ImpervPctSS" localSheetId="28">[2]SR!$G$138</definedName>
    <definedName name="ImpervPctSS">SR!$G$138</definedName>
    <definedName name="Inclus11" localSheetId="2">[1]AM!$B$98</definedName>
    <definedName name="Inclus11">AM!$B$178</definedName>
    <definedName name="Inclus11a" localSheetId="29">[2]AM!$G$179</definedName>
    <definedName name="Inclus11a" localSheetId="27">[2]AM!$G$179</definedName>
    <definedName name="Inclus11a" localSheetId="28">[2]AM!$G$179</definedName>
    <definedName name="Inclus11a">AM!$G$178</definedName>
    <definedName name="Inclus14" localSheetId="29">[2]SBM!$G$177</definedName>
    <definedName name="Inclus14" localSheetId="27">[2]SBM!$G$177</definedName>
    <definedName name="Inclus14" localSheetId="2">[1]SBM!$G$66</definedName>
    <definedName name="Inclus14" localSheetId="28">[2]SBM!$G$177</definedName>
    <definedName name="Inclus14">SBM!$G$171</definedName>
    <definedName name="Inclus4" localSheetId="29">[2]NR!$G$136</definedName>
    <definedName name="Inclus4" localSheetId="27">[2]NR!$G$136</definedName>
    <definedName name="Inclus4" localSheetId="2">[1]NR!$G$84</definedName>
    <definedName name="Inclus4" localSheetId="28">[2]NR!$G$136</definedName>
    <definedName name="Inclus4">NR!$G$136</definedName>
    <definedName name="inflo" localSheetId="29">[2]Sen!#REF!</definedName>
    <definedName name="inflo" localSheetId="27">[2]Sen!#REF!</definedName>
    <definedName name="inflo" localSheetId="28">[2]Sen!#REF!</definedName>
    <definedName name="inflo" localSheetId="7">Sen!#REF!</definedName>
    <definedName name="inflo">Sen!#REF!</definedName>
    <definedName name="Inflo2" localSheetId="29">[2]SR!$G$157</definedName>
    <definedName name="Inflo2" localSheetId="27">[2]SR!$G$157</definedName>
    <definedName name="Inflo2" localSheetId="28">[2]SR!$G$157</definedName>
    <definedName name="Inflo2">SR!$G$158</definedName>
    <definedName name="Inflo3" localSheetId="29">[2]PR!$D$129</definedName>
    <definedName name="Inflo3" localSheetId="27">[2]PR!$D$129</definedName>
    <definedName name="Inflo3" localSheetId="28">[2]PR!$D$129</definedName>
    <definedName name="Inflo3">PR!$D$146</definedName>
    <definedName name="Inflo4" localSheetId="29">[2]NR!$D$195</definedName>
    <definedName name="Inflo4" localSheetId="27">[2]NR!$D$195</definedName>
    <definedName name="Inflo4" localSheetId="28">[2]NR!$D$195</definedName>
    <definedName name="Inflo4">NR!$D$195</definedName>
    <definedName name="InfloPD" localSheetId="29">[2]PH!$D$110</definedName>
    <definedName name="InfloPD" localSheetId="27">[2]PH!$D$110</definedName>
    <definedName name="InfloPD" localSheetId="28">[2]PH!$D$110</definedName>
    <definedName name="InfloPD">PH!$D$103</definedName>
    <definedName name="Inflow" localSheetId="29">[2]STR!#REF!</definedName>
    <definedName name="Inflow" localSheetId="27">[2]STR!#REF!</definedName>
    <definedName name="Inflow" localSheetId="2">[1]STR!$G$10</definedName>
    <definedName name="Inflow" localSheetId="28">[2]STR!#REF!</definedName>
    <definedName name="Inflow" localSheetId="7">STR!#REF!</definedName>
    <definedName name="Inflow">STR!#REF!</definedName>
    <definedName name="Inflows" localSheetId="29">[2]F!$D$91</definedName>
    <definedName name="Inflows" localSheetId="27">[2]F!$D$91</definedName>
    <definedName name="Inflows" localSheetId="28">[2]F!$D$91</definedName>
    <definedName name="Inflows">F!$D$107</definedName>
    <definedName name="InflowW" localSheetId="29">[2]WW!#REF!</definedName>
    <definedName name="InflowW" localSheetId="27">[2]WW!#REF!</definedName>
    <definedName name="InflowW" localSheetId="28">[2]WW!#REF!</definedName>
    <definedName name="InflowW">WW!#REF!</definedName>
    <definedName name="InOut" localSheetId="29">[2]F!#REF!</definedName>
    <definedName name="InOut" localSheetId="27">[2]F!#REF!</definedName>
    <definedName name="InOut" localSheetId="28">[2]F!#REF!</definedName>
    <definedName name="InOut">F!#REF!</definedName>
    <definedName name="InTemp7" localSheetId="29">[2]WW!$G$67</definedName>
    <definedName name="InTemp7" localSheetId="27">[2]WW!$G$67</definedName>
    <definedName name="InTemp7" localSheetId="28">[2]WW!$G$67</definedName>
    <definedName name="InTemp7">WW!$G$73</definedName>
    <definedName name="Interann10" localSheetId="29">[2]FR!#REF!</definedName>
    <definedName name="Interann10" localSheetId="27">[2]FR!#REF!</definedName>
    <definedName name="Interann10" localSheetId="28">[2]FR!#REF!</definedName>
    <definedName name="Interann10">FR!#REF!</definedName>
    <definedName name="Interann6" localSheetId="29">[2]OE!#REF!</definedName>
    <definedName name="Interann6" localSheetId="27">[2]OE!#REF!</definedName>
    <definedName name="Interann6" localSheetId="2">[1]OE!$G$16</definedName>
    <definedName name="Interann6" localSheetId="28">[2]OE!#REF!</definedName>
    <definedName name="Interann6">OE!#REF!</definedName>
    <definedName name="Interann8" localSheetId="29">[2]INV!#REF!</definedName>
    <definedName name="Interann8" localSheetId="27">[2]INV!#REF!</definedName>
    <definedName name="Interann8" localSheetId="2">[1]INV!$G$10</definedName>
    <definedName name="Interann8" localSheetId="28">[2]INV!#REF!</definedName>
    <definedName name="Interann8">INV!#REF!</definedName>
    <definedName name="interannPD" localSheetId="29">[2]PH!#REF!</definedName>
    <definedName name="interannPD" localSheetId="27">[2]PH!#REF!</definedName>
    <definedName name="interannPD" localSheetId="2">[1]PD!$G$28</definedName>
    <definedName name="interannPD" localSheetId="28">[2]PH!#REF!</definedName>
    <definedName name="interannPD">PH!#REF!</definedName>
    <definedName name="Interannual4" localSheetId="29">[2]NR!#REF!</definedName>
    <definedName name="Interannual4" localSheetId="27">[2]NR!#REF!</definedName>
    <definedName name="Interannual4" localSheetId="2">[1]NR!$G$4</definedName>
    <definedName name="Interannual4" localSheetId="28">[2]NR!#REF!</definedName>
    <definedName name="Interannual4">NR!#REF!</definedName>
    <definedName name="Intercep4" localSheetId="29">[2]NR!$G$223</definedName>
    <definedName name="Intercep4" localSheetId="27">[2]NR!$G$223</definedName>
    <definedName name="Intercep4" localSheetId="28">[2]NR!$G$223</definedName>
    <definedName name="Intercep4">NR!$G$223</definedName>
    <definedName name="IntercepDry3" localSheetId="29">[2]PR!$G$178</definedName>
    <definedName name="IntercepDry3" localSheetId="27">[2]PR!$G$178</definedName>
    <definedName name="IntercepDry3" localSheetId="28">[2]PR!$G$178</definedName>
    <definedName name="IntercepDry3">PR!$G$177</definedName>
    <definedName name="IntercepWet3" localSheetId="29">[2]PR!$G$179</definedName>
    <definedName name="IntercepWet3" localSheetId="27">[2]PR!$G$179</definedName>
    <definedName name="IntercepWet3" localSheetId="28">[2]PR!$G$179</definedName>
    <definedName name="IntercepWet3">PR!$G$178</definedName>
    <definedName name="Interspers10" localSheetId="29">[2]FR!$G$86</definedName>
    <definedName name="Interspers10" localSheetId="27">[2]FR!$G$86</definedName>
    <definedName name="Interspers10" localSheetId="2">[1]FR!$G$58</definedName>
    <definedName name="Interspers10" localSheetId="28">[2]FR!$G$86</definedName>
    <definedName name="Interspers10">FR!$G$86</definedName>
    <definedName name="Interspers11" localSheetId="29">[2]AM!$G$138</definedName>
    <definedName name="Interspers11" localSheetId="27">[2]AM!$G$138</definedName>
    <definedName name="Interspers11" localSheetId="2">[1]AM!$G$48</definedName>
    <definedName name="Interspers11" localSheetId="28">[2]AM!$G$138</definedName>
    <definedName name="Interspers11">AM!$G$142</definedName>
    <definedName name="Interspers12" localSheetId="29">[2]WBF!$G$113</definedName>
    <definedName name="Interspers12" localSheetId="27">[2]WBF!$G$113</definedName>
    <definedName name="Interspers12" localSheetId="2">[1]WBF!$G$54</definedName>
    <definedName name="Interspers12" localSheetId="28">[2]WBF!$G$113</definedName>
    <definedName name="Interspers12">WBF!$G$111</definedName>
    <definedName name="Interspers13" localSheetId="29">[2]WBN!$G$128</definedName>
    <definedName name="Interspers13" localSheetId="27">[2]WBN!$G$128</definedName>
    <definedName name="Interspers13" localSheetId="2">[1]WBN!$G$49</definedName>
    <definedName name="Interspers13" localSheetId="28">[2]WBN!$G$128</definedName>
    <definedName name="Interspers13">WBN!$G$126</definedName>
    <definedName name="Interspers14" localSheetId="29">[2]SBM!$G$105</definedName>
    <definedName name="Interspers14" localSheetId="27">[2]SBM!$G$105</definedName>
    <definedName name="Interspers14" localSheetId="28">[2]SBM!$G$105</definedName>
    <definedName name="Interspers14">SBM!$G$99</definedName>
    <definedName name="Interspers2" localSheetId="29">[2]SR!$G$74</definedName>
    <definedName name="Interspers2" localSheetId="27">[2]SR!$G$74</definedName>
    <definedName name="Interspers2" localSheetId="2">[1]SR!#REF!</definedName>
    <definedName name="Interspers2" localSheetId="28">[2]SR!$G$74</definedName>
    <definedName name="Interspers2" localSheetId="7">SR!#REF!</definedName>
    <definedName name="Interspers2">SR!$G$79</definedName>
    <definedName name="Interspers3" localSheetId="29">[2]PR!$G$69</definedName>
    <definedName name="Interspers3" localSheetId="27">[2]PR!$G$69</definedName>
    <definedName name="Interspers3" localSheetId="2">[1]PR!#REF!</definedName>
    <definedName name="Interspers3" localSheetId="28">[2]PR!$G$69</definedName>
    <definedName name="Interspers3" localSheetId="7">PR!#REF!</definedName>
    <definedName name="Interspers3">PR!$G$74</definedName>
    <definedName name="Interspers4" localSheetId="29">[2]NR!$G$91</definedName>
    <definedName name="Interspers4" localSheetId="27">[2]NR!$G$91</definedName>
    <definedName name="Interspers4" localSheetId="2">[1]NR!$G$43</definedName>
    <definedName name="Interspers4" localSheetId="28">[2]NR!$G$91</definedName>
    <definedName name="Interspers4">NR!$G$96</definedName>
    <definedName name="Interspers5" localSheetId="29">[2]CS!#REF!</definedName>
    <definedName name="Interspers5" localSheetId="27">[2]CS!#REF!</definedName>
    <definedName name="Interspers5" localSheetId="2">[1]CS!#REF!</definedName>
    <definedName name="Interspers5" localSheetId="28">[2]CS!#REF!</definedName>
    <definedName name="Interspers5" localSheetId="7">CS!#REF!</definedName>
    <definedName name="Interspers5">CS!#REF!</definedName>
    <definedName name="Interspers6" localSheetId="29">[2]OE!$G$86</definedName>
    <definedName name="Interspers6" localSheetId="27">[2]OE!$G$86</definedName>
    <definedName name="Interspers6" localSheetId="2">[1]OE!$G$54</definedName>
    <definedName name="Interspers6" localSheetId="28">[2]OE!$G$86</definedName>
    <definedName name="Interspers6">OE!$G$77</definedName>
    <definedName name="Interspers8" localSheetId="29">[2]INV!$G$93</definedName>
    <definedName name="Interspers8" localSheetId="27">[2]INV!$G$93</definedName>
    <definedName name="Interspers8" localSheetId="2">[1]INV!$G$63</definedName>
    <definedName name="Interspers8" localSheetId="28">[2]INV!$G$93</definedName>
    <definedName name="Interspers8">INV!$G$93</definedName>
    <definedName name="Interspers9" localSheetId="29">[2]FA!$G$84</definedName>
    <definedName name="Interspers9" localSheetId="27">[2]FA!$G$84</definedName>
    <definedName name="Interspers9" localSheetId="2">[1]FA!$G$44</definedName>
    <definedName name="Interspers9" localSheetId="28">[2]FA!$G$84</definedName>
    <definedName name="Interspers9">FA!$G$90</definedName>
    <definedName name="InterspersPD" localSheetId="29">[2]PH!$G$101</definedName>
    <definedName name="InterspersPD" localSheetId="27">[2]PH!$G$101</definedName>
    <definedName name="InterspersPD" localSheetId="28">[2]PH!$G$101</definedName>
    <definedName name="InterspersPD">PH!$G$94</definedName>
    <definedName name="Invest" localSheetId="29">[2]PU!$G$57</definedName>
    <definedName name="Invest" localSheetId="27">[2]PU!$G$57</definedName>
    <definedName name="Invest" localSheetId="28">[2]PU!$G$57</definedName>
    <definedName name="Invest">PU!$G$58</definedName>
    <definedName name="InvScore2_" localSheetId="29">[2]SFS!$G$55</definedName>
    <definedName name="InvScore2_" localSheetId="27">[2]SFS!$G$55</definedName>
    <definedName name="InvScore2_" localSheetId="28">[2]SFS!$G$55</definedName>
    <definedName name="InvScore2_">SFS!$G$55</definedName>
    <definedName name="Island13">WBN!$G$131</definedName>
    <definedName name="Islands11" localSheetId="29">[2]AM!#REF!</definedName>
    <definedName name="Islands11" localSheetId="27">[2]AM!#REF!</definedName>
    <definedName name="Islands11" localSheetId="2">[1]AM!$G$70</definedName>
    <definedName name="Islands11" localSheetId="28">[2]AM!#REF!</definedName>
    <definedName name="Islands11" localSheetId="7">AM!#REF!</definedName>
    <definedName name="Islands11">AM!#REF!</definedName>
    <definedName name="Islands12" localSheetId="29">[2]WBF!#REF!</definedName>
    <definedName name="Islands12" localSheetId="27">[2]WBF!#REF!</definedName>
    <definedName name="Islands12" localSheetId="28">[2]WBF!#REF!</definedName>
    <definedName name="Islands12">WBF!#REF!</definedName>
    <definedName name="Islands13" localSheetId="29">[2]WBN!#REF!</definedName>
    <definedName name="Islands13" localSheetId="27">[2]WBN!#REF!</definedName>
    <definedName name="Islands13" localSheetId="2">[1]WBN!$G$69</definedName>
    <definedName name="Islands13" localSheetId="28">[2]WBN!#REF!</definedName>
    <definedName name="Islands13">WBN!#REF!</definedName>
    <definedName name="Iso3Wet" localSheetId="29">[2]PR!#REF!</definedName>
    <definedName name="Iso3Wet" localSheetId="27">[2]PR!#REF!</definedName>
    <definedName name="Iso3Wet" localSheetId="28">[2]PR!#REF!</definedName>
    <definedName name="Iso3Wet">PR!#REF!</definedName>
    <definedName name="IsoDry_S" localSheetId="29">[2]Sen!$G$149</definedName>
    <definedName name="IsoDry_S" localSheetId="27">[2]Sen!$G$149</definedName>
    <definedName name="IsoDry_S" localSheetId="2">[1]Sen!$G$5</definedName>
    <definedName name="IsoDry_S" localSheetId="28">[2]Sen!$G$149</definedName>
    <definedName name="IsoDry_S">Sen!$G$142</definedName>
    <definedName name="IsoDry1" localSheetId="29">[2]WS!$G$42</definedName>
    <definedName name="IsoDry1" localSheetId="27">[2]WS!$G$42</definedName>
    <definedName name="IsoDry1" localSheetId="2">[1]WS!$G$29</definedName>
    <definedName name="IsoDry1" localSheetId="28">[2]WS!$G$42</definedName>
    <definedName name="IsoDry1">WS!$G$47</definedName>
    <definedName name="ISOdry10" localSheetId="29">[2]FR!$G$71</definedName>
    <definedName name="ISOdry10" localSheetId="27">[2]FR!$G$71</definedName>
    <definedName name="ISOdry10" localSheetId="2">[1]FR!$G$37</definedName>
    <definedName name="ISOdry10" localSheetId="28">[2]FR!$G$71</definedName>
    <definedName name="ISOdry10">FR!$G$71</definedName>
    <definedName name="ISOdry11" localSheetId="29">[2]AM!#REF!</definedName>
    <definedName name="ISOdry11" localSheetId="27">[2]AM!#REF!</definedName>
    <definedName name="ISOdry11" localSheetId="2">[1]AM!$G$20</definedName>
    <definedName name="ISOdry11" localSheetId="28">[2]AM!#REF!</definedName>
    <definedName name="ISOdry11">AM!#REF!</definedName>
    <definedName name="IsoDry12" localSheetId="29">[2]WBF!#REF!</definedName>
    <definedName name="IsoDry12" localSheetId="27">[2]WBF!#REF!</definedName>
    <definedName name="IsoDry12" localSheetId="2">[1]WBF!#REF!</definedName>
    <definedName name="IsoDry12" localSheetId="28">[2]WBF!#REF!</definedName>
    <definedName name="IsoDry12" localSheetId="7">WBF!#REF!</definedName>
    <definedName name="IsoDry12">WBF!#REF!</definedName>
    <definedName name="ISOdry13" localSheetId="29">[2]WBN!$G$113</definedName>
    <definedName name="ISOdry13" localSheetId="27">[2]WBN!$G$113</definedName>
    <definedName name="ISOdry13" localSheetId="2">[1]WBN!$G$23</definedName>
    <definedName name="ISOdry13" localSheetId="28">[2]WBN!$G$113</definedName>
    <definedName name="ISOdry13">WBN!$G$111</definedName>
    <definedName name="IsoDry2" localSheetId="29">[2]SR!#REF!</definedName>
    <definedName name="IsoDry2" localSheetId="27">[2]SR!#REF!</definedName>
    <definedName name="IsoDry2" localSheetId="2">[1]SR!$G$17</definedName>
    <definedName name="IsoDry2" localSheetId="28">[2]SR!#REF!</definedName>
    <definedName name="IsoDry2">SR!#REF!</definedName>
    <definedName name="ISOdry3" localSheetId="29">[2]PR!#REF!</definedName>
    <definedName name="ISOdry3" localSheetId="27">[2]PR!#REF!</definedName>
    <definedName name="ISOdry3" localSheetId="2">[1]PR!$G$34</definedName>
    <definedName name="ISOdry3" localSheetId="28">[2]PR!#REF!</definedName>
    <definedName name="ISOdry3">PR!#REF!</definedName>
    <definedName name="ISOdry4" localSheetId="29">[2]NR!#REF!</definedName>
    <definedName name="ISOdry4" localSheetId="27">[2]NR!#REF!</definedName>
    <definedName name="ISOdry4" localSheetId="2">[1]NR!$G$24</definedName>
    <definedName name="ISOdry4" localSheetId="28">[2]NR!#REF!</definedName>
    <definedName name="ISOdry4">NR!#REF!</definedName>
    <definedName name="ISOdry6" localSheetId="29">[2]OE!#REF!</definedName>
    <definedName name="ISOdry6" localSheetId="27">[2]OE!#REF!</definedName>
    <definedName name="ISOdry6" localSheetId="2">[1]OE!$G$29</definedName>
    <definedName name="ISOdry6" localSheetId="28">[2]OE!#REF!</definedName>
    <definedName name="ISOdry6">OE!#REF!</definedName>
    <definedName name="ISOdry7" localSheetId="2">[1]T!$G$6</definedName>
    <definedName name="ISOdry7" localSheetId="7">WW!$G$22</definedName>
    <definedName name="ISOdry7">WC!$G$26</definedName>
    <definedName name="ISOdry7w" localSheetId="29">[2]WW!$G$16</definedName>
    <definedName name="ISOdry7w" localSheetId="27">[2]WW!$G$16</definedName>
    <definedName name="ISOdry7w" localSheetId="28">[2]WW!$G$16</definedName>
    <definedName name="ISOdry7w">WW!$G$22</definedName>
    <definedName name="IsoDry8" localSheetId="29">[2]INV!#REF!</definedName>
    <definedName name="IsoDry8" localSheetId="27">[2]INV!#REF!</definedName>
    <definedName name="IsoDry8" localSheetId="2">[1]INV!$G$30</definedName>
    <definedName name="IsoDry8" localSheetId="28">[2]INV!#REF!</definedName>
    <definedName name="IsoDry8">INV!#REF!</definedName>
    <definedName name="IsoWet1" localSheetId="29">[2]WS!#REF!</definedName>
    <definedName name="IsoWet1" localSheetId="27">[2]WS!#REF!</definedName>
    <definedName name="IsoWet1" localSheetId="2">[1]WS!$G$15</definedName>
    <definedName name="IsoWet1" localSheetId="28">[2]WS!#REF!</definedName>
    <definedName name="IsoWet1">WS!#REF!</definedName>
    <definedName name="ISOwet10" localSheetId="29">[2]FR!#REF!</definedName>
    <definedName name="ISOwet10" localSheetId="27">[2]FR!#REF!</definedName>
    <definedName name="ISOwet10" localSheetId="2">[1]FR!$G$23</definedName>
    <definedName name="ISOwet10" localSheetId="28">[2]FR!#REF!</definedName>
    <definedName name="ISOwet10" localSheetId="7">FR!#REF!</definedName>
    <definedName name="ISOwet10">FR!#REF!</definedName>
    <definedName name="ISOwet11" localSheetId="29">[2]AM!$G$123</definedName>
    <definedName name="ISOwet11" localSheetId="27">[2]AM!$G$123</definedName>
    <definedName name="ISOwet11" localSheetId="2">[1]AM!$G$6</definedName>
    <definedName name="ISOwet11" localSheetId="28">[2]AM!$G$123</definedName>
    <definedName name="ISOwet11">AM!$G$127</definedName>
    <definedName name="ISOwet12" localSheetId="29">[2]WBF!$G$98</definedName>
    <definedName name="ISOwet12" localSheetId="27">[2]WBF!$G$98</definedName>
    <definedName name="ISOwet12" localSheetId="2">[1]WBF!$G$37</definedName>
    <definedName name="ISOwet12" localSheetId="28">[2]WBF!$G$98</definedName>
    <definedName name="ISOwet12">WBF!$G$96</definedName>
    <definedName name="ISOwet13" localSheetId="29">[2]WBN!#REF!</definedName>
    <definedName name="ISOwet13" localSheetId="27">[2]WBN!#REF!</definedName>
    <definedName name="ISOwet13" localSheetId="2">[1]WBN!#REF!</definedName>
    <definedName name="ISOwet13" localSheetId="28">[2]WBN!#REF!</definedName>
    <definedName name="ISOwet13" localSheetId="7">WBN!#REF!</definedName>
    <definedName name="ISOwet13">WBN!#REF!</definedName>
    <definedName name="IsoWet2">SR!$G$64</definedName>
    <definedName name="IsoWet2a">SR!$G$64</definedName>
    <definedName name="IsoWet2s" localSheetId="29">[2]SR!$G$59</definedName>
    <definedName name="IsoWet2s" localSheetId="27">[2]SR!$G$59</definedName>
    <definedName name="IsoWet2s" localSheetId="28">[2]SR!$G$59</definedName>
    <definedName name="IsoWet2s">SR!$G$64</definedName>
    <definedName name="IsoWet3p" localSheetId="29">[2]PR!#REF!</definedName>
    <definedName name="IsoWet3p" localSheetId="27">[2]PR!#REF!</definedName>
    <definedName name="IsoWet3p" localSheetId="28">[2]PR!#REF!</definedName>
    <definedName name="IsoWet3p">PR!#REF!</definedName>
    <definedName name="ISOwet4" localSheetId="29">[2]NR!#REF!</definedName>
    <definedName name="ISOwet4" localSheetId="27">[2]NR!#REF!</definedName>
    <definedName name="ISOwet4" localSheetId="2">[1]NR!$G$10</definedName>
    <definedName name="ISOwet4" localSheetId="28">[2]NR!#REF!</definedName>
    <definedName name="ISOwet4">NR!#REF!</definedName>
    <definedName name="ISOwet5" localSheetId="29">[2]CS!$G$55</definedName>
    <definedName name="ISOwet5" localSheetId="27">[2]CS!$G$55</definedName>
    <definedName name="ISOwet5" localSheetId="2">[1]CS!$G$21</definedName>
    <definedName name="ISOwet5" localSheetId="28">[2]CS!$G$55</definedName>
    <definedName name="ISOwet5">CS!$G$54</definedName>
    <definedName name="ISOwet6" localSheetId="29">[2]OE!#REF!</definedName>
    <definedName name="ISOwet6" localSheetId="27">[2]OE!#REF!</definedName>
    <definedName name="ISOwet6" localSheetId="2">[1]OE!$G$22</definedName>
    <definedName name="ISOwet6" localSheetId="28">[2]OE!#REF!</definedName>
    <definedName name="ISOwet6">OE!#REF!</definedName>
    <definedName name="IsoWet8" localSheetId="29">[2]INV!$G$78</definedName>
    <definedName name="IsoWet8" localSheetId="27">[2]INV!$G$78</definedName>
    <definedName name="IsoWet8" localSheetId="2">[1]INV!$G$16</definedName>
    <definedName name="IsoWet8" localSheetId="28">[2]INV!$G$78</definedName>
    <definedName name="IsoWet8">INV!$G$78</definedName>
    <definedName name="ISOwet9" localSheetId="29">[2]FA!$G$69</definedName>
    <definedName name="ISOwet9" localSheetId="27">[2]FA!$G$69</definedName>
    <definedName name="ISOwet9" localSheetId="2">[1]FA!$G$21</definedName>
    <definedName name="ISOwet9" localSheetId="28">[2]FA!$G$69</definedName>
    <definedName name="ISOwet9">FA!$G$75</definedName>
    <definedName name="Karst10">FR!$D$26</definedName>
    <definedName name="Karst10a" localSheetId="29">[2]FR!$G$26</definedName>
    <definedName name="Karst10a" localSheetId="27">[2]FR!$G$26</definedName>
    <definedName name="Karst10a" localSheetId="28">[2]FR!$G$26</definedName>
    <definedName name="Karst10a">FR!$G$26</definedName>
    <definedName name="Karst11" localSheetId="29">[2]AM!$G$69</definedName>
    <definedName name="Karst11" localSheetId="27">[2]AM!$G$69</definedName>
    <definedName name="Karst11" localSheetId="28">[2]AM!$G$69</definedName>
    <definedName name="Karst11">AM!$G$69</definedName>
    <definedName name="Karst16">PH!$D$43</definedName>
    <definedName name="Karst16a" localSheetId="29">[2]PH!$G$50</definedName>
    <definedName name="Karst16a" localSheetId="27">[2]PH!$G$50</definedName>
    <definedName name="Karst16a" localSheetId="28">[2]PH!$G$50</definedName>
    <definedName name="Karst16a">PH!$G$43</definedName>
    <definedName name="Karst5a" localSheetId="29">[2]CS!#REF!</definedName>
    <definedName name="Karst5a" localSheetId="27">[2]CS!#REF!</definedName>
    <definedName name="Karst5a" localSheetId="28">[2]CS!#REF!</definedName>
    <definedName name="Karst5a">CS!#REF!</definedName>
    <definedName name="Karst6">OE!$D$18</definedName>
    <definedName name="Karst6a" localSheetId="29">[2]OE!$G$28</definedName>
    <definedName name="Karst6a" localSheetId="27">[2]OE!$G$28</definedName>
    <definedName name="Karst6a" localSheetId="28">[2]OE!$G$28</definedName>
    <definedName name="Karst6a">OE!$G$18</definedName>
    <definedName name="Karst7a" localSheetId="29">[2]INV!$G$26</definedName>
    <definedName name="Karst7a" localSheetId="27">[2]INV!$G$26</definedName>
    <definedName name="Karst7a" localSheetId="28">[2]INV!$G$26</definedName>
    <definedName name="Karst7a">INV!$G$26</definedName>
    <definedName name="Karst8">INV!$D$26</definedName>
    <definedName name="Karst9">FA!$D$19</definedName>
    <definedName name="Karst9a" localSheetId="29">[2]FA!$G$19</definedName>
    <definedName name="Karst9a" localSheetId="27">[2]FA!$G$19</definedName>
    <definedName name="Karst9a" localSheetId="28">[2]FA!$G$19</definedName>
    <definedName name="Karst9a">FA!$G$19</definedName>
    <definedName name="Karstt5" localSheetId="29">[2]CS!#REF!</definedName>
    <definedName name="Karstt5" localSheetId="27">[2]CS!#REF!</definedName>
    <definedName name="Karstt5" localSheetId="28">[2]CS!#REF!</definedName>
    <definedName name="Karstt5">CS!#REF!</definedName>
    <definedName name="Lacus" localSheetId="29">#REF!</definedName>
    <definedName name="Lacus" localSheetId="27">#REF!</definedName>
    <definedName name="Lacus" localSheetId="2">#REF!</definedName>
    <definedName name="Lacus" localSheetId="28">#REF!</definedName>
    <definedName name="Lacus" localSheetId="7">#REF!</definedName>
    <definedName name="Lacus">#REF!</definedName>
    <definedName name="Lacus13a" localSheetId="29">[2]WBN!$G$79</definedName>
    <definedName name="Lacus13a" localSheetId="27">[2]WBN!$G$79</definedName>
    <definedName name="Lacus13a" localSheetId="28">[2]WBN!$G$79</definedName>
    <definedName name="Lacus13a">WBN!$G$77</definedName>
    <definedName name="Lacus7" localSheetId="2">[1]T!$D$3</definedName>
    <definedName name="Lacus7" localSheetId="7">WW!$G$72</definedName>
    <definedName name="Lacus7">WC!$D$69</definedName>
    <definedName name="Lacus9">FA!$D$58</definedName>
    <definedName name="Lacust10" localSheetId="29">[2]FR!#REF!</definedName>
    <definedName name="Lacust10" localSheetId="27">[2]FR!#REF!</definedName>
    <definedName name="Lacust10" localSheetId="2">[1]FR!#REF!</definedName>
    <definedName name="Lacust10" localSheetId="28">[2]FR!#REF!</definedName>
    <definedName name="Lacust10" localSheetId="7">FR!#REF!</definedName>
    <definedName name="Lacust10">FR!#REF!</definedName>
    <definedName name="Lacust13" localSheetId="2">[1]WBN!$D$3</definedName>
    <definedName name="Lacust13">WBN!$D$77</definedName>
    <definedName name="Lake" localSheetId="29">#REF!</definedName>
    <definedName name="Lake" localSheetId="27">#REF!</definedName>
    <definedName name="Lake" localSheetId="2">#REF!</definedName>
    <definedName name="Lake" localSheetId="28">#REF!</definedName>
    <definedName name="Lake" localSheetId="7">#REF!</definedName>
    <definedName name="Lake">#REF!</definedName>
    <definedName name="Lake10">FR!$D$56</definedName>
    <definedName name="Lake10a" localSheetId="29">[2]FR!$G$56</definedName>
    <definedName name="Lake10a" localSheetId="27">[2]FR!$G$56</definedName>
    <definedName name="Lake10a" localSheetId="28">[2]FR!$G$56</definedName>
    <definedName name="Lake10a">FR!$G$56</definedName>
    <definedName name="Lake12" localSheetId="29">[2]WBF!$D$81</definedName>
    <definedName name="Lake12" localSheetId="27">[2]WBF!$D$81</definedName>
    <definedName name="Lake12" localSheetId="28">[2]WBF!$D$81</definedName>
    <definedName name="Lake12">WBF!$D$79</definedName>
    <definedName name="Lake3">PR!$D$49</definedName>
    <definedName name="Lake3a" localSheetId="29">[2]PR!$G$44</definedName>
    <definedName name="Lake3a" localSheetId="27">[2]PR!$G$44</definedName>
    <definedName name="Lake3a" localSheetId="28">[2]PR!$G$44</definedName>
    <definedName name="Lake3a">PR!$G$49</definedName>
    <definedName name="Lake9" localSheetId="29">[2]FA!$G$52</definedName>
    <definedName name="Lake9" localSheetId="27">[2]FA!$G$52</definedName>
    <definedName name="Lake9" localSheetId="28">[2]FA!$G$52</definedName>
    <definedName name="Lake9">FA!$G$58</definedName>
    <definedName name="LakeNear13" localSheetId="29">[2]WBN!$D$38</definedName>
    <definedName name="LakeNear13" localSheetId="27">[2]WBN!$D$38</definedName>
    <definedName name="LakeNear13" localSheetId="2">[1]WBN!$D$163</definedName>
    <definedName name="LakeNear13" localSheetId="28">[2]WBN!$D$38</definedName>
    <definedName name="LakeNear13">WBN!$D$31</definedName>
    <definedName name="LakeProx_S" localSheetId="29">[2]Sen!$G$58</definedName>
    <definedName name="LakeProx_S" localSheetId="27">[2]Sen!$G$58</definedName>
    <definedName name="LakeProx_S" localSheetId="2">[1]Sen!$G$153</definedName>
    <definedName name="LakeProx_S" localSheetId="28">[2]Sen!$G$58</definedName>
    <definedName name="LakeProx_S">Sen!$G$51</definedName>
    <definedName name="LakeProx13" localSheetId="29">[2]WBN!$G$37</definedName>
    <definedName name="LakeProx13" localSheetId="27">[2]WBN!$G$37</definedName>
    <definedName name="LakeProx13" localSheetId="2">[1]WBN!$G$162</definedName>
    <definedName name="LakeProx13" localSheetId="28">[2]WBN!$G$37</definedName>
    <definedName name="LakeProx13">WBN!$G$30</definedName>
    <definedName name="LakePU">PU!$G$27</definedName>
    <definedName name="LiveStore" localSheetId="29">[2]WS!$G$113</definedName>
    <definedName name="LiveStore" localSheetId="27">[2]WS!$G$113</definedName>
    <definedName name="LiveStore" localSheetId="28">[2]WS!$G$113</definedName>
    <definedName name="LiveStore">WS!$G$113</definedName>
    <definedName name="LiveStore2" localSheetId="29">[2]SR!$G$182</definedName>
    <definedName name="LiveStore2" localSheetId="27">[2]SR!$G$182</definedName>
    <definedName name="LiveStore2" localSheetId="28">[2]SR!$G$182</definedName>
    <definedName name="LiveStore2">SR!$G$183</definedName>
    <definedName name="lomarsh0" localSheetId="29">[2]POL!#REF!</definedName>
    <definedName name="lomarsh0" localSheetId="27">[2]POL!#REF!</definedName>
    <definedName name="lomarsh0" localSheetId="2">[1]POL!$G$3</definedName>
    <definedName name="lomarsh0" localSheetId="28">[2]POL!#REF!</definedName>
    <definedName name="lomarsh0" localSheetId="7">POL!#REF!</definedName>
    <definedName name="lomarsh0">POL!#REF!</definedName>
    <definedName name="LoMarsh2" localSheetId="29">[2]SR!#REF!</definedName>
    <definedName name="LoMarsh2" localSheetId="27">[2]SR!#REF!</definedName>
    <definedName name="LoMarsh2" localSheetId="2">[1]SR!$G$117</definedName>
    <definedName name="LoMarsh2" localSheetId="28">[2]SR!#REF!</definedName>
    <definedName name="LoMarsh2" localSheetId="7">SR!#REF!</definedName>
    <definedName name="LoMarsh2">SR!#REF!</definedName>
    <definedName name="LoMarsh6" localSheetId="29">[2]OE!#REF!</definedName>
    <definedName name="LoMarsh6" localSheetId="27">[2]OE!#REF!</definedName>
    <definedName name="LoMarsh6" localSheetId="2">[1]OE!$G$10</definedName>
    <definedName name="LoMarsh6" localSheetId="28">[2]OE!#REF!</definedName>
    <definedName name="LoMarsh6" localSheetId="7">OE!#REF!</definedName>
    <definedName name="LoMarsh6">OE!#REF!</definedName>
    <definedName name="LoMarsh8" localSheetId="29">[2]INV!#REF!</definedName>
    <definedName name="LoMarsh8" localSheetId="27">[2]INV!#REF!</definedName>
    <definedName name="LoMarsh8" localSheetId="2">[1]INV!$G$4</definedName>
    <definedName name="LoMarsh8" localSheetId="28">[2]INV!#REF!</definedName>
    <definedName name="LoMarsh8" localSheetId="7">INV!#REF!</definedName>
    <definedName name="LoMarsh8">INV!#REF!</definedName>
    <definedName name="LowMarsh1" localSheetId="29">[2]WS!#REF!</definedName>
    <definedName name="LowMarsh1" localSheetId="27">[2]WS!#REF!</definedName>
    <definedName name="LowMarsh1" localSheetId="2">[1]WS!$G$8</definedName>
    <definedName name="LowMarsh1" localSheetId="28">[2]WS!#REF!</definedName>
    <definedName name="LowMarsh1" localSheetId="7">WS!#REF!</definedName>
    <definedName name="LowMarsh1">WS!#REF!</definedName>
    <definedName name="LowMarsh10" localSheetId="29">[2]FR!#REF!</definedName>
    <definedName name="LowMarsh10" localSheetId="27">[2]FR!#REF!</definedName>
    <definedName name="LowMarsh10" localSheetId="28">[2]FR!#REF!</definedName>
    <definedName name="LowMarsh10" localSheetId="7">FR!#REF!</definedName>
    <definedName name="LowMarsh10">FR!#REF!</definedName>
    <definedName name="LowMarsh12" localSheetId="29">[2]WBF!#REF!</definedName>
    <definedName name="LowMarsh12" localSheetId="27">[2]WBF!#REF!</definedName>
    <definedName name="LowMarsh12" localSheetId="2">[1]WBF!$G$6</definedName>
    <definedName name="LowMarsh12" localSheetId="28">[2]WBF!#REF!</definedName>
    <definedName name="LowMarsh12" localSheetId="7">WBF!#REF!</definedName>
    <definedName name="LowMarsh12">WBF!#REF!</definedName>
    <definedName name="LowMarsh1all" localSheetId="29">[2]WS!#REF!</definedName>
    <definedName name="LowMarsh1all" localSheetId="27">[2]WS!#REF!</definedName>
    <definedName name="LowMarsh1all" localSheetId="2">[1]WS!$D$9</definedName>
    <definedName name="LowMarsh1all" localSheetId="28">[2]WS!#REF!</definedName>
    <definedName name="LowMarsh1all" localSheetId="7">WS!#REF!</definedName>
    <definedName name="LowMarsh1all">WS!#REF!</definedName>
    <definedName name="LowMarsh1gt50" localSheetId="29">[2]WS!#REF!</definedName>
    <definedName name="LowMarsh1gt50" localSheetId="27">[2]WS!#REF!</definedName>
    <definedName name="LowMarsh1gt50" localSheetId="2">[1]WS!$D$10</definedName>
    <definedName name="LowMarsh1gt50" localSheetId="28">[2]WS!#REF!</definedName>
    <definedName name="LowMarsh1gt50" localSheetId="7">WS!#REF!</definedName>
    <definedName name="LowMarsh1gt50">WS!#REF!</definedName>
    <definedName name="LowMarsh9" localSheetId="29">[2]FA!#REF!</definedName>
    <definedName name="LowMarsh9" localSheetId="27">[2]FA!#REF!</definedName>
    <definedName name="LowMarsh9" localSheetId="2">[1]FA!$G$8</definedName>
    <definedName name="LowMarsh9" localSheetId="28">[2]FA!#REF!</definedName>
    <definedName name="LowMarsh9" localSheetId="7">FA!#REF!</definedName>
    <definedName name="LowMarsh9">FA!#REF!</definedName>
    <definedName name="LowMarshAll14" localSheetId="29">[2]SBM!#REF!</definedName>
    <definedName name="LowMarshAll14" localSheetId="27">[2]SBM!#REF!</definedName>
    <definedName name="LowMarshAll14" localSheetId="2">[1]SBM!$D$4</definedName>
    <definedName name="LowMarshAll14" localSheetId="28">[2]SBM!#REF!</definedName>
    <definedName name="LowMarshAll14" localSheetId="7">SBM!#REF!</definedName>
    <definedName name="LowMarshAll14">SBM!#REF!</definedName>
    <definedName name="LowMarshPct14" localSheetId="29">[2]SBM!#REF!</definedName>
    <definedName name="LowMarshPct14" localSheetId="27">[2]SBM!#REF!</definedName>
    <definedName name="LowMarshPct14" localSheetId="2">[1]SBM!$G$3</definedName>
    <definedName name="LowMarshPct14" localSheetId="28">[2]SBM!#REF!</definedName>
    <definedName name="LowMarshPct14" localSheetId="7">SBM!#REF!</definedName>
    <definedName name="LowMarshPct14">SBM!#REF!</definedName>
    <definedName name="LowMarshPD" localSheetId="29">[2]PH!#REF!</definedName>
    <definedName name="LowMarshPD" localSheetId="27">[2]PH!#REF!</definedName>
    <definedName name="LowMarshPD" localSheetId="2">[1]PD!$G$3</definedName>
    <definedName name="LowMarshPD" localSheetId="28">[2]PH!#REF!</definedName>
    <definedName name="LowMarshPD" localSheetId="7">PH!#REF!</definedName>
    <definedName name="LowMarshPD">PH!#REF!</definedName>
    <definedName name="Lscape">PH!$G$245</definedName>
    <definedName name="Lscape11" localSheetId="29">[2]AM!$G$248</definedName>
    <definedName name="Lscape11" localSheetId="27">[2]AM!$G$248</definedName>
    <definedName name="Lscape11" localSheetId="28">[2]AM!$G$248</definedName>
    <definedName name="Lscape11">AM!$G$247</definedName>
    <definedName name="Lscape12" localSheetId="29">[2]WBF!$G$190</definedName>
    <definedName name="Lscape12" localSheetId="27">[2]WBF!$G$190</definedName>
    <definedName name="Lscape12" localSheetId="28">[2]WBF!$G$190</definedName>
    <definedName name="Lscape12">WBF!$G$190</definedName>
    <definedName name="Lscape13" localSheetId="29">[2]WBN!$G$213</definedName>
    <definedName name="Lscape13" localSheetId="27">[2]WBN!$G$213</definedName>
    <definedName name="Lscape13" localSheetId="28">[2]WBN!$G$213</definedName>
    <definedName name="Lscape13">WBN!$G$213</definedName>
    <definedName name="Lscape14" localSheetId="29">[2]SBM!$G$245</definedName>
    <definedName name="Lscape14" localSheetId="27">[2]SBM!$G$245</definedName>
    <definedName name="Lscape14" localSheetId="28">[2]SBM!$G$245</definedName>
    <definedName name="Lscape14">SBM!$G$246</definedName>
    <definedName name="Lscape8" localSheetId="29">[2]INV!$G$187</definedName>
    <definedName name="Lscape8" localSheetId="27">[2]INV!$G$187</definedName>
    <definedName name="Lscape8" localSheetId="28">[2]INV!$G$187</definedName>
    <definedName name="Lscape8">INV!$G$186</definedName>
    <definedName name="Lscape9" localSheetId="29">[2]FA!$G$159</definedName>
    <definedName name="Lscape9" localSheetId="27">[2]FA!$G$159</definedName>
    <definedName name="Lscape9" localSheetId="28">[2]FA!$G$159</definedName>
    <definedName name="Lscape9">FA!$G$165</definedName>
    <definedName name="LscapePD" localSheetId="29">[2]PH!$G$245</definedName>
    <definedName name="LscapePD" localSheetId="27">[2]PH!$G$245</definedName>
    <definedName name="LscapePD" localSheetId="28">[2]PH!$G$245</definedName>
    <definedName name="LscapePD">PH!$G$245</definedName>
    <definedName name="Mainland14" localSheetId="29">[2]SBM!$G$72</definedName>
    <definedName name="Mainland14" localSheetId="27">[2]SBM!$G$72</definedName>
    <definedName name="Mainland14" localSheetId="28">[2]SBM!$G$72</definedName>
    <definedName name="Mainland14">SBM!$G$65</definedName>
    <definedName name="MatureF" localSheetId="29">[2]Sen!#REF!</definedName>
    <definedName name="MatureF" localSheetId="27">[2]Sen!#REF!</definedName>
    <definedName name="MatureF" localSheetId="2">[1]Sen!$D$4</definedName>
    <definedName name="MatureF" localSheetId="28">[2]Sen!#REF!</definedName>
    <definedName name="MatureF" localSheetId="7">Sen!#REF!</definedName>
    <definedName name="MatureF">Sen!#REF!</definedName>
    <definedName name="MaxFluc2" localSheetId="29">[2]SR!$G$152</definedName>
    <definedName name="MaxFluc2" localSheetId="27">[2]SR!$G$152</definedName>
    <definedName name="MaxFluc2" localSheetId="2">[1]SR!$G$130</definedName>
    <definedName name="MaxFluc2" localSheetId="28">[2]SR!$G$152</definedName>
    <definedName name="MaxFluc2">SR!$G$153</definedName>
    <definedName name="Mesosaline11" localSheetId="29">[2]AM!#REF!</definedName>
    <definedName name="Mesosaline11" localSheetId="27">[2]AM!#REF!</definedName>
    <definedName name="Mesosaline11" localSheetId="2">[1]AM!#REF!</definedName>
    <definedName name="Mesosaline11" localSheetId="28">[2]AM!#REF!</definedName>
    <definedName name="Mesosaline11" localSheetId="7">AM!#REF!</definedName>
    <definedName name="Mesosaline11">AM!#REF!</definedName>
    <definedName name="MethLimit5" localSheetId="29">[2]CS!$G$142</definedName>
    <definedName name="MethLimit5" localSheetId="27">[2]CS!$G$142</definedName>
    <definedName name="MethLimit5" localSheetId="28">[2]CS!$G$142</definedName>
    <definedName name="MethLimit5">CS!$G$136</definedName>
    <definedName name="MinSIze13" localSheetId="29">[2]WBN!#REF!</definedName>
    <definedName name="MinSIze13" localSheetId="27">[2]WBN!#REF!</definedName>
    <definedName name="MinSIze13" localSheetId="2">[1]WBN!$D$73</definedName>
    <definedName name="MinSIze13" localSheetId="28">[2]WBN!#REF!</definedName>
    <definedName name="MinSIze13" localSheetId="7">WBN!#REF!</definedName>
    <definedName name="MinSIze13">WBN!#REF!</definedName>
    <definedName name="MitigaSite" localSheetId="29">[2]PU!$G$24</definedName>
    <definedName name="MitigaSite" localSheetId="27">[2]PU!$G$24</definedName>
    <definedName name="MitigaSite" localSheetId="2">[1]PU!$G$24</definedName>
    <definedName name="MitigaSite" localSheetId="28">[2]PU!$G$24</definedName>
    <definedName name="MitigaSite">PU!$G$24</definedName>
    <definedName name="MitSite" localSheetId="29">#REF!</definedName>
    <definedName name="MitSite" localSheetId="27">#REF!</definedName>
    <definedName name="MitSite" localSheetId="2">#REF!</definedName>
    <definedName name="MitSite" localSheetId="28">#REF!</definedName>
    <definedName name="MitSite" localSheetId="7">#REF!</definedName>
    <definedName name="MitSite">#REF!</definedName>
    <definedName name="MossCov5" localSheetId="29">[2]CS!$G$111</definedName>
    <definedName name="MossCov5" localSheetId="27">[2]CS!$G$111</definedName>
    <definedName name="MossCov5" localSheetId="28">[2]CS!$G$111</definedName>
    <definedName name="MossCov5">CS!$G$105</definedName>
    <definedName name="MossPD" localSheetId="29">[2]PH!$G$148</definedName>
    <definedName name="MossPD" localSheetId="27">[2]PH!$G$148</definedName>
    <definedName name="MossPD" localSheetId="28">[2]PH!$G$148</definedName>
    <definedName name="MossPD">PH!$G$141</definedName>
    <definedName name="Mudflat12" localSheetId="29">[2]WBF!$G$135</definedName>
    <definedName name="Mudflat12" localSheetId="27">[2]WBF!$G$135</definedName>
    <definedName name="Mudflat12" localSheetId="2">[1]WBF!$G$65</definedName>
    <definedName name="Mudflat12" localSheetId="28">[2]WBF!$G$135</definedName>
    <definedName name="Mudflat12">WBF!$G$128</definedName>
    <definedName name="NatCApct3" localSheetId="29">[2]PR!$G$156</definedName>
    <definedName name="NatCApct3" localSheetId="27">[2]PR!$G$156</definedName>
    <definedName name="NatCApct3" localSheetId="2">[1]PR!$G$150</definedName>
    <definedName name="NatCApct3" localSheetId="28">[2]PR!$G$156</definedName>
    <definedName name="NatCApct3">PR!$G$156</definedName>
    <definedName name="NatCov2mi11" localSheetId="29">[2]AM!$G$17</definedName>
    <definedName name="NatCov2mi11" localSheetId="27">[2]AM!$G$17</definedName>
    <definedName name="NatCov2mi11" localSheetId="28">[2]AM!$G$17</definedName>
    <definedName name="NatCov2mi11">AM!$G$17</definedName>
    <definedName name="natLCpct0" localSheetId="29">[2]POL!#REF!</definedName>
    <definedName name="natLCpct0" localSheetId="27">[2]POL!#REF!</definedName>
    <definedName name="natLCpct0" localSheetId="28">[2]POL!#REF!</definedName>
    <definedName name="natLCpct0">POL!#REF!</definedName>
    <definedName name="NatPctScape8" localSheetId="29">[2]INV!#REF!</definedName>
    <definedName name="NatPctScape8" localSheetId="27">[2]INV!#REF!</definedName>
    <definedName name="NatPctScape8" localSheetId="2">[1]INV!#REF!</definedName>
    <definedName name="NatPctScape8" localSheetId="28">[2]INV!#REF!</definedName>
    <definedName name="NatPctScape8" localSheetId="7">INV!#REF!</definedName>
    <definedName name="NatPctScape8">INV!#REF!</definedName>
    <definedName name="natvacres0" localSheetId="29">[2]POL!#REF!</definedName>
    <definedName name="natvacres0" localSheetId="27">[2]POL!#REF!</definedName>
    <definedName name="natvacres0" localSheetId="2">[1]POL!$G$89</definedName>
    <definedName name="natvacres0" localSheetId="28">[2]POL!#REF!</definedName>
    <definedName name="natvacres0">POL!#REF!</definedName>
    <definedName name="natveg0" localSheetId="29">[2]POL!#REF!</definedName>
    <definedName name="natveg0" localSheetId="27">[2]POL!#REF!</definedName>
    <definedName name="natveg0" localSheetId="2">[1]POL!$G$77</definedName>
    <definedName name="natveg0" localSheetId="28">[2]POL!#REF!</definedName>
    <definedName name="natveg0">POL!#REF!</definedName>
    <definedName name="NatVegBuffPD" localSheetId="29">[2]PH!#REF!</definedName>
    <definedName name="NatVegBuffPD" localSheetId="27">[2]PH!#REF!</definedName>
    <definedName name="NatVegBuffPD" localSheetId="2">[1]PD!#REF!</definedName>
    <definedName name="NatVegBuffPD" localSheetId="28">[2]PH!#REF!</definedName>
    <definedName name="NatVegBuffPD" localSheetId="7">PH!#REF!</definedName>
    <definedName name="NatVegBuffPD">PH!#REF!</definedName>
    <definedName name="NatVegCA" localSheetId="29">[2]STR!$G$35</definedName>
    <definedName name="NatVegCA" localSheetId="27">[2]STR!$G$35</definedName>
    <definedName name="NatVegCA" localSheetId="2">[1]STR!$G$40</definedName>
    <definedName name="NatVegCA" localSheetId="28">[2]STR!$G$35</definedName>
    <definedName name="NatVegCA">STR!$G$35</definedName>
    <definedName name="NatVegCApd" localSheetId="29">[2]PH!$G$179</definedName>
    <definedName name="NatVegCApd" localSheetId="27">[2]PH!$G$179</definedName>
    <definedName name="NatVegCApd" localSheetId="2">[1]PD!$G$135</definedName>
    <definedName name="NatVegCApd" localSheetId="28">[2]PH!$G$179</definedName>
    <definedName name="NatVegCApd">PH!$G$179</definedName>
    <definedName name="NatVegCUpct_S" localSheetId="29">[2]Sen!$G$222</definedName>
    <definedName name="NatVegCUpct_S" localSheetId="27">[2]Sen!$G$222</definedName>
    <definedName name="NatVegCUpct_S" localSheetId="2">[1]Sen!$G$116</definedName>
    <definedName name="NatVegCUpct_S" localSheetId="28">[2]Sen!$G$222</definedName>
    <definedName name="NatVegCUpct_S">Sen!$G$222</definedName>
    <definedName name="NatVegCUpct10" localSheetId="29">[2]FR!$G$119</definedName>
    <definedName name="NatVegCUpct10" localSheetId="27">[2]FR!$G$119</definedName>
    <definedName name="NatVegCUpct10" localSheetId="2">[1]FR!$G$97</definedName>
    <definedName name="NatVegCUpct10" localSheetId="28">[2]FR!$G$119</definedName>
    <definedName name="NatVegCUpct10">FR!$G$119</definedName>
    <definedName name="NatVegCUpct9" localSheetId="2">[1]FA!$G$93</definedName>
    <definedName name="NatVegCUpct9">FA!$G$121</definedName>
    <definedName name="NatVegPct11" localSheetId="29">[2]AM!$G$183</definedName>
    <definedName name="NatVegPct11" localSheetId="27">[2]AM!$G$183</definedName>
    <definedName name="NatVegPct11" localSheetId="2">[1]AM!$G$152</definedName>
    <definedName name="NatVegPct11" localSheetId="28">[2]AM!$G$183</definedName>
    <definedName name="NatVegPct11">AM!$G$182</definedName>
    <definedName name="NatVegPctCU8" localSheetId="29">[2]INV!$G$140</definedName>
    <definedName name="NatVegPctCU8" localSheetId="27">[2]INV!$G$140</definedName>
    <definedName name="NatVegPctCU8" localSheetId="2">[1]INV!$G$122</definedName>
    <definedName name="NatVegPctCU8" localSheetId="28">[2]INV!$G$140</definedName>
    <definedName name="NatVegPctCU8">INV!$G$140</definedName>
    <definedName name="NatVegPctScape_S" localSheetId="29">[2]Sen!#REF!</definedName>
    <definedName name="NatVegPctScape_S" localSheetId="27">[2]Sen!#REF!</definedName>
    <definedName name="NatVegPctScape_S" localSheetId="2">[1]Sen!#REF!</definedName>
    <definedName name="NatVegPctScape_S" localSheetId="28">[2]Sen!#REF!</definedName>
    <definedName name="NatVegPctScape_S" localSheetId="7">Sen!#REF!</definedName>
    <definedName name="NatVegPctScape_S">Sen!#REF!</definedName>
    <definedName name="NatVegPctScape14" localSheetId="29">[2]SBM!$G$23</definedName>
    <definedName name="NatVegPctScape14" localSheetId="27">[2]SBM!$G$23</definedName>
    <definedName name="NatVegPctScape14" localSheetId="2">[1]SBM!$G$133</definedName>
    <definedName name="NatVegPctScape14" localSheetId="28">[2]SBM!$G$23</definedName>
    <definedName name="NatVegPctScape14">SBM!$G$23</definedName>
    <definedName name="NatVegProx_S" localSheetId="29">[2]Sen!$G$3</definedName>
    <definedName name="NatVegProx_S" localSheetId="27">[2]Sen!$G$3</definedName>
    <definedName name="NatVegProx_S" localSheetId="2">[1]Sen!$G$127</definedName>
    <definedName name="NatVegProx_S" localSheetId="28">[2]Sen!$G$3</definedName>
    <definedName name="NatVegProx_S">Sen!$G$3</definedName>
    <definedName name="NatVegProx11" localSheetId="29">[2]AM!$G$11</definedName>
    <definedName name="NatVegProx11" localSheetId="27">[2]AM!$G$11</definedName>
    <definedName name="NatVegProx11" localSheetId="2">[1]AM!$G$188</definedName>
    <definedName name="NatVegProx11" localSheetId="28">[2]AM!$G$11</definedName>
    <definedName name="NatVegProx11">AM!$G$11</definedName>
    <definedName name="NatVegProx14" localSheetId="29">[2]SBM!$G$17</definedName>
    <definedName name="NatVegProx14" localSheetId="27">[2]SBM!$G$17</definedName>
    <definedName name="NatVegProx14" localSheetId="2">[1]SBM!$G$147</definedName>
    <definedName name="NatVegProx14" localSheetId="28">[2]SBM!$G$17</definedName>
    <definedName name="NatVegProx14">SBM!$G$17</definedName>
    <definedName name="NatVegProx8" localSheetId="29">[2]INV!#REF!</definedName>
    <definedName name="NatVegProx8" localSheetId="27">[2]INV!#REF!</definedName>
    <definedName name="NatVegProx8" localSheetId="2">[1]INV!#REF!</definedName>
    <definedName name="NatVegProx8" localSheetId="28">[2]INV!#REF!</definedName>
    <definedName name="NatVegProx8" localSheetId="7">INV!#REF!</definedName>
    <definedName name="NatVegProx8">INV!#REF!</definedName>
    <definedName name="NatVegSize_S" localSheetId="29">[2]Sen!$G$9</definedName>
    <definedName name="NatVegSize_S" localSheetId="27">[2]Sen!$G$9</definedName>
    <definedName name="NatVegSize_S" localSheetId="2">[1]Sen!$G$133</definedName>
    <definedName name="NatVegSize_S" localSheetId="28">[2]Sen!$G$9</definedName>
    <definedName name="NatVegSize_S">Sen!$G$9</definedName>
    <definedName name="NatVegSize11" localSheetId="29">[2]AM!$G$26</definedName>
    <definedName name="NatVegSize11" localSheetId="27">[2]AM!$G$26</definedName>
    <definedName name="NatVegSize11" localSheetId="2">[1]AM!$G$194</definedName>
    <definedName name="NatVegSize11" localSheetId="28">[2]AM!$G$26</definedName>
    <definedName name="NatVegSize11">AM!$G$26</definedName>
    <definedName name="NatVegSize14" localSheetId="29">[2]SBM!$G$32</definedName>
    <definedName name="NatVegSize14" localSheetId="27">[2]SBM!$G$32</definedName>
    <definedName name="NatVegSize14" localSheetId="2">[1]SBM!$G$153</definedName>
    <definedName name="NatVegSize14" localSheetId="28">[2]SBM!$G$32</definedName>
    <definedName name="NatVegSize14">SBM!$G$32</definedName>
    <definedName name="NatVegTractSize" localSheetId="29">[2]WBN!$G$10</definedName>
    <definedName name="NatVegTractSize" localSheetId="27">[2]WBN!$G$10</definedName>
    <definedName name="NatVegTractSize" localSheetId="2">[1]WBN!$G$142</definedName>
    <definedName name="NatVegTractSize" localSheetId="28">[2]WBN!$G$10</definedName>
    <definedName name="NatVegTractSize">WBN!$G$10</definedName>
    <definedName name="natvprox0" localSheetId="29">[2]POL!#REF!</definedName>
    <definedName name="natvprox0" localSheetId="27">[2]POL!#REF!</definedName>
    <definedName name="natvprox0" localSheetId="2">[1]POL!$G$83</definedName>
    <definedName name="natvprox0" localSheetId="28">[2]POL!#REF!</definedName>
    <definedName name="natvprox0">POL!#REF!</definedName>
    <definedName name="Navigable" localSheetId="29">#REF!</definedName>
    <definedName name="Navigable" localSheetId="27">#REF!</definedName>
    <definedName name="Navigable" localSheetId="2">#REF!</definedName>
    <definedName name="Navigable" localSheetId="28">#REF!</definedName>
    <definedName name="Navigable" localSheetId="7">#REF!</definedName>
    <definedName name="Navigable">#REF!</definedName>
    <definedName name="NestSites" localSheetId="29">[2]POL!$G$102</definedName>
    <definedName name="NestSites" localSheetId="27">[2]POL!$G$102</definedName>
    <definedName name="NestSites" localSheetId="28">[2]POL!$G$102</definedName>
    <definedName name="NestSites">POL!$G$102</definedName>
    <definedName name="NewWet" localSheetId="29">[2]NR!$G$147</definedName>
    <definedName name="NewWet" localSheetId="27">[2]NR!$G$147</definedName>
    <definedName name="NewWet" localSheetId="28">[2]NR!$G$147</definedName>
    <definedName name="NewWet">NR!$G$147</definedName>
    <definedName name="NewWet_S" localSheetId="29">[2]Sen!$G$233</definedName>
    <definedName name="NewWet_S" localSheetId="27">[2]Sen!$G$233</definedName>
    <definedName name="NewWet_S" localSheetId="28">[2]Sen!$G$233</definedName>
    <definedName name="NewWet_S">Sen!$G$233</definedName>
    <definedName name="NewWet10" localSheetId="29">[2]FR!#REF!</definedName>
    <definedName name="NewWet10" localSheetId="27">[2]FR!#REF!</definedName>
    <definedName name="NewWet10" localSheetId="28">[2]FR!#REF!</definedName>
    <definedName name="NewWet10">FR!#REF!</definedName>
    <definedName name="NewWet11" localSheetId="29">[2]AM!#REF!</definedName>
    <definedName name="NewWet11" localSheetId="27">[2]AM!#REF!</definedName>
    <definedName name="NewWet11" localSheetId="28">[2]AM!#REF!</definedName>
    <definedName name="NewWet11">AM!#REF!</definedName>
    <definedName name="NewWet12" localSheetId="29">[2]WBF!#REF!</definedName>
    <definedName name="NewWet12" localSheetId="27">[2]WBF!#REF!</definedName>
    <definedName name="NewWet12" localSheetId="28">[2]WBF!#REF!</definedName>
    <definedName name="NewWet12">WBF!#REF!</definedName>
    <definedName name="NewWet2a" localSheetId="29">[2]SR!$G$174</definedName>
    <definedName name="NewWet2a" localSheetId="27">[2]SR!$G$174</definedName>
    <definedName name="NewWet2a" localSheetId="28">[2]SR!$G$174</definedName>
    <definedName name="NewWet2a">SR!$G$175</definedName>
    <definedName name="NewWet3" localSheetId="29">[2]PR!$G$167</definedName>
    <definedName name="NewWet3" localSheetId="27">[2]PR!$G$167</definedName>
    <definedName name="NewWet3" localSheetId="28">[2]PR!$G$167</definedName>
    <definedName name="NewWet3">PR!$G$167</definedName>
    <definedName name="NewWet5" localSheetId="29">[2]CS!$G$129</definedName>
    <definedName name="NewWet5" localSheetId="27">[2]CS!$G$129</definedName>
    <definedName name="NewWet5" localSheetId="28">[2]CS!$G$129</definedName>
    <definedName name="NewWet5">CS!$G$123</definedName>
    <definedName name="NewWet6" localSheetId="29">[2]OE!$G$147</definedName>
    <definedName name="NewWet6" localSheetId="27">[2]OE!$G$147</definedName>
    <definedName name="NewWet6" localSheetId="28">[2]OE!$G$147</definedName>
    <definedName name="NewWet6">OE!$G$133</definedName>
    <definedName name="NewWet8" localSheetId="29">[2]INV!#REF!</definedName>
    <definedName name="NewWet8" localSheetId="27">[2]INV!#REF!</definedName>
    <definedName name="NewWet8" localSheetId="28">[2]INV!#REF!</definedName>
    <definedName name="NewWet8">INV!#REF!</definedName>
    <definedName name="NewWetNot" localSheetId="29">[2]OF!#REF!</definedName>
    <definedName name="NewWetNot" localSheetId="27">[2]OF!#REF!</definedName>
    <definedName name="NewWetNot" localSheetId="28">[2]OF!#REF!</definedName>
    <definedName name="NewWetNot">OF!#REF!</definedName>
    <definedName name="NewWetNot6" localSheetId="29">[2]OE!$D$148</definedName>
    <definedName name="NewWetNot6" localSheetId="27">[2]OE!$D$148</definedName>
    <definedName name="NewWetNot6" localSheetId="28">[2]OE!$D$148</definedName>
    <definedName name="NewWetNot6">OE!$D$134</definedName>
    <definedName name="NewWetPD" localSheetId="29">[2]PH!$G$188</definedName>
    <definedName name="NewWetPD" localSheetId="27">[2]PH!$G$188</definedName>
    <definedName name="NewWetPD" localSheetId="28">[2]PH!$G$188</definedName>
    <definedName name="NewWetPD">PH!$G$188</definedName>
    <definedName name="Nfix10" localSheetId="29">[2]FR!$G$113</definedName>
    <definedName name="Nfix10" localSheetId="27">[2]FR!$G$113</definedName>
    <definedName name="Nfix10" localSheetId="28">[2]FR!$G$113</definedName>
    <definedName name="Nfix10">FR!$G$113</definedName>
    <definedName name="Nfix14" localSheetId="29">[2]SBM!$G$162</definedName>
    <definedName name="Nfix14" localSheetId="27">[2]SBM!$G$162</definedName>
    <definedName name="Nfix14" localSheetId="28">[2]SBM!$G$162</definedName>
    <definedName name="Nfix14">SBM!$G$156</definedName>
    <definedName name="Nfix4" localSheetId="29">[2]NR!$G$196</definedName>
    <definedName name="Nfix4" localSheetId="27">[2]NR!$G$196</definedName>
    <definedName name="Nfix4" localSheetId="28">[2]NR!$G$196</definedName>
    <definedName name="Nfix4">NR!$G$196</definedName>
    <definedName name="Nfix5" localSheetId="29">[2]CS!#REF!</definedName>
    <definedName name="Nfix5" localSheetId="27">[2]CS!#REF!</definedName>
    <definedName name="Nfix5" localSheetId="28">[2]CS!#REF!</definedName>
    <definedName name="Nfix5">CS!#REF!</definedName>
    <definedName name="Nfix9" localSheetId="29">[2]FA!$G$109</definedName>
    <definedName name="Nfix9" localSheetId="27">[2]FA!$G$109</definedName>
    <definedName name="Nfix9" localSheetId="28">[2]FA!$G$109</definedName>
    <definedName name="Nfix9">FA!$G$115</definedName>
    <definedName name="Nfixer4" localSheetId="29">[2]NR!#REF!</definedName>
    <definedName name="Nfixer4" localSheetId="27">[2]NR!#REF!</definedName>
    <definedName name="Nfixer4" localSheetId="2">[1]NR!#REF!</definedName>
    <definedName name="Nfixer4" localSheetId="28">[2]NR!#REF!</definedName>
    <definedName name="Nfixer4" localSheetId="7">NR!#REF!</definedName>
    <definedName name="Nfixer4">NR!#REF!</definedName>
    <definedName name="Nfixer5" localSheetId="29">[2]CS!#REF!</definedName>
    <definedName name="Nfixer5" localSheetId="27">[2]CS!#REF!</definedName>
    <definedName name="Nfixer5" localSheetId="2">[1]CS!#REF!</definedName>
    <definedName name="Nfixer5" localSheetId="28">[2]CS!#REF!</definedName>
    <definedName name="Nfixer5" localSheetId="7">CS!#REF!</definedName>
    <definedName name="Nfixer5">CS!#REF!</definedName>
    <definedName name="Nfixer6" localSheetId="29">[2]OE!$G$129</definedName>
    <definedName name="Nfixer6" localSheetId="27">[2]OE!$G$129</definedName>
    <definedName name="Nfixer6" localSheetId="2">[1]OE!$G$79</definedName>
    <definedName name="Nfixer6" localSheetId="28">[2]OE!$G$129</definedName>
    <definedName name="Nfixer6">OE!$G$115</definedName>
    <definedName name="Nfixers8" localSheetId="29">[2]INV!$G$122</definedName>
    <definedName name="Nfixers8" localSheetId="27">[2]INV!$G$122</definedName>
    <definedName name="Nfixers8" localSheetId="2">[1]INV!$G$94</definedName>
    <definedName name="Nfixers8" localSheetId="28">[2]INV!$G$122</definedName>
    <definedName name="Nfixers8">INV!$G$122</definedName>
    <definedName name="NfixPD" localSheetId="29">[2]PH!$G$142</definedName>
    <definedName name="NfixPD" localSheetId="27">[2]PH!$G$142</definedName>
    <definedName name="NfixPD" localSheetId="28">[2]PH!$G$142</definedName>
    <definedName name="NfixPD">PH!$G$135</definedName>
    <definedName name="NfixS" localSheetId="29">[2]Sen!$G$196</definedName>
    <definedName name="NfixS" localSheetId="27">[2]Sen!$G$196</definedName>
    <definedName name="NfixS" localSheetId="28">[2]Sen!$G$196</definedName>
    <definedName name="NfixS">Sen!$G$189</definedName>
    <definedName name="Nload4" localSheetId="29">[2]NR!#REF!</definedName>
    <definedName name="Nload4" localSheetId="27">[2]NR!#REF!</definedName>
    <definedName name="Nload4" localSheetId="2">[1]NR!#REF!</definedName>
    <definedName name="Nload4" localSheetId="28">[2]NR!#REF!</definedName>
    <definedName name="Nload4" localSheetId="7">NR!#REF!</definedName>
    <definedName name="Nload4">NR!#REF!</definedName>
    <definedName name="nnativ11" localSheetId="29">[2]AM!#REF!</definedName>
    <definedName name="nnativ11" localSheetId="27">[2]AM!#REF!</definedName>
    <definedName name="nnativ11" localSheetId="2">[1]AM!$G$121</definedName>
    <definedName name="nnativ11" localSheetId="28">[2]AM!#REF!</definedName>
    <definedName name="nnativ11" localSheetId="7">AM!#REF!</definedName>
    <definedName name="nnativ11">AM!#REF!</definedName>
    <definedName name="NNfish" localSheetId="29">[2]FR!#REF!</definedName>
    <definedName name="NNfish" localSheetId="27">[2]FR!#REF!</definedName>
    <definedName name="NNfish" localSheetId="2">[1]FR!$G$85</definedName>
    <definedName name="NNfish" localSheetId="28">[2]FR!#REF!</definedName>
    <definedName name="NNfish" localSheetId="7">FR!#REF!</definedName>
    <definedName name="NNfish">FR!#REF!</definedName>
    <definedName name="NNfish9" localSheetId="29">[2]FA!#REF!</definedName>
    <definedName name="NNfish9" localSheetId="27">[2]FA!#REF!</definedName>
    <definedName name="NNfish9" localSheetId="2">[1]FA!$G$82</definedName>
    <definedName name="NNfish9" localSheetId="28">[2]FA!#REF!</definedName>
    <definedName name="NNfish9" localSheetId="7">FA!#REF!</definedName>
    <definedName name="NNfish9">FA!#REF!</definedName>
    <definedName name="NoAccess9" localSheetId="29">[2]FA!#REF!</definedName>
    <definedName name="NoAccess9" localSheetId="27">[2]FA!#REF!</definedName>
    <definedName name="NoAccess9" localSheetId="2">[1]FA!#REF!</definedName>
    <definedName name="NoAccess9" localSheetId="28">[2]FA!#REF!</definedName>
    <definedName name="NoAccess9" localSheetId="7">FA!#REF!</definedName>
    <definedName name="NoAccess9">FA!#REF!</definedName>
    <definedName name="NoCA">OF!$D$156</definedName>
    <definedName name="NoDeer">PH!$D$56</definedName>
    <definedName name="NoDeerPD" localSheetId="29">[2]PH!#REF!</definedName>
    <definedName name="NoDeerPD" localSheetId="27">[2]PH!#REF!</definedName>
    <definedName name="NoDeerPD" localSheetId="28">[2]PH!#REF!</definedName>
    <definedName name="NoDeerPD">PH!#REF!</definedName>
    <definedName name="NoDrainage" localSheetId="29">[2]WS!#REF!</definedName>
    <definedName name="NoDrainage" localSheetId="27">[2]WS!#REF!</definedName>
    <definedName name="NoDrainage" localSheetId="2">[1]WS!$G$72</definedName>
    <definedName name="NoDrainage" localSheetId="28">[2]WS!#REF!</definedName>
    <definedName name="NoDrainage" localSheetId="7">WS!#REF!</definedName>
    <definedName name="NoDrainage">WS!#REF!</definedName>
    <definedName name="NoEmPct" localSheetId="29">[2]EC!#REF!</definedName>
    <definedName name="NoEmPct" localSheetId="27">[2]EC!#REF!</definedName>
    <definedName name="NoEmPct" localSheetId="28">[2]EC!#REF!</definedName>
    <definedName name="NoEmPct">EC!#REF!</definedName>
    <definedName name="NoFreezeFR" localSheetId="2">[1]FR!$G$88</definedName>
    <definedName name="NoFreezeFR">FR!$G$90</definedName>
    <definedName name="NoHerb_S" localSheetId="29">[2]Sen!#REF!</definedName>
    <definedName name="NoHerb_S" localSheetId="27">[2]Sen!#REF!</definedName>
    <definedName name="NoHerb_S" localSheetId="28">[2]Sen!#REF!</definedName>
    <definedName name="NoHerb_S">Sen!#REF!</definedName>
    <definedName name="NoHerbCov" localSheetId="29">[2]F!$D$223</definedName>
    <definedName name="NoHerbCov" localSheetId="27">[2]F!$D$223</definedName>
    <definedName name="NoHerbCov" localSheetId="28">[2]F!$D$223</definedName>
    <definedName name="NoHerbCov">F!$D$227</definedName>
    <definedName name="NoInflo" localSheetId="29">[2]Sen!#REF!</definedName>
    <definedName name="NoInflo" localSheetId="27">[2]Sen!#REF!</definedName>
    <definedName name="NoInflo" localSheetId="28">[2]Sen!#REF!</definedName>
    <definedName name="NoInflo" localSheetId="7">Sen!#REF!</definedName>
    <definedName name="NoInflo">Sen!#REF!</definedName>
    <definedName name="NonHydric6" localSheetId="2">[1]OE!$G$117</definedName>
    <definedName name="NonHydric6">OE!$G$133</definedName>
    <definedName name="NonNatvAnim" localSheetId="29">#REF!</definedName>
    <definedName name="NonNatvAnim" localSheetId="27">#REF!</definedName>
    <definedName name="NonNatvAnim" localSheetId="2">#REF!</definedName>
    <definedName name="NonNatvAnim" localSheetId="28">#REF!</definedName>
    <definedName name="NonNatvAnim" localSheetId="7">#REF!</definedName>
    <definedName name="NonNatvAnim">#REF!</definedName>
    <definedName name="NoOpenPonded" localSheetId="29">[2]F!$D$72</definedName>
    <definedName name="NoOpenPonded" localSheetId="27">[2]F!$D$72</definedName>
    <definedName name="NoOpenPonded" localSheetId="28">[2]F!$D$72</definedName>
    <definedName name="NoOpenPonded">F!$D$80</definedName>
    <definedName name="NoOpenPonded1" localSheetId="29">[2]F!$D$73</definedName>
    <definedName name="NoOpenPonded1" localSheetId="27">[2]F!$D$73</definedName>
    <definedName name="NoOpenPonded1" localSheetId="28">[2]F!$D$73</definedName>
    <definedName name="NoOpenPonded1">F!$D$81</definedName>
    <definedName name="NoOut_S" localSheetId="2">[1]Sen!$D$33</definedName>
    <definedName name="NoOut_S">Sen!$D$161</definedName>
    <definedName name="NoOut3" localSheetId="29">[2]PR!#REF!</definedName>
    <definedName name="NoOut3" localSheetId="27">[2]PR!#REF!</definedName>
    <definedName name="NoOut3" localSheetId="28">[2]PR!#REF!</definedName>
    <definedName name="NoOut3">PR!#REF!</definedName>
    <definedName name="NoOutlet1" localSheetId="2">[1]WS!$D$52</definedName>
    <definedName name="NoOutlet1">WS!$D$67</definedName>
    <definedName name="NoOutlet10" localSheetId="2">[1]FR!$D$63</definedName>
    <definedName name="NoOutlet10">FR!$D$108</definedName>
    <definedName name="NoOutlet2" localSheetId="29">[2]SR!$D$90</definedName>
    <definedName name="NoOutlet2" localSheetId="27">[2]SR!$D$90</definedName>
    <definedName name="NoOutlet2" localSheetId="2">[1]SR!$D$40</definedName>
    <definedName name="NoOutlet2" localSheetId="28">[2]SR!$D$90</definedName>
    <definedName name="NoOutlet2">SR!$D$95</definedName>
    <definedName name="NoOutlet3" localSheetId="29">[2]PR!$D$87</definedName>
    <definedName name="NoOutlet3" localSheetId="27">[2]PR!$D$87</definedName>
    <definedName name="NoOutlet3" localSheetId="2">[1]PR!$D$57</definedName>
    <definedName name="NoOutlet3" localSheetId="28">[2]PR!$D$87</definedName>
    <definedName name="NoOutlet3">PR!$D$92</definedName>
    <definedName name="NoOutlet4" localSheetId="29">[2]NR!$D$107</definedName>
    <definedName name="NoOutlet4" localSheetId="27">[2]NR!$D$107</definedName>
    <definedName name="NoOutlet4" localSheetId="2">[1]NR!$D$53</definedName>
    <definedName name="NoOutlet4" localSheetId="28">[2]NR!$D$107</definedName>
    <definedName name="NoOutlet4">NR!$D$112</definedName>
    <definedName name="NoOutlet5">CS!$D$75</definedName>
    <definedName name="NoOutlet6" localSheetId="29">[2]OE!$D$103</definedName>
    <definedName name="NoOutlet6" localSheetId="27">[2]OE!$D$103</definedName>
    <definedName name="NoOutlet6" localSheetId="2">[1]OE!$D$59</definedName>
    <definedName name="NoOutlet6" localSheetId="28">[2]OE!$D$103</definedName>
    <definedName name="NoOutlet6">OE!$D$94</definedName>
    <definedName name="NoOutlet7" localSheetId="29">[2]WC!#REF!</definedName>
    <definedName name="NoOutlet7" localSheetId="27">[2]WC!#REF!</definedName>
    <definedName name="NoOutlet7" localSheetId="2">[1]T!$D$28</definedName>
    <definedName name="NoOutlet7" localSheetId="28">[2]WC!#REF!</definedName>
    <definedName name="NoOutlet7" localSheetId="7">WW!#REF!</definedName>
    <definedName name="NoOutlet7">WC!#REF!</definedName>
    <definedName name="NoPerm10" localSheetId="29">[2]FR!#REF!</definedName>
    <definedName name="NoPerm10" localSheetId="27">[2]FR!#REF!</definedName>
    <definedName name="NoPerm10" localSheetId="2">[1]FR!$D$22</definedName>
    <definedName name="NoPerm10" localSheetId="28">[2]FR!#REF!</definedName>
    <definedName name="NoPerm10" localSheetId="7">FR!#REF!</definedName>
    <definedName name="NoPerm10">FR!#REF!</definedName>
    <definedName name="NoPermW10" localSheetId="29">[2]FR!$D$55</definedName>
    <definedName name="NoPermW10" localSheetId="27">[2]FR!$D$55</definedName>
    <definedName name="NoPermW10" localSheetId="2">[1]FR!$D$35</definedName>
    <definedName name="NoPermW10" localSheetId="28">[2]FR!$D$55</definedName>
    <definedName name="NoPermW10">FR!$D$55</definedName>
    <definedName name="NoPersis" localSheetId="29">[2]F!$D$21</definedName>
    <definedName name="NoPersis" localSheetId="27">[2]F!$D$21</definedName>
    <definedName name="NoPersis" localSheetId="28">[2]F!$D$21</definedName>
    <definedName name="NoPersis">F!$D$19</definedName>
    <definedName name="NoPonded" localSheetId="29">[2]F!$D$64</definedName>
    <definedName name="NoPonded" localSheetId="27">[2]F!$D$64</definedName>
    <definedName name="NoPonded" localSheetId="28">[2]F!$D$64</definedName>
    <definedName name="NoPonded">F!$D$72</definedName>
    <definedName name="NormalSeasW" localSheetId="29">[2]PH!#REF!</definedName>
    <definedName name="NormalSeasW" localSheetId="27">[2]PH!#REF!</definedName>
    <definedName name="NormalSeasW" localSheetId="2">[1]PD!$G$33</definedName>
    <definedName name="NormalSeasW" localSheetId="28">[2]PH!#REF!</definedName>
    <definedName name="NormalSeasW" localSheetId="7">PH!#REF!</definedName>
    <definedName name="NormalSeasW">PH!#REF!</definedName>
    <definedName name="NoSAV" localSheetId="29">[2]Sen!#REF!</definedName>
    <definedName name="NoSAV" localSheetId="27">[2]Sen!#REF!</definedName>
    <definedName name="NoSAV" localSheetId="28">[2]Sen!#REF!</definedName>
    <definedName name="NoSAV">Sen!#REF!</definedName>
    <definedName name="NoScum_C" localSheetId="29">[2]EC!#REF!</definedName>
    <definedName name="NoScum_C" localSheetId="27">[2]EC!#REF!</definedName>
    <definedName name="NoScum_C" localSheetId="28">[2]EC!#REF!</definedName>
    <definedName name="NoScum_C" localSheetId="7">EC!#REF!</definedName>
    <definedName name="NoScum_C">EC!#REF!</definedName>
    <definedName name="NoScum15" localSheetId="29">[2]PH!#REF!</definedName>
    <definedName name="NoScum15" localSheetId="27">[2]PH!#REF!</definedName>
    <definedName name="NoScum15" localSheetId="28">[2]PH!#REF!</definedName>
    <definedName name="NoScum15" localSheetId="7">PH!#REF!</definedName>
    <definedName name="NoScum15">PH!#REF!</definedName>
    <definedName name="NoScumPD" localSheetId="29">[2]PH!#REF!</definedName>
    <definedName name="NoScumPD" localSheetId="27">[2]PH!#REF!</definedName>
    <definedName name="NoScumPD" localSheetId="2">[1]PD!$G$43</definedName>
    <definedName name="NoScumPD" localSheetId="28">[2]PH!#REF!</definedName>
    <definedName name="NoScumPD" localSheetId="7">PH!#REF!</definedName>
    <definedName name="NoScumPD">PH!#REF!</definedName>
    <definedName name="NoSeasonal" localSheetId="29">[2]F!$D$30</definedName>
    <definedName name="NoSeasonal" localSheetId="27">[2]F!$D$30</definedName>
    <definedName name="NoSeasonal" localSheetId="28">[2]F!$D$30</definedName>
    <definedName name="NoSeasonal">F!$D$34</definedName>
    <definedName name="NoShrub" localSheetId="29">[2]F!$D$157</definedName>
    <definedName name="NoShrub" localSheetId="27">[2]F!$D$157</definedName>
    <definedName name="NoShrub" localSheetId="28">[2]F!$D$157</definedName>
    <definedName name="NoShrub">F!$D$169</definedName>
    <definedName name="NotCreated" localSheetId="29">[2]NR!#REF!</definedName>
    <definedName name="NotCreated" localSheetId="27">[2]NR!#REF!</definedName>
    <definedName name="NotCreated" localSheetId="2">[1]NR!$G$102</definedName>
    <definedName name="NotCreated" localSheetId="28">[2]NR!#REF!</definedName>
    <definedName name="NotCreated" localSheetId="7">NR!#REF!</definedName>
    <definedName name="NotCreated">NR!#REF!</definedName>
    <definedName name="NotFen5">CS!$G$20</definedName>
    <definedName name="NotLogged5" localSheetId="29">[2]CS!#REF!</definedName>
    <definedName name="NotLogged5" localSheetId="27">[2]CS!#REF!</definedName>
    <definedName name="NotLogged5" localSheetId="28">[2]CS!#REF!</definedName>
    <definedName name="NotLogged5">CS!#REF!</definedName>
    <definedName name="NotNewWet" localSheetId="29">[2]CS!$D$130</definedName>
    <definedName name="NotNewWet" localSheetId="27">[2]CS!$D$130</definedName>
    <definedName name="NotNewWet" localSheetId="28">[2]CS!$D$130</definedName>
    <definedName name="NotNewWet">CS!$D$124</definedName>
    <definedName name="NoTrees" localSheetId="29">[2]F!$D$129</definedName>
    <definedName name="NoTrees" localSheetId="27">[2]F!$D$129</definedName>
    <definedName name="NoTrees" localSheetId="28">[2]F!$D$129</definedName>
    <definedName name="NoTrees">F!$D$141</definedName>
    <definedName name="NoWat3" localSheetId="29">[2]PR!#REF!</definedName>
    <definedName name="NoWat3" localSheetId="27">[2]PR!#REF!</definedName>
    <definedName name="NoWat3" localSheetId="28">[2]PR!#REF!</definedName>
    <definedName name="NoWat3">PR!#REF!</definedName>
    <definedName name="NoWater1" localSheetId="29">[2]WS!#REF!</definedName>
    <definedName name="NoWater1" localSheetId="27">[2]WS!#REF!</definedName>
    <definedName name="NoWater1" localSheetId="2">[1]WS!#REF!</definedName>
    <definedName name="NoWater1" localSheetId="28">[2]WS!#REF!</definedName>
    <definedName name="NoWater1">WS!#REF!</definedName>
    <definedName name="NoWater3" localSheetId="2">[1]PR!$D$19</definedName>
    <definedName name="NoWater3">PR!$D$35</definedName>
    <definedName name="NoWater4" localSheetId="29">[2]NR!#REF!</definedName>
    <definedName name="NoWater4" localSheetId="27">[2]NR!#REF!</definedName>
    <definedName name="NoWater4" localSheetId="2">[1]NR!#REF!</definedName>
    <definedName name="NoWater4" localSheetId="28">[2]NR!#REF!</definedName>
    <definedName name="NoWater4" localSheetId="7">NR!#REF!</definedName>
    <definedName name="NoWater4">NR!#REF!</definedName>
    <definedName name="NoWater4a" localSheetId="2">[1]NR!$D$9</definedName>
    <definedName name="NoWater4a">NR!$D$50</definedName>
    <definedName name="NoWoody" localSheetId="2">[1]CQ!$G$49</definedName>
    <definedName name="NoWoody" localSheetId="7">EC!#REF!</definedName>
    <definedName name="NoWoody">F!#REF!</definedName>
    <definedName name="NoWoody_S" localSheetId="29">[2]Sen!#REF!</definedName>
    <definedName name="NoWoody_S" localSheetId="27">[2]Sen!#REF!</definedName>
    <definedName name="NoWoody_S" localSheetId="28">[2]Sen!#REF!</definedName>
    <definedName name="NoWoody_S">Sen!#REF!</definedName>
    <definedName name="NoWoodyVeg" localSheetId="29">[2]F!$D$123</definedName>
    <definedName name="NoWoodyVeg" localSheetId="27">[2]F!$D$123</definedName>
    <definedName name="NoWoodyVeg" localSheetId="28">[2]F!$D$123</definedName>
    <definedName name="NoWoodyVeg">F!$D$135</definedName>
    <definedName name="NprobUp4" localSheetId="29">[2]NR!#REF!</definedName>
    <definedName name="NprobUp4" localSheetId="27">[2]NR!#REF!</definedName>
    <definedName name="NprobUp4" localSheetId="2">[1]NR!$D$129</definedName>
    <definedName name="NprobUp4" localSheetId="28">[2]NR!#REF!</definedName>
    <definedName name="NprobUp4">NR!#REF!</definedName>
    <definedName name="Nrank4" localSheetId="29">[2]NR!#REF!</definedName>
    <definedName name="Nrank4" localSheetId="27">[2]NR!#REF!</definedName>
    <definedName name="Nrank4" localSheetId="2">[1]NR!$G$142</definedName>
    <definedName name="Nrank4" localSheetId="28">[2]NR!#REF!</definedName>
    <definedName name="Nrank4" localSheetId="7">NR!#REF!</definedName>
    <definedName name="Nrank4">NR!#REF!</definedName>
    <definedName name="NRE3a" localSheetId="29">[2]NR!#REF!</definedName>
    <definedName name="NRE3a" localSheetId="27">[2]NR!#REF!</definedName>
    <definedName name="NRE3a" localSheetId="2">[1]NR!$G$168</definedName>
    <definedName name="NRE3a" localSheetId="28">[2]NR!#REF!</definedName>
    <definedName name="NRE3a" localSheetId="7">NR!#REF!</definedName>
    <definedName name="NRE3a">NR!#REF!</definedName>
    <definedName name="Nsource4" localSheetId="29">[2]NR!$G$220</definedName>
    <definedName name="Nsource4" localSheetId="27">[2]NR!$G$220</definedName>
    <definedName name="Nsource4" localSheetId="2">[1]NR!$G$147</definedName>
    <definedName name="Nsource4" localSheetId="28">[2]NR!$G$220</definedName>
    <definedName name="Nsource4">NR!$G$220</definedName>
    <definedName name="NtidalJux12" localSheetId="29">[2]WBF!#REF!</definedName>
    <definedName name="NtidalJux12" localSheetId="27">[2]WBF!#REF!</definedName>
    <definedName name="NtidalJux12" localSheetId="2">[1]WBF!$G$12</definedName>
    <definedName name="NtidalJux12" localSheetId="28">[2]WBF!#REF!</definedName>
    <definedName name="NtidalJux12" localSheetId="7">WBF!#REF!</definedName>
    <definedName name="NtidalJux12">WBF!#REF!</definedName>
    <definedName name="NtidalJux14" localSheetId="29">[2]SBM!#REF!</definedName>
    <definedName name="NtidalJux14" localSheetId="27">[2]SBM!#REF!</definedName>
    <definedName name="NtidalJux14" localSheetId="2">[1]SBM!$G$9</definedName>
    <definedName name="NtidalJux14" localSheetId="28">[2]SBM!#REF!</definedName>
    <definedName name="NtidalJux14" localSheetId="7">SBM!#REF!</definedName>
    <definedName name="NtidalJux14">SBM!#REF!</definedName>
    <definedName name="NtidalProx9" localSheetId="29">[2]FA!#REF!</definedName>
    <definedName name="NtidalProx9" localSheetId="27">[2]FA!#REF!</definedName>
    <definedName name="NtidalProx9" localSheetId="2">[1]FA!$G$14</definedName>
    <definedName name="NtidalProx9" localSheetId="28">[2]FA!#REF!</definedName>
    <definedName name="NtidalProx9" localSheetId="7">FA!#REF!</definedName>
    <definedName name="NtidalProx9">FA!#REF!</definedName>
    <definedName name="NutrAvail5" localSheetId="29">[2]CS!#REF!</definedName>
    <definedName name="NutrAvail5" localSheetId="27">[2]CS!#REF!</definedName>
    <definedName name="NutrAvail5" localSheetId="28">[2]CS!#REF!</definedName>
    <definedName name="NutrAvail5">CS!#REF!</definedName>
    <definedName name="NutrAvail6" localSheetId="29">[2]OE!$G$159</definedName>
    <definedName name="NutrAvail6" localSheetId="27">[2]OE!$G$159</definedName>
    <definedName name="NutrAvail6" localSheetId="28">[2]OE!$G$159</definedName>
    <definedName name="NutrAvail6">OE!$G$161</definedName>
    <definedName name="Nutrients15" localSheetId="29">[2]PH!#REF!</definedName>
    <definedName name="Nutrients15" localSheetId="27">[2]PH!#REF!</definedName>
    <definedName name="Nutrients15" localSheetId="28">[2]PH!#REF!</definedName>
    <definedName name="Nutrients15">PH!#REF!</definedName>
    <definedName name="NutrIn20" localSheetId="29">[2]PH!#REF!</definedName>
    <definedName name="NutrIn20" localSheetId="27">[2]PH!#REF!</definedName>
    <definedName name="NutrIn20" localSheetId="28">[2]PH!#REF!</definedName>
    <definedName name="NutrIn20">PH!#REF!</definedName>
    <definedName name="NutrIn8" localSheetId="29">[2]INV!#REF!</definedName>
    <definedName name="NutrIn8" localSheetId="27">[2]INV!#REF!</definedName>
    <definedName name="NutrIn8" localSheetId="2">[1]INV!$G$139</definedName>
    <definedName name="NutrIn8" localSheetId="28">[2]INV!#REF!</definedName>
    <definedName name="NutrIn8">INV!#REF!</definedName>
    <definedName name="NutrIn9" localSheetId="29">[2]FA!$G$125</definedName>
    <definedName name="NutrIn9" localSheetId="27">[2]FA!$G$125</definedName>
    <definedName name="NutrIn9" localSheetId="2">[1]FA!$G$118</definedName>
    <definedName name="NutrIn9" localSheetId="28">[2]FA!$G$125</definedName>
    <definedName name="NutrIn9">FA!$G$131</definedName>
    <definedName name="OpenlandPct11" localSheetId="29">[2]AM!#REF!</definedName>
    <definedName name="OpenlandPct11" localSheetId="27">[2]AM!#REF!</definedName>
    <definedName name="OpenlandPct11" localSheetId="2">[1]AM!#REF!</definedName>
    <definedName name="OpenlandPct11" localSheetId="28">[2]AM!#REF!</definedName>
    <definedName name="OpenlandPct11" localSheetId="7">AM!#REF!</definedName>
    <definedName name="OpenlandPct11">AM!#REF!</definedName>
    <definedName name="OpenlandProx11" localSheetId="29">[2]AM!#REF!</definedName>
    <definedName name="OpenlandProx11" localSheetId="27">[2]AM!#REF!</definedName>
    <definedName name="OpenlandProx11" localSheetId="2">[1]AM!#REF!</definedName>
    <definedName name="OpenlandProx11" localSheetId="28">[2]AM!#REF!</definedName>
    <definedName name="OpenlandProx11" localSheetId="7">AM!#REF!</definedName>
    <definedName name="OpenlandProx11">AM!#REF!</definedName>
    <definedName name="OpenPctScape12" localSheetId="29">[2]WBF!#REF!</definedName>
    <definedName name="OpenPctScape12" localSheetId="27">[2]WBF!#REF!</definedName>
    <definedName name="OpenPctScape12" localSheetId="2">[1]WBF!$G$112</definedName>
    <definedName name="OpenPctScape12" localSheetId="28">[2]WBF!#REF!</definedName>
    <definedName name="OpenPctScape12">WBF!#REF!</definedName>
    <definedName name="OpenPonded7" localSheetId="29">[2]WC!$G$28</definedName>
    <definedName name="OpenPonded7" localSheetId="27">[2]WC!$G$28</definedName>
    <definedName name="OpenPonded7" localSheetId="28">[2]WC!$G$28</definedName>
    <definedName name="OpenPonded7">WC!$G$34</definedName>
    <definedName name="OpenPonded7a" localSheetId="29">[2]WW!$G$24</definedName>
    <definedName name="OpenPonded7a" localSheetId="27">[2]WW!$G$24</definedName>
    <definedName name="OpenPonded7a" localSheetId="28">[2]WW!$G$24</definedName>
    <definedName name="OpenPonded7a">WW!$G$30</definedName>
    <definedName name="OpenScapeProx12" localSheetId="29">[2]WBF!#REF!</definedName>
    <definedName name="OpenScapeProx12" localSheetId="27">[2]WBF!#REF!</definedName>
    <definedName name="OpenScapeProx12" localSheetId="2">[1]WBF!$G$118</definedName>
    <definedName name="OpenScapeProx12" localSheetId="28">[2]WBF!#REF!</definedName>
    <definedName name="OpenScapeProx12">WBF!#REF!</definedName>
    <definedName name="OpenSize2" localSheetId="29">[2]SR!#REF!</definedName>
    <definedName name="OpenSize2" localSheetId="27">[2]SR!#REF!</definedName>
    <definedName name="OpenSize2" localSheetId="28">[2]SR!#REF!</definedName>
    <definedName name="OpenSize2">SR!#REF!</definedName>
    <definedName name="OpenStrucs14" localSheetId="29">[2]SBM!#REF!</definedName>
    <definedName name="OpenStrucs14" localSheetId="27">[2]SBM!#REF!</definedName>
    <definedName name="OpenStrucs14" localSheetId="2">[1]SBM!#REF!</definedName>
    <definedName name="OpenStrucs14" localSheetId="28">[2]SBM!#REF!</definedName>
    <definedName name="OpenStrucs14" localSheetId="7">SBM!#REF!</definedName>
    <definedName name="OpenStrucs14">SBM!#REF!</definedName>
    <definedName name="OpenW" localSheetId="29">[2]F!$D$50</definedName>
    <definedName name="OpenW" localSheetId="27">[2]F!$D$50</definedName>
    <definedName name="OpenW" localSheetId="28">[2]F!$D$50</definedName>
    <definedName name="OpenW">F!$D$54</definedName>
    <definedName name="OpenwSize13" localSheetId="29">[2]WBN!#REF!</definedName>
    <definedName name="OpenwSize13" localSheetId="27">[2]WBN!#REF!</definedName>
    <definedName name="OpenwSize13" localSheetId="28">[2]WBN!#REF!</definedName>
    <definedName name="OpenwSize13">WBN!#REF!</definedName>
    <definedName name="OpWater" localSheetId="29">[2]F!#REF!</definedName>
    <definedName name="OpWater" localSheetId="27">[2]F!#REF!</definedName>
    <definedName name="OpWater" localSheetId="28">[2]F!#REF!</definedName>
    <definedName name="OpWater">F!#REF!</definedName>
    <definedName name="OpWaterDry" localSheetId="29">[2]F!#REF!</definedName>
    <definedName name="OpWaterDry" localSheetId="27">[2]F!#REF!</definedName>
    <definedName name="OpWaterDry" localSheetId="28">[2]F!#REF!</definedName>
    <definedName name="OpWaterDry">F!#REF!</definedName>
    <definedName name="OpWaterWet" localSheetId="29">[2]F!#REF!</definedName>
    <definedName name="OpWaterWet" localSheetId="27">[2]F!#REF!</definedName>
    <definedName name="OpWaterWet" localSheetId="28">[2]F!#REF!</definedName>
    <definedName name="OpWaterWet">F!#REF!</definedName>
    <definedName name="Organic4" localSheetId="29">[2]NR!$G$225</definedName>
    <definedName name="Organic4" localSheetId="27">[2]NR!$G$225</definedName>
    <definedName name="Organic4" localSheetId="28">[2]NR!$G$225</definedName>
    <definedName name="Organic4">NR!$G$225</definedName>
    <definedName name="OutDur2" localSheetId="29">[2]SR!$G$85</definedName>
    <definedName name="OutDur2" localSheetId="27">[2]SR!$G$85</definedName>
    <definedName name="OutDur2" localSheetId="2">[1]SR!$G$36</definedName>
    <definedName name="OutDur2" localSheetId="28">[2]SR!$G$85</definedName>
    <definedName name="OutDur2">SR!$G$90</definedName>
    <definedName name="OutDur2_" localSheetId="29">[2]SFS!$G$21</definedName>
    <definedName name="OutDur2_" localSheetId="27">[2]SFS!$G$21</definedName>
    <definedName name="OutDur2_" localSheetId="28">[2]SFS!$G$21</definedName>
    <definedName name="OutDur2_">SFS!$G$21</definedName>
    <definedName name="OutDur7" localSheetId="29">[2]WC!$G$65</definedName>
    <definedName name="OutDur7" localSheetId="27">[2]WC!$G$65</definedName>
    <definedName name="OutDur7" localSheetId="2">[1]T!$G$24</definedName>
    <definedName name="OutDur7" localSheetId="28">[2]WC!$G$65</definedName>
    <definedName name="OutDur7" localSheetId="7">WW!$G$74</definedName>
    <definedName name="OutDur7">WC!$G$71</definedName>
    <definedName name="OutDura_S" localSheetId="29">[2]Sen!$G$163</definedName>
    <definedName name="OutDura_S" localSheetId="27">[2]Sen!$G$163</definedName>
    <definedName name="OutDura_S" localSheetId="2">[1]Sen!$G$29</definedName>
    <definedName name="OutDura_S" localSheetId="28">[2]Sen!$G$163</definedName>
    <definedName name="OutDura_S">Sen!$G$156</definedName>
    <definedName name="OutDura1" localSheetId="29">[2]WS!$G$57</definedName>
    <definedName name="OutDura1" localSheetId="27">[2]WS!$G$57</definedName>
    <definedName name="OutDura1" localSheetId="2">[1]WS!$G$48</definedName>
    <definedName name="OutDura1" localSheetId="28">[2]WS!$G$57</definedName>
    <definedName name="OutDura1">WS!$G$62</definedName>
    <definedName name="OutDura10" localSheetId="2">[1]FR!$G$59</definedName>
    <definedName name="OutDura10">FR!$G$103</definedName>
    <definedName name="OutDura3" localSheetId="29">[2]PR!$G$82</definedName>
    <definedName name="OutDura3" localSheetId="27">[2]PR!$G$82</definedName>
    <definedName name="OutDura3" localSheetId="2">[1]PR!$G$53</definedName>
    <definedName name="OutDura3" localSheetId="28">[2]PR!$G$82</definedName>
    <definedName name="OutDura3">PR!$G$87</definedName>
    <definedName name="OutDura4" localSheetId="29">[2]NR!$G$102</definedName>
    <definedName name="OutDura4" localSheetId="27">[2]NR!$G$102</definedName>
    <definedName name="OutDura4" localSheetId="2">[1]NR!$G$49</definedName>
    <definedName name="OutDura4" localSheetId="28">[2]NR!$G$102</definedName>
    <definedName name="OutDura4">NR!$G$107</definedName>
    <definedName name="OutDura5" localSheetId="29">[2]CS!$G$71</definedName>
    <definedName name="OutDura5" localSheetId="27">[2]CS!$G$71</definedName>
    <definedName name="OutDura5" localSheetId="2">[1]CS!$G$58</definedName>
    <definedName name="OutDura5" localSheetId="28">[2]CS!$G$71</definedName>
    <definedName name="OutDura5">CS!$G$70</definedName>
    <definedName name="OutDura6" localSheetId="29">[2]OE!$G$98</definedName>
    <definedName name="OutDura6" localSheetId="27">[2]OE!$G$98</definedName>
    <definedName name="OutDura6" localSheetId="2">[1]OE!$G$55</definedName>
    <definedName name="OutDura6" localSheetId="28">[2]OE!$G$98</definedName>
    <definedName name="OutDura6">OE!$G$89</definedName>
    <definedName name="OutDura9" localSheetId="29">[2]FA!$G$99</definedName>
    <definedName name="OutDura9" localSheetId="27">[2]FA!$G$99</definedName>
    <definedName name="OutDura9" localSheetId="2">[1]FA!$G$50</definedName>
    <definedName name="OutDura9" localSheetId="28">[2]FA!$G$99</definedName>
    <definedName name="OutDura9">FA!$G$105</definedName>
    <definedName name="Outlet4" localSheetId="29">[2]NR!#REF!</definedName>
    <definedName name="Outlet4" localSheetId="27">[2]NR!#REF!</definedName>
    <definedName name="Outlet4" localSheetId="28">[2]NR!#REF!</definedName>
    <definedName name="Outlet4">NR!#REF!</definedName>
    <definedName name="Outlet4p" localSheetId="29">[2]NR!#REF!</definedName>
    <definedName name="Outlet4p" localSheetId="27">[2]NR!#REF!</definedName>
    <definedName name="Outlet4p" localSheetId="28">[2]NR!#REF!</definedName>
    <definedName name="Outlet4p">NR!#REF!</definedName>
    <definedName name="OutNone" localSheetId="29">[2]F!$D$113</definedName>
    <definedName name="OutNone" localSheetId="27">[2]F!$D$113</definedName>
    <definedName name="OutNone" localSheetId="28">[2]F!$D$113</definedName>
    <definedName name="OutNone">F!$D$125</definedName>
    <definedName name="OutNone1" localSheetId="29">[2]F!$D$112</definedName>
    <definedName name="OutNone1" localSheetId="27">[2]F!$D$112</definedName>
    <definedName name="OutNone1" localSheetId="28">[2]F!$D$112</definedName>
    <definedName name="OutNone1">F!$D$124</definedName>
    <definedName name="Owner" localSheetId="29">[2]PU!#REF!</definedName>
    <definedName name="Owner" localSheetId="27">[2]PU!#REF!</definedName>
    <definedName name="Owner" localSheetId="28">[2]PU!#REF!</definedName>
    <definedName name="Owner">PU!#REF!</definedName>
    <definedName name="Ownership" localSheetId="29">[2]PU!$G$31</definedName>
    <definedName name="Ownership" localSheetId="27">[2]PU!$G$31</definedName>
    <definedName name="Ownership" localSheetId="2">[1]PU!$G$6</definedName>
    <definedName name="Ownership" localSheetId="28">[2]PU!$G$31</definedName>
    <definedName name="Ownership">PU!$G$32</definedName>
    <definedName name="OwnerSS" localSheetId="29">[2]STR!$G$48</definedName>
    <definedName name="OwnerSS" localSheetId="27">[2]STR!$G$48</definedName>
    <definedName name="OwnerSS" localSheetId="28">[2]STR!$G$48</definedName>
    <definedName name="OwnerSS">STR!$G$48</definedName>
    <definedName name="OWpatchSize8" localSheetId="29">[2]INV!#REF!</definedName>
    <definedName name="OWpatchSize8" localSheetId="27">[2]INV!#REF!</definedName>
    <definedName name="OWpatchSize8" localSheetId="28">[2]INV!#REF!</definedName>
    <definedName name="OWpatchSize8">INV!#REF!</definedName>
    <definedName name="OWpct14" localSheetId="29">[2]SBM!$G$98</definedName>
    <definedName name="OWpct14" localSheetId="27">[2]SBM!$G$98</definedName>
    <definedName name="OWpct14" localSheetId="28">[2]SBM!$G$98</definedName>
    <definedName name="OWpct14">SBM!$G$91</definedName>
    <definedName name="Pcp_S" localSheetId="29">[2]Sen!#REF!</definedName>
    <definedName name="Pcp_S" localSheetId="27">[2]Sen!#REF!</definedName>
    <definedName name="Pcp_S" localSheetId="2">[1]Sen!$G$179</definedName>
    <definedName name="Pcp_S" localSheetId="28">[2]Sen!#REF!</definedName>
    <definedName name="Pcp_S" localSheetId="7">Sen!#REF!</definedName>
    <definedName name="Pcp_S">Sen!#REF!</definedName>
    <definedName name="PdataDown3" localSheetId="29">[2]PR!#REF!</definedName>
    <definedName name="PdataDown3" localSheetId="27">[2]PR!#REF!</definedName>
    <definedName name="PdataDown3" localSheetId="28">[2]PR!#REF!</definedName>
    <definedName name="PdataDown3">PR!#REF!</definedName>
    <definedName name="PdataUp3" localSheetId="29">[2]PR!#REF!</definedName>
    <definedName name="PdataUp3" localSheetId="27">[2]PR!#REF!</definedName>
    <definedName name="PdataUp3" localSheetId="28">[2]PR!#REF!</definedName>
    <definedName name="PdataUp3">PR!#REF!</definedName>
    <definedName name="PdataUpDis3" localSheetId="29">[2]PR!#REF!</definedName>
    <definedName name="PdataUpDis3" localSheetId="27">[2]PR!#REF!</definedName>
    <definedName name="PdataUpDis3" localSheetId="2">[1]PR!#REF!</definedName>
    <definedName name="PdataUpDis3" localSheetId="28">[2]PR!#REF!</definedName>
    <definedName name="PdataUpDis3" localSheetId="7">PR!#REF!</definedName>
    <definedName name="PdataUpDis3">PR!#REF!</definedName>
    <definedName name="PdownDis3" localSheetId="29">[2]PR!#REF!</definedName>
    <definedName name="PdownDis3" localSheetId="27">[2]PR!#REF!</definedName>
    <definedName name="PdownDis3" localSheetId="2">[1]PR!$G$137</definedName>
    <definedName name="PdownDis3" localSheetId="28">[2]PR!#REF!</definedName>
    <definedName name="PdownDis3" localSheetId="7">PR!#REF!</definedName>
    <definedName name="PdownDis3">PR!#REF!</definedName>
    <definedName name="PermPctAll12">WBF!$D$72</definedName>
    <definedName name="PermWaterAll14" localSheetId="2">[1]SBM!$D$16</definedName>
    <definedName name="PermWaterAll14">SBM!$D$79</definedName>
    <definedName name="PermWpct10" localSheetId="29">[2]FR!$G$49</definedName>
    <definedName name="PermWpct10" localSheetId="27">[2]FR!$G$49</definedName>
    <definedName name="PermWpct10" localSheetId="28">[2]FR!$G$49</definedName>
    <definedName name="PermWpct10">FR!$G$49</definedName>
    <definedName name="PermWpct11" localSheetId="29">[2]AM!$G$100</definedName>
    <definedName name="PermWpct11" localSheetId="27">[2]AM!$G$100</definedName>
    <definedName name="PermWpct11" localSheetId="2">[1]AM!$G$13</definedName>
    <definedName name="PermWpct11" localSheetId="28">[2]AM!$G$100</definedName>
    <definedName name="PermWpct11">AM!$G$105</definedName>
    <definedName name="PermWpct12" localSheetId="29">[2]WBF!$G$73</definedName>
    <definedName name="PermWpct12" localSheetId="27">[2]WBF!$G$73</definedName>
    <definedName name="PermWpct12" localSheetId="2">[1]WBF!$G$30</definedName>
    <definedName name="PermWpct12" localSheetId="28">[2]WBF!$G$73</definedName>
    <definedName name="PermWpct12">WBF!$G$71</definedName>
    <definedName name="PermWpct13" localSheetId="29">[2]WBN!$G$72</definedName>
    <definedName name="PermWpct13" localSheetId="27">[2]WBN!$G$72</definedName>
    <definedName name="PermWpct13" localSheetId="2">[1]WBN!$G$16</definedName>
    <definedName name="PermWpct13" localSheetId="28">[2]WBN!$G$72</definedName>
    <definedName name="PermWpct13">WBN!$G$70</definedName>
    <definedName name="PermWpct14" localSheetId="29">[2]SBM!$G$85</definedName>
    <definedName name="PermWpct14" localSheetId="27">[2]SBM!$G$85</definedName>
    <definedName name="PermWpct14" localSheetId="28">[2]SBM!$G$85</definedName>
    <definedName name="PermWpct14">SBM!$G$78</definedName>
    <definedName name="PermWpct3" localSheetId="29">[2]PR!#REF!</definedName>
    <definedName name="PermWpct3" localSheetId="27">[2]PR!#REF!</definedName>
    <definedName name="PermWpct3" localSheetId="2">[1]PR!#REF!</definedName>
    <definedName name="PermWpct3" localSheetId="28">[2]PR!#REF!</definedName>
    <definedName name="PermWpct3" localSheetId="7">PR!#REF!</definedName>
    <definedName name="PermWpct3">PR!#REF!</definedName>
    <definedName name="PermWpct4" localSheetId="29">[2]NR!$G$52</definedName>
    <definedName name="PermWpct4" localSheetId="27">[2]NR!$G$52</definedName>
    <definedName name="PermWpct4" localSheetId="2">[1]NR!$G$17</definedName>
    <definedName name="PermWpct4" localSheetId="28">[2]NR!$G$52</definedName>
    <definedName name="PermWpct4">NR!$G$57</definedName>
    <definedName name="PermWpct5" localSheetId="29">[2]CS!$G$25</definedName>
    <definedName name="PermWpct5" localSheetId="27">[2]CS!$G$25</definedName>
    <definedName name="PermWpct5" localSheetId="2">[1]CS!$G$28</definedName>
    <definedName name="PermWpct5" localSheetId="28">[2]CS!$G$25</definedName>
    <definedName name="PermWpct5">CS!$G$24</definedName>
    <definedName name="PermWpct8" localSheetId="29">[2]INV!$G$46</definedName>
    <definedName name="PermWpct8" localSheetId="27">[2]INV!$G$46</definedName>
    <definedName name="PermWpct8" localSheetId="2">[1]INV!$G$23</definedName>
    <definedName name="PermWpct8" localSheetId="28">[2]INV!$G$46</definedName>
    <definedName name="PermWpct8">INV!$G$46</definedName>
    <definedName name="PermWpct9" localSheetId="29">[2]FA!$G$45</definedName>
    <definedName name="PermWpct9" localSheetId="27">[2]FA!$G$45</definedName>
    <definedName name="PermWpct9" localSheetId="28">[2]FA!$G$45</definedName>
    <definedName name="PermWpct9">FA!$G$45</definedName>
    <definedName name="PermWpd" localSheetId="29">[2]PH!#REF!</definedName>
    <definedName name="PermWpd" localSheetId="27">[2]PH!#REF!</definedName>
    <definedName name="PermWpd" localSheetId="28">[2]PH!#REF!</definedName>
    <definedName name="PermWpd" localSheetId="7">PH!#REF!</definedName>
    <definedName name="PermWpd">PH!#REF!</definedName>
    <definedName name="Persis3" localSheetId="29">[2]PR!$G$37</definedName>
    <definedName name="Persis3" localSheetId="27">[2]PR!$G$37</definedName>
    <definedName name="Persis3" localSheetId="2">[1]PR!$G$27</definedName>
    <definedName name="Persis3" localSheetId="28">[2]PR!$G$37</definedName>
    <definedName name="Persis3">PR!$G$42</definedName>
    <definedName name="persist0" localSheetId="29">[2]POL!$G$22</definedName>
    <definedName name="persist0" localSheetId="27">[2]POL!$G$22</definedName>
    <definedName name="persist0" localSheetId="2">[1]POL!$G$9</definedName>
    <definedName name="persist0" localSheetId="28">[2]POL!$G$22</definedName>
    <definedName name="persist0">POL!$G$22</definedName>
    <definedName name="PersistPct1" localSheetId="29">[2]WS!#REF!</definedName>
    <definedName name="PersistPct1" localSheetId="27">[2]WS!#REF!</definedName>
    <definedName name="PersistPct1" localSheetId="2">[1]WS!$G$22</definedName>
    <definedName name="PersistPct1" localSheetId="28">[2]WS!#REF!</definedName>
    <definedName name="PersistPct1" localSheetId="7">WS!#REF!</definedName>
    <definedName name="PersistPct1">WS!#REF!</definedName>
    <definedName name="PersistPct2" localSheetId="29">[2]SR!#REF!</definedName>
    <definedName name="PersistPct2" localSheetId="27">[2]SR!#REF!</definedName>
    <definedName name="PersistPct2" localSheetId="2">[1]SR!$G$123</definedName>
    <definedName name="PersistPct2" localSheetId="28">[2]SR!#REF!</definedName>
    <definedName name="PersistPct2" localSheetId="7">SR!#REF!</definedName>
    <definedName name="PersistPct2">SR!#REF!</definedName>
    <definedName name="PestFish10" localSheetId="29">[2]FR!#REF!</definedName>
    <definedName name="PestFish10" localSheetId="27">[2]FR!#REF!</definedName>
    <definedName name="PestFish10" localSheetId="2">[1]FR!$G$82</definedName>
    <definedName name="PestFish10" localSheetId="28">[2]FR!#REF!</definedName>
    <definedName name="PestFish10" localSheetId="7">FR!#REF!</definedName>
    <definedName name="PestFish10">FR!#REF!</definedName>
    <definedName name="PestFish11" localSheetId="29">[2]AM!#REF!</definedName>
    <definedName name="PestFish11" localSheetId="27">[2]AM!#REF!</definedName>
    <definedName name="PestFish11" localSheetId="2">[1]AM!$G$118</definedName>
    <definedName name="PestFish11" localSheetId="28">[2]AM!#REF!</definedName>
    <definedName name="PestFish11" localSheetId="7">AM!#REF!</definedName>
    <definedName name="PestFish11">AM!#REF!</definedName>
    <definedName name="PestFish9" localSheetId="29">[2]FA!#REF!</definedName>
    <definedName name="PestFish9" localSheetId="27">[2]FA!#REF!</definedName>
    <definedName name="PestFish9" localSheetId="2">[1]FA!$G$79</definedName>
    <definedName name="PestFish9" localSheetId="28">[2]FA!#REF!</definedName>
    <definedName name="PestFish9" localSheetId="7">FA!#REF!</definedName>
    <definedName name="PestFish9">FA!#REF!</definedName>
    <definedName name="PhysAccess" localSheetId="29">#REF!</definedName>
    <definedName name="PhysAccess" localSheetId="27">#REF!</definedName>
    <definedName name="PhysAccess" localSheetId="2">#REF!</definedName>
    <definedName name="PhysAccess" localSheetId="28">#REF!</definedName>
    <definedName name="PhysAccess" localSheetId="7">#REF!</definedName>
    <definedName name="PhysAccess">#REF!</definedName>
    <definedName name="PhysAccum5" localSheetId="29">[2]CS!$G$141</definedName>
    <definedName name="PhysAccum5" localSheetId="27">[2]CS!$G$141</definedName>
    <definedName name="PhysAccum5" localSheetId="28">[2]CS!$G$141</definedName>
    <definedName name="PhysAccum5">CS!$G$135</definedName>
    <definedName name="Physical" localSheetId="29">[2]EC!#REF!</definedName>
    <definedName name="Physical" localSheetId="27">[2]EC!#REF!</definedName>
    <definedName name="Physical" localSheetId="2">[1]CQ!#REF!</definedName>
    <definedName name="Physical" localSheetId="28">[2]EC!#REF!</definedName>
    <definedName name="Physical" localSheetId="7">EC!#REF!</definedName>
    <definedName name="Physical">EC!#REF!</definedName>
    <definedName name="PlantCov5" localSheetId="29">[2]CS!#REF!</definedName>
    <definedName name="PlantCov5" localSheetId="27">[2]CS!#REF!</definedName>
    <definedName name="PlantCov5" localSheetId="28">[2]CS!#REF!</definedName>
    <definedName name="PlantCov5">CS!#REF!</definedName>
    <definedName name="PlantCov6" localSheetId="29">[2]OE!$G$158</definedName>
    <definedName name="PlantCov6" localSheetId="27">[2]OE!$G$158</definedName>
    <definedName name="PlantCov6" localSheetId="28">[2]OE!$G$158</definedName>
    <definedName name="PlantCov6">OE!$G$160</definedName>
    <definedName name="PlantSiteS" localSheetId="29">[2]Sen!$G$119</definedName>
    <definedName name="PlantSiteS" localSheetId="27">[2]Sen!$G$119</definedName>
    <definedName name="PlantSiteS" localSheetId="28">[2]Sen!$G$119</definedName>
    <definedName name="PlantSiteS">Sen!$G$112</definedName>
    <definedName name="Playa" localSheetId="29">#REF!</definedName>
    <definedName name="Playa" localSheetId="27">#REF!</definedName>
    <definedName name="Playa" localSheetId="2">#REF!</definedName>
    <definedName name="Playa" localSheetId="28">#REF!</definedName>
    <definedName name="Playa" localSheetId="7">#REF!</definedName>
    <definedName name="Playa">#REF!</definedName>
    <definedName name="Playa10" localSheetId="29">[2]FR!#REF!</definedName>
    <definedName name="Playa10" localSheetId="27">[2]FR!#REF!</definedName>
    <definedName name="Playa10" localSheetId="2">[1]FR!$D$4</definedName>
    <definedName name="Playa10" localSheetId="28">[2]FR!#REF!</definedName>
    <definedName name="Playa10" localSheetId="7">FR!#REF!</definedName>
    <definedName name="Playa10">FR!#REF!</definedName>
    <definedName name="Playa11" localSheetId="29">[2]AM!#REF!</definedName>
    <definedName name="Playa11" localSheetId="27">[2]AM!#REF!</definedName>
    <definedName name="Playa11" localSheetId="2">[1]AM!$D$3</definedName>
    <definedName name="Playa11" localSheetId="28">[2]AM!#REF!</definedName>
    <definedName name="Playa11" localSheetId="7">AM!#REF!</definedName>
    <definedName name="Playa11">AM!#REF!</definedName>
    <definedName name="Playa12" localSheetId="29">[2]WBF!#REF!</definedName>
    <definedName name="Playa12" localSheetId="27">[2]WBF!#REF!</definedName>
    <definedName name="Playa12" localSheetId="2">[1]WBF!$D$4</definedName>
    <definedName name="Playa12" localSheetId="28">[2]WBF!#REF!</definedName>
    <definedName name="Playa12" localSheetId="7">WBF!#REF!</definedName>
    <definedName name="Playa12">WBF!#REF!</definedName>
    <definedName name="Playa12a" localSheetId="29">[2]WBF!#REF!</definedName>
    <definedName name="Playa12a" localSheetId="27">[2]WBF!#REF!</definedName>
    <definedName name="Playa12a" localSheetId="28">[2]WBF!#REF!</definedName>
    <definedName name="Playa12a" localSheetId="7">WBF!#REF!</definedName>
    <definedName name="Playa12a">WBF!#REF!</definedName>
    <definedName name="Playa5" localSheetId="29">[2]CS!#REF!</definedName>
    <definedName name="Playa5" localSheetId="27">[2]CS!#REF!</definedName>
    <definedName name="Playa5" localSheetId="2">[1]CS!$D$4</definedName>
    <definedName name="Playa5" localSheetId="28">[2]CS!#REF!</definedName>
    <definedName name="Playa5" localSheetId="7">CS!#REF!</definedName>
    <definedName name="Playa5">CS!#REF!</definedName>
    <definedName name="Playa8" localSheetId="29">[2]INV!#REF!</definedName>
    <definedName name="Playa8" localSheetId="27">[2]INV!#REF!</definedName>
    <definedName name="Playa8" localSheetId="2">[1]INV!$D$3</definedName>
    <definedName name="Playa8" localSheetId="28">[2]INV!#REF!</definedName>
    <definedName name="Playa8" localSheetId="7">INV!#REF!</definedName>
    <definedName name="Playa8">INV!#REF!</definedName>
    <definedName name="Playa9" localSheetId="29">[2]FA!#REF!</definedName>
    <definedName name="Playa9" localSheetId="27">[2]FA!#REF!</definedName>
    <definedName name="Playa9" localSheetId="2">[1]FA!$D$4</definedName>
    <definedName name="Playa9" localSheetId="28">[2]FA!#REF!</definedName>
    <definedName name="Playa9" localSheetId="7">FA!#REF!</definedName>
    <definedName name="Playa9">FA!#REF!</definedName>
    <definedName name="Pload3" localSheetId="29">[2]PR!$G$174</definedName>
    <definedName name="Pload3" localSheetId="27">[2]PR!$G$174</definedName>
    <definedName name="Pload3" localSheetId="2">[1]PR!$G$146</definedName>
    <definedName name="Pload3" localSheetId="28">[2]PR!$G$174</definedName>
    <definedName name="Pload3">PR!$G$174</definedName>
    <definedName name="PollenOff" localSheetId="29">[2]POL!#REF!</definedName>
    <definedName name="PollenOff" localSheetId="27">[2]POL!#REF!</definedName>
    <definedName name="PollenOff" localSheetId="28">[2]POL!#REF!</definedName>
    <definedName name="PollenOff">POL!#REF!</definedName>
    <definedName name="PollenOn" localSheetId="29">[2]POL!$G$101</definedName>
    <definedName name="PollenOn" localSheetId="27">[2]POL!$G$101</definedName>
    <definedName name="PollenOn" localSheetId="28">[2]POL!$G$101</definedName>
    <definedName name="PollenOn">POL!$G$101</definedName>
    <definedName name="PolluIn" localSheetId="29">[2]INV!#REF!</definedName>
    <definedName name="PolluIn" localSheetId="27">[2]INV!#REF!</definedName>
    <definedName name="PolluIn" localSheetId="2">[1]INV!$G$136</definedName>
    <definedName name="PolluIn" localSheetId="28">[2]INV!#REF!</definedName>
    <definedName name="PolluIn">INV!#REF!</definedName>
    <definedName name="PolluIn13" localSheetId="29">[2]WBN!#REF!</definedName>
    <definedName name="PolluIn13" localSheetId="27">[2]WBN!#REF!</definedName>
    <definedName name="PolluIn13" localSheetId="28">[2]WBN!#REF!</definedName>
    <definedName name="PolluIn13">WBN!#REF!</definedName>
    <definedName name="PolluIn14" localSheetId="29">[2]WBF!#REF!</definedName>
    <definedName name="PolluIn14" localSheetId="27">[2]WBF!#REF!</definedName>
    <definedName name="PolluIn14" localSheetId="2">[1]WBF!$D$159</definedName>
    <definedName name="PolluIn14" localSheetId="28">[2]WBF!#REF!</definedName>
    <definedName name="PolluIn14">WBF!#REF!</definedName>
    <definedName name="Ponded" localSheetId="29">[2]F!#REF!</definedName>
    <definedName name="Ponded" localSheetId="27">[2]F!#REF!</definedName>
    <definedName name="Ponded" localSheetId="28">[2]F!#REF!</definedName>
    <definedName name="Ponded">F!#REF!</definedName>
    <definedName name="Ponded7">[2]WC!$G$20</definedName>
    <definedName name="PondedPct2" localSheetId="29">[2]SR!#REF!</definedName>
    <definedName name="PondedPct2" localSheetId="27">[2]SR!#REF!</definedName>
    <definedName name="PondedPct2" localSheetId="28">[2]SR!#REF!</definedName>
    <definedName name="PondedPct2">SR!#REF!</definedName>
    <definedName name="PondedPct6" localSheetId="29">[2]OE!$G$71</definedName>
    <definedName name="PondedPct6" localSheetId="27">[2]OE!$G$71</definedName>
    <definedName name="PondedPct6" localSheetId="28">[2]OE!$G$71</definedName>
    <definedName name="PondedPct6">OE!$G$62</definedName>
    <definedName name="PondNum11v">AM!$G$227</definedName>
    <definedName name="PondNum12v" localSheetId="29">[2]WBF!$G$166</definedName>
    <definedName name="PondNum12v" localSheetId="27">[2]WBF!$G$166</definedName>
    <definedName name="PondNum12v" localSheetId="28">[2]WBF!$G$166</definedName>
    <definedName name="PondNum12v">WBF!$G$166</definedName>
    <definedName name="PondNum13v" localSheetId="29">[2]WBN!$G$192</definedName>
    <definedName name="PondNum13v" localSheetId="27">[2]WBN!$G$192</definedName>
    <definedName name="PondNum13v" localSheetId="28">[2]WBN!$G$192</definedName>
    <definedName name="PondNum13v">WBN!$G$192</definedName>
    <definedName name="PondNum14v" localSheetId="29">[2]SBM!$G$226</definedName>
    <definedName name="PondNum14v" localSheetId="27">[2]SBM!$G$226</definedName>
    <definedName name="PondNum14v" localSheetId="28">[2]SBM!$G$226</definedName>
    <definedName name="PondNum14v">SBM!$G$227</definedName>
    <definedName name="PondOpenSize11" localSheetId="29">[2]AM!#REF!</definedName>
    <definedName name="PondOpenSize11" localSheetId="27">[2]AM!#REF!</definedName>
    <definedName name="PondOpenSize11" localSheetId="28">[2]AM!#REF!</definedName>
    <definedName name="PondOpenSize11">AM!#REF!</definedName>
    <definedName name="PondPct4">NR!$G$81</definedName>
    <definedName name="PondPctScape11" localSheetId="29">[2]AM!$G$32</definedName>
    <definedName name="PondPctScape11" localSheetId="27">[2]AM!$G$32</definedName>
    <definedName name="PondPctScape11" localSheetId="2">[1]AM!$G$200</definedName>
    <definedName name="PondPctScape11" localSheetId="28">[2]AM!$G$32</definedName>
    <definedName name="PondPctScape11">AM!$G$32</definedName>
    <definedName name="PondPctScape12" localSheetId="29">[2]WBF!$G$10</definedName>
    <definedName name="PondPctScape12" localSheetId="27">[2]WBF!$G$10</definedName>
    <definedName name="PondPctScape12" localSheetId="2">[1]WBF!$G$123</definedName>
    <definedName name="PondPctScape12" localSheetId="28">[2]WBF!$G$10</definedName>
    <definedName name="PondPctScape12">WBF!$G$3</definedName>
    <definedName name="PondPctScape14" localSheetId="29">[2]SBM!$G$45</definedName>
    <definedName name="PondPctScape14" localSheetId="27">[2]SBM!$G$45</definedName>
    <definedName name="PondPctScape14" localSheetId="2">[1]SBM!$G$159</definedName>
    <definedName name="PondPctScape14" localSheetId="28">[2]SBM!$G$45</definedName>
    <definedName name="PondPctScape14">SBM!$G$38</definedName>
    <definedName name="PondProx_S" localSheetId="29">[2]Sen!$G$51</definedName>
    <definedName name="PondProx_S" localSheetId="27">[2]Sen!$G$51</definedName>
    <definedName name="PondProx_S" localSheetId="2">[1]Sen!$G$146</definedName>
    <definedName name="PondProx_S" localSheetId="28">[2]Sen!$G$51</definedName>
    <definedName name="PondProx_S">Sen!$G$44</definedName>
    <definedName name="PondProx11" localSheetId="29">[2]AM!$G$39</definedName>
    <definedName name="PondProx11" localSheetId="27">[2]AM!$G$39</definedName>
    <definedName name="PondProx11" localSheetId="2">[1]AM!$G$207</definedName>
    <definedName name="PondProx11" localSheetId="28">[2]AM!$G$39</definedName>
    <definedName name="PondProx11">AM!$G$39</definedName>
    <definedName name="PondProx12" localSheetId="29">[2]WBF!$G$17</definedName>
    <definedName name="PondProx12" localSheetId="27">[2]WBF!$G$17</definedName>
    <definedName name="PondProx12" localSheetId="2">[1]WBF!$G$130</definedName>
    <definedName name="PondProx12" localSheetId="28">[2]WBF!$G$17</definedName>
    <definedName name="PondProx12">WBF!$G$10</definedName>
    <definedName name="PondProx13" localSheetId="29">[2]WBN!$G$30</definedName>
    <definedName name="PondProx13" localSheetId="27">[2]WBN!$G$30</definedName>
    <definedName name="PondProx13" localSheetId="2">[1]WBN!$G$155</definedName>
    <definedName name="PondProx13" localSheetId="28">[2]WBN!$G$30</definedName>
    <definedName name="PondProx13">WBN!$G$23</definedName>
    <definedName name="PondProx14" localSheetId="29">[2]SBM!$G$52</definedName>
    <definedName name="PondProx14" localSheetId="27">[2]SBM!$G$52</definedName>
    <definedName name="PondProx14" localSheetId="2">[1]SBM!$G$166</definedName>
    <definedName name="PondProx14" localSheetId="28">[2]SBM!$G$52</definedName>
    <definedName name="PondProx14">SBM!$G$45</definedName>
    <definedName name="PondProx15" localSheetId="29">[2]PH!$G$30</definedName>
    <definedName name="PondProx15" localSheetId="27">[2]PH!$G$30</definedName>
    <definedName name="PondProx15" localSheetId="2">[1]PD!$G$156</definedName>
    <definedName name="PondProx15" localSheetId="28">[2]PH!$G$30</definedName>
    <definedName name="PondProx15">PH!$G$23</definedName>
    <definedName name="PondScape_S" localSheetId="29">[2]Sen!$G$44</definedName>
    <definedName name="PondScape_S" localSheetId="27">[2]Sen!$G$44</definedName>
    <definedName name="PondScape_S" localSheetId="2">[1]Sen!$G$139</definedName>
    <definedName name="PondScape_S" localSheetId="28">[2]Sen!$G$44</definedName>
    <definedName name="PondScape_S">Sen!$G$37</definedName>
    <definedName name="Pondscape11v">[2]AM!$G$228</definedName>
    <definedName name="PondScape15" localSheetId="29">[2]PH!$G$23</definedName>
    <definedName name="PondScape15" localSheetId="27">[2]PH!$G$23</definedName>
    <definedName name="PondScape15" localSheetId="2">[1]PD!$G$149</definedName>
    <definedName name="PondScape15" localSheetId="28">[2]PH!$G$23</definedName>
    <definedName name="PondScape15">PH!$G$16</definedName>
    <definedName name="PondScapePct13" localSheetId="29">[2]WBN!$G$23</definedName>
    <definedName name="PondScapePct13" localSheetId="27">[2]WBN!$G$23</definedName>
    <definedName name="PondScapePct13" localSheetId="2">[1]WBN!$G$148</definedName>
    <definedName name="PondScapePct13" localSheetId="28">[2]WBN!$G$23</definedName>
    <definedName name="PondScapePct13">WBN!$G$16</definedName>
    <definedName name="PondSizeVar11" localSheetId="29">[2]AM!#REF!</definedName>
    <definedName name="PondSizeVar11" localSheetId="27">[2]AM!#REF!</definedName>
    <definedName name="PondSizeVar11" localSheetId="2">[1]AM!#REF!</definedName>
    <definedName name="PondSizeVar11" localSheetId="28">[2]AM!#REF!</definedName>
    <definedName name="PondSizeVar11" localSheetId="7">AM!#REF!</definedName>
    <definedName name="PondSizeVar11">AM!#REF!</definedName>
    <definedName name="PopCtr12" localSheetId="29">[2]WBF!$G$160</definedName>
    <definedName name="PopCtr12" localSheetId="27">[2]WBF!$G$160</definedName>
    <definedName name="PopCtr12" localSheetId="28">[2]WBF!$G$160</definedName>
    <definedName name="PopCtr12">WBF!$G$160</definedName>
    <definedName name="PopCtr14" localSheetId="29">[2]SBM!$G$3</definedName>
    <definedName name="PopCtr14" localSheetId="27">[2]SBM!$G$3</definedName>
    <definedName name="PopCtr14" localSheetId="28">[2]SBM!$G$3</definedName>
    <definedName name="PopCtr14">SBM!$G$3</definedName>
    <definedName name="PopCtr15" localSheetId="29">[2]PH!$G$3</definedName>
    <definedName name="PopCtr15" localSheetId="27">[2]PH!$G$3</definedName>
    <definedName name="PopCtr15" localSheetId="28">[2]PH!$G$3</definedName>
    <definedName name="PopCtr15">PH!$G$3</definedName>
    <definedName name="PopCtr9" localSheetId="29">[2]FA!$G$128</definedName>
    <definedName name="PopCtr9" localSheetId="27">[2]FA!$G$128</definedName>
    <definedName name="PopCtr9" localSheetId="28">[2]FA!$G$128</definedName>
    <definedName name="PopCtr9">FA!$G$134</definedName>
    <definedName name="PopCtrDisPU" localSheetId="29">[2]PU!$G$3</definedName>
    <definedName name="PopCtrDisPU" localSheetId="27">[2]PU!$G$3</definedName>
    <definedName name="PopCtrDisPU" localSheetId="28">[2]PU!$G$3</definedName>
    <definedName name="PopCtrDisPU">PU!$G$3</definedName>
    <definedName name="PopCtrDisS" localSheetId="29">[2]SubSis!$G$3</definedName>
    <definedName name="PopCtrDisS" localSheetId="27">[2]SubSis!$G$3</definedName>
    <definedName name="PopCtrDisS" localSheetId="28">[2]SubSis!$G$3</definedName>
    <definedName name="PopCtrDisS">SubSis!$G$3</definedName>
    <definedName name="PopCtrDist" localSheetId="29">[2]STR!$G$3</definedName>
    <definedName name="PopCtrDist" localSheetId="27">[2]STR!$G$3</definedName>
    <definedName name="PopCtrDist" localSheetId="28">[2]STR!$G$3</definedName>
    <definedName name="PopCtrDist">STR!$G$3</definedName>
    <definedName name="PopDist10" localSheetId="29">[2]FR!$G$127</definedName>
    <definedName name="PopDist10" localSheetId="27">[2]FR!$G$127</definedName>
    <definedName name="PopDist10" localSheetId="28">[2]FR!$G$127</definedName>
    <definedName name="PopDist10">FR!$G$127</definedName>
    <definedName name="PopDist4" localSheetId="29">[2]NR!$G$156</definedName>
    <definedName name="PopDist4" localSheetId="27">[2]NR!$G$156</definedName>
    <definedName name="PopDist4" localSheetId="28">[2]NR!$G$156</definedName>
    <definedName name="PopDist4">NR!$G$156</definedName>
    <definedName name="PosShed3" localSheetId="29">[2]PR!$G$135</definedName>
    <definedName name="PosShed3" localSheetId="27">[2]PR!$G$135</definedName>
    <definedName name="PosShed3" localSheetId="2">[1]PR!$G$107</definedName>
    <definedName name="PosShed3" localSheetId="28">[2]PR!$G$135</definedName>
    <definedName name="PosShed3">PR!$G$129</definedName>
    <definedName name="PprobUp2" localSheetId="29">[2]PR!#REF!</definedName>
    <definedName name="PprobUp2" localSheetId="27">[2]PR!#REF!</definedName>
    <definedName name="PprobUp2" localSheetId="2">[1]PR!$D$134</definedName>
    <definedName name="PprobUp2" localSheetId="28">[2]PR!#REF!</definedName>
    <definedName name="PprobUp2">PR!#REF!</definedName>
    <definedName name="Prank3" localSheetId="29">[2]PR!#REF!</definedName>
    <definedName name="Prank3" localSheetId="27">[2]PR!#REF!</definedName>
    <definedName name="Prank3" localSheetId="2">[1]PR!$G$141</definedName>
    <definedName name="Prank3" localSheetId="28">[2]PR!#REF!</definedName>
    <definedName name="Prank3" localSheetId="7">PR!#REF!</definedName>
    <definedName name="Prank3">PR!#REF!</definedName>
    <definedName name="Precip11" localSheetId="29">[2]AM!#REF!</definedName>
    <definedName name="Precip11" localSheetId="27">[2]AM!#REF!</definedName>
    <definedName name="Precip11" localSheetId="2">[1]AM!$G$237</definedName>
    <definedName name="Precip11" localSheetId="28">[2]AM!#REF!</definedName>
    <definedName name="Precip11" localSheetId="7">AM!#REF!</definedName>
    <definedName name="Precip11">AM!#REF!</definedName>
    <definedName name="Precip12" localSheetId="29">[2]WBF!#REF!</definedName>
    <definedName name="Precip12" localSheetId="27">[2]WBF!#REF!</definedName>
    <definedName name="Precip12" localSheetId="2">[1]WBF!$G$174</definedName>
    <definedName name="Precip12" localSheetId="28">[2]WBF!#REF!</definedName>
    <definedName name="Precip12" localSheetId="7">WBF!#REF!</definedName>
    <definedName name="Precip12">WBF!#REF!</definedName>
    <definedName name="Precip6" localSheetId="29">[2]OE!$G$13</definedName>
    <definedName name="Precip6" localSheetId="27">[2]OE!$G$13</definedName>
    <definedName name="Precip6" localSheetId="28">[2]OE!$G$13</definedName>
    <definedName name="Precip6">OE!$G$3</definedName>
    <definedName name="PrecipAnnu" localSheetId="29">#REF!</definedName>
    <definedName name="PrecipAnnu" localSheetId="27">#REF!</definedName>
    <definedName name="PrecipAnnu" localSheetId="2">#REF!</definedName>
    <definedName name="PrecipAnnu" localSheetId="28">#REF!</definedName>
    <definedName name="PrecipAnnu" localSheetId="7">#REF!</definedName>
    <definedName name="PrecipAnnu">#REF!</definedName>
    <definedName name="PrecipPD" localSheetId="29">[2]PH!#REF!</definedName>
    <definedName name="PrecipPD" localSheetId="27">[2]PH!#REF!</definedName>
    <definedName name="PrecipPD" localSheetId="2">[1]PD!$G$188</definedName>
    <definedName name="PrecipPD" localSheetId="28">[2]PH!#REF!</definedName>
    <definedName name="PrecipPD" localSheetId="7">PH!#REF!</definedName>
    <definedName name="PrecipPD">PH!#REF!</definedName>
    <definedName name="_xlnm.Print_Area" localSheetId="1">F!$A$3:$D$324</definedName>
    <definedName name="_xlnm.Print_Area" localSheetId="0">OF!$A$3:$D$222</definedName>
    <definedName name="_xlnm.Print_Area" localSheetId="2">S!$A$2:$F$141</definedName>
    <definedName name="_xlnm.Print_Area" localSheetId="3">Scores!$A$1:$N$43</definedName>
    <definedName name="Produc" localSheetId="29">[2]SBM!$G$244</definedName>
    <definedName name="Produc" localSheetId="27">[2]SBM!$G$244</definedName>
    <definedName name="Produc" localSheetId="28">[2]SBM!$G$244</definedName>
    <definedName name="Produc">SBM!$G$245</definedName>
    <definedName name="Produc10" localSheetId="29">[2]FR!$G$156</definedName>
    <definedName name="Produc10" localSheetId="27">[2]FR!$G$156</definedName>
    <definedName name="Produc10" localSheetId="28">[2]FR!$G$156</definedName>
    <definedName name="Produc10">FR!$G$156</definedName>
    <definedName name="Produc11" localSheetId="29">[2]AM!$G$246</definedName>
    <definedName name="Produc11" localSheetId="27">[2]AM!$G$246</definedName>
    <definedName name="Produc11" localSheetId="28">[2]AM!$G$246</definedName>
    <definedName name="Produc11">AM!$G$245</definedName>
    <definedName name="Produc12" localSheetId="29">[2]WBF!$G$188</definedName>
    <definedName name="Produc12" localSheetId="27">[2]WBF!$G$188</definedName>
    <definedName name="Produc12" localSheetId="28">[2]WBF!$G$188</definedName>
    <definedName name="Produc12">WBF!$G$188</definedName>
    <definedName name="Produc13" localSheetId="29">[2]WBN!$G$210</definedName>
    <definedName name="Produc13" localSheetId="27">[2]WBN!$G$210</definedName>
    <definedName name="Produc13" localSheetId="28">[2]WBN!$G$210</definedName>
    <definedName name="Produc13">WBN!$G$210</definedName>
    <definedName name="Produc14">SBM!$G$245</definedName>
    <definedName name="Produc9" localSheetId="29">[2]FA!$G$158</definedName>
    <definedName name="Produc9" localSheetId="27">[2]FA!$G$158</definedName>
    <definedName name="Produc9" localSheetId="28">[2]FA!$G$158</definedName>
    <definedName name="Produc9">FA!$G$164</definedName>
    <definedName name="Productiv" localSheetId="29">[2]CS!$G$140</definedName>
    <definedName name="Productiv" localSheetId="27">[2]CS!$G$140</definedName>
    <definedName name="Productiv" localSheetId="28">[2]CS!$G$140</definedName>
    <definedName name="Productiv">CS!$G$134</definedName>
    <definedName name="Productiv6" localSheetId="29">[2]OE!$G$156</definedName>
    <definedName name="Productiv6" localSheetId="27">[2]OE!$G$156</definedName>
    <definedName name="Productiv6" localSheetId="28">[2]OE!$G$156</definedName>
    <definedName name="Productiv6">OE!$G$158</definedName>
    <definedName name="ProtecStatus" localSheetId="29">[2]PU!#REF!</definedName>
    <definedName name="ProtecStatus" localSheetId="27">[2]PU!#REF!</definedName>
    <definedName name="ProtecStatus" localSheetId="28">[2]PU!#REF!</definedName>
    <definedName name="ProtecStatus">PU!#REF!</definedName>
    <definedName name="Protect13" localSheetId="29">[2]WBN!#REF!</definedName>
    <definedName name="Protect13" localSheetId="27">[2]WBN!#REF!</definedName>
    <definedName name="Protect13" localSheetId="28">[2]WBN!#REF!</definedName>
    <definedName name="Protect13">WBN!#REF!</definedName>
    <definedName name="PubAccess" localSheetId="29">[2]PU!#REF!</definedName>
    <definedName name="PubAccess" localSheetId="27">[2]PU!#REF!</definedName>
    <definedName name="PubAccess" localSheetId="2">[1]PU!$G$9</definedName>
    <definedName name="PubAccess" localSheetId="28">[2]PU!#REF!</definedName>
    <definedName name="PubAccess">PU!#REF!</definedName>
    <definedName name="puddles">F!$D$73</definedName>
    <definedName name="Rare11" localSheetId="29">[2]AM!#REF!</definedName>
    <definedName name="Rare11" localSheetId="27">[2]AM!#REF!</definedName>
    <definedName name="Rare11" localSheetId="2">[1]AM!$G$232</definedName>
    <definedName name="Rare11" localSheetId="28">[2]AM!#REF!</definedName>
    <definedName name="Rare11" localSheetId="7">AM!#REF!</definedName>
    <definedName name="Rare11">AM!#REF!</definedName>
    <definedName name="Rare12" localSheetId="29">[2]WBF!$G$175</definedName>
    <definedName name="Rare12" localSheetId="27">[2]WBF!$G$175</definedName>
    <definedName name="Rare12" localSheetId="2">[1]WBF!$G$170</definedName>
    <definedName name="Rare12" localSheetId="28">[2]WBF!$G$175</definedName>
    <definedName name="Rare12">WBF!$G$175</definedName>
    <definedName name="Rare13" localSheetId="29">[2]WBN!$G$201</definedName>
    <definedName name="Rare13" localSheetId="27">[2]WBN!$G$201</definedName>
    <definedName name="Rare13" localSheetId="2">[1]WBN!$G$199</definedName>
    <definedName name="Rare13" localSheetId="28">[2]WBN!$G$201</definedName>
    <definedName name="Rare13">WBN!$G$201</definedName>
    <definedName name="Rare14" localSheetId="29">[2]SBM!$G$235</definedName>
    <definedName name="Rare14" localSheetId="27">[2]SBM!$G$235</definedName>
    <definedName name="Rare14" localSheetId="2">[1]SBM!$G$199</definedName>
    <definedName name="Rare14" localSheetId="28">[2]SBM!$G$235</definedName>
    <definedName name="Rare14">SBM!$G$236</definedName>
    <definedName name="rare8" localSheetId="29">[2]INV!#REF!</definedName>
    <definedName name="rare8" localSheetId="27">[2]INV!#REF!</definedName>
    <definedName name="rare8" localSheetId="2">[1]INV!$G$144</definedName>
    <definedName name="rare8" localSheetId="28">[2]INV!#REF!</definedName>
    <definedName name="rare8" localSheetId="7">INV!#REF!</definedName>
    <definedName name="rare8">INV!#REF!</definedName>
    <definedName name="RareAll" localSheetId="29">[2]EC!$G$26</definedName>
    <definedName name="RareAll" localSheetId="27">[2]EC!$G$26</definedName>
    <definedName name="RareAll" localSheetId="2">[1]CQ!$G$76</definedName>
    <definedName name="RareAll" localSheetId="28">[2]EC!$G$26</definedName>
    <definedName name="RareAll">EC!$G$26</definedName>
    <definedName name="rarecommu" localSheetId="29">[2]POL!#REF!</definedName>
    <definedName name="rarecommu" localSheetId="27">[2]POL!#REF!</definedName>
    <definedName name="rarecommu" localSheetId="2">[1]POL!$G$123</definedName>
    <definedName name="rarecommu" localSheetId="28">[2]POL!#REF!</definedName>
    <definedName name="rarecommu" localSheetId="7">POL!#REF!</definedName>
    <definedName name="rarecommu">POL!#REF!</definedName>
    <definedName name="RareComPD" localSheetId="29">[2]PH!#REF!</definedName>
    <definedName name="RareComPD" localSheetId="27">[2]PH!#REF!</definedName>
    <definedName name="RareComPD" localSheetId="28">[2]PH!#REF!</definedName>
    <definedName name="RareComPD" localSheetId="7">PH!#REF!</definedName>
    <definedName name="RareComPD">PH!#REF!</definedName>
    <definedName name="RareFNA" localSheetId="29">[2]FR!#REF!</definedName>
    <definedName name="RareFNA" localSheetId="27">[2]FR!#REF!</definedName>
    <definedName name="RareFNA" localSheetId="2">[1]FR!$G$106</definedName>
    <definedName name="RareFNA" localSheetId="28">[2]FR!#REF!</definedName>
    <definedName name="RareFNA" localSheetId="7">FR!#REF!</definedName>
    <definedName name="RareFNA">FR!#REF!</definedName>
    <definedName name="RareFR" localSheetId="29">[2]FR!#REF!</definedName>
    <definedName name="RareFR" localSheetId="27">[2]FR!#REF!</definedName>
    <definedName name="RareFR" localSheetId="28">[2]FR!#REF!</definedName>
    <definedName name="RareFR" localSheetId="7">FR!#REF!</definedName>
    <definedName name="RareFR">FR!#REF!</definedName>
    <definedName name="rareherb" localSheetId="29">[2]POL!$G$99</definedName>
    <definedName name="rareherb" localSheetId="27">[2]POL!$G$99</definedName>
    <definedName name="rareherb" localSheetId="2">[1]POL!$G$122</definedName>
    <definedName name="rareherb" localSheetId="28">[2]POL!$G$99</definedName>
    <definedName name="rareherb">POL!$G$99</definedName>
    <definedName name="RarePcom" localSheetId="29">[2]PH!#REF!</definedName>
    <definedName name="RarePcom" localSheetId="27">[2]PH!#REF!</definedName>
    <definedName name="RarePcom" localSheetId="2">[1]PD!$G$183</definedName>
    <definedName name="RarePcom" localSheetId="28">[2]PH!#REF!</definedName>
    <definedName name="RarePcom" localSheetId="7">PH!#REF!</definedName>
    <definedName name="RarePcom">PH!#REF!</definedName>
    <definedName name="RarePspp" localSheetId="29">[2]PH!$G$234</definedName>
    <definedName name="RarePspp" localSheetId="27">[2]PH!$G$234</definedName>
    <definedName name="RarePspp" localSheetId="2">[1]PD!$G$178</definedName>
    <definedName name="RarePspp" localSheetId="28">[2]PH!$G$234</definedName>
    <definedName name="RarePspp">PH!$G$234</definedName>
    <definedName name="RareSpPD">PH!$D$234</definedName>
    <definedName name="RareType" localSheetId="29">#REF!</definedName>
    <definedName name="RareType" localSheetId="27">#REF!</definedName>
    <definedName name="RareType" localSheetId="2">#REF!</definedName>
    <definedName name="RareType" localSheetId="28">#REF!</definedName>
    <definedName name="RareType" localSheetId="7">#REF!</definedName>
    <definedName name="RareType">#REF!</definedName>
    <definedName name="RareTypePD" localSheetId="29">[2]PH!#REF!</definedName>
    <definedName name="RareTypePD" localSheetId="27">[2]PH!#REF!</definedName>
    <definedName name="RareTypePD" localSheetId="28">[2]PH!#REF!</definedName>
    <definedName name="RareTypePD" localSheetId="7">PH!#REF!</definedName>
    <definedName name="RareTypePD">PH!#REF!</definedName>
    <definedName name="RareWclass_S" localSheetId="29">[2]Sen!$G$87</definedName>
    <definedName name="RareWclass_S" localSheetId="27">[2]Sen!$G$87</definedName>
    <definedName name="RareWclass_S" localSheetId="28">[2]Sen!$G$87</definedName>
    <definedName name="RareWclass_S">Sen!$G$80</definedName>
    <definedName name="RareWclass0" localSheetId="29">[2]POL!$G$98</definedName>
    <definedName name="RareWclass0" localSheetId="27">[2]POL!$G$98</definedName>
    <definedName name="RareWclass0" localSheetId="28">[2]POL!$G$98</definedName>
    <definedName name="RareWclass0">POL!$G$98</definedName>
    <definedName name="RareWclass11">AM!$G$234</definedName>
    <definedName name="RareWclass12" localSheetId="29">[2]WBF!$G$174</definedName>
    <definedName name="RareWclass12" localSheetId="27">[2]WBF!$G$174</definedName>
    <definedName name="RareWclass12" localSheetId="28">[2]WBF!$G$174</definedName>
    <definedName name="RareWclass12">WBF!$G$174</definedName>
    <definedName name="RareWclass13" localSheetId="29">[2]WBN!$G$200</definedName>
    <definedName name="RareWclass13" localSheetId="27">[2]WBN!$G$200</definedName>
    <definedName name="RareWclass13" localSheetId="28">[2]WBN!$G$200</definedName>
    <definedName name="RareWclass13">WBN!$G$200</definedName>
    <definedName name="RareWclass14" localSheetId="29">[2]SBM!$G$234</definedName>
    <definedName name="RareWclass14" localSheetId="27">[2]SBM!$G$234</definedName>
    <definedName name="RareWclass14" localSheetId="28">[2]SBM!$G$234</definedName>
    <definedName name="RareWclass14">SBM!$G$235</definedName>
    <definedName name="RareWclass8" localSheetId="29">[2]INV!$G$175</definedName>
    <definedName name="RareWclass8" localSheetId="27">[2]INV!$G$175</definedName>
    <definedName name="RareWclass8" localSheetId="28">[2]INV!$G$175</definedName>
    <definedName name="RareWclass8">INV!#REF!</definedName>
    <definedName name="RareWclassPD" localSheetId="29">[2]PH!$G$233</definedName>
    <definedName name="RareWclassPD" localSheetId="27">[2]PH!$G$233</definedName>
    <definedName name="RareWclassPD" localSheetId="28">[2]PH!$G$233</definedName>
    <definedName name="RareWclassPD">PH!$G$233</definedName>
    <definedName name="RdBox" localSheetId="29">[2]STR!$G$9</definedName>
    <definedName name="RdBox" localSheetId="27">[2]STR!$G$9</definedName>
    <definedName name="RdBox" localSheetId="2">[1]STR!$G$61</definedName>
    <definedName name="RdBox" localSheetId="28">[2]STR!$G$9</definedName>
    <definedName name="RdBox">STR!$G$9</definedName>
    <definedName name="RdBox14" localSheetId="29">[2]SBM!$G$9</definedName>
    <definedName name="RdBox14" localSheetId="27">[2]SBM!$G$9</definedName>
    <definedName name="RdBox14" localSheetId="2">[1]SBM!$G$108</definedName>
    <definedName name="RdBox14" localSheetId="28">[2]SBM!$G$9</definedName>
    <definedName name="RdBox14">SBM!$G$9</definedName>
    <definedName name="RdCirc11">[3]AM!$G$206</definedName>
    <definedName name="RdDis11" localSheetId="29">[2]AM!$G$4</definedName>
    <definedName name="RdDis11" localSheetId="27">[2]AM!$G$4</definedName>
    <definedName name="RdDis11" localSheetId="2">[1]AM!$G$167</definedName>
    <definedName name="RdDis11" localSheetId="28">[2]AM!$G$4</definedName>
    <definedName name="RdDis11">AM!$G$4</definedName>
    <definedName name="RdDis13" localSheetId="29">[2]WBN!$G$3</definedName>
    <definedName name="RdDis13" localSheetId="27">[2]WBN!$G$3</definedName>
    <definedName name="RdDis13" localSheetId="2">[1]WBN!$G$179</definedName>
    <definedName name="RdDis13" localSheetId="28">[2]WBN!$G$3</definedName>
    <definedName name="RdDis13">WBN!$G$3</definedName>
    <definedName name="RecPot" localSheetId="29">[2]PU!$G$58</definedName>
    <definedName name="RecPot" localSheetId="27">[2]PU!$G$58</definedName>
    <definedName name="RecPot" localSheetId="28">[2]PU!$G$58</definedName>
    <definedName name="RecPot">PU!$G$59</definedName>
    <definedName name="RecreaPoten" localSheetId="29">[2]PU!$G$36</definedName>
    <definedName name="RecreaPoten" localSheetId="27">[2]PU!$G$36</definedName>
    <definedName name="RecreaPoten" localSheetId="2">[1]PU!$G$16</definedName>
    <definedName name="RecreaPoten" localSheetId="28">[2]PU!$G$36</definedName>
    <definedName name="RecreaPoten">PU!$G$37</definedName>
    <definedName name="RecUse" localSheetId="29">[2]STR!$G$53</definedName>
    <definedName name="RecUse" localSheetId="27">[2]STR!$G$53</definedName>
    <definedName name="RecUse" localSheetId="28">[2]STR!$G$53</definedName>
    <definedName name="RecUse">STR!$G$53</definedName>
    <definedName name="Redox4" localSheetId="29">[2]NR!$G$226</definedName>
    <definedName name="Redox4" localSheetId="27">[2]NR!$G$226</definedName>
    <definedName name="Redox4" localSheetId="28">[2]NR!$G$226</definedName>
    <definedName name="Redox4">NR!$G$226</definedName>
    <definedName name="ResFish" localSheetId="29">[2]INV!$G$177</definedName>
    <definedName name="ResFish" localSheetId="27">[2]INV!$G$177</definedName>
    <definedName name="ResFish" localSheetId="2">[1]INV!$G$160</definedName>
    <definedName name="ResFish" localSheetId="28">[2]INV!$G$177</definedName>
    <definedName name="ResFish">INV!$G$176</definedName>
    <definedName name="ResFishScore2_" localSheetId="29">[2]SFS!$G$57</definedName>
    <definedName name="ResFishScore2_" localSheetId="27">[2]SFS!$G$57</definedName>
    <definedName name="ResFishScore2_" localSheetId="28">[2]SFS!$G$57</definedName>
    <definedName name="ResFishScore2_">SFS!$G$57</definedName>
    <definedName name="RoadCirc11" localSheetId="29">[2]AM!$G$3</definedName>
    <definedName name="RoadCirc11" localSheetId="27">[2]AM!$G$3</definedName>
    <definedName name="RoadCirc11" localSheetId="2">[1]AM!$G$166</definedName>
    <definedName name="RoadCirc11" localSheetId="28">[2]AM!$G$3</definedName>
    <definedName name="RoadCirc11">AM!$G$3</definedName>
    <definedName name="RoadDist" localSheetId="29">#REF!</definedName>
    <definedName name="RoadDist" localSheetId="27">#REF!</definedName>
    <definedName name="RoadDist" localSheetId="2">#REF!</definedName>
    <definedName name="RoadDist" localSheetId="28">#REF!</definedName>
    <definedName name="RoadDist" localSheetId="7">#REF!</definedName>
    <definedName name="RoadDist">#REF!</definedName>
    <definedName name="S1A" localSheetId="29">[2]S!#REF!</definedName>
    <definedName name="S1A" localSheetId="27">[2]S!#REF!</definedName>
    <definedName name="S1A" localSheetId="28">[2]S!#REF!</definedName>
    <definedName name="S1A">S!#REF!</definedName>
    <definedName name="S2A" localSheetId="29">[2]S!#REF!</definedName>
    <definedName name="S2A" localSheetId="27">[2]S!#REF!</definedName>
    <definedName name="S2A" localSheetId="28">[2]S!#REF!</definedName>
    <definedName name="S2A">S!#REF!</definedName>
    <definedName name="S2B" localSheetId="29">[2]S!#REF!</definedName>
    <definedName name="S2B" localSheetId="27">[2]S!#REF!</definedName>
    <definedName name="S2B" localSheetId="28">[2]S!#REF!</definedName>
    <definedName name="S2B">S!#REF!</definedName>
    <definedName name="S2C" localSheetId="29">[2]S!#REF!</definedName>
    <definedName name="S2C" localSheetId="27">[2]S!#REF!</definedName>
    <definedName name="S2C" localSheetId="28">[2]S!#REF!</definedName>
    <definedName name="S2C">S!#REF!</definedName>
    <definedName name="S3A" localSheetId="29">[2]S!#REF!</definedName>
    <definedName name="S3A" localSheetId="27">[2]S!#REF!</definedName>
    <definedName name="S3A" localSheetId="28">[2]S!#REF!</definedName>
    <definedName name="S3A">S!#REF!</definedName>
    <definedName name="S3B" localSheetId="29">[2]S!#REF!</definedName>
    <definedName name="S3B" localSheetId="27">[2]S!#REF!</definedName>
    <definedName name="S3B" localSheetId="28">[2]S!#REF!</definedName>
    <definedName name="S3B">S!#REF!</definedName>
    <definedName name="S3C" localSheetId="29">[2]S!#REF!</definedName>
    <definedName name="S3C" localSheetId="27">[2]S!#REF!</definedName>
    <definedName name="S3C" localSheetId="28">[2]S!#REF!</definedName>
    <definedName name="S3C">S!#REF!</definedName>
    <definedName name="S4A" localSheetId="29">[2]S!#REF!</definedName>
    <definedName name="S4A" localSheetId="27">[2]S!#REF!</definedName>
    <definedName name="S4A" localSheetId="28">[2]S!#REF!</definedName>
    <definedName name="S4A">S!#REF!</definedName>
    <definedName name="S4B" localSheetId="29">[2]S!#REF!</definedName>
    <definedName name="S4B" localSheetId="27">[2]S!#REF!</definedName>
    <definedName name="S4B" localSheetId="28">[2]S!#REF!</definedName>
    <definedName name="S4B">S!#REF!</definedName>
    <definedName name="S4C" localSheetId="29">[2]S!#REF!</definedName>
    <definedName name="S4C" localSheetId="27">[2]S!#REF!</definedName>
    <definedName name="S4C" localSheetId="28">[2]S!#REF!</definedName>
    <definedName name="S4C">S!#REF!</definedName>
    <definedName name="S5A" localSheetId="29">[2]S!#REF!</definedName>
    <definedName name="S5A" localSheetId="27">[2]S!#REF!</definedName>
    <definedName name="S5A" localSheetId="28">[2]S!#REF!</definedName>
    <definedName name="S5A">S!#REF!</definedName>
    <definedName name="S5B" localSheetId="29">[2]S!#REF!</definedName>
    <definedName name="S5B" localSheetId="27">[2]S!#REF!</definedName>
    <definedName name="S5B" localSheetId="28">[2]S!#REF!</definedName>
    <definedName name="S5B">S!#REF!</definedName>
    <definedName name="S5C" localSheetId="29">[2]S!#REF!</definedName>
    <definedName name="S5C" localSheetId="27">[2]S!#REF!</definedName>
    <definedName name="S5C" localSheetId="28">[2]S!#REF!</definedName>
    <definedName name="S5C">S!#REF!</definedName>
    <definedName name="s6a" localSheetId="29">[2]S!#REF!</definedName>
    <definedName name="s6a" localSheetId="27">[2]S!#REF!</definedName>
    <definedName name="s6a" localSheetId="28">[2]S!#REF!</definedName>
    <definedName name="s6a">S!#REF!</definedName>
    <definedName name="s6a1" localSheetId="29">[2]S!#REF!</definedName>
    <definedName name="s6a1" localSheetId="27">[2]S!#REF!</definedName>
    <definedName name="s6a1" localSheetId="28">[2]S!#REF!</definedName>
    <definedName name="s6a1">S!#REF!</definedName>
    <definedName name="s6b" localSheetId="29">[2]S!#REF!</definedName>
    <definedName name="s6b" localSheetId="27">[2]S!#REF!</definedName>
    <definedName name="s6b" localSheetId="28">[2]S!#REF!</definedName>
    <definedName name="s6b">S!#REF!</definedName>
    <definedName name="S7A" localSheetId="29">[2]S!#REF!</definedName>
    <definedName name="S7A" localSheetId="27">[2]S!#REF!</definedName>
    <definedName name="S7A" localSheetId="28">[2]S!#REF!</definedName>
    <definedName name="S7A">S!#REF!</definedName>
    <definedName name="S7B" localSheetId="29">[2]S!#REF!</definedName>
    <definedName name="S7B" localSheetId="27">[2]S!#REF!</definedName>
    <definedName name="S7B" localSheetId="28">[2]S!#REF!</definedName>
    <definedName name="S7B">S!#REF!</definedName>
    <definedName name="S7C" localSheetId="29">[2]S!#REF!</definedName>
    <definedName name="S7C" localSheetId="27">[2]S!#REF!</definedName>
    <definedName name="S7C" localSheetId="28">[2]S!#REF!</definedName>
    <definedName name="S7C">S!#REF!</definedName>
    <definedName name="S8A" localSheetId="29">[2]S!#REF!</definedName>
    <definedName name="S8A" localSheetId="27">[2]S!#REF!</definedName>
    <definedName name="S8A" localSheetId="28">[2]S!#REF!</definedName>
    <definedName name="S8A">S!#REF!</definedName>
    <definedName name="S8A1" localSheetId="29">[2]S!#REF!</definedName>
    <definedName name="S8A1" localSheetId="27">[2]S!#REF!</definedName>
    <definedName name="S8A1" localSheetId="28">[2]S!#REF!</definedName>
    <definedName name="S8A1">S!#REF!</definedName>
    <definedName name="S8B" localSheetId="29">[2]S!#REF!</definedName>
    <definedName name="S8B" localSheetId="27">[2]S!#REF!</definedName>
    <definedName name="S8B" localSheetId="28">[2]S!#REF!</definedName>
    <definedName name="S8B">S!#REF!</definedName>
    <definedName name="S8C" localSheetId="29">[2]S!#REF!</definedName>
    <definedName name="S8C" localSheetId="27">[2]S!#REF!</definedName>
    <definedName name="S8C" localSheetId="28">[2]S!#REF!</definedName>
    <definedName name="S8C">S!#REF!</definedName>
    <definedName name="s9a" localSheetId="29">[2]S!#REF!</definedName>
    <definedName name="s9a" localSheetId="27">[2]S!#REF!</definedName>
    <definedName name="s9a" localSheetId="28">[2]S!#REF!</definedName>
    <definedName name="s9a">S!#REF!</definedName>
    <definedName name="s9b" localSheetId="29">[2]S!#REF!</definedName>
    <definedName name="s9b" localSheetId="27">[2]S!#REF!</definedName>
    <definedName name="s9b" localSheetId="28">[2]S!#REF!</definedName>
    <definedName name="s9b">S!#REF!</definedName>
    <definedName name="s9c" localSheetId="29">[2]S!#REF!</definedName>
    <definedName name="s9c" localSheetId="27">[2]S!#REF!</definedName>
    <definedName name="s9c" localSheetId="28">[2]S!#REF!</definedName>
    <definedName name="s9c">S!#REF!</definedName>
    <definedName name="Salin3" localSheetId="29">[2]PR!#REF!</definedName>
    <definedName name="Salin3" localSheetId="27">[2]PR!#REF!</definedName>
    <definedName name="Salin3" localSheetId="2">[1]PR!$G$4</definedName>
    <definedName name="Salin3" localSheetId="28">[2]PR!#REF!</definedName>
    <definedName name="Salin3" localSheetId="7">PR!#REF!</definedName>
    <definedName name="Salin3">PR!#REF!</definedName>
    <definedName name="Salin4" localSheetId="29">[2]NR!#REF!</definedName>
    <definedName name="Salin4" localSheetId="27">[2]NR!#REF!</definedName>
    <definedName name="Salin4" localSheetId="28">[2]NR!#REF!</definedName>
    <definedName name="Salin4" localSheetId="7">NR!#REF!</definedName>
    <definedName name="Salin4">NR!#REF!</definedName>
    <definedName name="Salin5" localSheetId="29">[2]CS!#REF!</definedName>
    <definedName name="Salin5" localSheetId="27">[2]CS!#REF!</definedName>
    <definedName name="Salin5" localSheetId="28">[2]CS!#REF!</definedName>
    <definedName name="Salin5" localSheetId="7">CS!#REF!</definedName>
    <definedName name="Salin5">CS!#REF!</definedName>
    <definedName name="Salin6" localSheetId="29">[2]OE!#REF!</definedName>
    <definedName name="Salin6" localSheetId="27">[2]OE!#REF!</definedName>
    <definedName name="Salin6" localSheetId="2">[1]OE!$G$4</definedName>
    <definedName name="Salin6" localSheetId="28">[2]OE!#REF!</definedName>
    <definedName name="Salin6" localSheetId="7">OE!#REF!</definedName>
    <definedName name="Salin6">OE!#REF!</definedName>
    <definedName name="Salin9" localSheetId="29">[2]FA!#REF!</definedName>
    <definedName name="Salin9" localSheetId="27">[2]FA!#REF!</definedName>
    <definedName name="Salin9" localSheetId="2">[1]FA!#REF!</definedName>
    <definedName name="Salin9" localSheetId="28">[2]FA!#REF!</definedName>
    <definedName name="Salin9" localSheetId="7">FA!#REF!</definedName>
    <definedName name="Salin9">FA!#REF!</definedName>
    <definedName name="Saline11" localSheetId="29">[2]AM!#REF!</definedName>
    <definedName name="Saline11" localSheetId="27">[2]AM!#REF!</definedName>
    <definedName name="Saline11" localSheetId="2">[1]AM!#REF!</definedName>
    <definedName name="Saline11" localSheetId="28">[2]AM!#REF!</definedName>
    <definedName name="Saline11" localSheetId="7">AM!#REF!</definedName>
    <definedName name="Saline11">AM!#REF!</definedName>
    <definedName name="Salinity11" localSheetId="29">[2]AM!#REF!</definedName>
    <definedName name="Salinity11" localSheetId="27">[2]AM!#REF!</definedName>
    <definedName name="Salinity11" localSheetId="2">[1]AM!#REF!</definedName>
    <definedName name="Salinity11" localSheetId="28">[2]AM!#REF!</definedName>
    <definedName name="Salinity11" localSheetId="7">AM!#REF!</definedName>
    <definedName name="Salinity11">AM!#REF!</definedName>
    <definedName name="Salinity2" localSheetId="29">[2]SR!#REF!</definedName>
    <definedName name="Salinity2" localSheetId="27">[2]SR!#REF!</definedName>
    <definedName name="Salinity2" localSheetId="2">[1]SR!$G$3</definedName>
    <definedName name="Salinity2" localSheetId="28">[2]SR!#REF!</definedName>
    <definedName name="Salinity2" localSheetId="7">SR!#REF!</definedName>
    <definedName name="Salinity2">SR!#REF!</definedName>
    <definedName name="SalinPD" localSheetId="29">[2]PH!#REF!</definedName>
    <definedName name="SalinPD" localSheetId="27">[2]PH!#REF!</definedName>
    <definedName name="SalinPD" localSheetId="2">[1]PD!$G$15</definedName>
    <definedName name="SalinPD" localSheetId="28">[2]PH!#REF!</definedName>
    <definedName name="SalinPD" localSheetId="7">PH!#REF!</definedName>
    <definedName name="SalinPD">PH!#REF!</definedName>
    <definedName name="Salmon5" localSheetId="29">[2]CS!#REF!</definedName>
    <definedName name="Salmon5" localSheetId="27">[2]CS!#REF!</definedName>
    <definedName name="Salmon5" localSheetId="28">[2]CS!#REF!</definedName>
    <definedName name="Salmon5">CS!#REF!</definedName>
    <definedName name="SalmonShedPS">SubSis!$D$24</definedName>
    <definedName name="SalmonShedPS2" localSheetId="29">[2]SubSis!$G$24</definedName>
    <definedName name="SalmonShedPS2" localSheetId="27">[2]SubSis!$G$24</definedName>
    <definedName name="SalmonShedPS2" localSheetId="28">[2]SubSis!$G$24</definedName>
    <definedName name="SalmonShedPS2">SubSis!$G$24</definedName>
    <definedName name="SalmoShed9">FA!$D$147</definedName>
    <definedName name="SalmoShed9v" localSheetId="29">[2]FA!$G$141</definedName>
    <definedName name="SalmoShed9v" localSheetId="27">[2]FA!$G$141</definedName>
    <definedName name="SalmoShed9v" localSheetId="28">[2]FA!$G$141</definedName>
    <definedName name="Salmoshed9v">FA!$G$147</definedName>
    <definedName name="SatPct_S" localSheetId="29">[2]Sen!$G$130</definedName>
    <definedName name="SatPct_S" localSheetId="27">[2]Sen!$G$130</definedName>
    <definedName name="SatPct_S" localSheetId="28">[2]Sen!$G$130</definedName>
    <definedName name="SatPct_S">Sen!$G$123</definedName>
    <definedName name="SatPct0" localSheetId="29">[2]POL!#REF!</definedName>
    <definedName name="SatPct0" localSheetId="27">[2]POL!#REF!</definedName>
    <definedName name="SatPct0" localSheetId="28">[2]POL!#REF!</definedName>
    <definedName name="SatPct0">POL!#REF!</definedName>
    <definedName name="SatPct10" localSheetId="29">[2]FR!$G$42</definedName>
    <definedName name="SatPct10" localSheetId="27">[2]FR!$G$42</definedName>
    <definedName name="SatPct10" localSheetId="28">[2]FR!$G$42</definedName>
    <definedName name="SatPct10">FR!$G$42</definedName>
    <definedName name="SatPct11" localSheetId="29">[2]AM!$G$93</definedName>
    <definedName name="SatPct11" localSheetId="27">[2]AM!$G$93</definedName>
    <definedName name="SatPct11" localSheetId="28">[2]AM!$G$93</definedName>
    <definedName name="SatPct11">AM!$G$98</definedName>
    <definedName name="SatPct12" localSheetId="29">[2]WBF!$G$66</definedName>
    <definedName name="SatPct12" localSheetId="27">[2]WBF!$G$66</definedName>
    <definedName name="SatPct12" localSheetId="28">[2]WBF!$G$66</definedName>
    <definedName name="SatPct12">WBF!$G$64</definedName>
    <definedName name="SatPct13" localSheetId="29">[2]WBN!$G$65</definedName>
    <definedName name="SatPct13" localSheetId="27">[2]WBN!$G$65</definedName>
    <definedName name="SatPct13" localSheetId="28">[2]WBN!$G$65</definedName>
    <definedName name="SatPct13">WBN!$G$63</definedName>
    <definedName name="SatPct14" localSheetId="29">[2]SBM!$G$78</definedName>
    <definedName name="SatPct14" localSheetId="27">[2]SBM!$G$78</definedName>
    <definedName name="SatPct14" localSheetId="28">[2]SBM!$G$78</definedName>
    <definedName name="SatPct14">SBM!$G$71</definedName>
    <definedName name="SatPct2v" localSheetId="29">[2]SR!$G$146</definedName>
    <definedName name="SatPct2v" localSheetId="27">[2]SR!$G$146</definedName>
    <definedName name="SatPct2v" localSheetId="28">[2]SR!$G$146</definedName>
    <definedName name="SatPct2v">SR!$G$146</definedName>
    <definedName name="SatPct3" localSheetId="29">[2]PR!$G$30</definedName>
    <definedName name="SatPct3" localSheetId="27">[2]PR!$G$30</definedName>
    <definedName name="SatPct3" localSheetId="28">[2]PR!$G$30</definedName>
    <definedName name="SatPct3">PR!$G$35</definedName>
    <definedName name="SatPct4" localSheetId="29">[2]NR!$G$45</definedName>
    <definedName name="SatPct4" localSheetId="27">[2]NR!$G$45</definedName>
    <definedName name="SatPct4" localSheetId="28">[2]NR!$G$45</definedName>
    <definedName name="SatPct4">NR!$G$50</definedName>
    <definedName name="SatPct7" localSheetId="29">[2]WC!$G$7</definedName>
    <definedName name="SatPct7" localSheetId="27">[2]WC!$G$7</definedName>
    <definedName name="SatPct7" localSheetId="28">[2]WC!$G$7</definedName>
    <definedName name="SatPct7">WC!$G$7</definedName>
    <definedName name="SatPct8" localSheetId="29">[2]INV!$G$39</definedName>
    <definedName name="SatPct8" localSheetId="27">[2]INV!$G$39</definedName>
    <definedName name="SatPct8" localSheetId="28">[2]INV!$G$39</definedName>
    <definedName name="SatPct8">INV!$G$39</definedName>
    <definedName name="SatPct9" localSheetId="29">[2]FA!$G$38</definedName>
    <definedName name="SatPct9" localSheetId="27">[2]FA!$G$38</definedName>
    <definedName name="SatPct9" localSheetId="28">[2]FA!$G$38</definedName>
    <definedName name="SatPct9">FA!$G$38</definedName>
    <definedName name="SatPctPD" localSheetId="29">[2]PH!$G$71</definedName>
    <definedName name="SatPctPD" localSheetId="27">[2]PH!$G$71</definedName>
    <definedName name="SatPctPD" localSheetId="28">[2]PH!$G$71</definedName>
    <definedName name="SatPctPD">PH!$G$64</definedName>
    <definedName name="Satur10">FR!$D$42</definedName>
    <definedName name="SAV_LT5" localSheetId="29">[2]EC!#REF!</definedName>
    <definedName name="SAV_LT5" localSheetId="27">[2]EC!#REF!</definedName>
    <definedName name="SAV_LT5" localSheetId="28">[2]EC!#REF!</definedName>
    <definedName name="SAV_LT5">EC!#REF!</definedName>
    <definedName name="SAV1pd" localSheetId="29">[2]PH!#REF!</definedName>
    <definedName name="SAV1pd" localSheetId="27">[2]PH!#REF!</definedName>
    <definedName name="SAV1pd" localSheetId="2">[1]PD!$G$46</definedName>
    <definedName name="SAV1pd" localSheetId="28">[2]PH!#REF!</definedName>
    <definedName name="SAV1pd" localSheetId="7">PH!#REF!</definedName>
    <definedName name="SAV1pd">PH!#REF!</definedName>
    <definedName name="sav2pd" localSheetId="29">[2]PH!#REF!</definedName>
    <definedName name="sav2pd" localSheetId="27">[2]PH!#REF!</definedName>
    <definedName name="sav2pd" localSheetId="2">[1]PD!$G$50</definedName>
    <definedName name="sav2pd" localSheetId="28">[2]PH!#REF!</definedName>
    <definedName name="sav2pd" localSheetId="7">PH!#REF!</definedName>
    <definedName name="sav2pd">PH!#REF!</definedName>
    <definedName name="SAVdom1" localSheetId="29">[2]EC!#REF!</definedName>
    <definedName name="SAVdom1" localSheetId="27">[2]EC!#REF!</definedName>
    <definedName name="SAVdom1" localSheetId="28">[2]EC!#REF!</definedName>
    <definedName name="SAVdom1" localSheetId="7">EC!#REF!</definedName>
    <definedName name="SAVdom1">EC!#REF!</definedName>
    <definedName name="SAVpct3" localSheetId="29">[2]PR!#REF!</definedName>
    <definedName name="SAVpct3" localSheetId="27">[2]PR!#REF!</definedName>
    <definedName name="SAVpct3" localSheetId="2">[1]PR!#REF!</definedName>
    <definedName name="SAVpct3" localSheetId="28">[2]PR!#REF!</definedName>
    <definedName name="SAVpct3" localSheetId="7">PR!#REF!</definedName>
    <definedName name="SAVpct3">PR!#REF!</definedName>
    <definedName name="SAVpct5" localSheetId="29">[2]CS!#REF!</definedName>
    <definedName name="SAVpct5" localSheetId="27">[2]CS!#REF!</definedName>
    <definedName name="SAVpct5" localSheetId="2">[1]CS!#REF!</definedName>
    <definedName name="SAVpct5" localSheetId="28">[2]CS!#REF!</definedName>
    <definedName name="SAVpct5" localSheetId="7">CS!#REF!</definedName>
    <definedName name="SAVpct5">CS!#REF!</definedName>
    <definedName name="SAVpctS" localSheetId="29">[2]Sen!#REF!</definedName>
    <definedName name="SAVpctS" localSheetId="27">[2]Sen!#REF!</definedName>
    <definedName name="SAVpctS" localSheetId="28">[2]Sen!#REF!</definedName>
    <definedName name="SAVpctS">Sen!#REF!</definedName>
    <definedName name="SAVsens1" localSheetId="29">[2]Sen!#REF!</definedName>
    <definedName name="SAVsens1" localSheetId="27">[2]Sen!#REF!</definedName>
    <definedName name="SAVsens1" localSheetId="2">[1]Sen!$G$48</definedName>
    <definedName name="SAVsens1" localSheetId="28">[2]Sen!#REF!</definedName>
    <definedName name="SAVsens1" localSheetId="7">Sen!#REF!</definedName>
    <definedName name="SAVsens1">Sen!#REF!</definedName>
    <definedName name="SAVsens1_C" localSheetId="29">[2]EC!#REF!</definedName>
    <definedName name="SAVsens1_C" localSheetId="27">[2]EC!#REF!</definedName>
    <definedName name="SAVsens1_C" localSheetId="2">[1]CQ!$G$23</definedName>
    <definedName name="SAVsens1_C" localSheetId="28">[2]EC!#REF!</definedName>
    <definedName name="SAVsens1_C" localSheetId="7">EC!#REF!</definedName>
    <definedName name="SAVsens1_C">EC!#REF!</definedName>
    <definedName name="SAVsens2_C" localSheetId="29">[2]EC!#REF!</definedName>
    <definedName name="SAVsens2_C" localSheetId="27">[2]EC!#REF!</definedName>
    <definedName name="SAVsens2_C" localSheetId="2">[1]CQ!$G$27</definedName>
    <definedName name="SAVsens2_C" localSheetId="28">[2]EC!#REF!</definedName>
    <definedName name="SAVsens2_C" localSheetId="7">EC!#REF!</definedName>
    <definedName name="SAVsens2_C">EC!#REF!</definedName>
    <definedName name="SAVsens2_S" localSheetId="29">[2]Sen!#REF!</definedName>
    <definedName name="SAVsens2_S" localSheetId="27">[2]Sen!#REF!</definedName>
    <definedName name="SAVsens2_S" localSheetId="2">[1]Sen!$G$52</definedName>
    <definedName name="SAVsens2_S" localSheetId="28">[2]Sen!#REF!</definedName>
    <definedName name="SAVsens2_S" localSheetId="7">Sen!#REF!</definedName>
    <definedName name="SAVsens2_S">Sen!#REF!</definedName>
    <definedName name="SAVubq1" localSheetId="29">[2]EC!#REF!</definedName>
    <definedName name="SAVubq1" localSheetId="27">[2]EC!#REF!</definedName>
    <definedName name="SAVubq1" localSheetId="28">[2]EC!#REF!</definedName>
    <definedName name="SAVubq1" localSheetId="7">EC!#REF!</definedName>
    <definedName name="SAVubq1">EC!#REF!</definedName>
    <definedName name="SAVubq2" localSheetId="29">[2]Sen!#REF!</definedName>
    <definedName name="SAVubq2" localSheetId="27">[2]Sen!#REF!</definedName>
    <definedName name="SAVubq2" localSheetId="2">[1]Sen!$G$56</definedName>
    <definedName name="SAVubq2" localSheetId="28">[2]Sen!#REF!</definedName>
    <definedName name="SAVubq2" localSheetId="7">Sen!#REF!</definedName>
    <definedName name="SAVubq2">Sen!#REF!</definedName>
    <definedName name="SBMscore10" localSheetId="29">[2]AM!$G$241</definedName>
    <definedName name="SBMscore10" localSheetId="27">[2]AM!$G$241</definedName>
    <definedName name="SBMscore10" localSheetId="28">[2]AM!$G$241</definedName>
    <definedName name="SBMscore10">AM!$G$240</definedName>
    <definedName name="SBMscore9" localSheetId="29">[2]FA!#REF!</definedName>
    <definedName name="SBMscore9" localSheetId="27">[2]FA!#REF!</definedName>
    <definedName name="SBMscore9" localSheetId="28">[2]FA!#REF!</definedName>
    <definedName name="SBMscore9">FA!#REF!</definedName>
    <definedName name="SBMsiteS" localSheetId="29">[2]Sen!$G$113</definedName>
    <definedName name="SBMsiteS" localSheetId="27">[2]Sen!$G$113</definedName>
    <definedName name="SBMsiteS" localSheetId="28">[2]Sen!$G$113</definedName>
    <definedName name="SBMsiteS">Sen!$G$106</definedName>
    <definedName name="ScapeLU11" localSheetId="29">[2]AM!$G$23</definedName>
    <definedName name="ScapeLU11" localSheetId="27">[2]AM!$G$23</definedName>
    <definedName name="ScapeLU11" localSheetId="2">[1]AM!$G$180</definedName>
    <definedName name="ScapeLU11" localSheetId="28">[2]AM!$G$23</definedName>
    <definedName name="ScapeLU11">AM!$G$23</definedName>
    <definedName name="ScapeLU14" localSheetId="29">[2]SBM!$G$29</definedName>
    <definedName name="ScapeLU14" localSheetId="27">[2]SBM!$G$29</definedName>
    <definedName name="ScapeLU14" localSheetId="2">[1]SBM!$G$139</definedName>
    <definedName name="ScapeLU14" localSheetId="28">[2]SBM!$G$29</definedName>
    <definedName name="ScapeLU14">SBM!$G$29</definedName>
    <definedName name="SciUse" localSheetId="29">[2]PU!$G$26</definedName>
    <definedName name="SciUse" localSheetId="27">[2]PU!$G$26</definedName>
    <definedName name="SciUse" localSheetId="2">[1]PU!$G$20</definedName>
    <definedName name="SciUse" localSheetId="28">[2]PU!$G$26</definedName>
    <definedName name="SciUse">PU!$G$26</definedName>
    <definedName name="ScorePLDf">PH!$G$252</definedName>
    <definedName name="ScorePOLf" localSheetId="29">[2]PH!$G$240</definedName>
    <definedName name="ScorePOLf" localSheetId="27">[2]PH!$G$240</definedName>
    <definedName name="ScorePOLf" localSheetId="2">[1]PD!$G$199</definedName>
    <definedName name="ScorePOLf" localSheetId="28">[2]PH!$G$240</definedName>
    <definedName name="ScorePOLf">PH!$G$240</definedName>
    <definedName name="ScoreSBM" localSheetId="29">[2]PH!$G$241</definedName>
    <definedName name="ScoreSBM" localSheetId="27">[2]PH!$G$241</definedName>
    <definedName name="ScoreSBM" localSheetId="28">[2]PH!$G$241</definedName>
    <definedName name="ScoreSBM">PH!$G$241</definedName>
    <definedName name="ScoreSBMf" localSheetId="29">[2]PH!#REF!</definedName>
    <definedName name="ScoreSBMf" localSheetId="27">[2]PH!#REF!</definedName>
    <definedName name="ScoreSBMf" localSheetId="2">[1]PD!$G$201</definedName>
    <definedName name="ScoreSBMf" localSheetId="28">[2]PH!#REF!</definedName>
    <definedName name="ScoreSBMf" localSheetId="7">PH!#REF!</definedName>
    <definedName name="ScoreSBMf">PH!#REF!</definedName>
    <definedName name="ScoreSubsis" localSheetId="29">[2]PH!$G$242</definedName>
    <definedName name="ScoreSubsis" localSheetId="27">[2]PH!$G$242</definedName>
    <definedName name="ScoreSubsis" localSheetId="28">[2]PH!$G$242</definedName>
    <definedName name="ScoreSubsis">PH!$G$242</definedName>
    <definedName name="ScoreWBFf" localSheetId="29">[2]PH!#REF!</definedName>
    <definedName name="ScoreWBFf" localSheetId="27">[2]PH!#REF!</definedName>
    <definedName name="ScoreWBFf" localSheetId="2">[1]PD!$G$200</definedName>
    <definedName name="ScoreWBFf" localSheetId="28">[2]PH!#REF!</definedName>
    <definedName name="ScoreWBFf" localSheetId="7">PH!#REF!</definedName>
    <definedName name="ScoreWBFf">PH!#REF!</definedName>
    <definedName name="Scum15" localSheetId="29">[2]EC!#REF!</definedName>
    <definedName name="Scum15" localSheetId="27">[2]EC!#REF!</definedName>
    <definedName name="Scum15" localSheetId="2">[1]CQ!$G$20</definedName>
    <definedName name="Scum15" localSheetId="28">[2]EC!#REF!</definedName>
    <definedName name="Scum15" localSheetId="7">EC!#REF!</definedName>
    <definedName name="Scum15">EC!#REF!</definedName>
    <definedName name="Scum3" localSheetId="29">[2]PR!#REF!</definedName>
    <definedName name="Scum3" localSheetId="27">[2]PR!#REF!</definedName>
    <definedName name="Scum3" localSheetId="2">[1]PR!$G$74</definedName>
    <definedName name="Scum3" localSheetId="28">[2]PR!#REF!</definedName>
    <definedName name="Scum3" localSheetId="7">PR!#REF!</definedName>
    <definedName name="Scum3">PR!#REF!</definedName>
    <definedName name="Scum9" localSheetId="29">[2]FA!#REF!</definedName>
    <definedName name="Scum9" localSheetId="27">[2]FA!#REF!</definedName>
    <definedName name="Scum9" localSheetId="2">[1]FA!$G$91</definedName>
    <definedName name="Scum9" localSheetId="28">[2]FA!#REF!</definedName>
    <definedName name="Scum9" localSheetId="7">FA!#REF!</definedName>
    <definedName name="Scum9">FA!#REF!</definedName>
    <definedName name="SeasPct1" localSheetId="29">[2]WS!$G$31</definedName>
    <definedName name="SeasPct1" localSheetId="27">[2]WS!$G$31</definedName>
    <definedName name="SeasPct1" localSheetId="2">[1]WS!$G$36</definedName>
    <definedName name="SeasPct1" localSheetId="28">[2]WS!$G$31</definedName>
    <definedName name="SeasPct1">WS!$G$36</definedName>
    <definedName name="SeasPct2" localSheetId="29">[2]SR!$G$30</definedName>
    <definedName name="SeasPct2" localSheetId="27">[2]SR!$G$30</definedName>
    <definedName name="SeasPct2" localSheetId="2">[1]SR!$G$24</definedName>
    <definedName name="SeasPct2" localSheetId="28">[2]SR!$G$30</definedName>
    <definedName name="SeasPct2">SR!$G$35</definedName>
    <definedName name="SeasPct8" localSheetId="29">[2]INV!$G$53</definedName>
    <definedName name="SeasPct8" localSheetId="27">[2]INV!$G$53</definedName>
    <definedName name="SeasPct8" localSheetId="2">[1]INV!$G$37</definedName>
    <definedName name="SeasPct8" localSheetId="28">[2]INV!$G$53</definedName>
    <definedName name="SeasPct8">INV!$G$53</definedName>
    <definedName name="SeasTime1" localSheetId="29">[2]WS!#REF!</definedName>
    <definedName name="SeasTime1" localSheetId="27">[2]WS!#REF!</definedName>
    <definedName name="SeasTime1" localSheetId="2">[1]WS!#REF!</definedName>
    <definedName name="SeasTime1" localSheetId="28">[2]WS!#REF!</definedName>
    <definedName name="SeasTime1" localSheetId="7">WS!#REF!</definedName>
    <definedName name="SeasTime1">WS!#REF!</definedName>
    <definedName name="SeasTime11" localSheetId="29">[2]AM!#REF!</definedName>
    <definedName name="SeasTime11" localSheetId="27">[2]AM!#REF!</definedName>
    <definedName name="SeasTime11" localSheetId="2">[1]AM!$G$33</definedName>
    <definedName name="SeasTime11" localSheetId="28">[2]AM!#REF!</definedName>
    <definedName name="SeasTime11" localSheetId="7">AM!#REF!</definedName>
    <definedName name="SeasTime11">AM!#REF!</definedName>
    <definedName name="SeasTime13" localSheetId="29">[2]WBN!#REF!</definedName>
    <definedName name="SeasTime13" localSheetId="27">[2]WBN!#REF!</definedName>
    <definedName name="SeasTime13" localSheetId="2">[1]WBN!#REF!</definedName>
    <definedName name="SeasTime13" localSheetId="28">[2]WBN!#REF!</definedName>
    <definedName name="SeasTime13" localSheetId="7">WBN!#REF!</definedName>
    <definedName name="SeasTime13">WBN!#REF!</definedName>
    <definedName name="SeasTime8" localSheetId="29">[2]INV!#REF!</definedName>
    <definedName name="SeasTime8" localSheetId="27">[2]INV!#REF!</definedName>
    <definedName name="SeasTime8" localSheetId="2">[1]INV!$G$43</definedName>
    <definedName name="SeasTime8" localSheetId="28">[2]INV!#REF!</definedName>
    <definedName name="SeasTime8" localSheetId="7">INV!#REF!</definedName>
    <definedName name="SeasTime8">INV!#REF!</definedName>
    <definedName name="SeasTimeV1" localSheetId="29">[2]WS!#REF!</definedName>
    <definedName name="SeasTimeV1" localSheetId="27">[2]WS!#REF!</definedName>
    <definedName name="SeasTimeV1" localSheetId="2">[1]WS!#REF!</definedName>
    <definedName name="SeasTimeV1" localSheetId="28">[2]WS!#REF!</definedName>
    <definedName name="SeasTimeV1" localSheetId="7">WS!#REF!</definedName>
    <definedName name="SeasTimeV1">WS!#REF!</definedName>
    <definedName name="SeasTiming10" localSheetId="29">[2]FR!#REF!</definedName>
    <definedName name="SeasTiming10" localSheetId="27">[2]FR!#REF!</definedName>
    <definedName name="SeasTiming10" localSheetId="2">[1]FR!$G$44</definedName>
    <definedName name="SeasTiming10" localSheetId="28">[2]FR!#REF!</definedName>
    <definedName name="SeasTiming10" localSheetId="7">FR!#REF!</definedName>
    <definedName name="SeasTiming10">FR!#REF!</definedName>
    <definedName name="SeasTiming9" localSheetId="29">[2]FA!#REF!</definedName>
    <definedName name="SeasTiming9" localSheetId="27">[2]FA!#REF!</definedName>
    <definedName name="SeasTiming9" localSheetId="28">[2]FA!#REF!</definedName>
    <definedName name="SeasTiming9" localSheetId="7">FA!#REF!</definedName>
    <definedName name="SeasTiming9">FA!#REF!</definedName>
    <definedName name="SeasW_S" localSheetId="29">[2]Sen!#REF!</definedName>
    <definedName name="SeasW_S" localSheetId="27">[2]Sen!#REF!</definedName>
    <definedName name="SeasW_S" localSheetId="2">[1]Sen!$G$12</definedName>
    <definedName name="SeasW_S" localSheetId="28">[2]Sen!#REF!</definedName>
    <definedName name="SeasW_S">Sen!#REF!</definedName>
    <definedName name="SeasWpct11" localSheetId="29">[2]AM!#REF!</definedName>
    <definedName name="SeasWpct11" localSheetId="27">[2]AM!#REF!</definedName>
    <definedName name="SeasWpct11" localSheetId="2">[1]AM!$G$27</definedName>
    <definedName name="SeasWpct11" localSheetId="28">[2]AM!#REF!</definedName>
    <definedName name="SeasWpct11">AM!#REF!</definedName>
    <definedName name="SeasWpct12" localSheetId="29">[2]WBF!$G$82</definedName>
    <definedName name="SeasWpct12" localSheetId="27">[2]WBF!$G$82</definedName>
    <definedName name="SeasWpct12" localSheetId="2">[1]WBF!$G$24</definedName>
    <definedName name="SeasWpct12" localSheetId="28">[2]WBF!$G$82</definedName>
    <definedName name="SeasWpct12">WBF!$G$80</definedName>
    <definedName name="SeasWpct13" localSheetId="29">[2]WBN!$G$80</definedName>
    <definedName name="SeasWpct13" localSheetId="27">[2]WBN!$G$80</definedName>
    <definedName name="SeasWpct13" localSheetId="28">[2]WBN!$G$80</definedName>
    <definedName name="SeasWpct13">WBN!$G$78</definedName>
    <definedName name="SeasWpct3" localSheetId="29">[2]PR!#REF!</definedName>
    <definedName name="SeasWpct3" localSheetId="27">[2]PR!#REF!</definedName>
    <definedName name="SeasWpct3" localSheetId="2">[1]PR!#REF!</definedName>
    <definedName name="SeasWpct3" localSheetId="28">[2]PR!#REF!</definedName>
    <definedName name="SeasWpct3" localSheetId="7">PR!#REF!</definedName>
    <definedName name="SeasWpct3">PR!#REF!</definedName>
    <definedName name="SeasWpct4" localSheetId="29">[2]NR!$G$59</definedName>
    <definedName name="SeasWpct4" localSheetId="27">[2]NR!$G$59</definedName>
    <definedName name="SeasWpct4" localSheetId="2">[1]NR!$G$31</definedName>
    <definedName name="SeasWpct4" localSheetId="28">[2]NR!$G$59</definedName>
    <definedName name="SeasWpct4">NR!$G$64</definedName>
    <definedName name="SeasWpct5" localSheetId="29">[2]CS!$G$32</definedName>
    <definedName name="SeasWpct5" localSheetId="27">[2]CS!$G$32</definedName>
    <definedName name="SeasWpct5" localSheetId="2">[1]CS!$G$35</definedName>
    <definedName name="SeasWpct5" localSheetId="28">[2]CS!$G$32</definedName>
    <definedName name="SeasWpct5">CS!$G$31</definedName>
    <definedName name="SeasWpct6" localSheetId="29">[2]OE!$G$48</definedName>
    <definedName name="SeasWpct6" localSheetId="27">[2]OE!$G$48</definedName>
    <definedName name="SeasWpct6" localSheetId="2">[1]OE!$G$36</definedName>
    <definedName name="SeasWpct6" localSheetId="28">[2]OE!$G$48</definedName>
    <definedName name="SeasWpct6">OE!$G$39</definedName>
    <definedName name="SeasWpct9" localSheetId="29">[2]FA!$G$53</definedName>
    <definedName name="SeasWpct9" localSheetId="27">[2]FA!$G$53</definedName>
    <definedName name="SeasWpct9" localSheetId="2">[1]FA!$G$28</definedName>
    <definedName name="SeasWpct9" localSheetId="28">[2]FA!$G$53</definedName>
    <definedName name="SeasWpct9">FA!$G$59</definedName>
    <definedName name="SeasWpctPD" localSheetId="29">[2]PH!$G$78</definedName>
    <definedName name="SeasWpctPD" localSheetId="27">[2]PH!$G$78</definedName>
    <definedName name="SeasWpctPD" localSheetId="28">[2]PH!$G$78</definedName>
    <definedName name="SeasWpctPD">PH!$G$71</definedName>
    <definedName name="SedCA8" localSheetId="29">[2]INV!$G$150</definedName>
    <definedName name="SedCA8" localSheetId="27">[2]INV!$G$150</definedName>
    <definedName name="SedCA8" localSheetId="28">[2]INV!$G$150</definedName>
    <definedName name="SedCA8">INV!$D$150</definedName>
    <definedName name="SedDisturb20" localSheetId="29">[2]PH!$G$209</definedName>
    <definedName name="SedDisturb20" localSheetId="27">[2]PH!$G$209</definedName>
    <definedName name="SedDisturb20" localSheetId="28">[2]PH!$G$209</definedName>
    <definedName name="SedDisturb20">PH!$G$209</definedName>
    <definedName name="Sedge5" localSheetId="29">[2]CS!$G$124</definedName>
    <definedName name="Sedge5" localSheetId="27">[2]CS!$G$124</definedName>
    <definedName name="Sedge5" localSheetId="28">[2]CS!$G$124</definedName>
    <definedName name="Sedge5">CS!$G$118</definedName>
    <definedName name="SedIn10" localSheetId="29">[2]FR!#REF!</definedName>
    <definedName name="SedIn10" localSheetId="27">[2]FR!#REF!</definedName>
    <definedName name="SedIn10" localSheetId="28">[2]FR!#REF!</definedName>
    <definedName name="SedIn10">FR!#REF!</definedName>
    <definedName name="SedIn2" localSheetId="29">[2]SR!$G$114</definedName>
    <definedName name="SedIn2" localSheetId="27">[2]SR!$G$114</definedName>
    <definedName name="SedIn2" localSheetId="2">[1]SR!$G$102</definedName>
    <definedName name="SedIn2" localSheetId="28">[2]SR!$G$114</definedName>
    <definedName name="SedIn2">SR!$G$114</definedName>
    <definedName name="SedIn20" localSheetId="29">[2]PH!#REF!</definedName>
    <definedName name="SedIn20" localSheetId="27">[2]PH!#REF!</definedName>
    <definedName name="SedIn20" localSheetId="28">[2]PH!#REF!</definedName>
    <definedName name="SedIn20">PH!#REF!</definedName>
    <definedName name="SedIn8" localSheetId="29">[2]INV!#REF!</definedName>
    <definedName name="SedIn8" localSheetId="27">[2]INV!#REF!</definedName>
    <definedName name="SedIn8" localSheetId="2">[1]INV!$G$140</definedName>
    <definedName name="SedIn8" localSheetId="28">[2]INV!#REF!</definedName>
    <definedName name="SedIn8" localSheetId="7">INV!#REF!</definedName>
    <definedName name="SedIn8">INV!#REF!</definedName>
    <definedName name="SedIn9" localSheetId="29">[2]FA!$G$126</definedName>
    <definedName name="SedIn9" localSheetId="27">[2]FA!$G$126</definedName>
    <definedName name="SedIn9" localSheetId="2">[1]FA!$G$119</definedName>
    <definedName name="SedIn9" localSheetId="28">[2]FA!$G$126</definedName>
    <definedName name="SedIn9">FA!$G$132</definedName>
    <definedName name="SedLoad" localSheetId="29">[2]STR!$G$77</definedName>
    <definedName name="SedLoad" localSheetId="27">[2]STR!$G$77</definedName>
    <definedName name="SedLoad" localSheetId="2">[1]STR!$G$7</definedName>
    <definedName name="SedLoad" localSheetId="28">[2]STR!$G$77</definedName>
    <definedName name="SedLoad">STR!$G$77</definedName>
    <definedName name="SENS1" localSheetId="29">[2]Sen!#REF!</definedName>
    <definedName name="SENS1" localSheetId="27">[2]Sen!#REF!</definedName>
    <definedName name="SENS1" localSheetId="2">[1]Sen!$G$186</definedName>
    <definedName name="SENS1" localSheetId="28">[2]Sen!#REF!</definedName>
    <definedName name="SENS1">Sen!#REF!</definedName>
    <definedName name="SENS2" localSheetId="29">[2]Sen!#REF!</definedName>
    <definedName name="SENS2" localSheetId="27">[2]Sen!#REF!</definedName>
    <definedName name="SENS2" localSheetId="2">[1]Sen!$G$187</definedName>
    <definedName name="SENS2" localSheetId="28">[2]Sen!#REF!</definedName>
    <definedName name="SENS2">Sen!#REF!</definedName>
    <definedName name="SENS3" localSheetId="29">[2]Sen!#REF!</definedName>
    <definedName name="SENS3" localSheetId="27">[2]Sen!#REF!</definedName>
    <definedName name="SENS3" localSheetId="2">[1]Sen!$G$188</definedName>
    <definedName name="SENS3" localSheetId="28">[2]Sen!#REF!</definedName>
    <definedName name="SENS3">Sen!#REF!</definedName>
    <definedName name="SENS4" localSheetId="29">[2]Sen!#REF!</definedName>
    <definedName name="SENS4" localSheetId="27">[2]Sen!#REF!</definedName>
    <definedName name="SENS4" localSheetId="2">[1]Sen!$G$189</definedName>
    <definedName name="SENS4" localSheetId="28">[2]Sen!#REF!</definedName>
    <definedName name="SENS4">Sen!#REF!</definedName>
    <definedName name="SENS5" localSheetId="29">[2]Sen!#REF!</definedName>
    <definedName name="SENS5" localSheetId="27">[2]Sen!#REF!</definedName>
    <definedName name="SENS5" localSheetId="28">[2]Sen!#REF!</definedName>
    <definedName name="SENS5">Sen!#REF!</definedName>
    <definedName name="Shade10" localSheetId="29">[2]FR!#REF!</definedName>
    <definedName name="Shade10" localSheetId="27">[2]FR!#REF!</definedName>
    <definedName name="Shade10" localSheetId="28">[2]FR!#REF!</definedName>
    <definedName name="Shade10">FR!#REF!</definedName>
    <definedName name="Shade7" localSheetId="29">[2]WC!#REF!</definedName>
    <definedName name="Shade7" localSheetId="27">[2]WC!#REF!</definedName>
    <definedName name="Shade7" localSheetId="2">[1]T!$G$29</definedName>
    <definedName name="Shade7" localSheetId="28">[2]WC!#REF!</definedName>
    <definedName name="Shade7" localSheetId="7">WW!$G$10</definedName>
    <definedName name="Shade7">WC!$G$14</definedName>
    <definedName name="Shade7w" localSheetId="29">[2]WW!#REF!</definedName>
    <definedName name="Shade7w" localSheetId="27">[2]WW!#REF!</definedName>
    <definedName name="Shade7w" localSheetId="28">[2]WW!#REF!</definedName>
    <definedName name="Shade7w">WW!$G$10</definedName>
    <definedName name="Shade9" localSheetId="29">[2]FA!#REF!</definedName>
    <definedName name="Shade9" localSheetId="27">[2]FA!#REF!</definedName>
    <definedName name="Shade9" localSheetId="2">[1]FA!$G$70</definedName>
    <definedName name="Shade9" localSheetId="28">[2]FA!#REF!</definedName>
    <definedName name="Shade9">FA!$G$52</definedName>
    <definedName name="ShadeIn7" localSheetId="29">[2]WC!$G$64</definedName>
    <definedName name="ShadeIn7" localSheetId="27">[2]WC!$G$64</definedName>
    <definedName name="ShadeIn7" localSheetId="28">[2]WC!$G$64</definedName>
    <definedName name="ShadeIn7">WC!$G$70</definedName>
    <definedName name="ShedPos_S" localSheetId="29">[2]Sen!$G$85</definedName>
    <definedName name="ShedPos_S" localSheetId="27">[2]Sen!$G$85</definedName>
    <definedName name="ShedPos_S" localSheetId="2">[1]Sen!$G$170</definedName>
    <definedName name="ShedPos_S" localSheetId="28">[2]Sen!$G$85</definedName>
    <definedName name="ShedPos_S">Sen!$G$78</definedName>
    <definedName name="ShedPos1" localSheetId="29">[2]WS!$G$93</definedName>
    <definedName name="ShedPos1" localSheetId="27">[2]WS!$G$93</definedName>
    <definedName name="ShedPos1" localSheetId="2">[1]WS!$G$75</definedName>
    <definedName name="ShedPos1" localSheetId="28">[2]WS!$G$93</definedName>
    <definedName name="ShedPos1">WS!$G$93</definedName>
    <definedName name="ShedPos4" localSheetId="29">[2]NR!$G$178</definedName>
    <definedName name="ShedPos4" localSheetId="27">[2]NR!$G$178</definedName>
    <definedName name="ShedPos4" localSheetId="2">[1]NR!$G$107</definedName>
    <definedName name="ShedPos4" localSheetId="28">[2]NR!$G$178</definedName>
    <definedName name="ShedPos4">NR!$G$178</definedName>
    <definedName name="ShedWet2" localSheetId="2">[1]SR!$G$81</definedName>
    <definedName name="ShedWet2">SR!$G$129</definedName>
    <definedName name="Shoal2" localSheetId="29">[2]SR!#REF!</definedName>
    <definedName name="Shoal2" localSheetId="27">[2]SR!#REF!</definedName>
    <definedName name="Shoal2" localSheetId="2">[1]SR!$G$150</definedName>
    <definedName name="Shoal2" localSheetId="28">[2]SR!#REF!</definedName>
    <definedName name="Shoal2" localSheetId="7">SR!#REF!</definedName>
    <definedName name="Shoal2">SR!#REF!</definedName>
    <definedName name="Shoaling" localSheetId="29">#REF!</definedName>
    <definedName name="Shoaling" localSheetId="27">#REF!</definedName>
    <definedName name="Shoaling" localSheetId="2">#REF!</definedName>
    <definedName name="Shoaling" localSheetId="28">#REF!</definedName>
    <definedName name="Shoaling" localSheetId="7">#REF!</definedName>
    <definedName name="Shoaling">#REF!</definedName>
    <definedName name="ShoalSS" localSheetId="29">[2]SR!#REF!</definedName>
    <definedName name="ShoalSS" localSheetId="27">[2]SR!#REF!</definedName>
    <definedName name="ShoalSS" localSheetId="28">[2]SR!#REF!</definedName>
    <definedName name="ShoalSS" localSheetId="7">SR!#REF!</definedName>
    <definedName name="ShoalSS">SR!#REF!</definedName>
    <definedName name="ShoreSlope11" localSheetId="29">[2]AM!#REF!</definedName>
    <definedName name="ShoreSlope11" localSheetId="27">[2]AM!#REF!</definedName>
    <definedName name="ShoreSlope11" localSheetId="2">[1]AM!$G$60</definedName>
    <definedName name="ShoreSlope11" localSheetId="28">[2]AM!#REF!</definedName>
    <definedName name="ShoreSlope11">AM!#REF!</definedName>
    <definedName name="ShoreSlope13" localSheetId="29">[2]WBN!$G$101</definedName>
    <definedName name="ShoreSlope13" localSheetId="27">[2]WBN!$G$101</definedName>
    <definedName name="ShoreSlope13" localSheetId="28">[2]WBN!$G$101</definedName>
    <definedName name="ShoreSlope13">WBN!$G$99</definedName>
    <definedName name="ShrubCanop14" localSheetId="29">[2]SBM!$G$142</definedName>
    <definedName name="ShrubCanop14" localSheetId="27">[2]SBM!$G$142</definedName>
    <definedName name="ShrubCanop14" localSheetId="28">[2]SBM!$G$142</definedName>
    <definedName name="ShrubCanop14">SBM!$G$136</definedName>
    <definedName name="ShrubDiv14" localSheetId="29">[2]SBM!$G$148</definedName>
    <definedName name="ShrubDiv14" localSheetId="27">[2]SBM!$G$148</definedName>
    <definedName name="ShrubDiv14" localSheetId="28">[2]SBM!$G$148</definedName>
    <definedName name="ShrubDiv14">SBM!$G$142</definedName>
    <definedName name="ShrubDivPD" localSheetId="29">[2]PH!#REF!</definedName>
    <definedName name="ShrubDivPD" localSheetId="27">[2]PH!#REF!</definedName>
    <definedName name="ShrubDivPD" localSheetId="28">[2]PH!#REF!</definedName>
    <definedName name="ShrubDivPD">PH!#REF!</definedName>
    <definedName name="ShrubDom1" localSheetId="29">[2]EC!$G$4</definedName>
    <definedName name="ShrubDom1" localSheetId="27">[2]EC!$G$4</definedName>
    <definedName name="ShrubDom1" localSheetId="28">[2]EC!$G$4</definedName>
    <definedName name="ShrubDom1">EC!$G$4</definedName>
    <definedName name="ShrubHtDiv14" localSheetId="29">[2]SBM!#REF!</definedName>
    <definedName name="ShrubHtDiv14" localSheetId="27">[2]SBM!#REF!</definedName>
    <definedName name="ShrubHtDiv14" localSheetId="28">[2]SBM!#REF!</definedName>
    <definedName name="ShrubHtDiv14">SBM!#REF!</definedName>
    <definedName name="ShrubHtDivS" localSheetId="29">[2]Sen!#REF!</definedName>
    <definedName name="ShrubHtDivS" localSheetId="27">[2]Sen!#REF!</definedName>
    <definedName name="ShrubHtDivS" localSheetId="28">[2]Sen!#REF!</definedName>
    <definedName name="ShrubHtDivS">Sen!#REF!</definedName>
    <definedName name="ShrubPattS" localSheetId="29">[2]Sen!$G$191</definedName>
    <definedName name="ShrubPattS" localSheetId="27">[2]Sen!$G$191</definedName>
    <definedName name="ShrubPattS" localSheetId="28">[2]Sen!$G$191</definedName>
    <definedName name="ShrubPattS">Sen!$G$184</definedName>
    <definedName name="ShrubSens1" localSheetId="29">[2]Sen!#REF!</definedName>
    <definedName name="ShrubSens1" localSheetId="27">[2]Sen!#REF!</definedName>
    <definedName name="ShrubSens1" localSheetId="2">[1]Sen!$G$80</definedName>
    <definedName name="ShrubSens1" localSheetId="28">[2]Sen!#REF!</definedName>
    <definedName name="ShrubSens1" localSheetId="7">Sen!#REF!</definedName>
    <definedName name="ShrubSens1">Sen!#REF!</definedName>
    <definedName name="ShrubSens1_C" localSheetId="29">[2]EC!#REF!</definedName>
    <definedName name="ShrubSens1_C" localSheetId="27">[2]EC!#REF!</definedName>
    <definedName name="ShrubSens1_C" localSheetId="2">[1]CQ!$G$55</definedName>
    <definedName name="ShrubSens1_C" localSheetId="28">[2]EC!#REF!</definedName>
    <definedName name="ShrubSens1_C" localSheetId="7">EC!#REF!</definedName>
    <definedName name="ShrubSens1_C">EC!#REF!</definedName>
    <definedName name="ShrubSens1_S" localSheetId="29">[2]Sen!#REF!</definedName>
    <definedName name="ShrubSens1_S" localSheetId="27">[2]Sen!#REF!</definedName>
    <definedName name="ShrubSens1_S" localSheetId="2">[1]Sen!#REF!</definedName>
    <definedName name="ShrubSens1_S" localSheetId="28">[2]Sen!#REF!</definedName>
    <definedName name="ShrubSens1_S" localSheetId="7">Sen!#REF!</definedName>
    <definedName name="ShrubSens1_S">Sen!#REF!</definedName>
    <definedName name="ShrubShaded" localSheetId="29">[2]PH!#REF!</definedName>
    <definedName name="ShrubShaded" localSheetId="27">[2]PH!#REF!</definedName>
    <definedName name="ShrubShaded" localSheetId="28">[2]PH!#REF!</definedName>
    <definedName name="ShrubShaded">PH!#REF!</definedName>
    <definedName name="ShrubShaded11" localSheetId="29">[2]AM!#REF!</definedName>
    <definedName name="ShrubShaded11" localSheetId="27">[2]AM!#REF!</definedName>
    <definedName name="ShrubShaded11" localSheetId="28">[2]AM!#REF!</definedName>
    <definedName name="ShrubShaded11">AM!#REF!</definedName>
    <definedName name="ShrubSubcan14" localSheetId="29">[2]SBM!#REF!</definedName>
    <definedName name="ShrubSubcan14" localSheetId="27">[2]SBM!#REF!</definedName>
    <definedName name="ShrubSubcan14" localSheetId="28">[2]SBM!#REF!</definedName>
    <definedName name="ShrubSubcan14">SBM!#REF!</definedName>
    <definedName name="ShrubSun" localSheetId="29">[2]PH!$G$127</definedName>
    <definedName name="ShrubSun" localSheetId="27">[2]PH!$G$127</definedName>
    <definedName name="ShrubSun" localSheetId="28">[2]PH!$G$127</definedName>
    <definedName name="ShrubSun">PH!$G$120</definedName>
    <definedName name="ShrubSun11" localSheetId="29">[2]AM!$G$164</definedName>
    <definedName name="ShrubSun11" localSheetId="27">[2]AM!$G$164</definedName>
    <definedName name="ShrubSun11" localSheetId="28">[2]AM!$G$164</definedName>
    <definedName name="ShrubSun11">AM!$G$163</definedName>
    <definedName name="ShrubUbq1" localSheetId="29">[2]EC!#REF!</definedName>
    <definedName name="ShrubUbq1" localSheetId="27">[2]EC!#REF!</definedName>
    <definedName name="ShrubUbq1" localSheetId="28">[2]EC!#REF!</definedName>
    <definedName name="ShrubUbq1" localSheetId="7">EC!#REF!</definedName>
    <definedName name="ShrubUbq1">EC!#REF!</definedName>
    <definedName name="ShurbHtDiv14">SBM!$C$108</definedName>
    <definedName name="Size_S" localSheetId="29">[2]Sen!$G$15</definedName>
    <definedName name="Size_S" localSheetId="27">[2]Sen!$G$15</definedName>
    <definedName name="Size_S" localSheetId="2">[1]Sen!$G$163</definedName>
    <definedName name="Size_S" localSheetId="28">[2]Sen!$G$15</definedName>
    <definedName name="Size_S">Sen!$G$206</definedName>
    <definedName name="Size0" localSheetId="29">[2]POL!#REF!</definedName>
    <definedName name="Size0" localSheetId="27">[2]POL!#REF!</definedName>
    <definedName name="Size0" localSheetId="2">[1]POL!$G$95</definedName>
    <definedName name="Size0" localSheetId="28">[2]POL!#REF!</definedName>
    <definedName name="Size0">POL!#REF!</definedName>
    <definedName name="Size12" localSheetId="29">[2]WBF!$G$3</definedName>
    <definedName name="Size12" localSheetId="27">[2]WBF!$G$3</definedName>
    <definedName name="Size12" localSheetId="2">[1]WBF!$G$145</definedName>
    <definedName name="Size12" localSheetId="28">[2]WBF!$G$3</definedName>
    <definedName name="Size12">WBF!$G$133</definedName>
    <definedName name="Size13" localSheetId="29">[2]WBN!$G$16</definedName>
    <definedName name="Size13" localSheetId="27">[2]WBN!$G$16</definedName>
    <definedName name="Size13" localSheetId="2">[1]WBN!$G$166</definedName>
    <definedName name="Size13" localSheetId="28">[2]WBN!$G$16</definedName>
    <definedName name="Size13">WBN!$G$156</definedName>
    <definedName name="Size14" localSheetId="29">[2]SBM!$G$38</definedName>
    <definedName name="Size14" localSheetId="27">[2]SBM!$G$38</definedName>
    <definedName name="Size14" localSheetId="2">[1]SBM!$G$173</definedName>
    <definedName name="Size14" localSheetId="28">[2]SBM!$G$38</definedName>
    <definedName name="Size14">SBM!$G$175</definedName>
    <definedName name="SizePD" localSheetId="29">[2]PH!$G$16</definedName>
    <definedName name="SizePD" localSheetId="27">[2]PH!$G$16</definedName>
    <definedName name="SizePD" localSheetId="28">[2]PH!$G$16</definedName>
    <definedName name="SizePD">PH!$G$158</definedName>
    <definedName name="SlidePD" localSheetId="29">[2]PH!$G$52</definedName>
    <definedName name="SlidePD" localSheetId="27">[2]PH!$G$52</definedName>
    <definedName name="SlidePD" localSheetId="28">[2]PH!$G$52</definedName>
    <definedName name="SlidePD">PH!$G$45</definedName>
    <definedName name="SlopeUnif2" localSheetId="29">[2]SR!#REF!</definedName>
    <definedName name="SlopeUnif2" localSheetId="27">[2]SR!#REF!</definedName>
    <definedName name="SlopeUnif2" localSheetId="2">[1]SR!#REF!</definedName>
    <definedName name="SlopeUnif2" localSheetId="28">[2]SR!#REF!</definedName>
    <definedName name="SlopeUnif2" localSheetId="7">SR!#REF!</definedName>
    <definedName name="SlopeUnif2">SR!#REF!</definedName>
    <definedName name="SlopeUnif3" localSheetId="29">[2]PR!#REF!</definedName>
    <definedName name="SlopeUnif3" localSheetId="27">[2]PR!#REF!</definedName>
    <definedName name="SlopeUnif3" localSheetId="2">[1]PR!#REF!</definedName>
    <definedName name="SlopeUnif3" localSheetId="28">[2]PR!#REF!</definedName>
    <definedName name="SlopeUnif3" localSheetId="7">PR!#REF!</definedName>
    <definedName name="SlopeUnif3">PR!#REF!</definedName>
    <definedName name="SlopeUnif4" localSheetId="29">[2]NR!#REF!</definedName>
    <definedName name="SlopeUnif4" localSheetId="27">[2]NR!#REF!</definedName>
    <definedName name="SlopeUnif4" localSheetId="2">[1]NR!#REF!</definedName>
    <definedName name="SlopeUnif4" localSheetId="28">[2]NR!#REF!</definedName>
    <definedName name="SlopeUnif4" localSheetId="7">NR!#REF!</definedName>
    <definedName name="SlopeUnif4">NR!#REF!</definedName>
    <definedName name="SlopeUnif5" localSheetId="29">[2]CS!#REF!</definedName>
    <definedName name="SlopeUnif5" localSheetId="27">[2]CS!#REF!</definedName>
    <definedName name="SlopeUnif5" localSheetId="2">[1]CS!#REF!</definedName>
    <definedName name="SlopeUnif5" localSheetId="28">[2]CS!#REF!</definedName>
    <definedName name="SlopeUnif5" localSheetId="7">CS!#REF!</definedName>
    <definedName name="SlopeUnif5">CS!#REF!</definedName>
    <definedName name="SlopeUnif6" localSheetId="29">[2]OE!#REF!</definedName>
    <definedName name="SlopeUnif6" localSheetId="27">[2]OE!#REF!</definedName>
    <definedName name="SlopeUnif6" localSheetId="2">[1]OE!#REF!</definedName>
    <definedName name="SlopeUnif6" localSheetId="28">[2]OE!#REF!</definedName>
    <definedName name="SlopeUnif6" localSheetId="7">OE!#REF!</definedName>
    <definedName name="SlopeUnif6">OE!#REF!</definedName>
    <definedName name="SnagB13" localSheetId="29">[2]WBN!$G$159</definedName>
    <definedName name="SnagB13" localSheetId="27">[2]WBN!$G$159</definedName>
    <definedName name="SnagB13" localSheetId="28">[2]WBN!$G$159</definedName>
    <definedName name="SnagB13">WBN!$G$152</definedName>
    <definedName name="SnagD14" localSheetId="29">[2]SBM!$G$135</definedName>
    <definedName name="SnagD14" localSheetId="27">[2]SBM!$G$135</definedName>
    <definedName name="SnagD14" localSheetId="28">[2]SBM!$G$135</definedName>
    <definedName name="SnagD14">SBM!$G$129</definedName>
    <definedName name="Snags0" localSheetId="29">[2]POL!$G$38</definedName>
    <definedName name="Snags0" localSheetId="27">[2]POL!$G$38</definedName>
    <definedName name="Snags0" localSheetId="28">[2]POL!$G$38</definedName>
    <definedName name="Snags0">POL!$G$38</definedName>
    <definedName name="Snags13" localSheetId="2">[1]WBN!$G$80</definedName>
    <definedName name="Snags13">WBN!$G$143</definedName>
    <definedName name="Snags14" localSheetId="29">[2]SBM!#REF!</definedName>
    <definedName name="Snags14" localSheetId="27">[2]SBM!#REF!</definedName>
    <definedName name="Snags14" localSheetId="2">[1]SBM!#REF!</definedName>
    <definedName name="Snags14" localSheetId="28">[2]SBM!#REF!</definedName>
    <definedName name="Snags14" localSheetId="7">SBM!#REF!</definedName>
    <definedName name="Snags14">SBM!#REF!</definedName>
    <definedName name="Snow_S" localSheetId="29">[2]Sen!#REF!</definedName>
    <definedName name="Snow_S" localSheetId="27">[2]Sen!#REF!</definedName>
    <definedName name="Snow_S" localSheetId="28">[2]Sen!#REF!</definedName>
    <definedName name="Snow_S">Sen!#REF!</definedName>
    <definedName name="Snow1" localSheetId="29">[2]WS!#REF!</definedName>
    <definedName name="Snow1" localSheetId="27">[2]WS!#REF!</definedName>
    <definedName name="Snow1" localSheetId="28">[2]WS!#REF!</definedName>
    <definedName name="Snow1">WS!#REF!</definedName>
    <definedName name="Snow10" localSheetId="29">[2]FR!#REF!</definedName>
    <definedName name="Snow10" localSheetId="27">[2]FR!#REF!</definedName>
    <definedName name="Snow10" localSheetId="28">[2]FR!#REF!</definedName>
    <definedName name="Snow10">FR!#REF!</definedName>
    <definedName name="Snow11" localSheetId="29">[2]AM!#REF!</definedName>
    <definedName name="Snow11" localSheetId="27">[2]AM!#REF!</definedName>
    <definedName name="Snow11" localSheetId="28">[2]AM!#REF!</definedName>
    <definedName name="Snow11">AM!#REF!</definedName>
    <definedName name="Snow12" localSheetId="29">[2]WBF!#REF!</definedName>
    <definedName name="Snow12" localSheetId="27">[2]WBF!#REF!</definedName>
    <definedName name="Snow12" localSheetId="28">[2]WBF!#REF!</definedName>
    <definedName name="Snow12">WBF!#REF!</definedName>
    <definedName name="Snow1a" localSheetId="29">[2]WS!#REF!</definedName>
    <definedName name="Snow1a" localSheetId="27">[2]WS!#REF!</definedName>
    <definedName name="Snow1a" localSheetId="28">[2]WS!#REF!</definedName>
    <definedName name="Snow1a">WS!#REF!</definedName>
    <definedName name="Snow2" localSheetId="29">[2]SR!#REF!</definedName>
    <definedName name="Snow2" localSheetId="27">[2]SR!#REF!</definedName>
    <definedName name="Snow2" localSheetId="28">[2]SR!#REF!</definedName>
    <definedName name="Snow2">SR!#REF!</definedName>
    <definedName name="Snow2_" localSheetId="29">[2]SFS!#REF!</definedName>
    <definedName name="Snow2_" localSheetId="27">[2]SFS!#REF!</definedName>
    <definedName name="Snow2_" localSheetId="28">[2]SFS!#REF!</definedName>
    <definedName name="Snow2_">SFS!#REF!</definedName>
    <definedName name="Snow2a" localSheetId="29">[2]SFS!#REF!</definedName>
    <definedName name="Snow2a" localSheetId="27">[2]SFS!#REF!</definedName>
    <definedName name="Snow2a" localSheetId="28">[2]SFS!#REF!</definedName>
    <definedName name="Snow2a">SFS!#REF!</definedName>
    <definedName name="Snow3" localSheetId="29">[2]PR!#REF!</definedName>
    <definedName name="Snow3" localSheetId="27">[2]PR!#REF!</definedName>
    <definedName name="Snow3" localSheetId="28">[2]PR!#REF!</definedName>
    <definedName name="Snow3">PR!#REF!</definedName>
    <definedName name="Snow4" localSheetId="29">[2]NR!#REF!</definedName>
    <definedName name="Snow4" localSheetId="27">[2]NR!#REF!</definedName>
    <definedName name="Snow4" localSheetId="28">[2]NR!#REF!</definedName>
    <definedName name="Snow4">NR!#REF!</definedName>
    <definedName name="Snow5" localSheetId="29">[2]CS!#REF!</definedName>
    <definedName name="Snow5" localSheetId="27">[2]CS!#REF!</definedName>
    <definedName name="Snow5" localSheetId="28">[2]CS!#REF!</definedName>
    <definedName name="Snow5">CS!#REF!</definedName>
    <definedName name="Snow6" localSheetId="29">[2]OE!#REF!</definedName>
    <definedName name="Snow6" localSheetId="27">[2]OE!#REF!</definedName>
    <definedName name="Snow6" localSheetId="28">[2]OE!#REF!</definedName>
    <definedName name="Snow6">OE!#REF!</definedName>
    <definedName name="SnowPD" localSheetId="29">[2]PH!#REF!</definedName>
    <definedName name="SnowPD" localSheetId="27">[2]PH!#REF!</definedName>
    <definedName name="SnowPD" localSheetId="28">[2]PH!#REF!</definedName>
    <definedName name="SnowPD">PH!#REF!</definedName>
    <definedName name="Snows" localSheetId="29">[2]Sen!#REF!</definedName>
    <definedName name="Snows" localSheetId="27">[2]Sen!#REF!</definedName>
    <definedName name="Snows" localSheetId="28">[2]Sen!#REF!</definedName>
    <definedName name="Snows">Sen!#REF!</definedName>
    <definedName name="Snows_S" localSheetId="29">[2]Sen!#REF!</definedName>
    <definedName name="Snows_S" localSheetId="27">[2]Sen!#REF!</definedName>
    <definedName name="Snows_S" localSheetId="28">[2]Sen!#REF!</definedName>
    <definedName name="Snows_S">Sen!#REF!</definedName>
    <definedName name="Snows_S2" localSheetId="29">[2]Sen!#REF!</definedName>
    <definedName name="Snows_S2" localSheetId="27">[2]Sen!#REF!</definedName>
    <definedName name="Snows_S2" localSheetId="28">[2]Sen!#REF!</definedName>
    <definedName name="Snows_S2">Sen!#REF!</definedName>
    <definedName name="Soil2_" localSheetId="29">[2]SFS!$G$31</definedName>
    <definedName name="Soil2_" localSheetId="27">[2]SFS!$G$31</definedName>
    <definedName name="Soil2_" localSheetId="28">[2]SFS!$G$31</definedName>
    <definedName name="Soil2_">SFS!$G$31</definedName>
    <definedName name="SoilDisturb" localSheetId="29">[2]STR!$G$78</definedName>
    <definedName name="SoilDisturb" localSheetId="27">[2]STR!$G$78</definedName>
    <definedName name="SoilDisturb" localSheetId="2">[1]STR!$G$8</definedName>
    <definedName name="SoilDisturb" localSheetId="28">[2]STR!$G$78</definedName>
    <definedName name="SoilDisturb">STR!$G$78</definedName>
    <definedName name="soildisturb0" localSheetId="29">[2]POL!#REF!</definedName>
    <definedName name="soildisturb0" localSheetId="27">[2]POL!#REF!</definedName>
    <definedName name="soildisturb0" localSheetId="2">[1]POL!$G$102</definedName>
    <definedName name="soildisturb0" localSheetId="28">[2]POL!#REF!</definedName>
    <definedName name="soildisturb0">POL!#REF!</definedName>
    <definedName name="SoilDisturb11" localSheetId="29">[2]AM!#REF!</definedName>
    <definedName name="SoilDisturb11" localSheetId="27">[2]AM!#REF!</definedName>
    <definedName name="SoilDisturb11" localSheetId="2">[1]AM!$G$224</definedName>
    <definedName name="SoilDisturb11" localSheetId="28">[2]AM!#REF!</definedName>
    <definedName name="SoilDisturb11">AM!#REF!</definedName>
    <definedName name="SoilDisturb15" localSheetId="2">[1]PD!$D$171</definedName>
    <definedName name="SoilDisturb15">PH!$D$209</definedName>
    <definedName name="SoilDisturb4" localSheetId="29">[2]NR!$G$154</definedName>
    <definedName name="SoilDisturb4" localSheetId="27">[2]NR!$G$154</definedName>
    <definedName name="SoilDisturb4" localSheetId="2">[1]NR!$G$104</definedName>
    <definedName name="SoilDisturb4" localSheetId="28">[2]NR!$G$154</definedName>
    <definedName name="SoilDisturb4">NR!$G$154</definedName>
    <definedName name="SoilDisturb5" localSheetId="29">[2]CS!$G$137</definedName>
    <definedName name="SoilDisturb5" localSheetId="27">[2]CS!$G$137</definedName>
    <definedName name="SoilDisturb5" localSheetId="2">[1]CS!$G$136</definedName>
    <definedName name="SoilDisturb5" localSheetId="28">[2]CS!$G$137</definedName>
    <definedName name="SoilDisturb5">CS!$G$131</definedName>
    <definedName name="SoilDisturb6" localSheetId="29">[2]OE!#REF!</definedName>
    <definedName name="SoilDisturb6" localSheetId="27">[2]OE!#REF!</definedName>
    <definedName name="SoilDisturb6" localSheetId="2">[1]OE!$G$115</definedName>
    <definedName name="SoilDisturb6" localSheetId="28">[2]OE!#REF!</definedName>
    <definedName name="SoilDisturb6">OE!#REF!</definedName>
    <definedName name="SoilDisturb8" localSheetId="29">[2]INV!$G$151</definedName>
    <definedName name="SoilDisturb8" localSheetId="27">[2]INV!$G$151</definedName>
    <definedName name="SoilDisturb8" localSheetId="2">[1]INV!$G$141</definedName>
    <definedName name="SoilDisturb8" localSheetId="28">[2]INV!$G$151</definedName>
    <definedName name="SoilDisturb8">INV!$D$151</definedName>
    <definedName name="SoilTex_S" localSheetId="29">[2]Sen!$G$207</definedName>
    <definedName name="SoilTex_S" localSheetId="27">[2]Sen!$G$207</definedName>
    <definedName name="SoilTex_S" localSheetId="2">[1]Sen!$G$110</definedName>
    <definedName name="SoilTex_S" localSheetId="28">[2]Sen!$G$207</definedName>
    <definedName name="SoilTex_S">Sen!$G$200</definedName>
    <definedName name="SoilTex1" localSheetId="29">[2]WS!$G$80</definedName>
    <definedName name="SoilTex1" localSheetId="27">[2]WS!$G$80</definedName>
    <definedName name="SoilTex1" localSheetId="28">[2]WS!$G$80</definedName>
    <definedName name="SoilTex1">WS!$G$80</definedName>
    <definedName name="SoilTex3" localSheetId="29">[2]PR!$G$106</definedName>
    <definedName name="SoilTex3" localSheetId="27">[2]PR!$G$106</definedName>
    <definedName name="SoilTex3" localSheetId="2">[1]PR!$G$86</definedName>
    <definedName name="SoilTex3" localSheetId="28">[2]PR!$G$106</definedName>
    <definedName name="SoilTex3">PR!$G$106</definedName>
    <definedName name="SoilTex4" localSheetId="29">[2]NR!$G$140</definedName>
    <definedName name="SoilTex4" localSheetId="27">[2]NR!$G$140</definedName>
    <definedName name="SoilTex4" localSheetId="2">[1]NR!$G$87</definedName>
    <definedName name="SoilTex4" localSheetId="28">[2]NR!$G$140</definedName>
    <definedName name="SoilTex4">NR!$G$140</definedName>
    <definedName name="SoilTex5" localSheetId="29">[2]CS!$G$117</definedName>
    <definedName name="SoilTex5" localSheetId="27">[2]CS!$G$117</definedName>
    <definedName name="SoilTex5" localSheetId="2">[1]CS!$G$112</definedName>
    <definedName name="SoilTex5" localSheetId="28">[2]CS!$G$117</definedName>
    <definedName name="SoilTex5">CS!$G$111</definedName>
    <definedName name="SoilTex6" localSheetId="29">[2]OE!$G$140</definedName>
    <definedName name="SoilTex6" localSheetId="27">[2]OE!$G$140</definedName>
    <definedName name="SoilTex6" localSheetId="28">[2]OE!$G$140</definedName>
    <definedName name="SoilTex6">OE!$G$126</definedName>
    <definedName name="SoilTex8" localSheetId="29">[2]INV!#REF!</definedName>
    <definedName name="SoilTex8" localSheetId="27">[2]INV!#REF!</definedName>
    <definedName name="SoilTex8" localSheetId="2">[1]INV!#REF!</definedName>
    <definedName name="SoilTex8" localSheetId="28">[2]INV!#REF!</definedName>
    <definedName name="SoilTex8" localSheetId="7">INV!#REF!</definedName>
    <definedName name="SoilTex8">INV!#REF!</definedName>
    <definedName name="SoilTexPD" localSheetId="29">[2]PH!$G$158</definedName>
    <definedName name="SoilTexPD" localSheetId="27">[2]PH!$G$158</definedName>
    <definedName name="SoilTexPD" localSheetId="2">[1]PD!$G$95</definedName>
    <definedName name="SoilTexPD" localSheetId="28">[2]PH!$G$158</definedName>
    <definedName name="SoilTexPD">PH!$G$151</definedName>
    <definedName name="SolarHeat" localSheetId="29">[2]WC!#REF!</definedName>
    <definedName name="SolarHeat" localSheetId="27">[2]WC!#REF!</definedName>
    <definedName name="SolarHeat" localSheetId="28">[2]WC!#REF!</definedName>
    <definedName name="SolarHeat">WC!#REF!</definedName>
    <definedName name="SolarHeatWarming" localSheetId="29">[2]WW!#REF!</definedName>
    <definedName name="SolarHeatWarming" localSheetId="27">[2]WW!#REF!</definedName>
    <definedName name="SolarHeatWarming" localSheetId="28">[2]WW!#REF!</definedName>
    <definedName name="SolarHeatWarming">WW!#REF!</definedName>
    <definedName name="SongbMam" localSheetId="29">[2]INV!$G$181</definedName>
    <definedName name="SongbMam" localSheetId="27">[2]INV!$G$181</definedName>
    <definedName name="SongbMam" localSheetId="2">[1]INV!$G$164</definedName>
    <definedName name="SongbMam" localSheetId="28">[2]INV!$G$181</definedName>
    <definedName name="SongbMam">INV!$G$180</definedName>
    <definedName name="SPA" localSheetId="29">[2]PU!#REF!</definedName>
    <definedName name="SPA" localSheetId="27">[2]PU!#REF!</definedName>
    <definedName name="SPA" localSheetId="28">[2]PU!#REF!</definedName>
    <definedName name="SPA">PU!#REF!</definedName>
    <definedName name="SppArea" localSheetId="29">[2]PH!$G$244</definedName>
    <definedName name="SppArea" localSheetId="27">[2]PH!$G$244</definedName>
    <definedName name="SppArea" localSheetId="28">[2]PH!$G$244</definedName>
    <definedName name="SppArea">PH!$G$244</definedName>
    <definedName name="SpPatch14" localSheetId="29">[2]SBM!#REF!</definedName>
    <definedName name="SpPatch14" localSheetId="27">[2]SBM!#REF!</definedName>
    <definedName name="SpPatch14" localSheetId="2">[1]SBM!#REF!</definedName>
    <definedName name="SpPatch14" localSheetId="28">[2]SBM!#REF!</definedName>
    <definedName name="SpPatch14" localSheetId="7">SBM!#REF!</definedName>
    <definedName name="SpPatch14">SBM!#REF!</definedName>
    <definedName name="SpPatchy8" localSheetId="29">[2]INV!#REF!</definedName>
    <definedName name="SpPatchy8" localSheetId="27">[2]INV!#REF!</definedName>
    <definedName name="SpPatchy8" localSheetId="2">[1]INV!#REF!</definedName>
    <definedName name="SpPatchy8" localSheetId="28">[2]INV!#REF!</definedName>
    <definedName name="SpPatchy8" localSheetId="7">INV!#REF!</definedName>
    <definedName name="SpPatchy8">INV!#REF!</definedName>
    <definedName name="SSubq2" localSheetId="29">[2]Sen!#REF!</definedName>
    <definedName name="SSubq2" localSheetId="27">[2]Sen!#REF!</definedName>
    <definedName name="SSubq2" localSheetId="2">[1]Sen!$G$89</definedName>
    <definedName name="SSubq2" localSheetId="28">[2]Sen!#REF!</definedName>
    <definedName name="SSubq2" localSheetId="7">Sen!#REF!</definedName>
    <definedName name="SSubq2">Sen!#REF!</definedName>
    <definedName name="Stain3" localSheetId="29">[2]PR!$G$75</definedName>
    <definedName name="Stain3" localSheetId="27">[2]PR!$G$75</definedName>
    <definedName name="Stain3" localSheetId="28">[2]PR!$G$75</definedName>
    <definedName name="Stain3">PR!$G$80</definedName>
    <definedName name="Stained6" localSheetId="29">[2]OE!$G$91</definedName>
    <definedName name="Stained6" localSheetId="27">[2]OE!$G$91</definedName>
    <definedName name="Stained6" localSheetId="28">[2]OE!$G$91</definedName>
    <definedName name="Stained6">OE!$G$82</definedName>
    <definedName name="Steep1">WS!$D$25</definedName>
    <definedName name="Steep13" localSheetId="29">[2]WBN!$D$140</definedName>
    <definedName name="Steep13" localSheetId="27">[2]WBN!$D$140</definedName>
    <definedName name="Steep13" localSheetId="2">[1]WBN!$D$109</definedName>
    <definedName name="Steep13" localSheetId="28">[2]WBN!$D$140</definedName>
    <definedName name="Steep13">WBN!$D$52</definedName>
    <definedName name="Steep1ws">WS!$D$25</definedName>
    <definedName name="Steep2ws">WS!$D$26</definedName>
    <definedName name="Stess11">AM!$G$249</definedName>
    <definedName name="StrataDiv" localSheetId="29">[2]EC!#REF!</definedName>
    <definedName name="StrataDiv" localSheetId="27">[2]EC!#REF!</definedName>
    <definedName name="StrataDiv" localSheetId="28">[2]EC!#REF!</definedName>
    <definedName name="StrataDiv">EC!#REF!</definedName>
    <definedName name="StreamInGrad3" localSheetId="29">[2]PR!$G$130</definedName>
    <definedName name="StreamInGrad3" localSheetId="27">[2]PR!$G$130</definedName>
    <definedName name="StreamInGrad3" localSheetId="28">[2]PR!$G$130</definedName>
    <definedName name="StreamInGrad3">PR!$G$147</definedName>
    <definedName name="Stress10" localSheetId="29">[2]FR!$G$158</definedName>
    <definedName name="Stress10" localSheetId="27">[2]FR!$G$158</definedName>
    <definedName name="Stress10" localSheetId="28">[2]FR!$G$158</definedName>
    <definedName name="Stress10">FR!$G$158</definedName>
    <definedName name="Stress11" localSheetId="29">[2]AM!$G$250</definedName>
    <definedName name="Stress11" localSheetId="27">[2]AM!$G$250</definedName>
    <definedName name="Stress11" localSheetId="28">[2]AM!$G$250</definedName>
    <definedName name="Stress11">AM!$G$249</definedName>
    <definedName name="Stress12" localSheetId="29">[2]WBF!$G$191</definedName>
    <definedName name="Stress12" localSheetId="27">[2]WBF!$G$191</definedName>
    <definedName name="Stress12" localSheetId="28">[2]WBF!$G$191</definedName>
    <definedName name="Stress12">WBF!$G$191</definedName>
    <definedName name="Stress13" localSheetId="29">[2]WBN!#REF!</definedName>
    <definedName name="Stress13" localSheetId="27">[2]WBN!#REF!</definedName>
    <definedName name="Stress13" localSheetId="28">[2]WBN!#REF!</definedName>
    <definedName name="Stress13">WBN!#REF!</definedName>
    <definedName name="Stress14" localSheetId="29">[2]SBM!$G$247</definedName>
    <definedName name="Stress14" localSheetId="27">[2]SBM!$G$247</definedName>
    <definedName name="Stress14" localSheetId="28">[2]SBM!$G$247</definedName>
    <definedName name="Stress14">SBM!$G$248</definedName>
    <definedName name="Stress9" localSheetId="29">[2]FA!$G$160</definedName>
    <definedName name="Stress9" localSheetId="27">[2]FA!$G$160</definedName>
    <definedName name="Stress9" localSheetId="28">[2]FA!$G$160</definedName>
    <definedName name="Stress9">FA!$G$166</definedName>
    <definedName name="Stressors13" localSheetId="29">[2]WBN!$G$212</definedName>
    <definedName name="Stressors13" localSheetId="27">[2]WBN!$G$212</definedName>
    <definedName name="Stressors13" localSheetId="28">[2]WBN!$G$212</definedName>
    <definedName name="Stressors13">WBN!$G$212</definedName>
    <definedName name="Stressors8" localSheetId="29">[2]INV!$G$188</definedName>
    <definedName name="Stressors8" localSheetId="27">[2]INV!$G$188</definedName>
    <definedName name="Stressors8" localSheetId="28">[2]INV!$G$188</definedName>
    <definedName name="Stressors8">INV!$G$187</definedName>
    <definedName name="StressPD" localSheetId="29">[2]PH!$G$250</definedName>
    <definedName name="StressPD" localSheetId="27">[2]PH!$G$250</definedName>
    <definedName name="StressPD" localSheetId="28">[2]PH!$G$250</definedName>
    <definedName name="StressPD">PH!$G$250</definedName>
    <definedName name="struc0" localSheetId="29">[2]POL!#REF!</definedName>
    <definedName name="struc0" localSheetId="27">[2]POL!#REF!</definedName>
    <definedName name="struc0" localSheetId="2">[1]POL!#REF!</definedName>
    <definedName name="struc0" localSheetId="28">[2]POL!#REF!</definedName>
    <definedName name="struc0" localSheetId="7">POL!#REF!</definedName>
    <definedName name="struc0">POL!#REF!</definedName>
    <definedName name="Struc10" localSheetId="29">[2]FR!$G$155</definedName>
    <definedName name="Struc10" localSheetId="27">[2]FR!$G$155</definedName>
    <definedName name="Struc10" localSheetId="28">[2]FR!$G$155</definedName>
    <definedName name="Struc10">FR!$G$155</definedName>
    <definedName name="Struc11">AM!$G$243</definedName>
    <definedName name="Struc12" localSheetId="29">[2]WBF!$G$187</definedName>
    <definedName name="Struc12" localSheetId="27">[2]WBF!$G$187</definedName>
    <definedName name="Struc12" localSheetId="28">[2]WBF!$G$187</definedName>
    <definedName name="Struc12">WBF!$G$187</definedName>
    <definedName name="Struc13" localSheetId="29">[2]WBN!$G$209</definedName>
    <definedName name="Struc13" localSheetId="27">[2]WBN!$G$209</definedName>
    <definedName name="Struc13" localSheetId="28">[2]WBN!$G$209</definedName>
    <definedName name="Struc13">WBN!$G$209</definedName>
    <definedName name="Struc14" localSheetId="29">[2]SBM!#REF!</definedName>
    <definedName name="Struc14" localSheetId="27">[2]SBM!#REF!</definedName>
    <definedName name="Struc14" localSheetId="2">[1]SBM!$D$77</definedName>
    <definedName name="Struc14" localSheetId="28">[2]SBM!#REF!</definedName>
    <definedName name="Struc14" localSheetId="7">SBM!#REF!</definedName>
    <definedName name="Struc14">SBM!#REF!</definedName>
    <definedName name="Struc9" localSheetId="29">[2]FA!$G$157</definedName>
    <definedName name="Struc9" localSheetId="27">[2]FA!$G$157</definedName>
    <definedName name="Struc9" localSheetId="28">[2]FA!$G$157</definedName>
    <definedName name="Struc9">FA!$G$163</definedName>
    <definedName name="StrucA" localSheetId="29">[2]SBM!$G$242</definedName>
    <definedName name="StrucA" localSheetId="27">[2]SBM!$G$242</definedName>
    <definedName name="StrucA" localSheetId="28">[2]SBM!$G$242</definedName>
    <definedName name="StrucA">SBM!$G$243</definedName>
    <definedName name="StrucB" localSheetId="29">[2]SBM!$G$243</definedName>
    <definedName name="StrucB" localSheetId="27">[2]SBM!$G$243</definedName>
    <definedName name="StrucB" localSheetId="28">[2]SBM!$G$243</definedName>
    <definedName name="StrucB">SBM!$G$244</definedName>
    <definedName name="Structure8" localSheetId="29">[2]INV!$G$183</definedName>
    <definedName name="Structure8" localSheetId="27">[2]INV!$G$183</definedName>
    <definedName name="Structure8" localSheetId="28">[2]INV!$G$183</definedName>
    <definedName name="Structure8">INV!$G$182</definedName>
    <definedName name="Subsist" localSheetId="29">[2]SubSis!$G$25</definedName>
    <definedName name="Subsist" localSheetId="27">[2]SubSis!$G$25</definedName>
    <definedName name="Subsist" localSheetId="28">[2]SubSis!$G$25</definedName>
    <definedName name="Subsist">SubSis!$G$25</definedName>
    <definedName name="Subsist10" localSheetId="29">[2]FR!$G$140</definedName>
    <definedName name="Subsist10" localSheetId="27">[2]FR!$G$140</definedName>
    <definedName name="Subsist10" localSheetId="28">[2]FR!$G$140</definedName>
    <definedName name="Subsist10">FR!$G$140</definedName>
    <definedName name="Subsist9" localSheetId="29">[2]FA!$G$142</definedName>
    <definedName name="Subsist9" localSheetId="27">[2]FA!$G$142</definedName>
    <definedName name="Subsist9" localSheetId="28">[2]FA!$G$142</definedName>
    <definedName name="Subsist9">FA!$G$148</definedName>
    <definedName name="Subsurf" localSheetId="29">[2]WS!$G$111</definedName>
    <definedName name="Subsurf" localSheetId="27">[2]WS!$G$111</definedName>
    <definedName name="Subsurf" localSheetId="28">[2]WS!$G$111</definedName>
    <definedName name="Subsurf">WS!$G$111</definedName>
    <definedName name="Sustain" localSheetId="29">[2]Sen!#REF!</definedName>
    <definedName name="Sustain" localSheetId="27">[2]Sen!#REF!</definedName>
    <definedName name="Sustain" localSheetId="28">[2]Sen!#REF!</definedName>
    <definedName name="Sustain">Sen!#REF!</definedName>
    <definedName name="Sustain1" localSheetId="29">[2]WS!#REF!</definedName>
    <definedName name="Sustain1" localSheetId="27">[2]WS!#REF!</definedName>
    <definedName name="Sustain1" localSheetId="2">[1]WS!$G$106</definedName>
    <definedName name="Sustain1" localSheetId="28">[2]WS!#REF!</definedName>
    <definedName name="Sustain1">WS!#REF!</definedName>
    <definedName name="Sustain11" localSheetId="29">[2]AM!#REF!</definedName>
    <definedName name="Sustain11" localSheetId="27">[2]AM!#REF!</definedName>
    <definedName name="Sustain11" localSheetId="2">[1]AM!$G$244</definedName>
    <definedName name="Sustain11" localSheetId="28">[2]AM!#REF!</definedName>
    <definedName name="Sustain11">AM!#REF!</definedName>
    <definedName name="Sustain12" localSheetId="29">[2]WBF!#REF!</definedName>
    <definedName name="Sustain12" localSheetId="27">[2]WBF!#REF!</definedName>
    <definedName name="Sustain12" localSheetId="2">[1]WBF!$G$181</definedName>
    <definedName name="Sustain12" localSheetId="28">[2]WBF!#REF!</definedName>
    <definedName name="Sustain12">WBF!#REF!</definedName>
    <definedName name="Sustain13" localSheetId="29">[2]WBN!#REF!</definedName>
    <definedName name="Sustain13" localSheetId="27">[2]WBN!#REF!</definedName>
    <definedName name="Sustain13" localSheetId="2">[1]WBN!$G$211</definedName>
    <definedName name="Sustain13" localSheetId="28">[2]WBN!#REF!</definedName>
    <definedName name="Sustain13">WBN!#REF!</definedName>
    <definedName name="sustain14" localSheetId="29">[2]SBM!#REF!</definedName>
    <definedName name="sustain14" localSheetId="27">[2]SBM!#REF!</definedName>
    <definedName name="sustain14" localSheetId="2">[1]SBM!$G$211</definedName>
    <definedName name="sustain14" localSheetId="28">[2]SBM!#REF!</definedName>
    <definedName name="sustain14">SBM!#REF!</definedName>
    <definedName name="Sustain2" localSheetId="29">[2]SR!#REF!</definedName>
    <definedName name="Sustain2" localSheetId="27">[2]SR!#REF!</definedName>
    <definedName name="Sustain2" localSheetId="2">[1]SR!$G$160</definedName>
    <definedName name="Sustain2" localSheetId="28">[2]SR!#REF!</definedName>
    <definedName name="Sustain2">SR!#REF!</definedName>
    <definedName name="Sustain3" localSheetId="29">[2]PR!#REF!</definedName>
    <definedName name="Sustain3" localSheetId="27">[2]PR!#REF!</definedName>
    <definedName name="Sustain3" localSheetId="2">[1]PR!$G$156</definedName>
    <definedName name="Sustain3" localSheetId="28">[2]PR!#REF!</definedName>
    <definedName name="Sustain3">PR!#REF!</definedName>
    <definedName name="Sustain4" localSheetId="29">[2]NR!#REF!</definedName>
    <definedName name="Sustain4" localSheetId="27">[2]NR!#REF!</definedName>
    <definedName name="Sustain4" localSheetId="2">[1]NR!$G$161</definedName>
    <definedName name="Sustain4" localSheetId="28">[2]NR!#REF!</definedName>
    <definedName name="Sustain4">NR!#REF!</definedName>
    <definedName name="sustain8" localSheetId="29">[2]INV!#REF!</definedName>
    <definedName name="sustain8" localSheetId="27">[2]INV!#REF!</definedName>
    <definedName name="sustain8" localSheetId="2">[1]INV!$G$155</definedName>
    <definedName name="sustain8" localSheetId="28">[2]INV!#REF!</definedName>
    <definedName name="sustain8" localSheetId="7">INV!#REF!</definedName>
    <definedName name="sustain8">INV!#REF!</definedName>
    <definedName name="SustainPD" localSheetId="29">[2]PH!#REF!</definedName>
    <definedName name="SustainPD" localSheetId="27">[2]PH!#REF!</definedName>
    <definedName name="SustainPD" localSheetId="2">[1]PD!$G$195</definedName>
    <definedName name="SustainPD" localSheetId="28">[2]PH!#REF!</definedName>
    <definedName name="SustainPD">PH!#REF!</definedName>
    <definedName name="Swater">F!$D$11</definedName>
    <definedName name="Swater2" localSheetId="29">[2]SR!#REF!</definedName>
    <definedName name="Swater2" localSheetId="27">[2]SR!#REF!</definedName>
    <definedName name="Swater2" localSheetId="28">[2]SR!#REF!</definedName>
    <definedName name="Swater2">SR!#REF!</definedName>
    <definedName name="SWOpd">PH!$D$64</definedName>
    <definedName name="System" localSheetId="29">#REF!</definedName>
    <definedName name="System" localSheetId="27">#REF!</definedName>
    <definedName name="System" localSheetId="2">#REF!</definedName>
    <definedName name="System" localSheetId="28">#REF!</definedName>
    <definedName name="System" localSheetId="7">#REF!</definedName>
    <definedName name="System">#REF!</definedName>
    <definedName name="TEknown" localSheetId="29">#REF!</definedName>
    <definedName name="TEknown" localSheetId="27">#REF!</definedName>
    <definedName name="TEknown" localSheetId="2">#REF!</definedName>
    <definedName name="TEknown" localSheetId="28">#REF!</definedName>
    <definedName name="TEknown" localSheetId="7">#REF!</definedName>
    <definedName name="TEknown">#REF!</definedName>
    <definedName name="Temp7w" localSheetId="29">[2]WW!$G$47</definedName>
    <definedName name="Temp7w" localSheetId="27">[2]WW!$G$47</definedName>
    <definedName name="Temp7w" localSheetId="28">[2]WW!$G$47</definedName>
    <definedName name="Temp7w">WW!$G$53</definedName>
    <definedName name="TEpredicted" localSheetId="29">#REF!</definedName>
    <definedName name="TEpredicted" localSheetId="27">#REF!</definedName>
    <definedName name="TEpredicted" localSheetId="2">#REF!</definedName>
    <definedName name="TEpredicted" localSheetId="28">#REF!</definedName>
    <definedName name="TEpredicted" localSheetId="7">#REF!</definedName>
    <definedName name="TEpredicted">#REF!</definedName>
    <definedName name="TerrFertilPD" localSheetId="29">[2]PH!$G$247</definedName>
    <definedName name="TerrFertilPD" localSheetId="27">[2]PH!$G$247</definedName>
    <definedName name="TerrFertilPD" localSheetId="28">[2]PH!$G$247</definedName>
    <definedName name="TerrFertilPD">PH!$G$247</definedName>
    <definedName name="TerrStruc11" localSheetId="29">[2]AM!$G$245</definedName>
    <definedName name="TerrStruc11" localSheetId="27">[2]AM!$G$245</definedName>
    <definedName name="TerrStruc11" localSheetId="28">[2]AM!$G$245</definedName>
    <definedName name="TerrStruc11">AM!$G$244</definedName>
    <definedName name="TEST1" localSheetId="29">[2]S!#REF!</definedName>
    <definedName name="TEST1" localSheetId="27">[2]S!#REF!</definedName>
    <definedName name="TEST1" localSheetId="28">[2]S!#REF!</definedName>
    <definedName name="TEST1" localSheetId="7">S!#REF!</definedName>
    <definedName name="TEST1">S!#REF!</definedName>
    <definedName name="TEST10" localSheetId="29">[2]S!#REF!</definedName>
    <definedName name="TEST10" localSheetId="27">[2]S!#REF!</definedName>
    <definedName name="TEST10" localSheetId="28">[2]S!#REF!</definedName>
    <definedName name="TEST10" localSheetId="7">S!#REF!</definedName>
    <definedName name="TEST10">S!#REF!</definedName>
    <definedName name="TEST11" localSheetId="29">[2]S!#REF!</definedName>
    <definedName name="TEST11" localSheetId="27">[2]S!#REF!</definedName>
    <definedName name="TEST11" localSheetId="28">[2]S!#REF!</definedName>
    <definedName name="TEST11" localSheetId="7">S!#REF!</definedName>
    <definedName name="TEST11">S!#REF!</definedName>
    <definedName name="TEST12" localSheetId="29">[2]S!#REF!</definedName>
    <definedName name="TEST12" localSheetId="27">[2]S!#REF!</definedName>
    <definedName name="TEST12" localSheetId="28">[2]S!#REF!</definedName>
    <definedName name="TEST12" localSheetId="7">S!#REF!</definedName>
    <definedName name="TEST12">S!#REF!</definedName>
    <definedName name="TEST13" localSheetId="29">[2]S!#REF!</definedName>
    <definedName name="TEST13" localSheetId="27">[2]S!#REF!</definedName>
    <definedName name="TEST13" localSheetId="28">[2]S!#REF!</definedName>
    <definedName name="TEST13" localSheetId="7">S!#REF!</definedName>
    <definedName name="TEST13">S!#REF!</definedName>
    <definedName name="TEST14" localSheetId="29">[2]S!#REF!</definedName>
    <definedName name="TEST14" localSheetId="27">[2]S!#REF!</definedName>
    <definedName name="TEST14" localSheetId="28">[2]S!#REF!</definedName>
    <definedName name="TEST14" localSheetId="7">S!#REF!</definedName>
    <definedName name="TEST14">S!#REF!</definedName>
    <definedName name="TEST15" localSheetId="29">[2]S!#REF!</definedName>
    <definedName name="TEST15" localSheetId="27">[2]S!#REF!</definedName>
    <definedName name="TEST15" localSheetId="28">[2]S!#REF!</definedName>
    <definedName name="TEST15" localSheetId="7">S!#REF!</definedName>
    <definedName name="TEST15">S!#REF!</definedName>
    <definedName name="TEST18" localSheetId="29">[2]S!#REF!</definedName>
    <definedName name="TEST18" localSheetId="27">[2]S!#REF!</definedName>
    <definedName name="TEST18" localSheetId="28">[2]S!#REF!</definedName>
    <definedName name="TEST18" localSheetId="7">S!#REF!</definedName>
    <definedName name="TEST18">S!#REF!</definedName>
    <definedName name="TEST19" localSheetId="29">[2]S!#REF!</definedName>
    <definedName name="TEST19" localSheetId="27">[2]S!#REF!</definedName>
    <definedName name="TEST19" localSheetId="28">[2]S!#REF!</definedName>
    <definedName name="TEST19" localSheetId="7">S!#REF!</definedName>
    <definedName name="TEST19">S!#REF!</definedName>
    <definedName name="TEST2" localSheetId="29">[2]S!#REF!</definedName>
    <definedName name="TEST2" localSheetId="27">[2]S!#REF!</definedName>
    <definedName name="TEST2" localSheetId="28">[2]S!#REF!</definedName>
    <definedName name="TEST2" localSheetId="7">S!#REF!</definedName>
    <definedName name="TEST2">S!#REF!</definedName>
    <definedName name="TEST20" localSheetId="29">[2]S!#REF!</definedName>
    <definedName name="TEST20" localSheetId="27">[2]S!#REF!</definedName>
    <definedName name="TEST20" localSheetId="28">[2]S!#REF!</definedName>
    <definedName name="TEST20" localSheetId="7">S!#REF!</definedName>
    <definedName name="TEST20">S!#REF!</definedName>
    <definedName name="TEST21" localSheetId="29">[2]S!#REF!</definedName>
    <definedName name="TEST21" localSheetId="27">[2]S!#REF!</definedName>
    <definedName name="TEST21" localSheetId="28">[2]S!#REF!</definedName>
    <definedName name="TEST21" localSheetId="7">S!#REF!</definedName>
    <definedName name="TEST21">S!#REF!</definedName>
    <definedName name="TEST3" localSheetId="29">[2]S!#REF!</definedName>
    <definedName name="TEST3" localSheetId="27">[2]S!#REF!</definedName>
    <definedName name="TEST3" localSheetId="28">[2]S!#REF!</definedName>
    <definedName name="TEST3" localSheetId="7">S!#REF!</definedName>
    <definedName name="TEST3">S!#REF!</definedName>
    <definedName name="TEST4" localSheetId="29">[2]S!#REF!</definedName>
    <definedName name="TEST4" localSheetId="27">[2]S!#REF!</definedName>
    <definedName name="TEST4" localSheetId="28">[2]S!#REF!</definedName>
    <definedName name="TEST4" localSheetId="7">S!#REF!</definedName>
    <definedName name="TEST4">S!#REF!</definedName>
    <definedName name="TEST5" localSheetId="29">[2]S!#REF!</definedName>
    <definedName name="TEST5" localSheetId="27">[2]S!#REF!</definedName>
    <definedName name="TEST5" localSheetId="28">[2]S!#REF!</definedName>
    <definedName name="TEST5" localSheetId="7">S!#REF!</definedName>
    <definedName name="TEST5">S!#REF!</definedName>
    <definedName name="TEST6" localSheetId="29">[2]S!#REF!</definedName>
    <definedName name="TEST6" localSheetId="27">[2]S!#REF!</definedName>
    <definedName name="TEST6" localSheetId="28">[2]S!#REF!</definedName>
    <definedName name="TEST6" localSheetId="7">S!#REF!</definedName>
    <definedName name="TEST6">S!#REF!</definedName>
    <definedName name="TEST7" localSheetId="29">[2]S!#REF!</definedName>
    <definedName name="TEST7" localSheetId="27">[2]S!#REF!</definedName>
    <definedName name="TEST7" localSheetId="28">[2]S!#REF!</definedName>
    <definedName name="TEST7" localSheetId="7">S!#REF!</definedName>
    <definedName name="TEST7">S!#REF!</definedName>
    <definedName name="TEST8" localSheetId="29">[2]S!#REF!</definedName>
    <definedName name="TEST8" localSheetId="27">[2]S!#REF!</definedName>
    <definedName name="TEST8" localSheetId="28">[2]S!#REF!</definedName>
    <definedName name="TEST8" localSheetId="7">S!#REF!</definedName>
    <definedName name="TEST8">S!#REF!</definedName>
    <definedName name="TEST9" localSheetId="29">[2]S!#REF!</definedName>
    <definedName name="TEST9" localSheetId="27">[2]S!#REF!</definedName>
    <definedName name="TEST9" localSheetId="28">[2]S!#REF!</definedName>
    <definedName name="TEST9" localSheetId="7">S!#REF!</definedName>
    <definedName name="TEST9">S!#REF!</definedName>
    <definedName name="ThruFlo1" localSheetId="29">[2]WS!$G$51</definedName>
    <definedName name="ThruFlo1" localSheetId="27">[2]WS!$G$51</definedName>
    <definedName name="ThruFlo1" localSheetId="2">[1]WS!$G$56</definedName>
    <definedName name="ThruFlo1" localSheetId="28">[2]WS!$G$51</definedName>
    <definedName name="ThruFlo1">WS!$G$56</definedName>
    <definedName name="ThruFlo10" localSheetId="29">[2]FR!$G$97</definedName>
    <definedName name="ThruFlo10" localSheetId="27">[2]FR!$G$97</definedName>
    <definedName name="ThruFlo10" localSheetId="2">[1]FR!$G$67</definedName>
    <definedName name="ThruFlo10" localSheetId="28">[2]FR!$G$97</definedName>
    <definedName name="ThruFlo10">FR!$G$97</definedName>
    <definedName name="ThruFlo12" localSheetId="29">[2]WBF!#REF!</definedName>
    <definedName name="ThruFlo12" localSheetId="27">[2]WBF!#REF!</definedName>
    <definedName name="ThruFlo12" localSheetId="2">[1]WBF!$G$55</definedName>
    <definedName name="ThruFlo12" localSheetId="28">[2]WBF!#REF!</definedName>
    <definedName name="ThruFlo12">WBF!#REF!</definedName>
    <definedName name="ThruFlo2" localSheetId="29">[2]SR!$G$79</definedName>
    <definedName name="ThruFlo2" localSheetId="27">[2]SR!$G$79</definedName>
    <definedName name="ThruFlo2" localSheetId="2">[1]SR!$G$44</definedName>
    <definedName name="ThruFlo2" localSheetId="28">[2]SR!$G$79</definedName>
    <definedName name="ThruFlo2">SR!$G$84</definedName>
    <definedName name="ThruFlo3" localSheetId="29">[2]PR!$G$76</definedName>
    <definedName name="ThruFlo3" localSheetId="27">[2]PR!$G$76</definedName>
    <definedName name="ThruFlo3" localSheetId="2">[1]PR!$G$61</definedName>
    <definedName name="ThruFlo3" localSheetId="28">[2]PR!$G$76</definedName>
    <definedName name="ThruFlo3">PR!$G$81</definedName>
    <definedName name="ThruFlo4" localSheetId="29">[2]NR!$G$96</definedName>
    <definedName name="ThruFlo4" localSheetId="27">[2]NR!$G$96</definedName>
    <definedName name="ThruFlo4" localSheetId="2">[1]NR!$G$57</definedName>
    <definedName name="ThruFlo4" localSheetId="28">[2]NR!$G$96</definedName>
    <definedName name="ThruFlo4">NR!$G$101</definedName>
    <definedName name="ThruFlo5" localSheetId="29">[2]CS!#REF!</definedName>
    <definedName name="ThruFlo5" localSheetId="27">[2]CS!#REF!</definedName>
    <definedName name="ThruFlo5" localSheetId="2">[1]CS!$G$66</definedName>
    <definedName name="ThruFlo5" localSheetId="28">[2]CS!#REF!</definedName>
    <definedName name="ThruFlo5">CS!#REF!</definedName>
    <definedName name="ThruFlo6" localSheetId="29">[2]OE!$G$92</definedName>
    <definedName name="ThruFlo6" localSheetId="27">[2]OE!$G$92</definedName>
    <definedName name="ThruFlo6" localSheetId="2">[1]OE!$G$63</definedName>
    <definedName name="ThruFlo6" localSheetId="28">[2]OE!$G$92</definedName>
    <definedName name="ThruFlo6">OE!$G$83</definedName>
    <definedName name="ThruFlo8" localSheetId="29">[2]INV!$G$97</definedName>
    <definedName name="ThruFlo8" localSheetId="27">[2]INV!$G$97</definedName>
    <definedName name="ThruFlo8" localSheetId="2">[1]INV!$G$69</definedName>
    <definedName name="ThruFlo8" localSheetId="28">[2]INV!$G$97</definedName>
    <definedName name="ThruFlo8">INV!$G$97</definedName>
    <definedName name="ThruFlo9" localSheetId="29">[2]FA!$G$93</definedName>
    <definedName name="ThruFlo9" localSheetId="27">[2]FA!$G$93</definedName>
    <definedName name="ThruFlo9" localSheetId="2">[1]FA!$G$58</definedName>
    <definedName name="ThruFlo9" localSheetId="28">[2]FA!$G$93</definedName>
    <definedName name="ThruFlo9">FA!$G$99</definedName>
    <definedName name="ThruFlow13" localSheetId="29">[2]WBN!#REF!</definedName>
    <definedName name="ThruFlow13" localSheetId="27">[2]WBN!#REF!</definedName>
    <definedName name="ThruFlow13" localSheetId="2">[1]WBN!$G$50</definedName>
    <definedName name="ThruFlow13" localSheetId="28">[2]WBN!#REF!</definedName>
    <definedName name="ThruFlow13">WBN!#REF!</definedName>
    <definedName name="Tidal" localSheetId="29">#REF!</definedName>
    <definedName name="Tidal" localSheetId="27">#REF!</definedName>
    <definedName name="Tidal" localSheetId="2">#REF!</definedName>
    <definedName name="Tidal" localSheetId="28">#REF!</definedName>
    <definedName name="Tidal" localSheetId="7">#REF!</definedName>
    <definedName name="Tidal">#REF!</definedName>
    <definedName name="tidal0" localSheetId="29">[2]POL!#REF!</definedName>
    <definedName name="tidal0" localSheetId="27">[2]POL!#REF!</definedName>
    <definedName name="tidal0" localSheetId="28">[2]POL!#REF!</definedName>
    <definedName name="tidal0" localSheetId="7">POL!#REF!</definedName>
    <definedName name="tidal0">POL!#REF!</definedName>
    <definedName name="Tidal1" localSheetId="29">[2]WS!#REF!</definedName>
    <definedName name="Tidal1" localSheetId="27">[2]WS!#REF!</definedName>
    <definedName name="Tidal1" localSheetId="2">[1]WS!$D$2</definedName>
    <definedName name="Tidal1" localSheetId="28">[2]WS!#REF!</definedName>
    <definedName name="Tidal1" localSheetId="7">WS!#REF!</definedName>
    <definedName name="Tidal1">WS!#REF!</definedName>
    <definedName name="Tidal10" localSheetId="29">[2]FR!#REF!</definedName>
    <definedName name="Tidal10" localSheetId="27">[2]FR!#REF!</definedName>
    <definedName name="Tidal10" localSheetId="2">[1]FR!$D$2</definedName>
    <definedName name="Tidal10" localSheetId="28">[2]FR!#REF!</definedName>
    <definedName name="Tidal10" localSheetId="7">FR!#REF!</definedName>
    <definedName name="Tidal10">FR!#REF!</definedName>
    <definedName name="Tidal11" localSheetId="29">[2]AM!#REF!</definedName>
    <definedName name="Tidal11" localSheetId="27">[2]AM!#REF!</definedName>
    <definedName name="Tidal11" localSheetId="2">[1]AM!$D$2</definedName>
    <definedName name="Tidal11" localSheetId="28">[2]AM!#REF!</definedName>
    <definedName name="Tidal11" localSheetId="7">AM!#REF!</definedName>
    <definedName name="Tidal11">AM!#REF!</definedName>
    <definedName name="Tidal12" localSheetId="29">[2]WBF!#REF!</definedName>
    <definedName name="Tidal12" localSheetId="27">[2]WBF!#REF!</definedName>
    <definedName name="Tidal12" localSheetId="2">[1]WBF!$D$2</definedName>
    <definedName name="Tidal12" localSheetId="28">[2]WBF!#REF!</definedName>
    <definedName name="Tidal12" localSheetId="7">WBF!#REF!</definedName>
    <definedName name="Tidal12">WBF!#REF!</definedName>
    <definedName name="Tidal13" localSheetId="29">[2]WBN!#REF!</definedName>
    <definedName name="Tidal13" localSheetId="27">[2]WBN!#REF!</definedName>
    <definedName name="Tidal13" localSheetId="2">[1]WBN!$D$2</definedName>
    <definedName name="Tidal13" localSheetId="28">[2]WBN!#REF!</definedName>
    <definedName name="Tidal13" localSheetId="7">WBN!#REF!</definedName>
    <definedName name="Tidal13">WBN!#REF!</definedName>
    <definedName name="Tidal14" localSheetId="29">[2]SBM!#REF!</definedName>
    <definedName name="Tidal14" localSheetId="27">[2]SBM!#REF!</definedName>
    <definedName name="Tidal14" localSheetId="2">[1]SBM!$D$2</definedName>
    <definedName name="Tidal14" localSheetId="28">[2]SBM!#REF!</definedName>
    <definedName name="Tidal14" localSheetId="7">SBM!#REF!</definedName>
    <definedName name="Tidal14">SBM!#REF!</definedName>
    <definedName name="Tidal2" localSheetId="29">[2]SR!#REF!</definedName>
    <definedName name="Tidal2" localSheetId="27">[2]SR!#REF!</definedName>
    <definedName name="Tidal2" localSheetId="2">[1]SR!$D$2</definedName>
    <definedName name="Tidal2" localSheetId="28">[2]SR!#REF!</definedName>
    <definedName name="Tidal2" localSheetId="7">SR!#REF!</definedName>
    <definedName name="Tidal2">SR!#REF!</definedName>
    <definedName name="Tidal3" localSheetId="29">[2]PR!#REF!</definedName>
    <definedName name="Tidal3" localSheetId="27">[2]PR!#REF!</definedName>
    <definedName name="Tidal3" localSheetId="2">[1]PR!$D$2</definedName>
    <definedName name="Tidal3" localSheetId="28">[2]PR!#REF!</definedName>
    <definedName name="Tidal3" localSheetId="7">PR!#REF!</definedName>
    <definedName name="Tidal3">PR!#REF!</definedName>
    <definedName name="Tidal4" localSheetId="29">[2]NR!#REF!</definedName>
    <definedName name="Tidal4" localSheetId="27">[2]NR!#REF!</definedName>
    <definedName name="Tidal4" localSheetId="2">[1]NR!$D$2</definedName>
    <definedName name="Tidal4" localSheetId="28">[2]NR!#REF!</definedName>
    <definedName name="Tidal4" localSheetId="7">NR!#REF!</definedName>
    <definedName name="Tidal4">NR!#REF!</definedName>
    <definedName name="Tidal5" localSheetId="29">[2]CS!#REF!</definedName>
    <definedName name="Tidal5" localSheetId="27">[2]CS!#REF!</definedName>
    <definedName name="Tidal5" localSheetId="28">[2]CS!#REF!</definedName>
    <definedName name="Tidal5" localSheetId="7">CS!#REF!</definedName>
    <definedName name="Tidal5">CS!#REF!</definedName>
    <definedName name="Tidal6" localSheetId="29">[2]OE!#REF!</definedName>
    <definedName name="Tidal6" localSheetId="27">[2]OE!#REF!</definedName>
    <definedName name="Tidal6" localSheetId="2">[1]OE!$D$2</definedName>
    <definedName name="Tidal6" localSheetId="28">[2]OE!#REF!</definedName>
    <definedName name="Tidal6" localSheetId="7">OE!#REF!</definedName>
    <definedName name="Tidal6">OE!#REF!</definedName>
    <definedName name="Tidal7" localSheetId="29">[2]WC!#REF!</definedName>
    <definedName name="Tidal7" localSheetId="27">[2]WC!#REF!</definedName>
    <definedName name="Tidal7" localSheetId="2">[1]T!$D$2</definedName>
    <definedName name="Tidal7" localSheetId="28">[2]WC!#REF!</definedName>
    <definedName name="Tidal7" localSheetId="7">WW!#REF!</definedName>
    <definedName name="Tidal7">WC!#REF!</definedName>
    <definedName name="Tidal8" localSheetId="29">[2]INV!#REF!</definedName>
    <definedName name="Tidal8" localSheetId="27">[2]INV!#REF!</definedName>
    <definedName name="Tidal8" localSheetId="2">[1]INV!$D$2</definedName>
    <definedName name="Tidal8" localSheetId="28">[2]INV!#REF!</definedName>
    <definedName name="Tidal8" localSheetId="7">INV!#REF!</definedName>
    <definedName name="Tidal8">INV!#REF!</definedName>
    <definedName name="Tidal9" localSheetId="29">[2]FA!#REF!</definedName>
    <definedName name="Tidal9" localSheetId="27">[2]FA!#REF!</definedName>
    <definedName name="Tidal9" localSheetId="2">[1]FA!$D$2</definedName>
    <definedName name="Tidal9" localSheetId="28">[2]FA!#REF!</definedName>
    <definedName name="Tidal9" localSheetId="7">FA!#REF!</definedName>
    <definedName name="Tidal9">FA!#REF!</definedName>
    <definedName name="TidalNTconn13" localSheetId="29">[2]WBN!#REF!</definedName>
    <definedName name="TidalNTconn13" localSheetId="27">[2]WBN!#REF!</definedName>
    <definedName name="TidalNTconn13" localSheetId="2">[1]WBN!#REF!</definedName>
    <definedName name="TidalNTconn13" localSheetId="28">[2]WBN!#REF!</definedName>
    <definedName name="TidalNTconn13" localSheetId="7">WBN!#REF!</definedName>
    <definedName name="TidalNTconn13">WBN!#REF!</definedName>
    <definedName name="TidalPD" localSheetId="2">[1]PD!$D$2</definedName>
    <definedName name="TidalPD">PH!$D$43</definedName>
    <definedName name="TidalProx_S" localSheetId="29">[2]Sen!$G$63</definedName>
    <definedName name="TidalProx_S" localSheetId="27">[2]Sen!$G$63</definedName>
    <definedName name="TidalProx_S" localSheetId="28">[2]Sen!$G$63</definedName>
    <definedName name="TidalProx_S">Sen!$G$56</definedName>
    <definedName name="TidalProx1" localSheetId="29">[2]WS!$G$3</definedName>
    <definedName name="TidalProx1" localSheetId="27">[2]WS!$G$3</definedName>
    <definedName name="TidalProx1" localSheetId="28">[2]WS!$G$3</definedName>
    <definedName name="TidalProx1">WS!$G$3</definedName>
    <definedName name="TidalProx10" localSheetId="29">[2]FR!$G$3</definedName>
    <definedName name="TidalProx10" localSheetId="27">[2]FR!$G$3</definedName>
    <definedName name="TidalProx10" localSheetId="28">[2]FR!$G$3</definedName>
    <definedName name="TidalProx10">FR!$G$3</definedName>
    <definedName name="TidalProx11" localSheetId="29">[2]AM!$G$46</definedName>
    <definedName name="TidalProx11" localSheetId="27">[2]AM!$G$46</definedName>
    <definedName name="TidalProx11" localSheetId="28">[2]AM!$G$46</definedName>
    <definedName name="TidalProx11">AM!$G$46</definedName>
    <definedName name="TidalProx12" localSheetId="29">[2]WBF!$G$29</definedName>
    <definedName name="TidalProx12" localSheetId="27">[2]WBF!$G$29</definedName>
    <definedName name="TidalProx12" localSheetId="2">[1]WBF!$G$141</definedName>
    <definedName name="TidalProx12" localSheetId="28">[2]WBF!$G$29</definedName>
    <definedName name="TidalProx12">WBF!$G$22</definedName>
    <definedName name="TidalProx13" localSheetId="29">[2]WBN!$G$41</definedName>
    <definedName name="TidalProx13" localSheetId="27">[2]WBN!$G$41</definedName>
    <definedName name="TidalProx13" localSheetId="28">[2]WBN!$G$41</definedName>
    <definedName name="TidalProx13">WBN!$G$34</definedName>
    <definedName name="TidalProx14" localSheetId="29">[2]SBM!$G$59</definedName>
    <definedName name="TidalProx14" localSheetId="27">[2]SBM!$G$59</definedName>
    <definedName name="TidalProx14" localSheetId="28">[2]SBM!$G$59</definedName>
    <definedName name="TidalProx14">SBM!$G$52</definedName>
    <definedName name="TidalProx3" localSheetId="29">[2]PR!$G$3</definedName>
    <definedName name="TidalProx3" localSheetId="27">[2]PR!$G$3</definedName>
    <definedName name="TidalProx3" localSheetId="28">[2]PR!$G$3</definedName>
    <definedName name="TidalProx3">PR!$G$3</definedName>
    <definedName name="TidalProx4" localSheetId="29">[2]NR!$G$3</definedName>
    <definedName name="TidalProx4" localSheetId="27">[2]NR!$G$3</definedName>
    <definedName name="TidalProx4" localSheetId="28">[2]NR!$G$3</definedName>
    <definedName name="TidalProx4">NR!$G$3</definedName>
    <definedName name="TidalProx5" localSheetId="2">[1]CS!$G$131</definedName>
    <definedName name="TidalProx5">CS!#REF!</definedName>
    <definedName name="TidalProx6" localSheetId="29">[2]OE!$G$3</definedName>
    <definedName name="TidalProx6" localSheetId="27">[2]OE!$G$3</definedName>
    <definedName name="TidalProx6" localSheetId="28">[2]OE!$G$3</definedName>
    <definedName name="TidalProx6">OE!$G$141</definedName>
    <definedName name="TidalProx8" localSheetId="29">[2]INV!$G$3</definedName>
    <definedName name="TidalProx8" localSheetId="27">[2]INV!$G$3</definedName>
    <definedName name="TidalProx8" localSheetId="28">[2]INV!$G$3</definedName>
    <definedName name="TidalProx8">INV!$G$3</definedName>
    <definedName name="TidalProx9" localSheetId="29">[2]FA!$G$3</definedName>
    <definedName name="TidalProx9" localSheetId="27">[2]FA!$G$3</definedName>
    <definedName name="TidalProx9" localSheetId="28">[2]FA!$G$3</definedName>
    <definedName name="TidalProx9">FA!$G$3</definedName>
    <definedName name="TidalProxPD" localSheetId="29">[2]PH!$G$37</definedName>
    <definedName name="TidalProxPD" localSheetId="27">[2]PH!$G$37</definedName>
    <definedName name="TidalProxPD" localSheetId="28">[2]PH!$G$37</definedName>
    <definedName name="TidalProxPD">PH!$G$30</definedName>
    <definedName name="TidalProxPU" localSheetId="29">[2]PU!$G$16</definedName>
    <definedName name="TidalProxPU" localSheetId="27">[2]PU!$G$16</definedName>
    <definedName name="TidalProxPU" localSheetId="28">[2]PU!$G$16</definedName>
    <definedName name="TidalProxPU">PU!$G$16</definedName>
    <definedName name="TidalProxS" localSheetId="29">[2]SubSis!$G$9</definedName>
    <definedName name="TidalProxS" localSheetId="27">[2]SubSis!$G$9</definedName>
    <definedName name="TidalProxS" localSheetId="28">[2]SubSis!$G$9</definedName>
    <definedName name="TidalProxS">SubSis!$G$9</definedName>
    <definedName name="TidalW" localSheetId="29">#REF!</definedName>
    <definedName name="TidalW" localSheetId="27">#REF!</definedName>
    <definedName name="TidalW" localSheetId="2">#REF!</definedName>
    <definedName name="TidalW" localSheetId="28">#REF!</definedName>
    <definedName name="TidalW" localSheetId="7">#REF!</definedName>
    <definedName name="TidalW">#REF!</definedName>
    <definedName name="TideProx2" localSheetId="29">[2]SR!$G$3</definedName>
    <definedName name="TideProx2" localSheetId="27">[2]SR!$G$3</definedName>
    <definedName name="TideProx2" localSheetId="28">[2]SR!$G$3</definedName>
    <definedName name="TideProx2">SR!$G$3</definedName>
    <definedName name="TideProx7" localSheetId="29">[2]WW!$G$37</definedName>
    <definedName name="TideProx7" localSheetId="27">[2]WW!$G$37</definedName>
    <definedName name="TideProx7" localSheetId="28">[2]WW!$G$37</definedName>
    <definedName name="TideProx7">WW!$G$43</definedName>
    <definedName name="TnonTconn10" localSheetId="29">[2]FR!#REF!</definedName>
    <definedName name="TnonTconn10" localSheetId="27">[2]FR!#REF!</definedName>
    <definedName name="TnonTconn10" localSheetId="28">[2]FR!#REF!</definedName>
    <definedName name="TnonTconn10" localSheetId="7">FR!#REF!</definedName>
    <definedName name="TnonTconn10">FR!#REF!</definedName>
    <definedName name="TnonTpd" localSheetId="29">[2]PH!#REF!</definedName>
    <definedName name="TnonTpd" localSheetId="27">[2]PH!#REF!</definedName>
    <definedName name="TnonTpd" localSheetId="2">[1]PD!$G$9</definedName>
    <definedName name="TnonTpd" localSheetId="28">[2]PH!#REF!</definedName>
    <definedName name="TnonTpd" localSheetId="7">PH!#REF!</definedName>
    <definedName name="TnonTpd">PH!#REF!</definedName>
    <definedName name="TooSteep" localSheetId="29">[2]OF!$D$175</definedName>
    <definedName name="TooSteep" localSheetId="27">[2]OF!$D$175</definedName>
    <definedName name="TooSteep" localSheetId="28">[2]OF!$D$175</definedName>
    <definedName name="TooSteep">OF!$D$173</definedName>
    <definedName name="TooSteep12" localSheetId="2">[1]WBF!$D$97</definedName>
    <definedName name="TooSteep12">WBF!$D$49</definedName>
    <definedName name="TooSteep13" localSheetId="29">[2]WBN!$D$143</definedName>
    <definedName name="TooSteep13" localSheetId="27">[2]WBN!$D$143</definedName>
    <definedName name="TooSteep13" localSheetId="28">[2]WBN!$D$143</definedName>
    <definedName name="TooSteep13">WBN!$D$55</definedName>
    <definedName name="ToxData10" localSheetId="29">[2]FR!$G$28</definedName>
    <definedName name="ToxData10" localSheetId="27">[2]FR!$G$28</definedName>
    <definedName name="ToxData10" localSheetId="28">[2]FR!$G$28</definedName>
    <definedName name="ToxData10">FR!$G$28</definedName>
    <definedName name="ToxData2" localSheetId="29">[2]SR!$G$124</definedName>
    <definedName name="ToxData2" localSheetId="27">[2]SR!$G$124</definedName>
    <definedName name="ToxData2" localSheetId="28">[2]SR!$G$124</definedName>
    <definedName name="ToxData2">SR!$G$124</definedName>
    <definedName name="ToxData9" localSheetId="29">[2]FA!$G$20</definedName>
    <definedName name="ToxData9" localSheetId="27">[2]FA!$G$20</definedName>
    <definedName name="ToxData9" localSheetId="28">[2]FA!$G$20</definedName>
    <definedName name="ToxData9">FA!$G$20</definedName>
    <definedName name="Toxic" localSheetId="29">[2]STR!$G$75</definedName>
    <definedName name="Toxic" localSheetId="27">[2]STR!$G$75</definedName>
    <definedName name="Toxic" localSheetId="2">[1]STR!$G$6</definedName>
    <definedName name="Toxic" localSheetId="28">[2]STR!$G$75</definedName>
    <definedName name="Toxic">STR!$G$75</definedName>
    <definedName name="Toxic11" localSheetId="29">[2]AM!$G$70</definedName>
    <definedName name="Toxic11" localSheetId="27">[2]AM!$G$70</definedName>
    <definedName name="Toxic11" localSheetId="28">[2]AM!$G$70</definedName>
    <definedName name="Toxic11">AM!$G$70</definedName>
    <definedName name="ToxicData" localSheetId="29">[2]STR!$G$17</definedName>
    <definedName name="ToxicData" localSheetId="27">[2]STR!$G$17</definedName>
    <definedName name="ToxicData" localSheetId="28">[2]STR!$G$17</definedName>
    <definedName name="ToxicData">STR!$G$17</definedName>
    <definedName name="toxics13" localSheetId="29">[2]WBN!$G$53</definedName>
    <definedName name="toxics13" localSheetId="27">[2]WBN!$G$53</definedName>
    <definedName name="toxics13" localSheetId="2">[1]WBN!$G$186</definedName>
    <definedName name="toxics13" localSheetId="28">[2]WBN!$G$53</definedName>
    <definedName name="toxics13">WBN!$G$46</definedName>
    <definedName name="ToxOnsite">STR!$D$18</definedName>
    <definedName name="ToxUp2" localSheetId="29">[2]SR!$G$119</definedName>
    <definedName name="ToxUp2" localSheetId="27">[2]SR!$G$119</definedName>
    <definedName name="ToxUp2" localSheetId="28">[2]SR!$G$119</definedName>
    <definedName name="ToxUp2">SR!$G$119</definedName>
    <definedName name="TprobUp" localSheetId="29">[2]WC!#REF!</definedName>
    <definedName name="TprobUp" localSheetId="27">[2]WC!#REF!</definedName>
    <definedName name="TprobUp" localSheetId="2">[1]T!$D$39</definedName>
    <definedName name="TprobUp" localSheetId="28">[2]WC!#REF!</definedName>
    <definedName name="TprobUp" localSheetId="7">WW!#REF!</definedName>
    <definedName name="TprobUp">WC!#REF!</definedName>
    <definedName name="Transport1" localSheetId="29">[2]WS!$G$106</definedName>
    <definedName name="Transport1" localSheetId="27">[2]WS!$G$106</definedName>
    <definedName name="Transport1" localSheetId="2">[1]WS!$G$92</definedName>
    <definedName name="Transport1" localSheetId="28">[2]WS!$G$106</definedName>
    <definedName name="Transport1">WS!$G$106</definedName>
    <definedName name="Transport3" localSheetId="29">[2]PR!$G$152</definedName>
    <definedName name="Transport3" localSheetId="27">[2]PR!$G$152</definedName>
    <definedName name="Transport3" localSheetId="2">[1]PR!$G$124</definedName>
    <definedName name="Transport3" localSheetId="28">[2]PR!$G$152</definedName>
    <definedName name="Transport3">PR!$G$142</definedName>
    <definedName name="Transport4" localSheetId="29">[2]NR!$G$191</definedName>
    <definedName name="Transport4" localSheetId="27">[2]NR!$G$191</definedName>
    <definedName name="Transport4" localSheetId="2">[1]NR!$G$124</definedName>
    <definedName name="Transport4" localSheetId="28">[2]NR!$G$191</definedName>
    <definedName name="Transport4">NR!$G$191</definedName>
    <definedName name="TransportSS" localSheetId="29">[2]SR!$G$142</definedName>
    <definedName name="TransportSS" localSheetId="27">[2]SR!$G$142</definedName>
    <definedName name="TransportSS" localSheetId="2">[1]SR!$G$98</definedName>
    <definedName name="TransportSS" localSheetId="28">[2]SR!$G$142</definedName>
    <definedName name="TransportSS">SR!$G$142</definedName>
    <definedName name="TreeCanop4" localSheetId="29">[2]NR!$G$121</definedName>
    <definedName name="TreeCanop4" localSheetId="27">[2]NR!$G$121</definedName>
    <definedName name="TreeCanop4" localSheetId="28">[2]NR!$G$121</definedName>
    <definedName name="TreeCanop4">NR!$G$121</definedName>
    <definedName name="TreeCovPD" localSheetId="29">[2]PH!$G$115</definedName>
    <definedName name="TreeCovPD" localSheetId="27">[2]PH!$G$115</definedName>
    <definedName name="TreeCovPD" localSheetId="28">[2]PH!$G$115</definedName>
    <definedName name="TreeCovPD">PH!$G$108</definedName>
    <definedName name="TreeCovS" localSheetId="29">[2]Sen!$G$173</definedName>
    <definedName name="TreeCovS" localSheetId="27">[2]Sen!$G$173</definedName>
    <definedName name="TreeCovS" localSheetId="28">[2]Sen!$G$173</definedName>
    <definedName name="TreeCovS">Sen!$G$166</definedName>
    <definedName name="TreeDBHs" localSheetId="29">[2]Sen!$G$179</definedName>
    <definedName name="TreeDBHs" localSheetId="27">[2]Sen!$G$179</definedName>
    <definedName name="TreeDBHs" localSheetId="28">[2]Sen!$G$179</definedName>
    <definedName name="TreeDBHs">Sen!$G$172</definedName>
    <definedName name="TreeForm13">WBN!$G$143</definedName>
    <definedName name="TreeForm5" localSheetId="29">[2]CS!$G$96</definedName>
    <definedName name="TreeForm5" localSheetId="27">[2]CS!$G$96</definedName>
    <definedName name="TreeForm5" localSheetId="2">[1]CS!$G$88</definedName>
    <definedName name="TreeForm5" localSheetId="28">[2]CS!$G$96</definedName>
    <definedName name="TreeForm5">CS!$G$90</definedName>
    <definedName name="TreeForm6" localSheetId="29">[2]OE!#REF!</definedName>
    <definedName name="TreeForm6" localSheetId="27">[2]OE!#REF!</definedName>
    <definedName name="TreeForm6" localSheetId="2">[1]OE!#REF!</definedName>
    <definedName name="TreeForm6" localSheetId="28">[2]OE!#REF!</definedName>
    <definedName name="TreeForm6" localSheetId="7">OE!#REF!</definedName>
    <definedName name="TreeForm6">OE!#REF!</definedName>
    <definedName name="TreeFrag_S" localSheetId="29">[2]Sen!#REF!</definedName>
    <definedName name="TreeFrag_S" localSheetId="27">[2]Sen!#REF!</definedName>
    <definedName name="TreeFrag_S" localSheetId="2">[1]Sen!#REF!</definedName>
    <definedName name="TreeFrag_S" localSheetId="28">[2]Sen!#REF!</definedName>
    <definedName name="TreeFrag_S" localSheetId="7">Sen!#REF!</definedName>
    <definedName name="TreeFrag_S">Sen!#REF!</definedName>
    <definedName name="TreeFrag14" localSheetId="29">[2]SBM!#REF!</definedName>
    <definedName name="TreeFrag14" localSheetId="27">[2]SBM!#REF!</definedName>
    <definedName name="TreeFrag14" localSheetId="2">[1]SBM!#REF!</definedName>
    <definedName name="TreeFrag14" localSheetId="28">[2]SBM!#REF!</definedName>
    <definedName name="TreeFrag14" localSheetId="7">SBM!#REF!</definedName>
    <definedName name="TreeFrag14">SBM!#REF!</definedName>
    <definedName name="Trees13">WBN!$G$143</definedName>
    <definedName name="TreeTyp13">WBN!$G$143</definedName>
    <definedName name="TreeTypes14" localSheetId="29">[2]SBM!$G$126</definedName>
    <definedName name="TreeTypes14" localSheetId="27">[2]SBM!$G$126</definedName>
    <definedName name="TreeTypes14" localSheetId="2">[1]SBM!$G$41</definedName>
    <definedName name="TreeTypes14" localSheetId="28">[2]SBM!$G$126</definedName>
    <definedName name="TreeTypes14">SBM!$G$120</definedName>
    <definedName name="TreeVar11" localSheetId="29">[2]AM!$G$152</definedName>
    <definedName name="TreeVar11" localSheetId="27">[2]AM!$G$152</definedName>
    <definedName name="TreeVar11" localSheetId="2">[1]AM!$G$80</definedName>
    <definedName name="TreeVar11" localSheetId="28">[2]AM!$G$152</definedName>
    <definedName name="TreeVar11">AM!$G$151</definedName>
    <definedName name="TreeVar8" localSheetId="29">[2]INV!#REF!</definedName>
    <definedName name="TreeVar8" localSheetId="27">[2]INV!#REF!</definedName>
    <definedName name="TreeVar8" localSheetId="2">[1]INV!#REF!</definedName>
    <definedName name="TreeVar8" localSheetId="28">[2]INV!#REF!</definedName>
    <definedName name="TreeVar8" localSheetId="7">INV!#REF!</definedName>
    <definedName name="TreeVar8">INV!#REF!</definedName>
    <definedName name="TurbExceed" localSheetId="29">[2]SR!#REF!</definedName>
    <definedName name="TurbExceed" localSheetId="27">[2]SR!#REF!</definedName>
    <definedName name="TurbExceed" localSheetId="28">[2]SR!#REF!</definedName>
    <definedName name="TurbExceed" localSheetId="7">SR!#REF!</definedName>
    <definedName name="TurbExceed">SR!#REF!</definedName>
    <definedName name="TurbExceedSS" localSheetId="29">[2]SR!#REF!</definedName>
    <definedName name="TurbExceedSS" localSheetId="27">[2]SR!#REF!</definedName>
    <definedName name="TurbExceedSS" localSheetId="28">[2]SR!#REF!</definedName>
    <definedName name="TurbExceedSS" localSheetId="7">SR!#REF!</definedName>
    <definedName name="TurbExceedSS">SR!#REF!</definedName>
    <definedName name="Turbid15" localSheetId="29">[2]PH!#REF!</definedName>
    <definedName name="Turbid15" localSheetId="27">[2]PH!#REF!</definedName>
    <definedName name="Turbid15" localSheetId="2">[1]PD!$D$170</definedName>
    <definedName name="Turbid15" localSheetId="28">[2]PH!#REF!</definedName>
    <definedName name="Turbid15">PH!#REF!</definedName>
    <definedName name="TurbUp2" localSheetId="29">[2]SR!#REF!</definedName>
    <definedName name="TurbUp2" localSheetId="27">[2]SR!#REF!</definedName>
    <definedName name="TurbUp2" localSheetId="2">[1]SR!$D$109</definedName>
    <definedName name="TurbUp2" localSheetId="28">[2]SR!#REF!</definedName>
    <definedName name="TurbUp2" localSheetId="7">SR!#REF!</definedName>
    <definedName name="TurbUp2">SR!#REF!</definedName>
    <definedName name="Unbrow" localSheetId="29">[2]SBM!$G$76</definedName>
    <definedName name="Unbrow" localSheetId="27">[2]SBM!$G$76</definedName>
    <definedName name="Unbrow" localSheetId="28">[2]SBM!$G$76</definedName>
    <definedName name="Unbrow">SBM!$G$69</definedName>
    <definedName name="Unbrowsed" localSheetId="29">[2]PH!$G$63</definedName>
    <definedName name="Unbrowsed" localSheetId="27">[2]PH!$G$63</definedName>
    <definedName name="Unbrowsed" localSheetId="28">[2]PH!$G$63</definedName>
    <definedName name="Unbrowsed">PH!$G$56</definedName>
    <definedName name="Undercut10" localSheetId="29">[2]FR!#REF!</definedName>
    <definedName name="Undercut10" localSheetId="27">[2]FR!#REF!</definedName>
    <definedName name="Undercut10" localSheetId="2">[1]FR!$G$73</definedName>
    <definedName name="Undercut10" localSheetId="28">[2]FR!#REF!</definedName>
    <definedName name="Undercut10" localSheetId="7">FR!#REF!</definedName>
    <definedName name="Undercut10">FR!#REF!</definedName>
    <definedName name="Undercut11" localSheetId="29">[2]AM!#REF!</definedName>
    <definedName name="Undercut11" localSheetId="27">[2]AM!#REF!</definedName>
    <definedName name="Undercut11" localSheetId="2">[1]AM!$G$54</definedName>
    <definedName name="Undercut11" localSheetId="28">[2]AM!#REF!</definedName>
    <definedName name="Undercut11" localSheetId="7">AM!#REF!</definedName>
    <definedName name="Undercut11">AM!#REF!</definedName>
    <definedName name="Undercut2" localSheetId="29">[2]SR!#REF!</definedName>
    <definedName name="Undercut2" localSheetId="27">[2]SR!#REF!</definedName>
    <definedName name="Undercut2" localSheetId="2">[1]SR!$G$139</definedName>
    <definedName name="Undercut2" localSheetId="28">[2]SR!#REF!</definedName>
    <definedName name="Undercut2" localSheetId="7">SR!#REF!</definedName>
    <definedName name="Undercut2">SR!#REF!</definedName>
    <definedName name="Undercut9" localSheetId="29">[2]FA!#REF!</definedName>
    <definedName name="Undercut9" localSheetId="27">[2]FA!#REF!</definedName>
    <definedName name="Undercut9" localSheetId="2">[1]FA!$G$64</definedName>
    <definedName name="Undercut9" localSheetId="28">[2]FA!#REF!</definedName>
    <definedName name="Undercut9" localSheetId="7">FA!#REF!</definedName>
    <definedName name="Undercut9">FA!#REF!</definedName>
    <definedName name="Unif1" localSheetId="29">[2]WS!#REF!</definedName>
    <definedName name="Unif1" localSheetId="27">[2]WS!#REF!</definedName>
    <definedName name="Unif1" localSheetId="2">[1]WS!#REF!</definedName>
    <definedName name="Unif1" localSheetId="28">[2]WS!#REF!</definedName>
    <definedName name="Unif1" localSheetId="7">WS!#REF!</definedName>
    <definedName name="Unif1">WS!#REF!</definedName>
    <definedName name="Unif11" localSheetId="29">[2]AM!#REF!</definedName>
    <definedName name="Unif11" localSheetId="27">[2]AM!#REF!</definedName>
    <definedName name="Unif11" localSheetId="2">[1]AM!#REF!</definedName>
    <definedName name="Unif11" localSheetId="28">[2]AM!#REF!</definedName>
    <definedName name="Unif11" localSheetId="7">AM!#REF!</definedName>
    <definedName name="Unif11">AM!#REF!</definedName>
    <definedName name="Unif14">SBM!$G$191</definedName>
    <definedName name="UniPatch8" localSheetId="29">[2]INV!$G$153</definedName>
    <definedName name="UniPatch8" localSheetId="27">[2]INV!$G$153</definedName>
    <definedName name="UniPatch8" localSheetId="28">[2]INV!$G$153</definedName>
    <definedName name="UniPatch8">INV!$G$153</definedName>
    <definedName name="UniqPatch" localSheetId="29">[2]WBF!#REF!</definedName>
    <definedName name="UniqPatch" localSheetId="27">[2]WBF!#REF!</definedName>
    <definedName name="UniqPatch" localSheetId="28">[2]WBF!#REF!</definedName>
    <definedName name="UniqPatch">WBF!#REF!</definedName>
    <definedName name="UniqPatch11" localSheetId="29">[2]AM!$G$206</definedName>
    <definedName name="UniqPatch11" localSheetId="27">[2]AM!$G$206</definedName>
    <definedName name="UniqPatch11" localSheetId="2">[1]AM!$G$228</definedName>
    <definedName name="UniqPatch11" localSheetId="28">[2]AM!$G$206</definedName>
    <definedName name="UniqPatch11">AM!$G$205</definedName>
    <definedName name="UniqPatch12" localSheetId="29">[2]WBF!#REF!</definedName>
    <definedName name="UniqPatch12" localSheetId="27">[2]WBF!#REF!</definedName>
    <definedName name="UniqPatch12" localSheetId="28">[2]WBF!#REF!</definedName>
    <definedName name="UniqPatch12">WBF!#REF!</definedName>
    <definedName name="UniqPatch12a" localSheetId="29">[2]WBF!#REF!</definedName>
    <definedName name="UniqPatch12a" localSheetId="27">[2]WBF!#REF!</definedName>
    <definedName name="UniqPatch12a" localSheetId="28">[2]WBF!#REF!</definedName>
    <definedName name="UniqPatch12a">WBF!#REF!</definedName>
    <definedName name="UniqPatch13" localSheetId="29">[2]WBN!#REF!</definedName>
    <definedName name="UniqPatch13" localSheetId="27">[2]WBN!#REF!</definedName>
    <definedName name="UniqPatch13" localSheetId="28">[2]WBN!#REF!</definedName>
    <definedName name="UniqPatch13">WBN!#REF!</definedName>
    <definedName name="UniqPatch14" localSheetId="29">[2]SBM!$G$204</definedName>
    <definedName name="UniqPatch14" localSheetId="27">[2]SBM!$G$204</definedName>
    <definedName name="UniqPatch14" localSheetId="28">[2]SBM!$G$204</definedName>
    <definedName name="UniqPatch14">SBM!$G$205</definedName>
    <definedName name="UniqPatchPD" localSheetId="29">[2]PH!$G$211</definedName>
    <definedName name="UniqPatchPD" localSheetId="27">[2]PH!$G$211</definedName>
    <definedName name="UniqPatchPD" localSheetId="2">[1]PD!$G$174</definedName>
    <definedName name="UniqPatchPD" localSheetId="28">[2]PH!$G$211</definedName>
    <definedName name="UniqPatchPD">PH!$G$211</definedName>
    <definedName name="UniqVegF" localSheetId="29">[2]Sen!$G$22</definedName>
    <definedName name="UniqVegF" localSheetId="27">[2]Sen!$G$22</definedName>
    <definedName name="UniqVegF" localSheetId="28">[2]Sen!$G$22</definedName>
    <definedName name="UniqVegF">Sen!$G$15</definedName>
    <definedName name="Unprotec" localSheetId="29">[2]STR!#REF!</definedName>
    <definedName name="Unprotec" localSheetId="27">[2]STR!#REF!</definedName>
    <definedName name="Unprotec" localSheetId="28">[2]STR!#REF!</definedName>
    <definedName name="Unprotec">STR!#REF!</definedName>
    <definedName name="UpEdge_S" localSheetId="29">[2]Sen!$G$69</definedName>
    <definedName name="UpEdge_S" localSheetId="27">[2]Sen!$G$69</definedName>
    <definedName name="UpEdge_S" localSheetId="28">[2]Sen!$G$69</definedName>
    <definedName name="UpEdge_S">Sen!$G$62</definedName>
    <definedName name="UpEdge14" localSheetId="29">[2]SBM!$G$65</definedName>
    <definedName name="UpEdge14" localSheetId="27">[2]SBM!$G$65</definedName>
    <definedName name="UpEdge14" localSheetId="2">[1]SBM!$G$62</definedName>
    <definedName name="UpEdge14" localSheetId="28">[2]SBM!$G$65</definedName>
    <definedName name="UpEdge14">SBM!$G$58</definedName>
    <definedName name="UpEdgeShape4" localSheetId="29">[2]NR!$G$9</definedName>
    <definedName name="UpEdgeShape4" localSheetId="27">[2]NR!$G$9</definedName>
    <definedName name="UpEdgeShape4" localSheetId="2">[1]NR!$G$80</definedName>
    <definedName name="UpEdgeShape4" localSheetId="28">[2]NR!$G$9</definedName>
    <definedName name="UpEdgeShape4">NR!$G$9</definedName>
    <definedName name="UpErodible" localSheetId="29">#REF!</definedName>
    <definedName name="UpErodible" localSheetId="27">#REF!</definedName>
    <definedName name="UpErodible" localSheetId="2">#REF!</definedName>
    <definedName name="UpErodible" localSheetId="28">#REF!</definedName>
    <definedName name="UpErodible" localSheetId="7">#REF!</definedName>
    <definedName name="UpErodible">#REF!</definedName>
    <definedName name="UpExceed2" localSheetId="29">[2]SR!#REF!</definedName>
    <definedName name="UpExceed2" localSheetId="27">[2]SR!#REF!</definedName>
    <definedName name="UpExceed2" localSheetId="28">[2]SR!#REF!</definedName>
    <definedName name="UpExceed2" localSheetId="7">SR!#REF!</definedName>
    <definedName name="UpExceed2">SR!#REF!</definedName>
    <definedName name="UpExceedDist" localSheetId="29">#REF!</definedName>
    <definedName name="UpExceedDist" localSheetId="27">#REF!</definedName>
    <definedName name="UpExceedDist" localSheetId="2">#REF!</definedName>
    <definedName name="UpExceedDist" localSheetId="28">#REF!</definedName>
    <definedName name="UpExceedDist" localSheetId="7">#REF!</definedName>
    <definedName name="UpExceedDist">#REF!</definedName>
    <definedName name="UpNitrate" localSheetId="29">#REF!</definedName>
    <definedName name="UpNitrate" localSheetId="27">#REF!</definedName>
    <definedName name="UpNitrate" localSheetId="2">#REF!</definedName>
    <definedName name="UpNitrate" localSheetId="28">#REF!</definedName>
    <definedName name="UpNitrate" localSheetId="7">#REF!</definedName>
    <definedName name="UpNitrate">#REF!</definedName>
    <definedName name="UpPhos" localSheetId="29">#REF!</definedName>
    <definedName name="UpPhos" localSheetId="27">#REF!</definedName>
    <definedName name="UpPhos" localSheetId="2">#REF!</definedName>
    <definedName name="UpPhos" localSheetId="28">#REF!</definedName>
    <definedName name="UpPhos" localSheetId="7">#REF!</definedName>
    <definedName name="UpPhos">#REF!</definedName>
    <definedName name="UpPollute" localSheetId="29">#REF!</definedName>
    <definedName name="UpPollute" localSheetId="27">#REF!</definedName>
    <definedName name="UpPollute" localSheetId="2">#REF!</definedName>
    <definedName name="UpPollute" localSheetId="28">#REF!</definedName>
    <definedName name="UpPollute" localSheetId="7">#REF!</definedName>
    <definedName name="UpPollute">#REF!</definedName>
    <definedName name="UpStorage" localSheetId="29">#REF!</definedName>
    <definedName name="UpStorage" localSheetId="27">#REF!</definedName>
    <definedName name="UpStorage" localSheetId="2">#REF!</definedName>
    <definedName name="UpStorage" localSheetId="28">#REF!</definedName>
    <definedName name="UpStorage" localSheetId="7">#REF!</definedName>
    <definedName name="UpStorage">#REF!</definedName>
    <definedName name="UpStore1" localSheetId="29">[2]WS!#REF!</definedName>
    <definedName name="UpStore1" localSheetId="27">[2]WS!#REF!</definedName>
    <definedName name="UpStore1" localSheetId="2">[1]WS!$G$88</definedName>
    <definedName name="UpStore1" localSheetId="28">[2]WS!#REF!</definedName>
    <definedName name="UpStore1" localSheetId="7">WS!#REF!</definedName>
    <definedName name="UpStore1">WS!#REF!</definedName>
    <definedName name="UpStore3" localSheetId="29">[2]PR!#REF!</definedName>
    <definedName name="UpStore3" localSheetId="27">[2]PR!#REF!</definedName>
    <definedName name="UpStore3" localSheetId="2">[1]PR!$G$120</definedName>
    <definedName name="UpStore3" localSheetId="28">[2]PR!#REF!</definedName>
    <definedName name="UpStore3">PR!#REF!</definedName>
    <definedName name="UpStore4" localSheetId="29">[2]NR!#REF!</definedName>
    <definedName name="UpStore4" localSheetId="27">[2]NR!#REF!</definedName>
    <definedName name="UpStore4" localSheetId="2">[1]NR!$G$120</definedName>
    <definedName name="UpStore4" localSheetId="28">[2]NR!#REF!</definedName>
    <definedName name="UpStore4">NR!#REF!</definedName>
    <definedName name="UpStoreSS" localSheetId="29">[2]SR!#REF!</definedName>
    <definedName name="UpStoreSS" localSheetId="27">[2]SR!#REF!</definedName>
    <definedName name="UpStoreSS" localSheetId="2">[1]SR!$G$94</definedName>
    <definedName name="UpStoreSS" localSheetId="28">[2]SR!#REF!</definedName>
    <definedName name="UpStoreSS" localSheetId="7">SR!#REF!</definedName>
    <definedName name="UpStoreSS">SR!#REF!</definedName>
    <definedName name="UpThermo" localSheetId="29">#REF!</definedName>
    <definedName name="UpThermo" localSheetId="27">#REF!</definedName>
    <definedName name="UpThermo" localSheetId="2">#REF!</definedName>
    <definedName name="UpThermo" localSheetId="28">#REF!</definedName>
    <definedName name="UpThermo" localSheetId="7">#REF!</definedName>
    <definedName name="UpThermo">#REF!</definedName>
    <definedName name="UpTransport" localSheetId="29">#REF!</definedName>
    <definedName name="UpTransport" localSheetId="27">#REF!</definedName>
    <definedName name="UpTransport" localSheetId="2">#REF!</definedName>
    <definedName name="UpTransport" localSheetId="28">#REF!</definedName>
    <definedName name="UpTransport" localSheetId="7">#REF!</definedName>
    <definedName name="UpTransport">#REF!</definedName>
    <definedName name="UpTurbid" localSheetId="29">#REF!</definedName>
    <definedName name="UpTurbid" localSheetId="27">#REF!</definedName>
    <definedName name="UpTurbid" localSheetId="2">#REF!</definedName>
    <definedName name="UpTurbid" localSheetId="28">#REF!</definedName>
    <definedName name="UpTurbid" localSheetId="7">#REF!</definedName>
    <definedName name="UpTurbid">#REF!</definedName>
    <definedName name="UpWQdis2" localSheetId="29">[2]SR!#REF!</definedName>
    <definedName name="UpWQdis2" localSheetId="27">[2]SR!#REF!</definedName>
    <definedName name="UpWQdis2" localSheetId="2">[1]SR!#REF!</definedName>
    <definedName name="UpWQdis2" localSheetId="28">[2]SR!#REF!</definedName>
    <definedName name="UpWQdis2" localSheetId="7">SR!#REF!</definedName>
    <definedName name="UpWQdis2">SR!#REF!</definedName>
    <definedName name="VegClear" localSheetId="29">[2]STR!#REF!</definedName>
    <definedName name="VegClear" localSheetId="27">[2]STR!#REF!</definedName>
    <definedName name="VegClear" localSheetId="2">[1]STR!$G$9</definedName>
    <definedName name="VegClear" localSheetId="28">[2]STR!#REF!</definedName>
    <definedName name="VegClear">STR!#REF!</definedName>
    <definedName name="VegGap11" localSheetId="29">[2]AM!#REF!</definedName>
    <definedName name="VegGap11" localSheetId="27">[2]AM!#REF!</definedName>
    <definedName name="VegGap11" localSheetId="2">[1]AM!#REF!</definedName>
    <definedName name="VegGap11" localSheetId="28">[2]AM!#REF!</definedName>
    <definedName name="VegGap11" localSheetId="7">AM!#REF!</definedName>
    <definedName name="VegGap11">AM!#REF!</definedName>
    <definedName name="VegGap14" localSheetId="29">[2]SBM!#REF!</definedName>
    <definedName name="VegGap14" localSheetId="27">[2]SBM!#REF!</definedName>
    <definedName name="VegGap14" localSheetId="2">[1]SBM!$G$54</definedName>
    <definedName name="VegGap14" localSheetId="28">[2]SBM!#REF!</definedName>
    <definedName name="VegGap14">SBM!#REF!</definedName>
    <definedName name="VegGaps8" localSheetId="29">[2]INV!#REF!</definedName>
    <definedName name="VegGaps8" localSheetId="27">[2]INV!#REF!</definedName>
    <definedName name="VegGaps8" localSheetId="2">[1]INV!$G$100</definedName>
    <definedName name="VegGaps8" localSheetId="28">[2]INV!#REF!</definedName>
    <definedName name="VegGaps8">INV!#REF!</definedName>
    <definedName name="VegWabs3" localSheetId="29">[2]PR!$G$56</definedName>
    <definedName name="VegWabs3" localSheetId="27">[2]PR!$G$56</definedName>
    <definedName name="VegWabs3" localSheetId="2">[1]PR!$G$67</definedName>
    <definedName name="VegWabs3" localSheetId="28">[2]PR!$G$56</definedName>
    <definedName name="VegWabs3">PR!$G$61</definedName>
    <definedName name="VegWrel3" localSheetId="29">[2]PR!#REF!</definedName>
    <definedName name="VegWrel3" localSheetId="27">[2]PR!#REF!</definedName>
    <definedName name="VegWrel3" localSheetId="2">[1]PR!$G$147</definedName>
    <definedName name="VegWrel3" localSheetId="28">[2]PR!#REF!</definedName>
    <definedName name="VegWrel3" localSheetId="7">PR!#REF!</definedName>
    <definedName name="VegWrel3">PR!#REF!</definedName>
    <definedName name="Visib12" localSheetId="29">[2]WBF!$G$180</definedName>
    <definedName name="Visib12" localSheetId="27">[2]WBF!$G$180</definedName>
    <definedName name="Visib12" localSheetId="28">[2]WBF!$G$180</definedName>
    <definedName name="Visib12">WBF!$G$180</definedName>
    <definedName name="Visibility" localSheetId="29">[2]PU!$G$27</definedName>
    <definedName name="Visibility" localSheetId="27">[2]PU!$G$27</definedName>
    <definedName name="Visibility" localSheetId="2">[1]PU!$G$2</definedName>
    <definedName name="Visibility" localSheetId="28">[2]PU!$G$27</definedName>
    <definedName name="Visibility">PU!$G$28</definedName>
    <definedName name="VisibWet" localSheetId="29">[2]STR!$G$44</definedName>
    <definedName name="VisibWet" localSheetId="27">[2]STR!$G$44</definedName>
    <definedName name="VisibWet" localSheetId="28">[2]STR!$G$44</definedName>
    <definedName name="VisibWet">STR!$G$44</definedName>
    <definedName name="Vremove6" localSheetId="29">[2]OE!#REF!</definedName>
    <definedName name="Vremove6" localSheetId="27">[2]OE!#REF!</definedName>
    <definedName name="Vremove6" localSheetId="2">[1]OE!$G$116</definedName>
    <definedName name="Vremove6" localSheetId="28">[2]OE!#REF!</definedName>
    <definedName name="Vremove6">OE!#REF!</definedName>
    <definedName name="VscoreSRM">SBM!$G$251</definedName>
    <definedName name="VscoreWBF">WBF!$G$194</definedName>
    <definedName name="VscoreWBN">WBN!$G$216</definedName>
    <definedName name="Vwidth11" localSheetId="29">[2]AM!$G$112</definedName>
    <definedName name="Vwidth11" localSheetId="27">[2]AM!$G$112</definedName>
    <definedName name="Vwidth11" localSheetId="28">[2]AM!$G$112</definedName>
    <definedName name="Vwidth11">AM!$G$117</definedName>
    <definedName name="Vwidth14" localSheetId="29">[2]SBM!$G$92</definedName>
    <definedName name="Vwidth14" localSheetId="27">[2]SBM!$G$92</definedName>
    <definedName name="Vwidth14" localSheetId="28">[2]SBM!$G$92</definedName>
    <definedName name="Vwidth14">SBM!$G$85</definedName>
    <definedName name="VwidthAbs_S" localSheetId="29">[2]Sen!$G$143</definedName>
    <definedName name="VwidthAbs_S" localSheetId="27">[2]Sen!$G$143</definedName>
    <definedName name="VwidthAbs_S" localSheetId="2">[1]Sen!$G$40</definedName>
    <definedName name="VwidthAbs_S" localSheetId="28">[2]Sen!$G$143</definedName>
    <definedName name="VwidthAbs_S">Sen!$G$136</definedName>
    <definedName name="VwidthAbs13" localSheetId="29">[2]WBN!$G$107</definedName>
    <definedName name="VwidthAbs13" localSheetId="27">[2]WBN!$G$107</definedName>
    <definedName name="VwidthAbs13" localSheetId="2">[1]WBN!$G$56</definedName>
    <definedName name="VwidthAbs13" localSheetId="28">[2]WBN!$G$107</definedName>
    <definedName name="VwidthAbs13">WBN!$G$105</definedName>
    <definedName name="VwidthAbs4" localSheetId="29">[2]NR!$G$70</definedName>
    <definedName name="VwidthAbs4" localSheetId="27">[2]NR!$G$70</definedName>
    <definedName name="VwidthAbs4" localSheetId="2">[1]NR!$G$63</definedName>
    <definedName name="VwidthAbs4" localSheetId="28">[2]NR!$G$70</definedName>
    <definedName name="VwidthAbs4">NR!$G$75</definedName>
    <definedName name="VwidthAbs5" localSheetId="29">[2]CS!$G$49</definedName>
    <definedName name="VwidthAbs5" localSheetId="27">[2]CS!$G$49</definedName>
    <definedName name="VwidthAbs5" localSheetId="2">[1]CS!$G$75</definedName>
    <definedName name="VwidthAbs5" localSheetId="28">[2]CS!$G$49</definedName>
    <definedName name="VwidthAbs5">CS!$G$48</definedName>
    <definedName name="VwidthAbs6" localSheetId="29">[2]OE!$G$65</definedName>
    <definedName name="VwidthAbs6" localSheetId="27">[2]OE!$G$65</definedName>
    <definedName name="VwidthAbs6" localSheetId="2">[1]OE!$G$72</definedName>
    <definedName name="VwidthAbs6" localSheetId="28">[2]OE!$G$65</definedName>
    <definedName name="VwidthAbs6">OE!$G$56</definedName>
    <definedName name="VwidthRel_S" localSheetId="29">[2]Sen!#REF!</definedName>
    <definedName name="VwidthRel_S" localSheetId="27">[2]Sen!#REF!</definedName>
    <definedName name="VwidthRel_S" localSheetId="2">[1]Sen!$G$37</definedName>
    <definedName name="VwidthRel_S" localSheetId="28">[2]Sen!#REF!</definedName>
    <definedName name="VwidthRel_S" localSheetId="7">Sen!#REF!</definedName>
    <definedName name="VwidthRel_S">Sen!#REF!</definedName>
    <definedName name="VwidthRel4" localSheetId="29">[2]NR!#REF!</definedName>
    <definedName name="VwidthRel4" localSheetId="27">[2]NR!#REF!</definedName>
    <definedName name="VwidthRel4" localSheetId="2">[1]NR!$G$148</definedName>
    <definedName name="VwidthRel4" localSheetId="28">[2]NR!#REF!</definedName>
    <definedName name="VwidthRel4" localSheetId="7">NR!#REF!</definedName>
    <definedName name="VwidthRel4">NR!#REF!</definedName>
    <definedName name="VwidthRel5" localSheetId="29">[2]CS!#REF!</definedName>
    <definedName name="VwidthRel5" localSheetId="27">[2]CS!#REF!</definedName>
    <definedName name="VwidthRel5" localSheetId="2">[1]CS!$G$72</definedName>
    <definedName name="VwidthRel5" localSheetId="28">[2]CS!#REF!</definedName>
    <definedName name="VwidthRel5" localSheetId="7">CS!#REF!</definedName>
    <definedName name="VwidthRel5">CS!#REF!</definedName>
    <definedName name="VwidthRel6" localSheetId="29">[2]OE!#REF!</definedName>
    <definedName name="VwidthRel6" localSheetId="27">[2]OE!#REF!</definedName>
    <definedName name="VwidthRel6" localSheetId="2">[1]OE!$G$69</definedName>
    <definedName name="VwidthRel6" localSheetId="28">[2]OE!#REF!</definedName>
    <definedName name="VwidthRel6" localSheetId="7">OE!#REF!</definedName>
    <definedName name="VwidthRel6">OE!#REF!</definedName>
    <definedName name="WarmInflo7">WC!$D$70</definedName>
    <definedName name="Warmth1">WS!$G$9</definedName>
    <definedName name="warmth10" localSheetId="29">[2]FR!$G$19</definedName>
    <definedName name="warmth10" localSheetId="27">[2]FR!$G$19</definedName>
    <definedName name="warmth10" localSheetId="28">[2]FR!$G$19</definedName>
    <definedName name="warmth10">FR!$G$19</definedName>
    <definedName name="warmth12" localSheetId="29">[2]WBF!$G$41</definedName>
    <definedName name="warmth12" localSheetId="27">[2]WBF!$G$41</definedName>
    <definedName name="warmth12" localSheetId="28">[2]WBF!$G$41</definedName>
    <definedName name="warmth12">WBF!$G$34</definedName>
    <definedName name="Warmth2">SR!$G$9</definedName>
    <definedName name="Warmth3">PR!$G$9</definedName>
    <definedName name="Warmth4" localSheetId="29">[2]NR!$G$13</definedName>
    <definedName name="Warmth4" localSheetId="27">[2]NR!$G$13</definedName>
    <definedName name="Warmth4" localSheetId="28">[2]NR!$G$13</definedName>
    <definedName name="Warmth4">NR!$G$13</definedName>
    <definedName name="Warmth5" localSheetId="29">[2]CS!$G$9</definedName>
    <definedName name="Warmth5" localSheetId="27">[2]CS!$G$9</definedName>
    <definedName name="Warmth5" localSheetId="28">[2]CS!$G$9</definedName>
    <definedName name="Warmth5">CS!$G$3</definedName>
    <definedName name="Warmth6" localSheetId="29">[2]OE!$G$21</definedName>
    <definedName name="Warmth6" localSheetId="27">[2]OE!$G$21</definedName>
    <definedName name="Warmth6" localSheetId="28">[2]OE!$G$21</definedName>
    <definedName name="Warmth6">OE!$G$11</definedName>
    <definedName name="Warmth7" localSheetId="29">[2]WC!$G$44</definedName>
    <definedName name="Warmth7" localSheetId="27">[2]WC!$G$44</definedName>
    <definedName name="Warmth7" localSheetId="28">[2]WC!$G$44</definedName>
    <definedName name="Warmth7">WC!$G$50</definedName>
    <definedName name="warmth8" localSheetId="29">[2]INV!$G$19</definedName>
    <definedName name="warmth8" localSheetId="27">[2]INV!$G$19</definedName>
    <definedName name="warmth8" localSheetId="28">[2]INV!$G$19</definedName>
    <definedName name="warmth8">INV!$G$19</definedName>
    <definedName name="WatEdgeSlope2" localSheetId="29">[2]SR!$G$47</definedName>
    <definedName name="WatEdgeSlope2" localSheetId="27">[2]SR!$G$47</definedName>
    <definedName name="WatEdgeSlope2" localSheetId="28">[2]SR!$G$47</definedName>
    <definedName name="WatEdgeSlope2">SR!$G$52</definedName>
    <definedName name="Water0" localSheetId="29">[2]POL!#REF!</definedName>
    <definedName name="Water0" localSheetId="27">[2]POL!#REF!</definedName>
    <definedName name="Water0" localSheetId="28">[2]POL!#REF!</definedName>
    <definedName name="Water0">POL!#REF!</definedName>
    <definedName name="Water10">FR!$D$42</definedName>
    <definedName name="Water11">AM!$D$98</definedName>
    <definedName name="Water12">WBF!$D$64</definedName>
    <definedName name="Water13">WBN!$D$63</definedName>
    <definedName name="Water14">SBM!$D$71</definedName>
    <definedName name="Water15">PH!$D$64</definedName>
    <definedName name="Water1a" localSheetId="29">[2]WS!#REF!</definedName>
    <definedName name="Water1a" localSheetId="27">[2]WS!#REF!</definedName>
    <definedName name="Water1a" localSheetId="28">[2]WS!#REF!</definedName>
    <definedName name="Water1a">WS!#REF!</definedName>
    <definedName name="Water2" localSheetId="29">[2]SFS!#REF!</definedName>
    <definedName name="Water2" localSheetId="27">[2]SFS!#REF!</definedName>
    <definedName name="Water2" localSheetId="28">[2]SFS!#REF!</definedName>
    <definedName name="Water2">SFS!#REF!</definedName>
    <definedName name="Water2a" localSheetId="29">[2]SR!#REF!</definedName>
    <definedName name="Water2a" localSheetId="27">[2]SR!#REF!</definedName>
    <definedName name="Water2a" localSheetId="28">[2]SR!#REF!</definedName>
    <definedName name="Water2a">SR!#REF!</definedName>
    <definedName name="Water3">PR!$D$35</definedName>
    <definedName name="Water4">NR!$D$50</definedName>
    <definedName name="Water7">WC!$D$7</definedName>
    <definedName name="Water7w">WW!$D$3</definedName>
    <definedName name="Water8">INV!$D$39</definedName>
    <definedName name="Water9">FA!$D$38</definedName>
    <definedName name="Waterscape11" localSheetId="29">[2]AM!$G$249</definedName>
    <definedName name="Waterscape11" localSheetId="27">[2]AM!$G$249</definedName>
    <definedName name="Waterscape11" localSheetId="28">[2]AM!$G$249</definedName>
    <definedName name="Waterscape11">AM!$G$248</definedName>
    <definedName name="Wave2" localSheetId="29">[2]SR!#REF!</definedName>
    <definedName name="Wave2" localSheetId="27">[2]SR!#REF!</definedName>
    <definedName name="Wave2" localSheetId="2">[1]SR!$G$146</definedName>
    <definedName name="Wave2" localSheetId="28">[2]SR!#REF!</definedName>
    <definedName name="Wave2" localSheetId="7">SR!#REF!</definedName>
    <definedName name="Wave2">SR!#REF!</definedName>
    <definedName name="Waves" localSheetId="29">[2]STR!#REF!</definedName>
    <definedName name="Waves" localSheetId="27">[2]STR!#REF!</definedName>
    <definedName name="Waves" localSheetId="2">[1]STR!$G$15</definedName>
    <definedName name="Waves" localSheetId="28">[2]STR!#REF!</definedName>
    <definedName name="Waves" localSheetId="7">STR!#REF!</definedName>
    <definedName name="Waves">STR!#REF!</definedName>
    <definedName name="Waves15" localSheetId="29">[2]PH!#REF!</definedName>
    <definedName name="Waves15" localSheetId="27">[2]PH!#REF!</definedName>
    <definedName name="Waves15" localSheetId="2">[1]PD!$G$105</definedName>
    <definedName name="Waves15" localSheetId="28">[2]PH!#REF!</definedName>
    <definedName name="Waves15" localSheetId="7">PH!#REF!</definedName>
    <definedName name="Waves15">PH!#REF!</definedName>
    <definedName name="WBFscore10" localSheetId="29">[2]AM!$G$240</definedName>
    <definedName name="WBFscore10" localSheetId="27">[2]AM!$G$240</definedName>
    <definedName name="WBFscore10" localSheetId="28">[2]AM!$G$240</definedName>
    <definedName name="WBFscore10">AM!$G$239</definedName>
    <definedName name="WBFscores" localSheetId="2">[1]FR!$D$112</definedName>
    <definedName name="WBFscores">FR!$D$152</definedName>
    <definedName name="WBFsiteS" localSheetId="29">[2]Sen!$G$108</definedName>
    <definedName name="WBFsiteS" localSheetId="27">[2]Sen!$G$108</definedName>
    <definedName name="WBFsiteS" localSheetId="28">[2]Sen!$G$108</definedName>
    <definedName name="WBFsiteS">Sen!$G$101</definedName>
    <definedName name="WbirdF" localSheetId="2">[1]INV!$G$162</definedName>
    <definedName name="WbirdF">INV!$G$178</definedName>
    <definedName name="WbirdFeed" localSheetId="2">[1]FA!$G$124</definedName>
    <definedName name="WbirdFeed">FA!$G$160</definedName>
    <definedName name="WbirdNest" localSheetId="29">[2]INV!$G$180</definedName>
    <definedName name="WbirdNest" localSheetId="27">[2]INV!$G$180</definedName>
    <definedName name="WbirdNest" localSheetId="2">[1]INV!$G$163</definedName>
    <definedName name="WbirdNest" localSheetId="28">[2]INV!$G$180</definedName>
    <definedName name="WbirdNest">INV!$G$179</definedName>
    <definedName name="WBN4a" localSheetId="29">[2]WBN!#REF!</definedName>
    <definedName name="WBN4a" localSheetId="27">[2]WBN!#REF!</definedName>
    <definedName name="WBN4a" localSheetId="28">[2]WBN!#REF!</definedName>
    <definedName name="WBN4a">WBN!#REF!</definedName>
    <definedName name="WBNsiteS" localSheetId="29">[2]Sen!$G$102</definedName>
    <definedName name="WBNsiteS" localSheetId="27">[2]Sen!$G$102</definedName>
    <definedName name="WBNsiteS" localSheetId="28">[2]Sen!$G$102</definedName>
    <definedName name="WBNsiteS">Sen!$G$95</definedName>
    <definedName name="WeedSource" localSheetId="29">[2]STR!$G$30</definedName>
    <definedName name="WeedSource" localSheetId="27">[2]STR!$G$30</definedName>
    <definedName name="WeedSource" localSheetId="2">[1]STR!$G$35</definedName>
    <definedName name="WeedSource" localSheetId="28">[2]STR!$G$30</definedName>
    <definedName name="WeedSource">STR!$G$30</definedName>
    <definedName name="WeedSourcePD" localSheetId="29">[2]PH!$G$174</definedName>
    <definedName name="WeedSourcePD" localSheetId="27">[2]PH!$G$174</definedName>
    <definedName name="WeedSourcePD" localSheetId="2">[1]PD!$G$130</definedName>
    <definedName name="WeedSourcePD" localSheetId="28">[2]PH!$G$174</definedName>
    <definedName name="WeedSourcePD">PH!$G$174</definedName>
    <definedName name="WellWater" localSheetId="29">#REF!</definedName>
    <definedName name="WellWater" localSheetId="27">#REF!</definedName>
    <definedName name="WellWater" localSheetId="2">#REF!</definedName>
    <definedName name="WellWater" localSheetId="28">#REF!</definedName>
    <definedName name="WellWater" localSheetId="7">#REF!</definedName>
    <definedName name="WellWater">#REF!</definedName>
    <definedName name="WetDistrib13" localSheetId="29">[2]WBN!#REF!</definedName>
    <definedName name="WetDistrib13" localSheetId="27">[2]WBN!#REF!</definedName>
    <definedName name="WetDistrib13" localSheetId="2">[1]WBN!#REF!</definedName>
    <definedName name="WetDistrib13" localSheetId="28">[2]WBN!#REF!</definedName>
    <definedName name="WetDistrib13" localSheetId="7">WBN!#REF!</definedName>
    <definedName name="WetDistrib13">WBN!#REF!</definedName>
    <definedName name="WetIntercept" localSheetId="29">[2]SR!$G$185</definedName>
    <definedName name="WetIntercept" localSheetId="27">[2]SR!$G$185</definedName>
    <definedName name="WetIntercept" localSheetId="28">[2]SR!$G$185</definedName>
    <definedName name="WetIntercept">SR!$G$186</definedName>
    <definedName name="WetPct0" localSheetId="29">[2]POL!#REF!</definedName>
    <definedName name="WetPct0" localSheetId="27">[2]POL!#REF!</definedName>
    <definedName name="WetPct0" localSheetId="28">[2]POL!#REF!</definedName>
    <definedName name="WetPct0">POL!#REF!</definedName>
    <definedName name="WetPctCA2">SR!$G$18</definedName>
    <definedName name="WetPctCA4" localSheetId="29">[2]NR!$G$22</definedName>
    <definedName name="WetPctCA4" localSheetId="27">[2]NR!$G$22</definedName>
    <definedName name="WetPctCA4" localSheetId="28">[2]NR!$G$22</definedName>
    <definedName name="WetPctCA4">NR!$G$22</definedName>
    <definedName name="Wetter" localSheetId="29">[2]STR!$G$70</definedName>
    <definedName name="Wetter" localSheetId="27">[2]STR!$G$70</definedName>
    <definedName name="Wetter" localSheetId="2">[1]STR!$G$2</definedName>
    <definedName name="Wetter" localSheetId="28">[2]STR!$G$70</definedName>
    <definedName name="Wetter">STR!$G$70</definedName>
    <definedName name="wetter1" localSheetId="29">[2]WS!#REF!</definedName>
    <definedName name="wetter1" localSheetId="27">[2]WS!#REF!</definedName>
    <definedName name="wetter1" localSheetId="28">[2]WS!#REF!</definedName>
    <definedName name="wetter1" localSheetId="7">WS!#REF!</definedName>
    <definedName name="wetter1">WS!#REF!</definedName>
    <definedName name="Wetter5" localSheetId="29">[2]CS!$G$136</definedName>
    <definedName name="Wetter5" localSheetId="27">[2]CS!$G$136</definedName>
    <definedName name="Wetter5" localSheetId="28">[2]CS!$G$136</definedName>
    <definedName name="Wetter5">CS!$G$130</definedName>
    <definedName name="WetterEx" localSheetId="29">[2]STR!$G$71</definedName>
    <definedName name="WetterEx" localSheetId="27">[2]STR!$G$71</definedName>
    <definedName name="WetterEx" localSheetId="28">[2]STR!$G$71</definedName>
    <definedName name="WetterEx">STR!$G$71</definedName>
    <definedName name="Wettype10" localSheetId="29">[2]FR!$G$35</definedName>
    <definedName name="Wettype10" localSheetId="27">[2]FR!$G$35</definedName>
    <definedName name="Wettype10" localSheetId="28">[2]FR!$G$35</definedName>
    <definedName name="Wettype10">FR!$G$35</definedName>
    <definedName name="Wettype11" localSheetId="29">[2]AM!$G$86</definedName>
    <definedName name="Wettype11" localSheetId="27">[2]AM!$G$86</definedName>
    <definedName name="Wettype11" localSheetId="28">[2]AM!$G$86</definedName>
    <definedName name="Wettype11">AM!$G$91</definedName>
    <definedName name="Wettype12" localSheetId="29">[2]WBF!$G$59</definedName>
    <definedName name="Wettype12" localSheetId="27">[2]WBF!$G$59</definedName>
    <definedName name="Wettype12" localSheetId="28">[2]WBF!$G$59</definedName>
    <definedName name="Wettype12">WBF!$G$57</definedName>
    <definedName name="Wettype13" localSheetId="29">[2]WBN!$G$58</definedName>
    <definedName name="Wettype13" localSheetId="27">[2]WBN!$G$58</definedName>
    <definedName name="Wettype13" localSheetId="28">[2]WBN!$G$58</definedName>
    <definedName name="Wettype13">WBN!$G$56</definedName>
    <definedName name="Wettype2" localSheetId="29">[2]SFS!$G$7</definedName>
    <definedName name="Wettype2" localSheetId="27">[2]SFS!$G$7</definedName>
    <definedName name="Wettype2" localSheetId="28">[2]SFS!$G$7</definedName>
    <definedName name="Wettype2">SFS!$G$7</definedName>
    <definedName name="Wettype4" localSheetId="29">[2]NR!$G$38</definedName>
    <definedName name="Wettype4" localSheetId="27">[2]NR!$G$38</definedName>
    <definedName name="Wettype4" localSheetId="28">[2]NR!$G$38</definedName>
    <definedName name="Wettype4">NR!$G$43</definedName>
    <definedName name="Wettype5" localSheetId="29">[2]CS!$G$18</definedName>
    <definedName name="Wettype5" localSheetId="27">[2]CS!$G$18</definedName>
    <definedName name="Wettype5" localSheetId="28">[2]CS!$G$18</definedName>
    <definedName name="Wettype5">CS!$G$17</definedName>
    <definedName name="Wettype6" localSheetId="29">[2]OE!$G$41</definedName>
    <definedName name="Wettype6" localSheetId="27">[2]OE!$G$41</definedName>
    <definedName name="Wettype6" localSheetId="28">[2]OE!$G$41</definedName>
    <definedName name="Wettype6">OE!$G$32</definedName>
    <definedName name="Wettype8" localSheetId="29">[2]INV!$G$32</definedName>
    <definedName name="Wettype8" localSheetId="27">[2]INV!$G$32</definedName>
    <definedName name="Wettype8" localSheetId="28">[2]INV!$G$32</definedName>
    <definedName name="Wettype8">INV!$G$32</definedName>
    <definedName name="Wettype9" localSheetId="29">[2]FA!$G$31</definedName>
    <definedName name="Wettype9" localSheetId="27">[2]FA!$G$31</definedName>
    <definedName name="Wettype9" localSheetId="28">[2]FA!$G$31</definedName>
    <definedName name="Wettype9">FA!$G$31</definedName>
    <definedName name="WettypePD" localSheetId="29">[2]PH!$G$64</definedName>
    <definedName name="WettypePD" localSheetId="27">[2]PH!$G$64</definedName>
    <definedName name="WettypePD" localSheetId="28">[2]PH!$G$64</definedName>
    <definedName name="WettypePD">PH!$G$57</definedName>
    <definedName name="WettypeS" localSheetId="29">[2]Sen!$G$123</definedName>
    <definedName name="WettypeS" localSheetId="27">[2]Sen!$G$123</definedName>
    <definedName name="WettypeS" localSheetId="28">[2]Sen!$G$123</definedName>
    <definedName name="WettypeS">Sen!$G$116</definedName>
    <definedName name="wetuniq" localSheetId="29">[2]POL!$G$76</definedName>
    <definedName name="wetuniq" localSheetId="27">[2]POL!$G$76</definedName>
    <definedName name="wetuniq" localSheetId="2">[1]POL!$G$118</definedName>
    <definedName name="wetuniq" localSheetId="28">[2]POL!$G$76</definedName>
    <definedName name="wetuniq">POL!$G$76</definedName>
    <definedName name="WidthAbs2" localSheetId="29">[2]SR!$G$53</definedName>
    <definedName name="WidthAbs2" localSheetId="27">[2]SR!$G$53</definedName>
    <definedName name="WidthAbs2" localSheetId="2">[1]SR!$G$50</definedName>
    <definedName name="WidthAbs2" localSheetId="28">[2]SR!$G$53</definedName>
    <definedName name="WidthAbs2">SR!$G$58</definedName>
    <definedName name="WidthPD" localSheetId="29">[2]PH!$G$95</definedName>
    <definedName name="WidthPD" localSheetId="27">[2]PH!$G$95</definedName>
    <definedName name="WidthPD" localSheetId="28">[2]PH!$G$95</definedName>
    <definedName name="WidthPD">PH!$G$88</definedName>
    <definedName name="WidthRel2" localSheetId="29">[2]SR!#REF!</definedName>
    <definedName name="WidthRel2" localSheetId="27">[2]SR!#REF!</definedName>
    <definedName name="WidthRel2" localSheetId="2">[1]SR!$G$136</definedName>
    <definedName name="WidthRel2" localSheetId="28">[2]SR!#REF!</definedName>
    <definedName name="WidthRel2" localSheetId="7">SR!#REF!</definedName>
    <definedName name="WidthRel2">SR!#REF!</definedName>
    <definedName name="wood1pd" localSheetId="29">[2]PH!#REF!</definedName>
    <definedName name="wood1pd" localSheetId="27">[2]PH!#REF!</definedName>
    <definedName name="wood1pd" localSheetId="2">[1]PD!$G$74</definedName>
    <definedName name="wood1pd" localSheetId="28">[2]PH!#REF!</definedName>
    <definedName name="wood1pd" localSheetId="7">PH!#REF!</definedName>
    <definedName name="wood1pd">PH!#REF!</definedName>
    <definedName name="wood2pd" localSheetId="29">[2]PH!$G$133</definedName>
    <definedName name="wood2pd" localSheetId="27">[2]PH!$G$133</definedName>
    <definedName name="wood2pd" localSheetId="2">[1]PD!$G$80</definedName>
    <definedName name="wood2pd" localSheetId="28">[2]PH!$G$133</definedName>
    <definedName name="wood2pd">PH!$G$126</definedName>
    <definedName name="WoodAbove10" localSheetId="29">[2]FR!$G$67</definedName>
    <definedName name="WoodAbove10" localSheetId="27">[2]FR!$G$67</definedName>
    <definedName name="WoodAbove10" localSheetId="2">[1]FR!$G$79</definedName>
    <definedName name="WoodAbove10" localSheetId="28">[2]FR!$G$67</definedName>
    <definedName name="WoodAbove10">FR!$G$67</definedName>
    <definedName name="WoodAbove11" localSheetId="29">[2]AM!$G$119</definedName>
    <definedName name="WoodAbove11" localSheetId="27">[2]AM!$G$119</definedName>
    <definedName name="WoodAbove11" localSheetId="2">[1]AM!$G$67</definedName>
    <definedName name="WoodAbove11" localSheetId="28">[2]AM!$G$119</definedName>
    <definedName name="WoodAbove11">AM!$G$123</definedName>
    <definedName name="WoodAbove12" localSheetId="29">[2]WBF!#REF!</definedName>
    <definedName name="WoodAbove12" localSheetId="27">[2]WBF!#REF!</definedName>
    <definedName name="WoodAbove12" localSheetId="2">[1]WBF!#REF!</definedName>
    <definedName name="WoodAbove12" localSheetId="28">[2]WBF!#REF!</definedName>
    <definedName name="WoodAbove12" localSheetId="7">WBF!#REF!</definedName>
    <definedName name="WoodAbove12">WBF!#REF!</definedName>
    <definedName name="WoodAbove14" localSheetId="29">[2]SBM!#REF!</definedName>
    <definedName name="WoodAbove14" localSheetId="27">[2]SBM!#REF!</definedName>
    <definedName name="WoodAbove14" localSheetId="2">[1]SBM!$G$22</definedName>
    <definedName name="WoodAbove14" localSheetId="28">[2]SBM!#REF!</definedName>
    <definedName name="WoodAbove14">SBM!#REF!</definedName>
    <definedName name="WoodAbove9" localSheetId="29">[2]FA!$G$65</definedName>
    <definedName name="WoodAbove9" localSheetId="27">[2]FA!$G$65</definedName>
    <definedName name="WoodAbove9" localSheetId="2">[1]FA!$G$76</definedName>
    <definedName name="WoodAbove9" localSheetId="28">[2]FA!$G$65</definedName>
    <definedName name="WoodAbove9">FA!$G$71</definedName>
    <definedName name="WoodDown11" localSheetId="29">[2]AM!$G$161</definedName>
    <definedName name="WoodDown11" localSheetId="27">[2]AM!$G$161</definedName>
    <definedName name="WoodDown11" localSheetId="2">[1]AM!$G$101</definedName>
    <definedName name="WoodDown11" localSheetId="28">[2]AM!$G$161</definedName>
    <definedName name="WoodDown11">AM!$G$160</definedName>
    <definedName name="WoodDown14" localSheetId="29">[2]SBM!$G$139</definedName>
    <definedName name="WoodDown14" localSheetId="27">[2]SBM!$G$139</definedName>
    <definedName name="WoodDown14" localSheetId="2">[1]SBM!$G$69</definedName>
    <definedName name="WoodDown14" localSheetId="28">[2]SBM!$G$139</definedName>
    <definedName name="WoodDown14">SBM!$G$133</definedName>
    <definedName name="WoodDown8" localSheetId="29">[2]INV!$G$113</definedName>
    <definedName name="WoodDown8" localSheetId="27">[2]INV!$G$113</definedName>
    <definedName name="WoodDown8" localSheetId="2">[1]INV!$G$108</definedName>
    <definedName name="WoodDown8" localSheetId="28">[2]INV!$G$113</definedName>
    <definedName name="WoodDown8">INV!$G$113</definedName>
    <definedName name="WoodPatt14" localSheetId="29">[2]SBM!$G$151</definedName>
    <definedName name="WoodPatt14" localSheetId="27">[2]SBM!$G$151</definedName>
    <definedName name="WoodPatt14" localSheetId="28">[2]SBM!$G$151</definedName>
    <definedName name="WoodPatt14">SBM!$G$145</definedName>
    <definedName name="WoodTypes_S" localSheetId="29">[2]Sen!#REF!</definedName>
    <definedName name="WoodTypes_S" localSheetId="27">[2]Sen!#REF!</definedName>
    <definedName name="WoodTypes_S" localSheetId="2">[1]Sen!#REF!</definedName>
    <definedName name="WoodTypes_S" localSheetId="28">[2]Sen!#REF!</definedName>
    <definedName name="WoodTypes_S" localSheetId="7">Sen!#REF!</definedName>
    <definedName name="WoodTypes_S">Sen!#REF!</definedName>
    <definedName name="WoodWaterEdge7" localSheetId="29">[2]WC!#REF!</definedName>
    <definedName name="WoodWaterEdge7" localSheetId="27">[2]WC!#REF!</definedName>
    <definedName name="WoodWaterEdge7" localSheetId="28">[2]WC!#REF!</definedName>
    <definedName name="WoodWaterEdge7">WC!#REF!</definedName>
    <definedName name="woody">F!#REF!</definedName>
    <definedName name="Woody12" localSheetId="29">[2]WBF!$G$129</definedName>
    <definedName name="Woody12" localSheetId="27">[2]WBF!$G$129</definedName>
    <definedName name="Woody12" localSheetId="28">[2]WBF!$G$129</definedName>
    <definedName name="Woody12">WBF!$G$122</definedName>
    <definedName name="Woody13" localSheetId="29">[2]WBN!$G$144</definedName>
    <definedName name="Woody13" localSheetId="27">[2]WBN!$G$144</definedName>
    <definedName name="Woody13" localSheetId="28">[2]WBN!$G$144</definedName>
    <definedName name="Woody13">WBN!$G$137</definedName>
    <definedName name="Woody14" localSheetId="2">[1]SBM!$G$37</definedName>
    <definedName name="Woody14">SBM!$G$145</definedName>
    <definedName name="woodydbh0" localSheetId="29">[2]POL!$G$29</definedName>
    <definedName name="woodydbh0" localSheetId="27">[2]POL!$G$29</definedName>
    <definedName name="woodydbh0" localSheetId="2">[1]POL!$G$42</definedName>
    <definedName name="woodydbh0" localSheetId="28">[2]POL!$G$29</definedName>
    <definedName name="woodydbh0">POL!$G$29</definedName>
    <definedName name="WoodyEdge14" localSheetId="29">[2]SBM!#REF!</definedName>
    <definedName name="WoodyEdge14" localSheetId="27">[2]SBM!#REF!</definedName>
    <definedName name="WoodyEdge14" localSheetId="2">[1]SBM!$G$31</definedName>
    <definedName name="WoodyEdge14" localSheetId="28">[2]SBM!#REF!</definedName>
    <definedName name="WoodyEdge14">SBM!#REF!</definedName>
    <definedName name="woodynn0" localSheetId="29">[2]POL!#REF!</definedName>
    <definedName name="woodynn0" localSheetId="27">[2]POL!#REF!</definedName>
    <definedName name="woodynn0" localSheetId="2">[1]POL!$G$36</definedName>
    <definedName name="woodynn0" localSheetId="28">[2]POL!#REF!</definedName>
    <definedName name="woodynn0" localSheetId="7">POL!#REF!</definedName>
    <definedName name="woodynn0">POL!#REF!</definedName>
    <definedName name="woodypct0" localSheetId="29">[2]POL!#REF!</definedName>
    <definedName name="woodypct0" localSheetId="27">[2]POL!#REF!</definedName>
    <definedName name="woodypct0" localSheetId="28">[2]POL!#REF!</definedName>
    <definedName name="woodypct0">POL!#REF!</definedName>
    <definedName name="WoodyPct14" localSheetId="29">[2]SBM!$G$114</definedName>
    <definedName name="WoodyPct14" localSheetId="27">[2]SBM!$G$114</definedName>
    <definedName name="WoodyPct14" localSheetId="2">[1]SBM!$G$25</definedName>
    <definedName name="WoodyPct14" localSheetId="28">[2]SBM!$G$114</definedName>
    <definedName name="WoodyPct14">SBM!$G$108</definedName>
    <definedName name="WoodyPct5" localSheetId="29">[2]CS!#REF!</definedName>
    <definedName name="WoodyPct5" localSheetId="27">[2]CS!#REF!</definedName>
    <definedName name="WoodyPct5" localSheetId="2">[1]CS!$G$82</definedName>
    <definedName name="WoodyPct5" localSheetId="28">[2]CS!#REF!</definedName>
    <definedName name="WoodyPct5">CS!#REF!</definedName>
    <definedName name="WoodySens2_C" localSheetId="29">[2]EC!$G$4</definedName>
    <definedName name="WoodySens2_C" localSheetId="27">[2]EC!$G$4</definedName>
    <definedName name="WoodySens2_C" localSheetId="2">[1]CQ!$G$65</definedName>
    <definedName name="WoodySens2_C" localSheetId="28">[2]EC!$G$4</definedName>
    <definedName name="WoodySens2_C">EC!$G$4</definedName>
    <definedName name="WoodySens2_S" localSheetId="29">[2]Sen!$G$188</definedName>
    <definedName name="WoodySens2_S" localSheetId="27">[2]Sen!$G$188</definedName>
    <definedName name="WoodySens2_S" localSheetId="2">[1]Sen!$G$86</definedName>
    <definedName name="WoodySens2_S" localSheetId="28">[2]Sen!$G$188</definedName>
    <definedName name="WoodySens2_S">Sen!$G$181</definedName>
    <definedName name="WQdisDown4" localSheetId="29">[2]NR!#REF!</definedName>
    <definedName name="WQdisDown4" localSheetId="27">[2]NR!#REF!</definedName>
    <definedName name="WQdisDown4" localSheetId="2">[1]NR!$G$132</definedName>
    <definedName name="WQdisDown4" localSheetId="28">[2]NR!#REF!</definedName>
    <definedName name="WQdisDown4" localSheetId="7">NR!#REF!</definedName>
    <definedName name="WQdisDown4">NR!#REF!</definedName>
    <definedName name="WQdistUp7" localSheetId="29">[2]WC!#REF!</definedName>
    <definedName name="WQdistUp7" localSheetId="27">[2]WC!#REF!</definedName>
    <definedName name="WQdistUp7" localSheetId="2">[1]T!#REF!</definedName>
    <definedName name="WQdistUp7" localSheetId="28">[2]WC!#REF!</definedName>
    <definedName name="WQdistUp7" localSheetId="7">WW!#REF!</definedName>
    <definedName name="WQdistUp7">WC!#REF!</definedName>
    <definedName name="WQdown4" localSheetId="29">[2]NR!#REF!</definedName>
    <definedName name="WQdown4" localSheetId="27">[2]NR!#REF!</definedName>
    <definedName name="WQdown4" localSheetId="28">[2]NR!#REF!</definedName>
    <definedName name="WQdown4">NR!#REF!</definedName>
    <definedName name="WQdown7" localSheetId="29">[2]WC!#REF!</definedName>
    <definedName name="WQdown7" localSheetId="27">[2]WC!#REF!</definedName>
    <definedName name="WQdown7" localSheetId="28">[2]WC!#REF!</definedName>
    <definedName name="WQdown7" localSheetId="7">WW!#REF!</definedName>
    <definedName name="WQdown7">WC!#REF!</definedName>
    <definedName name="WQdownDis" localSheetId="29">[2]STR!#REF!</definedName>
    <definedName name="WQdownDis" localSheetId="27">[2]STR!#REF!</definedName>
    <definedName name="WQdownDis" localSheetId="2">[1]STR!#REF!</definedName>
    <definedName name="WQdownDis" localSheetId="28">[2]STR!#REF!</definedName>
    <definedName name="WQdownDis" localSheetId="7">STR!#REF!</definedName>
    <definedName name="WQdownDis">STR!#REF!</definedName>
    <definedName name="WQdownDis11" localSheetId="29">[2]AM!#REF!</definedName>
    <definedName name="WQdownDis11" localSheetId="27">[2]AM!#REF!</definedName>
    <definedName name="WQdownDis11" localSheetId="2">[1]AM!#REF!</definedName>
    <definedName name="WQdownDis11" localSheetId="28">[2]AM!#REF!</definedName>
    <definedName name="WQdownDis11" localSheetId="7">AM!#REF!</definedName>
    <definedName name="WQdownDis11">AM!#REF!</definedName>
    <definedName name="WQdownDis12" localSheetId="29">[2]WBF!#REF!</definedName>
    <definedName name="WQdownDis12" localSheetId="27">[2]WBF!#REF!</definedName>
    <definedName name="WQdownDis12" localSheetId="2">[1]WBF!#REF!</definedName>
    <definedName name="WQdownDis12" localSheetId="28">[2]WBF!#REF!</definedName>
    <definedName name="WQdownDis12" localSheetId="7">WBF!#REF!</definedName>
    <definedName name="WQdownDis12">WBF!#REF!</definedName>
    <definedName name="WQdownDis13" localSheetId="29">[2]WBN!#REF!</definedName>
    <definedName name="WQdownDis13" localSheetId="27">[2]WBN!#REF!</definedName>
    <definedName name="WQdownDis13" localSheetId="2">[1]WBN!#REF!</definedName>
    <definedName name="WQdownDis13" localSheetId="28">[2]WBN!#REF!</definedName>
    <definedName name="WQdownDis13" localSheetId="7">WBN!#REF!</definedName>
    <definedName name="WQdownDis13">WBN!#REF!</definedName>
    <definedName name="WQdownDis7" localSheetId="29">[2]WC!#REF!</definedName>
    <definedName name="WQdownDis7" localSheetId="27">[2]WC!#REF!</definedName>
    <definedName name="WQdownDis7" localSheetId="2">[1]T!$G$42</definedName>
    <definedName name="WQdownDis7" localSheetId="28">[2]WC!#REF!</definedName>
    <definedName name="WQdownDis7" localSheetId="7">WW!#REF!</definedName>
    <definedName name="WQdownDis7">WC!#REF!</definedName>
    <definedName name="WQdownDis8" localSheetId="29">[2]INV!#REF!</definedName>
    <definedName name="WQdownDis8" localSheetId="27">[2]INV!#REF!</definedName>
    <definedName name="WQdownDis8" localSheetId="2">[1]INV!#REF!</definedName>
    <definedName name="WQdownDis8" localSheetId="28">[2]INV!#REF!</definedName>
    <definedName name="WQdownDis8" localSheetId="7">INV!#REF!</definedName>
    <definedName name="WQdownDis8">INV!#REF!</definedName>
    <definedName name="WQdownDis9" localSheetId="29">[2]FA!#REF!</definedName>
    <definedName name="WQdownDis9" localSheetId="27">[2]FA!#REF!</definedName>
    <definedName name="WQdownDis9" localSheetId="2">[1]FA!$G$115</definedName>
    <definedName name="WQdownDis9" localSheetId="28">[2]FA!#REF!</definedName>
    <definedName name="WQdownDis9">FA!#REF!</definedName>
    <definedName name="WQNdisUp4" localSheetId="29">[2]NR!#REF!</definedName>
    <definedName name="WQNdisUp4" localSheetId="27">[2]NR!#REF!</definedName>
    <definedName name="WQNdisUp4" localSheetId="2">[1]NR!#REF!</definedName>
    <definedName name="WQNdisUp4" localSheetId="28">[2]NR!#REF!</definedName>
    <definedName name="WQNdisUp4" localSheetId="7">NR!#REF!</definedName>
    <definedName name="WQNdisUp4">NR!#REF!</definedName>
    <definedName name="WQprobDownS" localSheetId="29">[2]STR!#REF!</definedName>
    <definedName name="WQprobDownS" localSheetId="27">[2]STR!#REF!</definedName>
    <definedName name="WQprobDownS" localSheetId="2">[1]STR!#REF!</definedName>
    <definedName name="WQprobDownS" localSheetId="28">[2]STR!#REF!</definedName>
    <definedName name="WQprobDownS" localSheetId="7">STR!#REF!</definedName>
    <definedName name="WQprobDownS">STR!#REF!</definedName>
    <definedName name="WQprobUpS" localSheetId="29">[2]STR!#REF!</definedName>
    <definedName name="WQprobUpS" localSheetId="27">[2]STR!#REF!</definedName>
    <definedName name="WQprobUpS" localSheetId="2">[1]STR!$G$62</definedName>
    <definedName name="WQprobUpS" localSheetId="28">[2]STR!#REF!</definedName>
    <definedName name="WQprobUpS">STR!#REF!</definedName>
    <definedName name="WQstress" localSheetId="29">[2]STR!$G$81</definedName>
    <definedName name="WQstress" localSheetId="27">[2]STR!$G$81</definedName>
    <definedName name="WQstress" localSheetId="28">[2]STR!$G$81</definedName>
    <definedName name="WQstress">STR!$G$81</definedName>
    <definedName name="WQup11" localSheetId="29">[2]AM!#REF!</definedName>
    <definedName name="WQup11" localSheetId="27">[2]AM!#REF!</definedName>
    <definedName name="WQup11" localSheetId="2">[1]AM!$G$220</definedName>
    <definedName name="WQup11" localSheetId="28">[2]AM!#REF!</definedName>
    <definedName name="WQup11">AM!#REF!</definedName>
    <definedName name="WQup4" localSheetId="29">[2]NR!#REF!</definedName>
    <definedName name="WQup4" localSheetId="27">[2]NR!#REF!</definedName>
    <definedName name="WQup4" localSheetId="28">[2]NR!#REF!</definedName>
    <definedName name="WQup4">NR!#REF!</definedName>
    <definedName name="WQup7" localSheetId="29">[2]WC!#REF!</definedName>
    <definedName name="WQup7" localSheetId="27">[2]WC!#REF!</definedName>
    <definedName name="WQup7" localSheetId="28">[2]WC!#REF!</definedName>
    <definedName name="WQup7" localSheetId="7">WW!#REF!</definedName>
    <definedName name="WQup7">WC!#REF!</definedName>
    <definedName name="WQup9" localSheetId="29">[2]FA!#REF!</definedName>
    <definedName name="WQup9" localSheetId="27">[2]FA!#REF!</definedName>
    <definedName name="WQup9" localSheetId="2">[1]FA!$G$107</definedName>
    <definedName name="WQup9" localSheetId="28">[2]FA!#REF!</definedName>
    <definedName name="WQup9">FA!#REF!</definedName>
    <definedName name="WQupDis" localSheetId="29">[2]STR!#REF!</definedName>
    <definedName name="WQupDis" localSheetId="27">[2]STR!#REF!</definedName>
    <definedName name="WQupDis" localSheetId="2">[1]STR!#REF!</definedName>
    <definedName name="WQupDis" localSheetId="28">[2]STR!#REF!</definedName>
    <definedName name="WQupDis" localSheetId="7">STR!#REF!</definedName>
    <definedName name="WQupDis">STR!#REF!</definedName>
    <definedName name="WQupDis11" localSheetId="29">[2]AM!#REF!</definedName>
    <definedName name="WQupDis11" localSheetId="27">[2]AM!#REF!</definedName>
    <definedName name="WQupDis11" localSheetId="2">[1]AM!#REF!</definedName>
    <definedName name="WQupDis11" localSheetId="28">[2]AM!#REF!</definedName>
    <definedName name="WQupDis11" localSheetId="7">AM!#REF!</definedName>
    <definedName name="WQupDis11">AM!#REF!</definedName>
    <definedName name="WQupDis12" localSheetId="29">[2]WBF!#REF!</definedName>
    <definedName name="WQupDis12" localSheetId="27">[2]WBF!#REF!</definedName>
    <definedName name="WQupDis12" localSheetId="2">[1]WBF!#REF!</definedName>
    <definedName name="WQupDis12" localSheetId="28">[2]WBF!#REF!</definedName>
    <definedName name="WQupDis12" localSheetId="7">WBF!#REF!</definedName>
    <definedName name="WQupDis12">WBF!#REF!</definedName>
    <definedName name="WQupDis13" localSheetId="29">[2]WBN!#REF!</definedName>
    <definedName name="WQupDis13" localSheetId="27">[2]WBN!#REF!</definedName>
    <definedName name="WQupDis13" localSheetId="2">[1]WBN!#REF!</definedName>
    <definedName name="WQupDis13" localSheetId="28">[2]WBN!#REF!</definedName>
    <definedName name="WQupDis13" localSheetId="7">WBN!#REF!</definedName>
    <definedName name="WQupDis13">WBN!#REF!</definedName>
    <definedName name="WQupdis8" localSheetId="29">[2]INV!#REF!</definedName>
    <definedName name="WQupdis8" localSheetId="27">[2]INV!#REF!</definedName>
    <definedName name="WQupdis8" localSheetId="2">[1]INV!#REF!</definedName>
    <definedName name="WQupdis8" localSheetId="28">[2]INV!#REF!</definedName>
    <definedName name="WQupdis8" localSheetId="7">INV!#REF!</definedName>
    <definedName name="WQupdis8">INV!#REF!</definedName>
    <definedName name="WQupDis9" localSheetId="29">[2]FA!#REF!</definedName>
    <definedName name="WQupDis9" localSheetId="27">[2]FA!#REF!</definedName>
    <definedName name="WQupDis9" localSheetId="2">[1]FA!#REF!</definedName>
    <definedName name="WQupDis9" localSheetId="28">[2]FA!#REF!</definedName>
    <definedName name="WQupDis9" localSheetId="7">FA!#REF!</definedName>
    <definedName name="WQupDis9">FA!#REF!</definedName>
    <definedName name="Wscape" localSheetId="29">[2]WBN!$G$211</definedName>
    <definedName name="Wscape" localSheetId="27">[2]WBN!$G$211</definedName>
    <definedName name="Wscape" localSheetId="28">[2]WBN!$G$211</definedName>
    <definedName name="Wscape">WBN!$G$211</definedName>
    <definedName name="Wscape14" localSheetId="29">[2]SBM!$G$246</definedName>
    <definedName name="Wscape14" localSheetId="27">[2]SBM!$G$246</definedName>
    <definedName name="Wscape14" localSheetId="28">[2]SBM!$G$246</definedName>
    <definedName name="Wscape14">SBM!$G$247</definedName>
    <definedName name="Z_B8E02330_2419_4DE6_AD01_7ACC7A5D18DD_.wvu.Cols" localSheetId="3" hidden="1">Scores!$J:$J,Scores!#REF!</definedName>
    <definedName name="Z_B8E02330_2419_4DE6_AD01_7ACC7A5D18DD_.wvu.PrintArea" localSheetId="1" hidden="1">F!$A$3:$D$324</definedName>
    <definedName name="Z_B8E02330_2419_4DE6_AD01_7ACC7A5D18DD_.wvu.PrintArea" localSheetId="0" hidden="1">OF!$A$3:$D$218</definedName>
    <definedName name="Z_B8E02330_2419_4DE6_AD01_7ACC7A5D18DD_.wvu.PrintArea" localSheetId="2" hidden="1">S!$A$2:$F$141</definedName>
    <definedName name="Z_B8E02330_2419_4DE6_AD01_7ACC7A5D18DD_.wvu.PrintArea" localSheetId="3" hidden="1">Scores!$A$1:$L$42</definedName>
  </definedNames>
  <calcPr calcId="191029"/>
  <customWorkbookViews>
    <customWorkbookView name="Paul Adamus - Personal View" guid="{B8E02330-2419-4DE6-AD01-7ACC7A5D18DD}" mergeInterval="0" personalView="1" maximized="1" xWindow="1" yWindow="1" windowWidth="1020" windowHeight="490" tabRatio="1000"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0" i="5" l="1"/>
  <c r="G97" i="15" l="1"/>
  <c r="G97" i="17" l="1"/>
  <c r="A118" i="13" l="1"/>
  <c r="G101" i="11"/>
  <c r="G81" i="10"/>
  <c r="G72" i="34"/>
  <c r="G73" i="34"/>
  <c r="G159" i="9"/>
  <c r="D152" i="9"/>
  <c r="C152" i="9"/>
  <c r="D151" i="9"/>
  <c r="F151" i="9" s="1"/>
  <c r="C151" i="9"/>
  <c r="G84" i="9"/>
  <c r="G56" i="8"/>
  <c r="C37" i="8"/>
  <c r="B133" i="19" l="1"/>
  <c r="G16" i="20" l="1"/>
  <c r="D76" i="20" l="1"/>
  <c r="F140" i="4" l="1"/>
  <c r="F141" i="4" s="1"/>
  <c r="F122" i="4"/>
  <c r="F123" i="4" s="1"/>
  <c r="F104" i="4"/>
  <c r="F105" i="4" s="1"/>
  <c r="F91" i="4"/>
  <c r="F92" i="4" s="1"/>
  <c r="F78" i="4"/>
  <c r="F79" i="4" s="1"/>
  <c r="F63" i="4"/>
  <c r="F64" i="4" s="1"/>
  <c r="F48" i="4"/>
  <c r="F49" i="4" s="1"/>
  <c r="F32" i="4"/>
  <c r="F33" i="4" s="1"/>
  <c r="F17" i="4"/>
  <c r="F18" i="4" s="1"/>
  <c r="C97" i="14" l="1"/>
  <c r="D29" i="28" l="1"/>
  <c r="C29" i="28"/>
  <c r="C217" i="25" l="1"/>
  <c r="C170" i="23"/>
  <c r="C65" i="9"/>
  <c r="D155" i="14"/>
  <c r="G155" i="14" s="1"/>
  <c r="C155" i="14"/>
  <c r="A155" i="14"/>
  <c r="B155" i="14"/>
  <c r="D3" i="18" l="1"/>
  <c r="G3" i="18" s="1"/>
  <c r="D69" i="13"/>
  <c r="G69" i="13" s="1"/>
  <c r="D130" i="13"/>
  <c r="D131" i="13"/>
  <c r="D27" i="27"/>
  <c r="G27" i="27" s="1"/>
  <c r="C27" i="27"/>
  <c r="B27" i="27"/>
  <c r="A27" i="27"/>
  <c r="D98" i="21" l="1"/>
  <c r="F98" i="21" s="1"/>
  <c r="C98" i="21"/>
  <c r="D97" i="21"/>
  <c r="F97" i="21" s="1"/>
  <c r="C97" i="21"/>
  <c r="D96" i="21"/>
  <c r="F96" i="21" s="1"/>
  <c r="C96" i="21"/>
  <c r="C16" i="8" l="1"/>
  <c r="D95" i="21"/>
  <c r="F95" i="21" s="1"/>
  <c r="D94" i="21"/>
  <c r="F94" i="21" s="1"/>
  <c r="D93" i="21"/>
  <c r="F93" i="21" s="1"/>
  <c r="D92" i="21"/>
  <c r="C95" i="21"/>
  <c r="C94" i="21"/>
  <c r="C93" i="21"/>
  <c r="C92" i="21"/>
  <c r="C91" i="21"/>
  <c r="A91" i="21"/>
  <c r="B91" i="21"/>
  <c r="G146" i="10"/>
  <c r="D146" i="10"/>
  <c r="F92" i="21" l="1"/>
  <c r="G91" i="21" s="1"/>
  <c r="D233" i="21"/>
  <c r="F233" i="21" s="1"/>
  <c r="C233" i="21"/>
  <c r="D232" i="21"/>
  <c r="F232" i="21" s="1"/>
  <c r="C232" i="21"/>
  <c r="D231" i="21"/>
  <c r="F231" i="21" s="1"/>
  <c r="C231" i="21"/>
  <c r="D230" i="21"/>
  <c r="F230" i="21" s="1"/>
  <c r="C230" i="21"/>
  <c r="D229" i="21"/>
  <c r="F229" i="21" s="1"/>
  <c r="C229" i="21"/>
  <c r="D228" i="21"/>
  <c r="F228" i="21" s="1"/>
  <c r="C228" i="21"/>
  <c r="C227" i="21"/>
  <c r="B227" i="21"/>
  <c r="A227" i="21"/>
  <c r="D198" i="20"/>
  <c r="F198" i="20" s="1"/>
  <c r="C198" i="20"/>
  <c r="D197" i="20"/>
  <c r="F197" i="20" s="1"/>
  <c r="C197" i="20"/>
  <c r="D196" i="20"/>
  <c r="F196" i="20" s="1"/>
  <c r="C196" i="20"/>
  <c r="D195" i="20"/>
  <c r="F195" i="20" s="1"/>
  <c r="C195" i="20"/>
  <c r="D194" i="20"/>
  <c r="F194" i="20" s="1"/>
  <c r="C194" i="20"/>
  <c r="D193" i="20"/>
  <c r="F193" i="20" s="1"/>
  <c r="C193" i="20"/>
  <c r="C192" i="20"/>
  <c r="B192" i="20"/>
  <c r="A192" i="20"/>
  <c r="D172" i="19"/>
  <c r="F172" i="19" s="1"/>
  <c r="C172" i="19"/>
  <c r="D171" i="19"/>
  <c r="F171" i="19" s="1"/>
  <c r="C171" i="19"/>
  <c r="D170" i="19"/>
  <c r="F170" i="19" s="1"/>
  <c r="C170" i="19"/>
  <c r="D169" i="19"/>
  <c r="F169" i="19" s="1"/>
  <c r="C169" i="19"/>
  <c r="D168" i="19"/>
  <c r="F168" i="19" s="1"/>
  <c r="C168" i="19"/>
  <c r="D167" i="19"/>
  <c r="F167" i="19" s="1"/>
  <c r="C167" i="19"/>
  <c r="C166" i="19"/>
  <c r="B166" i="19"/>
  <c r="A166" i="19"/>
  <c r="G184" i="19"/>
  <c r="D233" i="18"/>
  <c r="F233" i="18" s="1"/>
  <c r="C233" i="18"/>
  <c r="D232" i="18"/>
  <c r="F232" i="18" s="1"/>
  <c r="C232" i="18"/>
  <c r="D231" i="18"/>
  <c r="F231" i="18" s="1"/>
  <c r="C231" i="18"/>
  <c r="D230" i="18"/>
  <c r="F230" i="18" s="1"/>
  <c r="C230" i="18"/>
  <c r="D229" i="18"/>
  <c r="F229" i="18" s="1"/>
  <c r="C229" i="18"/>
  <c r="D228" i="18"/>
  <c r="F228" i="18" s="1"/>
  <c r="C228" i="18"/>
  <c r="C227" i="18"/>
  <c r="B227" i="18"/>
  <c r="A227" i="18"/>
  <c r="B86" i="15"/>
  <c r="A86" i="15"/>
  <c r="B79" i="17"/>
  <c r="A79" i="17"/>
  <c r="B83" i="16"/>
  <c r="A83" i="16"/>
  <c r="B70" i="14"/>
  <c r="A70" i="14"/>
  <c r="C68" i="13"/>
  <c r="C67" i="13"/>
  <c r="C66" i="13"/>
  <c r="C65" i="13"/>
  <c r="C64" i="13"/>
  <c r="C63" i="13"/>
  <c r="B62" i="13"/>
  <c r="A62" i="13"/>
  <c r="C95" i="11"/>
  <c r="C94" i="11"/>
  <c r="C93" i="11"/>
  <c r="C92" i="11"/>
  <c r="C91" i="11"/>
  <c r="C90" i="11"/>
  <c r="B89" i="11"/>
  <c r="A89" i="11"/>
  <c r="C73" i="10"/>
  <c r="C72" i="10"/>
  <c r="C71" i="10"/>
  <c r="C70" i="10"/>
  <c r="C69" i="10"/>
  <c r="C68" i="10"/>
  <c r="B67" i="10"/>
  <c r="A67" i="10"/>
  <c r="C125" i="20"/>
  <c r="C124" i="20"/>
  <c r="C123" i="20"/>
  <c r="C122" i="20"/>
  <c r="C121" i="20"/>
  <c r="C120" i="20"/>
  <c r="B119" i="20"/>
  <c r="A119" i="20"/>
  <c r="C110" i="19"/>
  <c r="C109" i="19"/>
  <c r="C108" i="19"/>
  <c r="C107" i="19"/>
  <c r="C106" i="19"/>
  <c r="C105" i="19"/>
  <c r="B104" i="19"/>
  <c r="A104" i="19"/>
  <c r="C141" i="18"/>
  <c r="C140" i="18"/>
  <c r="C139" i="18"/>
  <c r="C138" i="18"/>
  <c r="C137" i="18"/>
  <c r="C136" i="18"/>
  <c r="B135" i="18"/>
  <c r="A135" i="18"/>
  <c r="B72" i="9"/>
  <c r="A72" i="9"/>
  <c r="D31" i="26"/>
  <c r="F31" i="26" s="1"/>
  <c r="D30" i="26"/>
  <c r="F30" i="26" s="1"/>
  <c r="D29" i="26"/>
  <c r="F29" i="26" s="1"/>
  <c r="D28" i="26"/>
  <c r="F28" i="26" s="1"/>
  <c r="D27" i="26"/>
  <c r="F27" i="26" s="1"/>
  <c r="D85" i="17"/>
  <c r="C85" i="17"/>
  <c r="D84" i="17"/>
  <c r="F84" i="17" s="1"/>
  <c r="C84" i="17"/>
  <c r="D83" i="17"/>
  <c r="F83" i="17" s="1"/>
  <c r="C83" i="17"/>
  <c r="D82" i="17"/>
  <c r="F82" i="17" s="1"/>
  <c r="C82" i="17"/>
  <c r="D81" i="17"/>
  <c r="F81" i="17" s="1"/>
  <c r="C81" i="17"/>
  <c r="D80" i="17"/>
  <c r="F80" i="17" s="1"/>
  <c r="G79" i="17" s="1"/>
  <c r="C80" i="17"/>
  <c r="C79" i="17"/>
  <c r="D120" i="14"/>
  <c r="F120" i="14" s="1"/>
  <c r="C120" i="14"/>
  <c r="D119" i="14"/>
  <c r="F119" i="14" s="1"/>
  <c r="C119" i="14"/>
  <c r="D118" i="14"/>
  <c r="F118" i="14" s="1"/>
  <c r="C118" i="14"/>
  <c r="D117" i="14"/>
  <c r="F117" i="14" s="1"/>
  <c r="C117" i="14"/>
  <c r="D69" i="24"/>
  <c r="F69" i="24" s="1"/>
  <c r="D68" i="24"/>
  <c r="F68" i="24" s="1"/>
  <c r="D67" i="24"/>
  <c r="F67" i="24" s="1"/>
  <c r="D66" i="24"/>
  <c r="F66" i="24" s="1"/>
  <c r="D64" i="24"/>
  <c r="F64" i="24" s="1"/>
  <c r="D63" i="24"/>
  <c r="F63" i="24" s="1"/>
  <c r="D62" i="24"/>
  <c r="F62" i="24" s="1"/>
  <c r="D61" i="24"/>
  <c r="F61" i="24" s="1"/>
  <c r="D60" i="24"/>
  <c r="F60" i="24" s="1"/>
  <c r="D59" i="24"/>
  <c r="F59" i="24" s="1"/>
  <c r="D57" i="24"/>
  <c r="F57" i="24" s="1"/>
  <c r="D56" i="24"/>
  <c r="F56" i="24" s="1"/>
  <c r="D55" i="24"/>
  <c r="F55" i="24" s="1"/>
  <c r="D54" i="24"/>
  <c r="F54" i="24" s="1"/>
  <c r="D52" i="24"/>
  <c r="F52" i="24" s="1"/>
  <c r="D51" i="24"/>
  <c r="F51" i="24" s="1"/>
  <c r="D50" i="24"/>
  <c r="F50" i="24" s="1"/>
  <c r="D49" i="24"/>
  <c r="F49" i="24" s="1"/>
  <c r="D47" i="24"/>
  <c r="F47" i="24" s="1"/>
  <c r="D46" i="24"/>
  <c r="F46" i="24" s="1"/>
  <c r="D45" i="24"/>
  <c r="F45" i="24" s="1"/>
  <c r="D43" i="24"/>
  <c r="F43" i="24" s="1"/>
  <c r="D42" i="24"/>
  <c r="F42" i="24" s="1"/>
  <c r="D40" i="24"/>
  <c r="F40" i="24" s="1"/>
  <c r="D39" i="24"/>
  <c r="F39" i="24" s="1"/>
  <c r="D38" i="24"/>
  <c r="F38" i="24" s="1"/>
  <c r="D37" i="24"/>
  <c r="F37" i="24" s="1"/>
  <c r="D36" i="24"/>
  <c r="F36" i="24" s="1"/>
  <c r="D34" i="24"/>
  <c r="F34" i="24" s="1"/>
  <c r="D33" i="24"/>
  <c r="F33" i="24" s="1"/>
  <c r="D32" i="24"/>
  <c r="F32" i="24" s="1"/>
  <c r="D31" i="24"/>
  <c r="F31" i="24" s="1"/>
  <c r="D25" i="24"/>
  <c r="F25" i="24" s="1"/>
  <c r="D24" i="24"/>
  <c r="F24" i="24" s="1"/>
  <c r="D23" i="24"/>
  <c r="F23" i="24" s="1"/>
  <c r="D29" i="24"/>
  <c r="F29" i="24" s="1"/>
  <c r="D28" i="24"/>
  <c r="F28" i="24" s="1"/>
  <c r="D27" i="24"/>
  <c r="F27" i="24" s="1"/>
  <c r="D21" i="24"/>
  <c r="D20" i="24"/>
  <c r="D19" i="24"/>
  <c r="D18" i="24"/>
  <c r="D16" i="24"/>
  <c r="F16" i="24" s="1"/>
  <c r="D15" i="24"/>
  <c r="F15" i="24" s="1"/>
  <c r="D14" i="24"/>
  <c r="F14" i="24" s="1"/>
  <c r="D13" i="24"/>
  <c r="F13" i="24" s="1"/>
  <c r="D12" i="24"/>
  <c r="F12" i="24" s="1"/>
  <c r="D11" i="24"/>
  <c r="F11" i="24" s="1"/>
  <c r="D9" i="24"/>
  <c r="G9" i="24" s="1"/>
  <c r="D8" i="24"/>
  <c r="F8" i="24" s="1"/>
  <c r="D7" i="24"/>
  <c r="F7" i="24" s="1"/>
  <c r="D6" i="24"/>
  <c r="F6" i="24" s="1"/>
  <c r="D5" i="24"/>
  <c r="F5" i="24" s="1"/>
  <c r="D4" i="24"/>
  <c r="F4" i="24" s="1"/>
  <c r="D239" i="25"/>
  <c r="D238" i="25"/>
  <c r="F238" i="25" s="1"/>
  <c r="D237" i="25"/>
  <c r="F237" i="25" s="1"/>
  <c r="D236" i="25"/>
  <c r="F236" i="25" s="1"/>
  <c r="D235" i="25"/>
  <c r="F235" i="25" s="1"/>
  <c r="D234" i="25"/>
  <c r="F234" i="25" s="1"/>
  <c r="D232" i="25"/>
  <c r="F232" i="25" s="1"/>
  <c r="D231" i="25"/>
  <c r="F231" i="25" s="1"/>
  <c r="D230" i="25"/>
  <c r="F230" i="25" s="1"/>
  <c r="D229" i="25"/>
  <c r="F229" i="25" s="1"/>
  <c r="D227" i="25"/>
  <c r="F227" i="25" s="1"/>
  <c r="D226" i="25"/>
  <c r="F226" i="25" s="1"/>
  <c r="D225" i="25"/>
  <c r="F225" i="25" s="1"/>
  <c r="D224" i="25"/>
  <c r="F224" i="25" s="1"/>
  <c r="D223" i="25"/>
  <c r="F223" i="25" s="1"/>
  <c r="D221" i="25"/>
  <c r="F221" i="25" s="1"/>
  <c r="D220" i="25"/>
  <c r="F220" i="25" s="1"/>
  <c r="D219" i="25"/>
  <c r="F219" i="25" s="1"/>
  <c r="D218" i="25"/>
  <c r="D217" i="25"/>
  <c r="F217" i="25" s="1"/>
  <c r="G216" i="25" s="1"/>
  <c r="D215" i="25"/>
  <c r="F215" i="25" s="1"/>
  <c r="D214" i="25"/>
  <c r="F214" i="25" s="1"/>
  <c r="D205" i="25"/>
  <c r="F205" i="25" s="1"/>
  <c r="D204" i="25"/>
  <c r="F204" i="25" s="1"/>
  <c r="D203" i="25"/>
  <c r="F203" i="25" s="1"/>
  <c r="D202" i="25"/>
  <c r="F202" i="25" s="1"/>
  <c r="D201" i="25"/>
  <c r="F201" i="25" s="1"/>
  <c r="D199" i="25"/>
  <c r="F199" i="25" s="1"/>
  <c r="D198" i="25"/>
  <c r="F198" i="25" s="1"/>
  <c r="D197" i="25"/>
  <c r="F197" i="25" s="1"/>
  <c r="D196" i="25"/>
  <c r="F196" i="25" s="1"/>
  <c r="D194" i="25"/>
  <c r="F194" i="25" s="1"/>
  <c r="D193" i="25"/>
  <c r="F193" i="25" s="1"/>
  <c r="D192" i="25"/>
  <c r="F192" i="25" s="1"/>
  <c r="D191" i="25"/>
  <c r="F191" i="25" s="1"/>
  <c r="D190" i="25"/>
  <c r="F190" i="25" s="1"/>
  <c r="D188" i="25"/>
  <c r="F188" i="25" s="1"/>
  <c r="D187" i="25"/>
  <c r="F187" i="25" s="1"/>
  <c r="D186" i="25"/>
  <c r="F186" i="25" s="1"/>
  <c r="D185" i="25"/>
  <c r="F185" i="25" s="1"/>
  <c r="D183" i="25"/>
  <c r="F183" i="25" s="1"/>
  <c r="D182" i="25"/>
  <c r="F182" i="25" s="1"/>
  <c r="D180" i="25"/>
  <c r="F180" i="25" s="1"/>
  <c r="D179" i="25"/>
  <c r="F179" i="25" s="1"/>
  <c r="D178" i="25"/>
  <c r="F178" i="25" s="1"/>
  <c r="D177" i="25"/>
  <c r="F177" i="25" s="1"/>
  <c r="D176" i="25"/>
  <c r="F176" i="25" s="1"/>
  <c r="D175" i="25"/>
  <c r="F175" i="25" s="1"/>
  <c r="D174" i="25"/>
  <c r="F174" i="25" s="1"/>
  <c r="D173" i="25"/>
  <c r="F173" i="25" s="1"/>
  <c r="D171" i="25"/>
  <c r="F171" i="25" s="1"/>
  <c r="D170" i="25"/>
  <c r="F170" i="25" s="1"/>
  <c r="D169" i="25"/>
  <c r="F169" i="25" s="1"/>
  <c r="D168" i="25"/>
  <c r="F168" i="25" s="1"/>
  <c r="D167" i="25"/>
  <c r="F167" i="25" s="1"/>
  <c r="D165" i="25"/>
  <c r="F165" i="25" s="1"/>
  <c r="D164" i="25"/>
  <c r="F164" i="25" s="1"/>
  <c r="D163" i="25"/>
  <c r="F163" i="25" s="1"/>
  <c r="D161" i="25"/>
  <c r="F161" i="25" s="1"/>
  <c r="D160" i="25"/>
  <c r="F160" i="25" s="1"/>
  <c r="D159" i="25"/>
  <c r="F159" i="25" s="1"/>
  <c r="D158" i="25"/>
  <c r="F158" i="25" s="1"/>
  <c r="D157" i="25"/>
  <c r="F157" i="25" s="1"/>
  <c r="D155" i="25"/>
  <c r="F155" i="25" s="1"/>
  <c r="D154" i="25"/>
  <c r="F154" i="25" s="1"/>
  <c r="D153" i="25"/>
  <c r="F153" i="25" s="1"/>
  <c r="D152" i="25"/>
  <c r="F152" i="25" s="1"/>
  <c r="D150" i="25"/>
  <c r="G150" i="25" s="1"/>
  <c r="D149" i="25"/>
  <c r="F149" i="25" s="1"/>
  <c r="D148" i="25"/>
  <c r="F148" i="25" s="1"/>
  <c r="D147" i="25"/>
  <c r="F147" i="25" s="1"/>
  <c r="D146" i="25"/>
  <c r="F146" i="25" s="1"/>
  <c r="D145" i="25"/>
  <c r="F145" i="25" s="1"/>
  <c r="D144" i="25"/>
  <c r="F144" i="25" s="1"/>
  <c r="D143" i="25"/>
  <c r="F143" i="25" s="1"/>
  <c r="D141" i="25"/>
  <c r="F141" i="25" s="1"/>
  <c r="D140" i="25"/>
  <c r="F140" i="25" s="1"/>
  <c r="D139" i="25"/>
  <c r="F139" i="25" s="1"/>
  <c r="D138" i="25"/>
  <c r="F138" i="25" s="1"/>
  <c r="D137" i="25"/>
  <c r="F137" i="25" s="1"/>
  <c r="D135" i="25"/>
  <c r="F135" i="25" s="1"/>
  <c r="D134" i="25"/>
  <c r="F134" i="25" s="1"/>
  <c r="D133" i="25"/>
  <c r="F133" i="25" s="1"/>
  <c r="D132" i="25"/>
  <c r="F132" i="25" s="1"/>
  <c r="D131" i="25"/>
  <c r="F131" i="25" s="1"/>
  <c r="D129" i="25"/>
  <c r="F129" i="25" s="1"/>
  <c r="D128" i="25"/>
  <c r="F128" i="25" s="1"/>
  <c r="D127" i="25"/>
  <c r="F127" i="25" s="1"/>
  <c r="D126" i="25"/>
  <c r="F126" i="25" s="1"/>
  <c r="D125" i="25"/>
  <c r="F125" i="25" s="1"/>
  <c r="D124" i="25"/>
  <c r="F124" i="25" s="1"/>
  <c r="D122" i="25"/>
  <c r="D121" i="25"/>
  <c r="F121" i="25" s="1"/>
  <c r="D120" i="25"/>
  <c r="F120" i="25" s="1"/>
  <c r="D119" i="25"/>
  <c r="F119" i="25" s="1"/>
  <c r="D118" i="25"/>
  <c r="F118" i="25" s="1"/>
  <c r="D117" i="25"/>
  <c r="F117" i="25" s="1"/>
  <c r="D115" i="25"/>
  <c r="D114" i="25"/>
  <c r="F114" i="25" s="1"/>
  <c r="D113" i="25"/>
  <c r="F113" i="25" s="1"/>
  <c r="D111" i="25"/>
  <c r="D110" i="25"/>
  <c r="F110" i="25" s="1"/>
  <c r="D109" i="25"/>
  <c r="F109" i="25" s="1"/>
  <c r="D108" i="25"/>
  <c r="F108" i="25" s="1"/>
  <c r="D107" i="25"/>
  <c r="F107" i="25" s="1"/>
  <c r="D105" i="25"/>
  <c r="D104" i="25"/>
  <c r="F104" i="25" s="1"/>
  <c r="D103" i="25"/>
  <c r="F103" i="25" s="1"/>
  <c r="D102" i="25"/>
  <c r="F102" i="25" s="1"/>
  <c r="D100" i="25"/>
  <c r="D99" i="25"/>
  <c r="F99" i="25" s="1"/>
  <c r="D98" i="25"/>
  <c r="F98" i="25" s="1"/>
  <c r="D97" i="25"/>
  <c r="F97" i="25" s="1"/>
  <c r="D96" i="25"/>
  <c r="F96" i="25" s="1"/>
  <c r="D94" i="25"/>
  <c r="D93" i="25"/>
  <c r="F93" i="25" s="1"/>
  <c r="D92" i="25"/>
  <c r="F92" i="25" s="1"/>
  <c r="D91" i="25"/>
  <c r="F91" i="25" s="1"/>
  <c r="D89" i="25"/>
  <c r="F89" i="25" s="1"/>
  <c r="D88" i="25"/>
  <c r="F88" i="25" s="1"/>
  <c r="D87" i="25"/>
  <c r="F87" i="25" s="1"/>
  <c r="D85" i="25"/>
  <c r="F85" i="25" s="1"/>
  <c r="D84" i="25"/>
  <c r="F84" i="25" s="1"/>
  <c r="D83" i="25"/>
  <c r="F83" i="25" s="1"/>
  <c r="D82" i="25"/>
  <c r="F82" i="25" s="1"/>
  <c r="D80" i="25"/>
  <c r="G80" i="25" s="1"/>
  <c r="D79" i="25"/>
  <c r="G78" i="25" s="1"/>
  <c r="D77" i="25"/>
  <c r="D76" i="25"/>
  <c r="F76" i="25" s="1"/>
  <c r="D75" i="25"/>
  <c r="F75" i="25" s="1"/>
  <c r="D74" i="25"/>
  <c r="F74" i="25" s="1"/>
  <c r="D72" i="25"/>
  <c r="D71" i="25"/>
  <c r="F71" i="25" s="1"/>
  <c r="D70" i="25"/>
  <c r="F70" i="25" s="1"/>
  <c r="D69" i="25"/>
  <c r="F69" i="25" s="1"/>
  <c r="D68" i="25"/>
  <c r="F68" i="25" s="1"/>
  <c r="D67" i="25"/>
  <c r="F67" i="25" s="1"/>
  <c r="D65" i="25"/>
  <c r="F65" i="25" s="1"/>
  <c r="D64" i="25"/>
  <c r="F64" i="25" s="1"/>
  <c r="D63" i="25"/>
  <c r="F63" i="25" s="1"/>
  <c r="D61" i="25"/>
  <c r="F61" i="25" s="1"/>
  <c r="D60" i="25"/>
  <c r="F60" i="25" s="1"/>
  <c r="D59" i="25"/>
  <c r="F59" i="25" s="1"/>
  <c r="D58" i="25"/>
  <c r="F58" i="25" s="1"/>
  <c r="D57" i="25"/>
  <c r="F57" i="25" s="1"/>
  <c r="D55" i="25"/>
  <c r="F55" i="25" s="1"/>
  <c r="D54" i="25"/>
  <c r="F54" i="25" s="1"/>
  <c r="D53" i="25"/>
  <c r="F53" i="25" s="1"/>
  <c r="D52" i="25"/>
  <c r="F52" i="25" s="1"/>
  <c r="D50" i="25"/>
  <c r="F50" i="25" s="1"/>
  <c r="D49" i="25"/>
  <c r="F49" i="25" s="1"/>
  <c r="D48" i="25"/>
  <c r="F48" i="25" s="1"/>
  <c r="D47" i="25"/>
  <c r="F47" i="25" s="1"/>
  <c r="D46" i="25"/>
  <c r="F46" i="25" s="1"/>
  <c r="D45" i="25"/>
  <c r="F45" i="25" s="1"/>
  <c r="D43" i="25"/>
  <c r="F43" i="25" s="1"/>
  <c r="D42" i="25"/>
  <c r="F42" i="25" s="1"/>
  <c r="D41" i="25"/>
  <c r="F41" i="25" s="1"/>
  <c r="D40" i="25"/>
  <c r="F40" i="25" s="1"/>
  <c r="D39" i="25"/>
  <c r="F39" i="25" s="1"/>
  <c r="D38" i="25"/>
  <c r="F38" i="25" s="1"/>
  <c r="D36" i="25"/>
  <c r="D35" i="25"/>
  <c r="F35" i="25" s="1"/>
  <c r="D34" i="25"/>
  <c r="F34" i="25" s="1"/>
  <c r="D33" i="25"/>
  <c r="F33" i="25" s="1"/>
  <c r="D32" i="25"/>
  <c r="F32" i="25" s="1"/>
  <c r="D31" i="25"/>
  <c r="F31" i="25" s="1"/>
  <c r="D29" i="25"/>
  <c r="D28" i="25"/>
  <c r="D27" i="25"/>
  <c r="D26" i="25"/>
  <c r="D25" i="25"/>
  <c r="D24" i="25"/>
  <c r="D23" i="25"/>
  <c r="D22" i="25"/>
  <c r="D21" i="25"/>
  <c r="D20" i="25"/>
  <c r="D19" i="25"/>
  <c r="D18" i="25"/>
  <c r="D17" i="25"/>
  <c r="D16" i="25"/>
  <c r="D212" i="25"/>
  <c r="D211" i="25"/>
  <c r="F212" i="25" s="1"/>
  <c r="D210" i="25"/>
  <c r="F211" i="25" s="1"/>
  <c r="D209" i="25"/>
  <c r="F210" i="25" s="1"/>
  <c r="D208" i="25"/>
  <c r="F209" i="25" s="1"/>
  <c r="D207" i="25"/>
  <c r="F208" i="25" s="1"/>
  <c r="F207" i="25"/>
  <c r="D14" i="25"/>
  <c r="F14" i="25" s="1"/>
  <c r="D13" i="25"/>
  <c r="F13" i="25" s="1"/>
  <c r="D12" i="25"/>
  <c r="F12" i="25" s="1"/>
  <c r="D11" i="25"/>
  <c r="F11" i="25" s="1"/>
  <c r="D10" i="25"/>
  <c r="F10" i="25" s="1"/>
  <c r="D8" i="25"/>
  <c r="F8" i="25" s="1"/>
  <c r="D7" i="25"/>
  <c r="F7" i="25" s="1"/>
  <c r="D6" i="25"/>
  <c r="F6" i="25" s="1"/>
  <c r="D5" i="25"/>
  <c r="F5" i="25" s="1"/>
  <c r="D4" i="25"/>
  <c r="F4" i="25" s="1"/>
  <c r="D25" i="26"/>
  <c r="F25" i="26" s="1"/>
  <c r="D24" i="26"/>
  <c r="F24" i="26" s="1"/>
  <c r="D23" i="26"/>
  <c r="F23" i="26" s="1"/>
  <c r="D22" i="26"/>
  <c r="F22" i="26" s="1"/>
  <c r="D21" i="26"/>
  <c r="F21" i="26" s="1"/>
  <c r="D19" i="26"/>
  <c r="F19" i="26" s="1"/>
  <c r="D18" i="26"/>
  <c r="F18" i="26" s="1"/>
  <c r="D16" i="26"/>
  <c r="F16" i="26" s="1"/>
  <c r="D15" i="26"/>
  <c r="F15" i="26" s="1"/>
  <c r="D14" i="26"/>
  <c r="F14" i="26" s="1"/>
  <c r="D12" i="26"/>
  <c r="D11" i="26"/>
  <c r="F11" i="26" s="1"/>
  <c r="D10" i="26"/>
  <c r="F10" i="26" s="1"/>
  <c r="D9" i="26"/>
  <c r="F9" i="26" s="1"/>
  <c r="D8" i="26"/>
  <c r="F8" i="26" s="1"/>
  <c r="D6" i="26"/>
  <c r="F6" i="26" s="1"/>
  <c r="D5" i="26"/>
  <c r="F5" i="26" s="1"/>
  <c r="D3" i="26"/>
  <c r="G3" i="26" s="1"/>
  <c r="D35" i="28"/>
  <c r="F35" i="28" s="1"/>
  <c r="D34" i="28"/>
  <c r="F34" i="28" s="1"/>
  <c r="D33" i="28"/>
  <c r="F33" i="28" s="1"/>
  <c r="D32" i="28"/>
  <c r="F32" i="28" s="1"/>
  <c r="D31" i="28"/>
  <c r="F31" i="28" s="1"/>
  <c r="D28" i="28"/>
  <c r="F28" i="28" s="1"/>
  <c r="D27" i="28"/>
  <c r="F27" i="28" s="1"/>
  <c r="D26" i="28"/>
  <c r="F26" i="28" s="1"/>
  <c r="D24" i="28"/>
  <c r="G24" i="28" s="1"/>
  <c r="D23" i="28"/>
  <c r="G22" i="28" s="1"/>
  <c r="D21" i="28"/>
  <c r="G21" i="28" s="1"/>
  <c r="D20" i="28"/>
  <c r="D19" i="28"/>
  <c r="F19" i="28" s="1"/>
  <c r="D18" i="28"/>
  <c r="F18" i="28" s="1"/>
  <c r="D17" i="28"/>
  <c r="F17" i="28" s="1"/>
  <c r="D16" i="28"/>
  <c r="F16" i="28" s="1"/>
  <c r="D14" i="28"/>
  <c r="F14" i="28" s="1"/>
  <c r="D13" i="28"/>
  <c r="F13" i="28" s="1"/>
  <c r="D12" i="28"/>
  <c r="F12" i="28" s="1"/>
  <c r="D11" i="28"/>
  <c r="F11" i="28" s="1"/>
  <c r="D10" i="28"/>
  <c r="F10" i="28" s="1"/>
  <c r="D8" i="28"/>
  <c r="F8" i="28" s="1"/>
  <c r="D7" i="28"/>
  <c r="F7" i="28" s="1"/>
  <c r="D6" i="28"/>
  <c r="F6" i="28" s="1"/>
  <c r="D5" i="28"/>
  <c r="F5" i="28" s="1"/>
  <c r="D4" i="28"/>
  <c r="F4" i="28" s="1"/>
  <c r="D55" i="27"/>
  <c r="D54" i="27"/>
  <c r="D53" i="27"/>
  <c r="F53" i="27" s="1"/>
  <c r="D52" i="27"/>
  <c r="F52" i="27" s="1"/>
  <c r="D51" i="27"/>
  <c r="F51" i="27" s="1"/>
  <c r="D50" i="27"/>
  <c r="D48" i="27"/>
  <c r="F48" i="27" s="1"/>
  <c r="D47" i="27"/>
  <c r="F47" i="27" s="1"/>
  <c r="D46" i="27"/>
  <c r="F46" i="27" s="1"/>
  <c r="D45" i="27"/>
  <c r="F45" i="27" s="1"/>
  <c r="D44" i="27"/>
  <c r="F44" i="27" s="1"/>
  <c r="D43" i="27"/>
  <c r="F43" i="27" s="1"/>
  <c r="D41" i="27"/>
  <c r="D40" i="27"/>
  <c r="D39" i="27"/>
  <c r="D38" i="27"/>
  <c r="D36" i="27"/>
  <c r="F36" i="27" s="1"/>
  <c r="D35" i="27"/>
  <c r="F35" i="27" s="1"/>
  <c r="D34" i="27"/>
  <c r="F34" i="27" s="1"/>
  <c r="D33" i="27"/>
  <c r="F33" i="27" s="1"/>
  <c r="D31" i="27"/>
  <c r="F31" i="27" s="1"/>
  <c r="D30" i="27"/>
  <c r="F30" i="27" s="1"/>
  <c r="D29" i="27"/>
  <c r="F29" i="27" s="1"/>
  <c r="D26" i="27"/>
  <c r="G26" i="27" s="1"/>
  <c r="D25" i="27"/>
  <c r="G25" i="27" s="1"/>
  <c r="D24" i="27"/>
  <c r="G24" i="27" s="1"/>
  <c r="D23" i="27"/>
  <c r="G22" i="27" s="1"/>
  <c r="D21" i="27"/>
  <c r="F21" i="27" s="1"/>
  <c r="D20" i="27"/>
  <c r="F20" i="27" s="1"/>
  <c r="D19" i="27"/>
  <c r="F19" i="27" s="1"/>
  <c r="D18" i="27"/>
  <c r="F18" i="27" s="1"/>
  <c r="D17" i="27"/>
  <c r="F17" i="27" s="1"/>
  <c r="D15" i="27"/>
  <c r="F15" i="27" s="1"/>
  <c r="D14" i="27"/>
  <c r="F14" i="27" s="1"/>
  <c r="D13" i="27"/>
  <c r="F13" i="27" s="1"/>
  <c r="D12" i="27"/>
  <c r="F12" i="27" s="1"/>
  <c r="D11" i="27"/>
  <c r="F11" i="27" s="1"/>
  <c r="D10" i="27"/>
  <c r="F10" i="27" s="1"/>
  <c r="D8" i="27"/>
  <c r="F8" i="27" s="1"/>
  <c r="D7" i="27"/>
  <c r="F7" i="27" s="1"/>
  <c r="D6" i="27"/>
  <c r="F6" i="27" s="1"/>
  <c r="D5" i="27"/>
  <c r="F5" i="27" s="1"/>
  <c r="D4" i="27"/>
  <c r="F4" i="27" s="1"/>
  <c r="D239" i="23"/>
  <c r="G239" i="23" s="1"/>
  <c r="D238" i="23"/>
  <c r="G238" i="23" s="1"/>
  <c r="D237" i="23"/>
  <c r="D236" i="23"/>
  <c r="F236" i="23" s="1"/>
  <c r="D235" i="23"/>
  <c r="F235" i="23" s="1"/>
  <c r="D233" i="23"/>
  <c r="G233" i="23" s="1"/>
  <c r="D232" i="23"/>
  <c r="D231" i="23"/>
  <c r="F231" i="23" s="1"/>
  <c r="D230" i="23"/>
  <c r="F230" i="23" s="1"/>
  <c r="D229" i="23"/>
  <c r="F229" i="23" s="1"/>
  <c r="D228" i="23"/>
  <c r="F228" i="23" s="1"/>
  <c r="D227" i="23"/>
  <c r="F227" i="23" s="1"/>
  <c r="D225" i="23"/>
  <c r="D224" i="23"/>
  <c r="D223" i="23"/>
  <c r="D222" i="23"/>
  <c r="D221" i="23"/>
  <c r="D220" i="23"/>
  <c r="D219" i="23"/>
  <c r="D218" i="23"/>
  <c r="D217" i="23"/>
  <c r="D216" i="23"/>
  <c r="D215" i="23"/>
  <c r="D214" i="23"/>
  <c r="D213" i="23"/>
  <c r="D212" i="23"/>
  <c r="D209" i="23"/>
  <c r="G209" i="23" s="1"/>
  <c r="D208" i="23"/>
  <c r="D207" i="23"/>
  <c r="D206" i="23"/>
  <c r="F206" i="23" s="1"/>
  <c r="D205" i="23"/>
  <c r="F205" i="23" s="1"/>
  <c r="D204" i="23"/>
  <c r="F204" i="23" s="1"/>
  <c r="D203" i="23"/>
  <c r="F203" i="23" s="1"/>
  <c r="D201" i="23"/>
  <c r="F201" i="23" s="1"/>
  <c r="D200" i="23"/>
  <c r="F200" i="23" s="1"/>
  <c r="D199" i="23"/>
  <c r="F199" i="23" s="1"/>
  <c r="D198" i="23"/>
  <c r="F198" i="23" s="1"/>
  <c r="D197" i="23"/>
  <c r="F197" i="23" s="1"/>
  <c r="D196" i="23"/>
  <c r="F196" i="23" s="1"/>
  <c r="D194" i="23"/>
  <c r="D193" i="23"/>
  <c r="F193" i="23" s="1"/>
  <c r="D192" i="23"/>
  <c r="F192" i="23" s="1"/>
  <c r="D191" i="23"/>
  <c r="F191" i="23" s="1"/>
  <c r="D190" i="23"/>
  <c r="F190" i="23" s="1"/>
  <c r="D189" i="23"/>
  <c r="F189" i="23" s="1"/>
  <c r="D187" i="23"/>
  <c r="F187" i="23" s="1"/>
  <c r="D186" i="23"/>
  <c r="F186" i="23" s="1"/>
  <c r="D184" i="23"/>
  <c r="F184" i="23" s="1"/>
  <c r="D183" i="23"/>
  <c r="F183" i="23" s="1"/>
  <c r="D182" i="23"/>
  <c r="F182" i="23" s="1"/>
  <c r="D181" i="23"/>
  <c r="F181" i="23" s="1"/>
  <c r="D180" i="23"/>
  <c r="F180" i="23" s="1"/>
  <c r="D178" i="23"/>
  <c r="F178" i="23" s="1"/>
  <c r="D177" i="23"/>
  <c r="F177" i="23" s="1"/>
  <c r="D176" i="23"/>
  <c r="F176" i="23" s="1"/>
  <c r="D175" i="23"/>
  <c r="F175" i="23" s="1"/>
  <c r="D173" i="23"/>
  <c r="F173" i="23" s="1"/>
  <c r="D172" i="23"/>
  <c r="F172" i="23" s="1"/>
  <c r="D171" i="23"/>
  <c r="F171" i="23" s="1"/>
  <c r="D170" i="23"/>
  <c r="F170" i="23" s="1"/>
  <c r="D169" i="23"/>
  <c r="F169" i="23" s="1"/>
  <c r="D167" i="23"/>
  <c r="F167" i="23" s="1"/>
  <c r="D166" i="23"/>
  <c r="F166" i="23" s="1"/>
  <c r="D157" i="23"/>
  <c r="F157" i="23" s="1"/>
  <c r="D156" i="23"/>
  <c r="F156" i="23" s="1"/>
  <c r="D155" i="23"/>
  <c r="F155" i="23" s="1"/>
  <c r="D154" i="23"/>
  <c r="F154" i="23" s="1"/>
  <c r="D153" i="23"/>
  <c r="F153" i="23" s="1"/>
  <c r="D152" i="23"/>
  <c r="F152" i="23" s="1"/>
  <c r="D150" i="23"/>
  <c r="F150" i="23" s="1"/>
  <c r="D149" i="23"/>
  <c r="F149" i="23" s="1"/>
  <c r="D148" i="23"/>
  <c r="F148" i="23" s="1"/>
  <c r="D146" i="23"/>
  <c r="F146" i="23" s="1"/>
  <c r="D145" i="23"/>
  <c r="F145" i="23" s="1"/>
  <c r="D144" i="23"/>
  <c r="F144" i="23" s="1"/>
  <c r="D143" i="23"/>
  <c r="F143" i="23" s="1"/>
  <c r="D142" i="23"/>
  <c r="F142" i="23" s="1"/>
  <c r="D140" i="23"/>
  <c r="F140" i="23" s="1"/>
  <c r="D139" i="23"/>
  <c r="F139" i="23" s="1"/>
  <c r="D138" i="23"/>
  <c r="F138" i="23" s="1"/>
  <c r="D137" i="23"/>
  <c r="F137" i="23" s="1"/>
  <c r="D136" i="23"/>
  <c r="F136" i="23" s="1"/>
  <c r="D134" i="23"/>
  <c r="F134" i="23" s="1"/>
  <c r="D133" i="23"/>
  <c r="F133" i="23" s="1"/>
  <c r="D132" i="23"/>
  <c r="F132" i="23" s="1"/>
  <c r="D131" i="23"/>
  <c r="F131" i="23" s="1"/>
  <c r="D130" i="23"/>
  <c r="F130" i="23" s="1"/>
  <c r="G129" i="23" s="1"/>
  <c r="D128" i="23"/>
  <c r="F128" i="23" s="1"/>
  <c r="D127" i="23"/>
  <c r="F127" i="23" s="1"/>
  <c r="D125" i="23"/>
  <c r="F125" i="23" s="1"/>
  <c r="D124" i="23"/>
  <c r="F124" i="23" s="1"/>
  <c r="D123" i="23"/>
  <c r="F123" i="23" s="1"/>
  <c r="D122" i="23"/>
  <c r="F122" i="23" s="1"/>
  <c r="D121" i="23"/>
  <c r="F121" i="23" s="1"/>
  <c r="D119" i="23"/>
  <c r="F119" i="23" s="1"/>
  <c r="D118" i="23"/>
  <c r="F118" i="23" s="1"/>
  <c r="D117" i="23"/>
  <c r="F117" i="23" s="1"/>
  <c r="D116" i="23"/>
  <c r="F116" i="23" s="1"/>
  <c r="D115" i="23"/>
  <c r="F115" i="23" s="1"/>
  <c r="G114" i="23" s="1"/>
  <c r="D113" i="23"/>
  <c r="F113" i="23" s="1"/>
  <c r="D112" i="23"/>
  <c r="F112" i="23" s="1"/>
  <c r="D111" i="23"/>
  <c r="F111" i="23" s="1"/>
  <c r="D110" i="23"/>
  <c r="F110" i="23" s="1"/>
  <c r="D109" i="23"/>
  <c r="F109" i="23" s="1"/>
  <c r="D107" i="23"/>
  <c r="F107" i="23" s="1"/>
  <c r="D106" i="23"/>
  <c r="F106" i="23" s="1"/>
  <c r="D105" i="23"/>
  <c r="F105" i="23" s="1"/>
  <c r="D103" i="23"/>
  <c r="D102" i="23"/>
  <c r="F102" i="23" s="1"/>
  <c r="D101" i="23"/>
  <c r="F101" i="23" s="1"/>
  <c r="D100" i="23"/>
  <c r="F100" i="23" s="1"/>
  <c r="D99" i="23"/>
  <c r="F99" i="23" s="1"/>
  <c r="D97" i="23"/>
  <c r="F97" i="23" s="1"/>
  <c r="D96" i="23"/>
  <c r="F96" i="23" s="1"/>
  <c r="D95" i="23"/>
  <c r="F95" i="23" s="1"/>
  <c r="G94" i="23" s="1"/>
  <c r="D93" i="23"/>
  <c r="F93" i="23" s="1"/>
  <c r="D92" i="23"/>
  <c r="F92" i="23" s="1"/>
  <c r="D91" i="23"/>
  <c r="F91" i="23" s="1"/>
  <c r="D90" i="23"/>
  <c r="F90" i="23" s="1"/>
  <c r="D89" i="23"/>
  <c r="F89" i="23" s="1"/>
  <c r="D87" i="23"/>
  <c r="F87" i="23" s="1"/>
  <c r="D86" i="23"/>
  <c r="F86" i="23" s="1"/>
  <c r="D85" i="23"/>
  <c r="F85" i="23" s="1"/>
  <c r="D84" i="23"/>
  <c r="F84" i="23" s="1"/>
  <c r="D83" i="23"/>
  <c r="F83" i="23" s="1"/>
  <c r="D81" i="23"/>
  <c r="F81" i="23" s="1"/>
  <c r="D80" i="23"/>
  <c r="F80" i="23" s="1"/>
  <c r="D79" i="23"/>
  <c r="F79" i="23" s="1"/>
  <c r="D78" i="23"/>
  <c r="F78" i="23" s="1"/>
  <c r="D76" i="23"/>
  <c r="F76" i="23" s="1"/>
  <c r="D75" i="23"/>
  <c r="F75" i="23" s="1"/>
  <c r="D74" i="23"/>
  <c r="F74" i="23" s="1"/>
  <c r="D73" i="23"/>
  <c r="F73" i="23" s="1"/>
  <c r="D72" i="23"/>
  <c r="F72" i="23" s="1"/>
  <c r="D70" i="23"/>
  <c r="F70" i="23" s="1"/>
  <c r="D69" i="23"/>
  <c r="F69" i="23" s="1"/>
  <c r="D68" i="23"/>
  <c r="F68" i="23" s="1"/>
  <c r="D67" i="23"/>
  <c r="F67" i="23" s="1"/>
  <c r="D66" i="23"/>
  <c r="F66" i="23" s="1"/>
  <c r="D65" i="23"/>
  <c r="F65" i="23" s="1"/>
  <c r="D63" i="23"/>
  <c r="D62" i="23"/>
  <c r="F62" i="23" s="1"/>
  <c r="D61" i="23"/>
  <c r="F61" i="23" s="1"/>
  <c r="D60" i="23"/>
  <c r="F60" i="23" s="1"/>
  <c r="D59" i="23"/>
  <c r="F59" i="23" s="1"/>
  <c r="D58" i="23"/>
  <c r="F58" i="23" s="1"/>
  <c r="D56" i="23"/>
  <c r="G56" i="23" s="1"/>
  <c r="D55" i="23"/>
  <c r="F55" i="23" s="1"/>
  <c r="D54" i="23"/>
  <c r="F54" i="23" s="1"/>
  <c r="D53" i="23"/>
  <c r="F53" i="23" s="1"/>
  <c r="D51" i="23"/>
  <c r="G50" i="23" s="1"/>
  <c r="D49" i="23"/>
  <c r="D48" i="23"/>
  <c r="F48" i="23" s="1"/>
  <c r="D47" i="23"/>
  <c r="F47" i="23" s="1"/>
  <c r="D46" i="23"/>
  <c r="F46" i="23" s="1"/>
  <c r="D44" i="23"/>
  <c r="G44" i="23" s="1"/>
  <c r="D43" i="23"/>
  <c r="G43" i="23" s="1"/>
  <c r="D42" i="23"/>
  <c r="D41" i="23"/>
  <c r="F41" i="23" s="1"/>
  <c r="D40" i="23"/>
  <c r="F40" i="23" s="1"/>
  <c r="D39" i="23"/>
  <c r="F39" i="23" s="1"/>
  <c r="D38" i="23"/>
  <c r="F38" i="23" s="1"/>
  <c r="D37" i="23"/>
  <c r="F37" i="23" s="1"/>
  <c r="D35" i="23"/>
  <c r="F35" i="23" s="1"/>
  <c r="D34" i="23"/>
  <c r="F34" i="23" s="1"/>
  <c r="D33" i="23"/>
  <c r="F33" i="23" s="1"/>
  <c r="D32" i="23"/>
  <c r="F32" i="23" s="1"/>
  <c r="D31" i="23"/>
  <c r="F31" i="23" s="1"/>
  <c r="D29" i="23"/>
  <c r="F29" i="23" s="1"/>
  <c r="D28" i="23"/>
  <c r="F28" i="23" s="1"/>
  <c r="D27" i="23"/>
  <c r="F27" i="23" s="1"/>
  <c r="D26" i="23"/>
  <c r="F26" i="23" s="1"/>
  <c r="D25" i="23"/>
  <c r="F25" i="23" s="1"/>
  <c r="D24" i="23"/>
  <c r="F24" i="23" s="1"/>
  <c r="D22" i="23"/>
  <c r="F22" i="23" s="1"/>
  <c r="D21" i="23"/>
  <c r="F21" i="23" s="1"/>
  <c r="D20" i="23"/>
  <c r="F20" i="23" s="1"/>
  <c r="D19" i="23"/>
  <c r="F19" i="23" s="1"/>
  <c r="D18" i="23"/>
  <c r="F18" i="23" s="1"/>
  <c r="D17" i="23"/>
  <c r="F17" i="23" s="1"/>
  <c r="D164" i="23"/>
  <c r="F164" i="23" s="1"/>
  <c r="D163" i="23"/>
  <c r="F163" i="23" s="1"/>
  <c r="D162" i="23"/>
  <c r="F162" i="23" s="1"/>
  <c r="D161" i="23"/>
  <c r="F161" i="23" s="1"/>
  <c r="D160" i="23"/>
  <c r="F160" i="23" s="1"/>
  <c r="D159" i="23"/>
  <c r="F159" i="23" s="1"/>
  <c r="D15" i="23"/>
  <c r="F15" i="23" s="1"/>
  <c r="D14" i="23"/>
  <c r="F14" i="23" s="1"/>
  <c r="D13" i="23"/>
  <c r="F13" i="23" s="1"/>
  <c r="D12" i="23"/>
  <c r="F12" i="23" s="1"/>
  <c r="D11" i="23"/>
  <c r="F11" i="23" s="1"/>
  <c r="D10" i="23"/>
  <c r="F10" i="23" s="1"/>
  <c r="D8" i="23"/>
  <c r="F8" i="23" s="1"/>
  <c r="D7" i="23"/>
  <c r="F7" i="23" s="1"/>
  <c r="D6" i="23"/>
  <c r="F6" i="23" s="1"/>
  <c r="D5" i="23"/>
  <c r="F5" i="23" s="1"/>
  <c r="D4" i="23"/>
  <c r="F4" i="23" s="1"/>
  <c r="D99" i="22"/>
  <c r="G99" i="22" s="1"/>
  <c r="D98" i="22"/>
  <c r="G98" i="22" s="1"/>
  <c r="D97" i="22"/>
  <c r="D96" i="22"/>
  <c r="F96" i="22" s="1"/>
  <c r="D95" i="22"/>
  <c r="F95" i="22" s="1"/>
  <c r="D94" i="22"/>
  <c r="F94" i="22" s="1"/>
  <c r="D93" i="22"/>
  <c r="F93" i="22" s="1"/>
  <c r="D92" i="22"/>
  <c r="F92" i="22" s="1"/>
  <c r="D90" i="22"/>
  <c r="D89" i="22"/>
  <c r="D88" i="22"/>
  <c r="D87" i="22"/>
  <c r="D86" i="22"/>
  <c r="D85" i="22"/>
  <c r="D84" i="22"/>
  <c r="D83" i="22"/>
  <c r="D82" i="22"/>
  <c r="D81" i="22"/>
  <c r="D80" i="22"/>
  <c r="D79" i="22"/>
  <c r="D78" i="22"/>
  <c r="D77" i="22"/>
  <c r="D74" i="22"/>
  <c r="F74" i="22" s="1"/>
  <c r="D73" i="22"/>
  <c r="F73" i="22" s="1"/>
  <c r="D72" i="22"/>
  <c r="F72" i="22" s="1"/>
  <c r="D71" i="22"/>
  <c r="F71" i="22" s="1"/>
  <c r="D70" i="22"/>
  <c r="F70" i="22" s="1"/>
  <c r="D68" i="22"/>
  <c r="F68" i="22" s="1"/>
  <c r="D67" i="22"/>
  <c r="F67" i="22" s="1"/>
  <c r="D65" i="22"/>
  <c r="F65" i="22" s="1"/>
  <c r="D64" i="22"/>
  <c r="F64" i="22" s="1"/>
  <c r="D63" i="22"/>
  <c r="F63" i="22" s="1"/>
  <c r="D62" i="22"/>
  <c r="F62" i="22" s="1"/>
  <c r="D61" i="22"/>
  <c r="F61" i="22" s="1"/>
  <c r="D59" i="22"/>
  <c r="F59" i="22" s="1"/>
  <c r="D58" i="22"/>
  <c r="F58" i="22" s="1"/>
  <c r="D57" i="22"/>
  <c r="F57" i="22" s="1"/>
  <c r="D56" i="22"/>
  <c r="F56" i="22" s="1"/>
  <c r="D55" i="22"/>
  <c r="F55" i="22" s="1"/>
  <c r="D53" i="22"/>
  <c r="F53" i="22" s="1"/>
  <c r="D52" i="22"/>
  <c r="F52" i="22" s="1"/>
  <c r="D51" i="22"/>
  <c r="F51" i="22" s="1"/>
  <c r="D49" i="22"/>
  <c r="F49" i="22" s="1"/>
  <c r="D48" i="22"/>
  <c r="F48" i="22" s="1"/>
  <c r="D47" i="22"/>
  <c r="F47" i="22" s="1"/>
  <c r="D46" i="22"/>
  <c r="F46" i="22" s="1"/>
  <c r="D44" i="22"/>
  <c r="F44" i="22" s="1"/>
  <c r="D43" i="22"/>
  <c r="F43" i="22" s="1"/>
  <c r="G42" i="22" s="1"/>
  <c r="D41" i="22"/>
  <c r="F41" i="22" s="1"/>
  <c r="D40" i="22"/>
  <c r="F40" i="22" s="1"/>
  <c r="D39" i="22"/>
  <c r="F39" i="22" s="1"/>
  <c r="D37" i="22"/>
  <c r="F37" i="22" s="1"/>
  <c r="D36" i="22"/>
  <c r="F36" i="22" s="1"/>
  <c r="D35" i="22"/>
  <c r="F35" i="22" s="1"/>
  <c r="D34" i="22"/>
  <c r="F34" i="22" s="1"/>
  <c r="D33" i="22"/>
  <c r="F33" i="22" s="1"/>
  <c r="D32" i="22"/>
  <c r="F32" i="22" s="1"/>
  <c r="D31" i="22"/>
  <c r="F31" i="22" s="1"/>
  <c r="D30" i="22"/>
  <c r="D28" i="22"/>
  <c r="F28" i="22" s="1"/>
  <c r="D27" i="22"/>
  <c r="F27" i="22" s="1"/>
  <c r="D26" i="22"/>
  <c r="F26" i="22" s="1"/>
  <c r="D25" i="22"/>
  <c r="F25" i="22" s="1"/>
  <c r="D24" i="22"/>
  <c r="F24" i="22" s="1"/>
  <c r="D23" i="22"/>
  <c r="F23" i="22" s="1"/>
  <c r="D21" i="22"/>
  <c r="D20" i="22"/>
  <c r="F21" i="22" s="1"/>
  <c r="D19" i="22"/>
  <c r="F20" i="22" s="1"/>
  <c r="F19" i="22"/>
  <c r="D17" i="22"/>
  <c r="D16" i="22"/>
  <c r="D15" i="22"/>
  <c r="F15" i="22" s="1"/>
  <c r="D14" i="22"/>
  <c r="F14" i="22" s="1"/>
  <c r="D13" i="22"/>
  <c r="F13" i="22" s="1"/>
  <c r="D12" i="22"/>
  <c r="F12" i="22" s="1"/>
  <c r="D11" i="22"/>
  <c r="F11" i="22" s="1"/>
  <c r="D10" i="22"/>
  <c r="F10" i="22" s="1"/>
  <c r="D9" i="22"/>
  <c r="F9" i="22" s="1"/>
  <c r="D8" i="22"/>
  <c r="F8" i="22" s="1"/>
  <c r="D7" i="22"/>
  <c r="F7" i="22" s="1"/>
  <c r="D6" i="22"/>
  <c r="F6" i="22" s="1"/>
  <c r="D5" i="22"/>
  <c r="F5" i="22" s="1"/>
  <c r="D4" i="22"/>
  <c r="F4" i="22" s="1"/>
  <c r="D241" i="21"/>
  <c r="D240" i="21"/>
  <c r="F240" i="21" s="1"/>
  <c r="D239" i="21"/>
  <c r="F239" i="21" s="1"/>
  <c r="D238" i="21"/>
  <c r="F238" i="21" s="1"/>
  <c r="D237" i="21"/>
  <c r="F237" i="21" s="1"/>
  <c r="D235" i="21"/>
  <c r="G235" i="21" s="1"/>
  <c r="D234" i="21"/>
  <c r="G234" i="21" s="1"/>
  <c r="D226" i="21"/>
  <c r="D225" i="21"/>
  <c r="F225" i="21" s="1"/>
  <c r="D224" i="21"/>
  <c r="F224" i="21" s="1"/>
  <c r="D223" i="21"/>
  <c r="F223" i="21" s="1"/>
  <c r="D222" i="21"/>
  <c r="F222" i="21" s="1"/>
  <c r="D221" i="21"/>
  <c r="F221" i="21" s="1"/>
  <c r="D219" i="21"/>
  <c r="D218" i="21"/>
  <c r="D217" i="21"/>
  <c r="D216" i="21"/>
  <c r="D215" i="21"/>
  <c r="D214" i="21"/>
  <c r="D213" i="21"/>
  <c r="D212" i="21"/>
  <c r="D211" i="21"/>
  <c r="D210" i="21"/>
  <c r="D209" i="21"/>
  <c r="D208" i="21"/>
  <c r="D207" i="21"/>
  <c r="D206" i="21"/>
  <c r="D203" i="21"/>
  <c r="F203" i="21" s="1"/>
  <c r="D202" i="21"/>
  <c r="F202" i="21" s="1"/>
  <c r="D201" i="21"/>
  <c r="F201" i="21" s="1"/>
  <c r="D200" i="21"/>
  <c r="F200" i="21" s="1"/>
  <c r="D198" i="21"/>
  <c r="F198" i="21" s="1"/>
  <c r="D197" i="21"/>
  <c r="F197" i="21" s="1"/>
  <c r="D196" i="21"/>
  <c r="F196" i="21" s="1"/>
  <c r="D195" i="21"/>
  <c r="F195" i="21" s="1"/>
  <c r="D194" i="21"/>
  <c r="F194" i="21" s="1"/>
  <c r="D193" i="21"/>
  <c r="F193" i="21" s="1"/>
  <c r="D191" i="21"/>
  <c r="F191" i="21" s="1"/>
  <c r="D190" i="21"/>
  <c r="F190" i="21" s="1"/>
  <c r="D189" i="21"/>
  <c r="F189" i="21" s="1"/>
  <c r="D187" i="21"/>
  <c r="F187" i="21" s="1"/>
  <c r="D186" i="21"/>
  <c r="F186" i="21" s="1"/>
  <c r="D185" i="21"/>
  <c r="F185" i="21" s="1"/>
  <c r="D184" i="21"/>
  <c r="F184" i="21" s="1"/>
  <c r="D183" i="21"/>
  <c r="F183" i="21" s="1"/>
  <c r="D174" i="21"/>
  <c r="F174" i="21" s="1"/>
  <c r="D173" i="21"/>
  <c r="F173" i="21" s="1"/>
  <c r="D172" i="21"/>
  <c r="F172" i="21" s="1"/>
  <c r="D170" i="21"/>
  <c r="F170" i="21" s="1"/>
  <c r="D169" i="21"/>
  <c r="F169" i="21" s="1"/>
  <c r="D168" i="21"/>
  <c r="F168" i="21" s="1"/>
  <c r="D166" i="21"/>
  <c r="F166" i="21" s="1"/>
  <c r="D165" i="21"/>
  <c r="F165" i="21" s="1"/>
  <c r="D164" i="21"/>
  <c r="F164" i="21" s="1"/>
  <c r="D163" i="21"/>
  <c r="F163" i="21" s="1"/>
  <c r="D161" i="21"/>
  <c r="F161" i="21" s="1"/>
  <c r="D160" i="21"/>
  <c r="F160" i="21" s="1"/>
  <c r="D159" i="21"/>
  <c r="F159" i="21" s="1"/>
  <c r="D158" i="21"/>
  <c r="F158" i="21" s="1"/>
  <c r="D157" i="21"/>
  <c r="F157" i="21" s="1"/>
  <c r="D155" i="21"/>
  <c r="F155" i="21" s="1"/>
  <c r="D154" i="21"/>
  <c r="F154" i="21" s="1"/>
  <c r="D153" i="21"/>
  <c r="F153" i="21" s="1"/>
  <c r="D152" i="21"/>
  <c r="F152" i="21" s="1"/>
  <c r="D151" i="21"/>
  <c r="F151" i="21" s="1"/>
  <c r="D149" i="21"/>
  <c r="F149" i="21" s="1"/>
  <c r="D148" i="21"/>
  <c r="F148" i="21" s="1"/>
  <c r="D147" i="21"/>
  <c r="F147" i="21" s="1"/>
  <c r="D146" i="21"/>
  <c r="F146" i="21" s="1"/>
  <c r="D144" i="21"/>
  <c r="F144" i="21" s="1"/>
  <c r="D143" i="21"/>
  <c r="F143" i="21" s="1"/>
  <c r="D141" i="21"/>
  <c r="F141" i="21" s="1"/>
  <c r="D140" i="21"/>
  <c r="F140" i="21" s="1"/>
  <c r="D139" i="21"/>
  <c r="F139" i="21" s="1"/>
  <c r="D138" i="21"/>
  <c r="F138" i="21" s="1"/>
  <c r="D137" i="21"/>
  <c r="F137" i="21" s="1"/>
  <c r="D135" i="21"/>
  <c r="F135" i="21" s="1"/>
  <c r="D134" i="21"/>
  <c r="F134" i="21" s="1"/>
  <c r="D132" i="21"/>
  <c r="F132" i="21" s="1"/>
  <c r="D131" i="21"/>
  <c r="F131" i="21" s="1"/>
  <c r="D130" i="21"/>
  <c r="F130" i="21" s="1"/>
  <c r="D128" i="21"/>
  <c r="F128" i="21" s="1"/>
  <c r="D127" i="21"/>
  <c r="F127" i="21" s="1"/>
  <c r="D126" i="21"/>
  <c r="F126" i="21" s="1"/>
  <c r="D125" i="21"/>
  <c r="F125" i="21" s="1"/>
  <c r="D124" i="21"/>
  <c r="F124" i="21" s="1"/>
  <c r="D123" i="21"/>
  <c r="F123" i="21" s="1"/>
  <c r="D122" i="21"/>
  <c r="F122" i="21" s="1"/>
  <c r="D121" i="21"/>
  <c r="D119" i="21"/>
  <c r="F119" i="21" s="1"/>
  <c r="D118" i="21"/>
  <c r="F118" i="21" s="1"/>
  <c r="D117" i="21"/>
  <c r="F117" i="21" s="1"/>
  <c r="D116" i="21"/>
  <c r="F116" i="21" s="1"/>
  <c r="D115" i="21"/>
  <c r="F115" i="21" s="1"/>
  <c r="D113" i="21"/>
  <c r="F113" i="21" s="1"/>
  <c r="D112" i="21"/>
  <c r="F112" i="21" s="1"/>
  <c r="D111" i="21"/>
  <c r="F111" i="21" s="1"/>
  <c r="D110" i="21"/>
  <c r="F110" i="21" s="1"/>
  <c r="D109" i="21"/>
  <c r="F109" i="21" s="1"/>
  <c r="D107" i="21"/>
  <c r="F107" i="21" s="1"/>
  <c r="D106" i="21"/>
  <c r="F106" i="21" s="1"/>
  <c r="D105" i="21"/>
  <c r="F105" i="21" s="1"/>
  <c r="D104" i="21"/>
  <c r="F104" i="21" s="1"/>
  <c r="D102" i="21"/>
  <c r="F102" i="21" s="1"/>
  <c r="D101" i="21"/>
  <c r="F101" i="21" s="1"/>
  <c r="D100" i="21"/>
  <c r="F100" i="21" s="1"/>
  <c r="D90" i="21"/>
  <c r="F90" i="21" s="1"/>
  <c r="D89" i="21"/>
  <c r="F89" i="21" s="1"/>
  <c r="D88" i="21"/>
  <c r="F88" i="21" s="1"/>
  <c r="D87" i="21"/>
  <c r="F87" i="21" s="1"/>
  <c r="D86" i="21"/>
  <c r="F86" i="21" s="1"/>
  <c r="D84" i="21"/>
  <c r="F84" i="21" s="1"/>
  <c r="D83" i="21"/>
  <c r="F83" i="21" s="1"/>
  <c r="D82" i="21"/>
  <c r="F82" i="21" s="1"/>
  <c r="D81" i="21"/>
  <c r="F81" i="21" s="1"/>
  <c r="D80" i="21"/>
  <c r="F80" i="21" s="1"/>
  <c r="D79" i="21"/>
  <c r="F79" i="21" s="1"/>
  <c r="D77" i="21"/>
  <c r="F77" i="21" s="1"/>
  <c r="D76" i="21"/>
  <c r="F76" i="21" s="1"/>
  <c r="D75" i="21"/>
  <c r="F75" i="21" s="1"/>
  <c r="D74" i="21"/>
  <c r="F74" i="21" s="1"/>
  <c r="D73" i="21"/>
  <c r="F73" i="21" s="1"/>
  <c r="D72" i="21"/>
  <c r="F72" i="21" s="1"/>
  <c r="D70" i="21"/>
  <c r="G70" i="21" s="1"/>
  <c r="D69" i="21"/>
  <c r="G69" i="21" s="1"/>
  <c r="D68" i="21"/>
  <c r="F68" i="21" s="1"/>
  <c r="D67" i="21"/>
  <c r="F67" i="21" s="1"/>
  <c r="D66" i="21"/>
  <c r="F66" i="21" s="1"/>
  <c r="D64" i="21"/>
  <c r="G63" i="21" s="1"/>
  <c r="D62" i="21"/>
  <c r="G62" i="21" s="1"/>
  <c r="D61" i="21"/>
  <c r="F61" i="21" s="1"/>
  <c r="D60" i="21"/>
  <c r="F60" i="21" s="1"/>
  <c r="D59" i="21"/>
  <c r="F59" i="21" s="1"/>
  <c r="D57" i="21"/>
  <c r="F57" i="21" s="1"/>
  <c r="D56" i="21"/>
  <c r="F56" i="21" s="1"/>
  <c r="D55" i="21"/>
  <c r="F55" i="21" s="1"/>
  <c r="D54" i="21"/>
  <c r="F54" i="21" s="1"/>
  <c r="D53" i="21"/>
  <c r="F53" i="21" s="1"/>
  <c r="D51" i="21"/>
  <c r="F51" i="21" s="1"/>
  <c r="D50" i="21"/>
  <c r="F50" i="21" s="1"/>
  <c r="D49" i="21"/>
  <c r="F49" i="21" s="1"/>
  <c r="D48" i="21"/>
  <c r="F48" i="21" s="1"/>
  <c r="D47" i="21"/>
  <c r="F47" i="21" s="1"/>
  <c r="D46" i="21"/>
  <c r="F46" i="21" s="1"/>
  <c r="D44" i="21"/>
  <c r="F44" i="21" s="1"/>
  <c r="D43" i="21"/>
  <c r="F43" i="21" s="1"/>
  <c r="D42" i="21"/>
  <c r="F42" i="21" s="1"/>
  <c r="D41" i="21"/>
  <c r="F41" i="21" s="1"/>
  <c r="D40" i="21"/>
  <c r="F40" i="21" s="1"/>
  <c r="D39" i="21"/>
  <c r="F39" i="21" s="1"/>
  <c r="D181" i="21"/>
  <c r="F181" i="21" s="1"/>
  <c r="D180" i="21"/>
  <c r="F180" i="21" s="1"/>
  <c r="D179" i="21"/>
  <c r="F179" i="21" s="1"/>
  <c r="D178" i="21"/>
  <c r="F178" i="21" s="1"/>
  <c r="D177" i="21"/>
  <c r="F177" i="21" s="1"/>
  <c r="D176" i="21"/>
  <c r="F176" i="21" s="1"/>
  <c r="D37" i="21"/>
  <c r="F37" i="21" s="1"/>
  <c r="D36" i="21"/>
  <c r="F36" i="21" s="1"/>
  <c r="D35" i="21"/>
  <c r="F35" i="21" s="1"/>
  <c r="D34" i="21"/>
  <c r="F34" i="21" s="1"/>
  <c r="D33" i="21"/>
  <c r="F33" i="21" s="1"/>
  <c r="D31" i="21"/>
  <c r="F31" i="21" s="1"/>
  <c r="D30" i="21"/>
  <c r="F30" i="21" s="1"/>
  <c r="D28" i="21"/>
  <c r="F28" i="21" s="1"/>
  <c r="D27" i="21"/>
  <c r="F27" i="21" s="1"/>
  <c r="D26" i="21"/>
  <c r="F26" i="21" s="1"/>
  <c r="D25" i="21"/>
  <c r="F25" i="21" s="1"/>
  <c r="D24" i="21"/>
  <c r="F24" i="21" s="1"/>
  <c r="D22" i="21"/>
  <c r="F22" i="21" s="1"/>
  <c r="D21" i="21"/>
  <c r="F21" i="21" s="1"/>
  <c r="D20" i="21"/>
  <c r="F20" i="21" s="1"/>
  <c r="D19" i="21"/>
  <c r="F19" i="21" s="1"/>
  <c r="D18" i="21"/>
  <c r="F18" i="21" s="1"/>
  <c r="D16" i="21"/>
  <c r="F16" i="21" s="1"/>
  <c r="D15" i="21"/>
  <c r="F15" i="21" s="1"/>
  <c r="D14" i="21"/>
  <c r="F14" i="21" s="1"/>
  <c r="D13" i="21"/>
  <c r="F13" i="21" s="1"/>
  <c r="D12" i="21"/>
  <c r="F12" i="21" s="1"/>
  <c r="D11" i="21"/>
  <c r="F11" i="21" s="1"/>
  <c r="D9" i="21"/>
  <c r="G9" i="21" s="1"/>
  <c r="D8" i="21"/>
  <c r="F8" i="21" s="1"/>
  <c r="D7" i="21"/>
  <c r="F7" i="21" s="1"/>
  <c r="D6" i="21"/>
  <c r="F6" i="21" s="1"/>
  <c r="D5" i="21"/>
  <c r="F5" i="21" s="1"/>
  <c r="D4" i="21"/>
  <c r="F4" i="21" s="1"/>
  <c r="D125" i="20"/>
  <c r="F125" i="20" s="1"/>
  <c r="D124" i="20"/>
  <c r="F124" i="20" s="1"/>
  <c r="D123" i="20"/>
  <c r="F123" i="20" s="1"/>
  <c r="D122" i="20"/>
  <c r="F122" i="20" s="1"/>
  <c r="D121" i="20"/>
  <c r="F121" i="20" s="1"/>
  <c r="D120" i="20"/>
  <c r="F120" i="20" s="1"/>
  <c r="G119" i="20" s="1"/>
  <c r="C119" i="20"/>
  <c r="D206" i="20"/>
  <c r="D205" i="20"/>
  <c r="F205" i="20" s="1"/>
  <c r="D204" i="20"/>
  <c r="F204" i="20" s="1"/>
  <c r="D203" i="20"/>
  <c r="F203" i="20" s="1"/>
  <c r="D202" i="20"/>
  <c r="F202" i="20" s="1"/>
  <c r="D200" i="20"/>
  <c r="G200" i="20" s="1"/>
  <c r="D199" i="20"/>
  <c r="G199" i="20" s="1"/>
  <c r="D190" i="20"/>
  <c r="D189" i="20"/>
  <c r="F189" i="20" s="1"/>
  <c r="D188" i="20"/>
  <c r="F188" i="20" s="1"/>
  <c r="D187" i="20"/>
  <c r="F187" i="20" s="1"/>
  <c r="D186" i="20"/>
  <c r="F186" i="20" s="1"/>
  <c r="D184" i="20"/>
  <c r="F184" i="20" s="1"/>
  <c r="D183" i="20"/>
  <c r="F183" i="20" s="1"/>
  <c r="D182" i="20"/>
  <c r="F182" i="20" s="1"/>
  <c r="D181" i="20"/>
  <c r="F181" i="20" s="1"/>
  <c r="D180" i="20"/>
  <c r="F180" i="20" s="1"/>
  <c r="D179" i="20"/>
  <c r="F179" i="20" s="1"/>
  <c r="D177" i="20"/>
  <c r="F177" i="20" s="1"/>
  <c r="D176" i="20"/>
  <c r="F176" i="20" s="1"/>
  <c r="D174" i="20"/>
  <c r="F174" i="20" s="1"/>
  <c r="D173" i="20"/>
  <c r="F173" i="20" s="1"/>
  <c r="D172" i="20"/>
  <c r="F172" i="20" s="1"/>
  <c r="D171" i="20"/>
  <c r="F171" i="20" s="1"/>
  <c r="D170" i="20"/>
  <c r="F170" i="20" s="1"/>
  <c r="D168" i="20"/>
  <c r="F168" i="20" s="1"/>
  <c r="D167" i="20"/>
  <c r="F167" i="20" s="1"/>
  <c r="D166" i="20"/>
  <c r="F166" i="20" s="1"/>
  <c r="D165" i="20"/>
  <c r="F165" i="20" s="1"/>
  <c r="D164" i="20"/>
  <c r="F164" i="20" s="1"/>
  <c r="D155" i="20"/>
  <c r="F155" i="20" s="1"/>
  <c r="D154" i="20"/>
  <c r="F154" i="20" s="1"/>
  <c r="D153" i="20"/>
  <c r="F153" i="20" s="1"/>
  <c r="D151" i="20"/>
  <c r="F151" i="20" s="1"/>
  <c r="D150" i="20"/>
  <c r="F150" i="20" s="1"/>
  <c r="D149" i="20"/>
  <c r="F149" i="20" s="1"/>
  <c r="D148" i="20"/>
  <c r="F148" i="20" s="1"/>
  <c r="D147" i="20"/>
  <c r="F147" i="20" s="1"/>
  <c r="D146" i="20"/>
  <c r="F146" i="20" s="1"/>
  <c r="D145" i="20"/>
  <c r="F145" i="20" s="1"/>
  <c r="D144" i="20"/>
  <c r="F144" i="20" s="1"/>
  <c r="D142" i="20"/>
  <c r="F142" i="20" s="1"/>
  <c r="D141" i="20"/>
  <c r="F141" i="20" s="1"/>
  <c r="D140" i="20"/>
  <c r="F140" i="20" s="1"/>
  <c r="D139" i="20"/>
  <c r="F139" i="20" s="1"/>
  <c r="D138" i="20"/>
  <c r="F138" i="20" s="1"/>
  <c r="D55" i="20"/>
  <c r="F55" i="20" s="1"/>
  <c r="D54" i="20"/>
  <c r="F54" i="20" s="1"/>
  <c r="D53" i="20"/>
  <c r="F53" i="20" s="1"/>
  <c r="D52" i="20"/>
  <c r="F52" i="20" s="1"/>
  <c r="D136" i="20"/>
  <c r="F136" i="20" s="1"/>
  <c r="D135" i="20"/>
  <c r="F135" i="20" s="1"/>
  <c r="D134" i="20"/>
  <c r="F134" i="20" s="1"/>
  <c r="D133" i="20"/>
  <c r="F133" i="20" s="1"/>
  <c r="D131" i="20"/>
  <c r="G131" i="20" s="1"/>
  <c r="D130" i="20"/>
  <c r="G130" i="20" s="1"/>
  <c r="D129" i="20"/>
  <c r="F129" i="20" s="1"/>
  <c r="D128" i="20"/>
  <c r="F128" i="20" s="1"/>
  <c r="D127" i="20"/>
  <c r="F127" i="20" s="1"/>
  <c r="G126" i="20" s="1"/>
  <c r="D118" i="20"/>
  <c r="F118" i="20" s="1"/>
  <c r="D117" i="20"/>
  <c r="F117" i="20" s="1"/>
  <c r="D116" i="20"/>
  <c r="F116" i="20" s="1"/>
  <c r="D115" i="20"/>
  <c r="F115" i="20" s="1"/>
  <c r="D114" i="20"/>
  <c r="F114" i="20" s="1"/>
  <c r="D113" i="20"/>
  <c r="F113" i="20" s="1"/>
  <c r="D112" i="20"/>
  <c r="F112" i="20" s="1"/>
  <c r="D110" i="20"/>
  <c r="F110" i="20" s="1"/>
  <c r="D109" i="20"/>
  <c r="F109" i="20" s="1"/>
  <c r="D108" i="20"/>
  <c r="F108" i="20" s="1"/>
  <c r="D107" i="20"/>
  <c r="F107" i="20" s="1"/>
  <c r="D106" i="20"/>
  <c r="F106" i="20" s="1"/>
  <c r="D104" i="20"/>
  <c r="F104" i="20" s="1"/>
  <c r="D103" i="20"/>
  <c r="F103" i="20" s="1"/>
  <c r="D102" i="20"/>
  <c r="F102" i="20" s="1"/>
  <c r="D101" i="20"/>
  <c r="F101" i="20" s="1"/>
  <c r="D100" i="20"/>
  <c r="F100" i="20" s="1"/>
  <c r="D98" i="20"/>
  <c r="F98" i="20" s="1"/>
  <c r="D97" i="20"/>
  <c r="F97" i="20" s="1"/>
  <c r="D96" i="20"/>
  <c r="F96" i="20" s="1"/>
  <c r="D94" i="20"/>
  <c r="F94" i="20" s="1"/>
  <c r="D93" i="20"/>
  <c r="F93" i="20" s="1"/>
  <c r="D92" i="20"/>
  <c r="F92" i="20" s="1"/>
  <c r="D91" i="20"/>
  <c r="F91" i="20" s="1"/>
  <c r="D90" i="20"/>
  <c r="F90" i="20" s="1"/>
  <c r="D88" i="20"/>
  <c r="F88" i="20" s="1"/>
  <c r="D87" i="20"/>
  <c r="F87" i="20" s="1"/>
  <c r="D86" i="20"/>
  <c r="F86" i="20" s="1"/>
  <c r="D85" i="20"/>
  <c r="F85" i="20" s="1"/>
  <c r="D83" i="20"/>
  <c r="F83" i="20" s="1"/>
  <c r="D82" i="20"/>
  <c r="F82" i="20" s="1"/>
  <c r="D81" i="20"/>
  <c r="F81" i="20" s="1"/>
  <c r="D80" i="20"/>
  <c r="F80" i="20" s="1"/>
  <c r="D79" i="20"/>
  <c r="F79" i="20" s="1"/>
  <c r="D77" i="20"/>
  <c r="G77" i="20" s="1"/>
  <c r="D75" i="20"/>
  <c r="F75" i="20" s="1"/>
  <c r="D74" i="20"/>
  <c r="F74" i="20" s="1"/>
  <c r="D73" i="20"/>
  <c r="F73" i="20" s="1"/>
  <c r="D72" i="20"/>
  <c r="F72" i="20" s="1"/>
  <c r="D71" i="20"/>
  <c r="F71" i="20" s="1"/>
  <c r="D69" i="20"/>
  <c r="F69" i="20" s="1"/>
  <c r="D68" i="20"/>
  <c r="F68" i="20" s="1"/>
  <c r="D67" i="20"/>
  <c r="F67" i="20" s="1"/>
  <c r="D66" i="20"/>
  <c r="F66" i="20" s="1"/>
  <c r="D65" i="20"/>
  <c r="F65" i="20" s="1"/>
  <c r="D64" i="20"/>
  <c r="F64" i="20" s="1"/>
  <c r="D62" i="20"/>
  <c r="D61" i="20"/>
  <c r="F61" i="20" s="1"/>
  <c r="D60" i="20"/>
  <c r="F60" i="20" s="1"/>
  <c r="D59" i="20"/>
  <c r="F59" i="20" s="1"/>
  <c r="D58" i="20"/>
  <c r="F58" i="20" s="1"/>
  <c r="D57" i="20"/>
  <c r="F57" i="20" s="1"/>
  <c r="D50" i="20"/>
  <c r="D49" i="20"/>
  <c r="D48" i="20"/>
  <c r="D47" i="20"/>
  <c r="D45" i="20"/>
  <c r="D44" i="20"/>
  <c r="F44" i="20" s="1"/>
  <c r="D43" i="20"/>
  <c r="F43" i="20" s="1"/>
  <c r="D42" i="20"/>
  <c r="F42" i="20" s="1"/>
  <c r="D41" i="20"/>
  <c r="F41" i="20" s="1"/>
  <c r="D39" i="20"/>
  <c r="F39" i="20" s="1"/>
  <c r="D38" i="20"/>
  <c r="F38" i="20" s="1"/>
  <c r="D37" i="20"/>
  <c r="F37" i="20" s="1"/>
  <c r="D36" i="20"/>
  <c r="F36" i="20" s="1"/>
  <c r="D35" i="20"/>
  <c r="F35" i="20" s="1"/>
  <c r="D33" i="20"/>
  <c r="F33" i="20" s="1"/>
  <c r="D32" i="20"/>
  <c r="F32" i="20" s="1"/>
  <c r="D31" i="20"/>
  <c r="F31" i="20" s="1"/>
  <c r="D29" i="20"/>
  <c r="F29" i="20" s="1"/>
  <c r="D28" i="20"/>
  <c r="F28" i="20" s="1"/>
  <c r="D27" i="20"/>
  <c r="F27" i="20" s="1"/>
  <c r="D26" i="20"/>
  <c r="F26" i="20" s="1"/>
  <c r="D25" i="20"/>
  <c r="F25" i="20" s="1"/>
  <c r="D24" i="20"/>
  <c r="F24" i="20" s="1"/>
  <c r="D22" i="20"/>
  <c r="F22" i="20" s="1"/>
  <c r="D21" i="20"/>
  <c r="F21" i="20" s="1"/>
  <c r="D20" i="20"/>
  <c r="F20" i="20" s="1"/>
  <c r="D19" i="20"/>
  <c r="F19" i="20" s="1"/>
  <c r="D18" i="20"/>
  <c r="F18" i="20" s="1"/>
  <c r="D17" i="20"/>
  <c r="F17" i="20" s="1"/>
  <c r="D162" i="20"/>
  <c r="F162" i="20" s="1"/>
  <c r="D161" i="20"/>
  <c r="F161" i="20" s="1"/>
  <c r="D160" i="20"/>
  <c r="F160" i="20" s="1"/>
  <c r="D159" i="20"/>
  <c r="F159" i="20" s="1"/>
  <c r="D158" i="20"/>
  <c r="F158" i="20" s="1"/>
  <c r="D157" i="20"/>
  <c r="F157" i="20" s="1"/>
  <c r="D15" i="20"/>
  <c r="F15" i="20" s="1"/>
  <c r="D14" i="20"/>
  <c r="F14" i="20" s="1"/>
  <c r="D13" i="20"/>
  <c r="F13" i="20" s="1"/>
  <c r="D12" i="20"/>
  <c r="F12" i="20" s="1"/>
  <c r="D11" i="20"/>
  <c r="F11" i="20" s="1"/>
  <c r="D9" i="20"/>
  <c r="F9" i="20" s="1"/>
  <c r="D8" i="20"/>
  <c r="F8" i="20" s="1"/>
  <c r="D7" i="20"/>
  <c r="F7" i="20" s="1"/>
  <c r="D6" i="20"/>
  <c r="F6" i="20" s="1"/>
  <c r="D5" i="20"/>
  <c r="F5" i="20" s="1"/>
  <c r="D4" i="20"/>
  <c r="F4" i="20" s="1"/>
  <c r="D110" i="19"/>
  <c r="F110" i="19" s="1"/>
  <c r="D109" i="19"/>
  <c r="F109" i="19" s="1"/>
  <c r="D108" i="19"/>
  <c r="F108" i="19" s="1"/>
  <c r="D107" i="19"/>
  <c r="F107" i="19" s="1"/>
  <c r="D106" i="19"/>
  <c r="F106" i="19" s="1"/>
  <c r="D105" i="19"/>
  <c r="F105" i="19" s="1"/>
  <c r="G104" i="19" s="1"/>
  <c r="C104" i="19"/>
  <c r="D183" i="19"/>
  <c r="F183" i="19" s="1"/>
  <c r="D182" i="19"/>
  <c r="F182" i="19" s="1"/>
  <c r="D181" i="19"/>
  <c r="F181" i="19" s="1"/>
  <c r="D179" i="19"/>
  <c r="D178" i="19"/>
  <c r="F178" i="19" s="1"/>
  <c r="D177" i="19"/>
  <c r="F177" i="19" s="1"/>
  <c r="D176" i="19"/>
  <c r="F176" i="19" s="1"/>
  <c r="D174" i="19"/>
  <c r="G174" i="19" s="1"/>
  <c r="D173" i="19"/>
  <c r="G173" i="19" s="1"/>
  <c r="D165" i="19"/>
  <c r="F165" i="19" s="1"/>
  <c r="D164" i="19"/>
  <c r="F164" i="19" s="1"/>
  <c r="D163" i="19"/>
  <c r="F163" i="19" s="1"/>
  <c r="D162" i="19"/>
  <c r="F162" i="19" s="1"/>
  <c r="D161" i="19"/>
  <c r="F161" i="19" s="1"/>
  <c r="D158" i="19"/>
  <c r="D157" i="19"/>
  <c r="F157" i="19" s="1"/>
  <c r="D156" i="19"/>
  <c r="F156" i="19" s="1"/>
  <c r="D155" i="19"/>
  <c r="F155" i="19" s="1"/>
  <c r="D154" i="19"/>
  <c r="F154" i="19" s="1"/>
  <c r="D152" i="19"/>
  <c r="D151" i="19"/>
  <c r="F151" i="19" s="1"/>
  <c r="D150" i="19"/>
  <c r="F150" i="19" s="1"/>
  <c r="D149" i="19"/>
  <c r="F149" i="19" s="1"/>
  <c r="D148" i="19"/>
  <c r="F148" i="19" s="1"/>
  <c r="D147" i="19"/>
  <c r="F147" i="19" s="1"/>
  <c r="D145" i="19"/>
  <c r="F145" i="19" s="1"/>
  <c r="D144" i="19"/>
  <c r="F144" i="19" s="1"/>
  <c r="D143" i="19"/>
  <c r="F143" i="19" s="1"/>
  <c r="D142" i="19"/>
  <c r="F142" i="19" s="1"/>
  <c r="D141" i="19"/>
  <c r="F141" i="19" s="1"/>
  <c r="D132" i="19"/>
  <c r="F132" i="19" s="1"/>
  <c r="D131" i="19"/>
  <c r="F131" i="19" s="1"/>
  <c r="D130" i="19"/>
  <c r="F130" i="19" s="1"/>
  <c r="D129" i="19"/>
  <c r="F129" i="19" s="1"/>
  <c r="D127" i="19"/>
  <c r="F127" i="19" s="1"/>
  <c r="D126" i="19"/>
  <c r="F126" i="19" s="1"/>
  <c r="D125" i="19"/>
  <c r="F125" i="19" s="1"/>
  <c r="D124" i="19"/>
  <c r="F124" i="19" s="1"/>
  <c r="D123" i="19"/>
  <c r="F123" i="19" s="1"/>
  <c r="D52" i="19"/>
  <c r="F52" i="19" s="1"/>
  <c r="D51" i="19"/>
  <c r="F51" i="19" s="1"/>
  <c r="D50" i="19"/>
  <c r="F50" i="19" s="1"/>
  <c r="D49" i="19"/>
  <c r="F49" i="19" s="1"/>
  <c r="D121" i="19"/>
  <c r="F121" i="19" s="1"/>
  <c r="D120" i="19"/>
  <c r="F120" i="19" s="1"/>
  <c r="D119" i="19"/>
  <c r="F119" i="19" s="1"/>
  <c r="D118" i="19"/>
  <c r="F118" i="19" s="1"/>
  <c r="D116" i="19"/>
  <c r="G116" i="19" s="1"/>
  <c r="D115" i="19"/>
  <c r="G115" i="19" s="1"/>
  <c r="D114" i="19"/>
  <c r="F114" i="19" s="1"/>
  <c r="D113" i="19"/>
  <c r="F113" i="19" s="1"/>
  <c r="D112" i="19"/>
  <c r="F112" i="19" s="1"/>
  <c r="D103" i="19"/>
  <c r="F103" i="19" s="1"/>
  <c r="D102" i="19"/>
  <c r="F102" i="19" s="1"/>
  <c r="D101" i="19"/>
  <c r="F101" i="19" s="1"/>
  <c r="D100" i="19"/>
  <c r="F100" i="19" s="1"/>
  <c r="D99" i="19"/>
  <c r="F99" i="19" s="1"/>
  <c r="D98" i="19"/>
  <c r="F98" i="19" s="1"/>
  <c r="D97" i="19"/>
  <c r="F97" i="19" s="1"/>
  <c r="D95" i="19"/>
  <c r="F95" i="19" s="1"/>
  <c r="D94" i="19"/>
  <c r="F94" i="19" s="1"/>
  <c r="D93" i="19"/>
  <c r="F93" i="19"/>
  <c r="D91" i="19"/>
  <c r="F91" i="19" s="1"/>
  <c r="D90" i="19"/>
  <c r="F90" i="19" s="1"/>
  <c r="D89" i="19"/>
  <c r="F89" i="19" s="1"/>
  <c r="D88" i="19"/>
  <c r="F88" i="19" s="1"/>
  <c r="D87" i="19"/>
  <c r="F87" i="19" s="1"/>
  <c r="D85" i="19"/>
  <c r="F85" i="19" s="1"/>
  <c r="D84" i="19"/>
  <c r="F84" i="19" s="1"/>
  <c r="D83" i="19"/>
  <c r="F83" i="19" s="1"/>
  <c r="D82" i="19"/>
  <c r="F82" i="19" s="1"/>
  <c r="D81" i="19"/>
  <c r="F81" i="19" s="1"/>
  <c r="D79" i="19"/>
  <c r="G79" i="19" s="1"/>
  <c r="D78" i="19"/>
  <c r="G78" i="19" s="1"/>
  <c r="D77" i="19"/>
  <c r="F77" i="19" s="1"/>
  <c r="D76" i="19"/>
  <c r="F76" i="19" s="1"/>
  <c r="D75" i="19"/>
  <c r="F75" i="19" s="1"/>
  <c r="D74" i="19"/>
  <c r="F74" i="19" s="1"/>
  <c r="D73" i="19"/>
  <c r="F73" i="19" s="1"/>
  <c r="D72" i="19"/>
  <c r="F72" i="19" s="1"/>
  <c r="D70" i="19"/>
  <c r="F70" i="19" s="1"/>
  <c r="D69" i="19"/>
  <c r="F69" i="19" s="1"/>
  <c r="D68" i="19"/>
  <c r="F68" i="19" s="1"/>
  <c r="D67" i="19"/>
  <c r="F67" i="19" s="1"/>
  <c r="D66" i="19"/>
  <c r="F66" i="19" s="1"/>
  <c r="D65" i="19"/>
  <c r="F65" i="19" s="1"/>
  <c r="D63" i="19"/>
  <c r="D62" i="19"/>
  <c r="F62" i="19" s="1"/>
  <c r="D61" i="19"/>
  <c r="F61" i="19" s="1"/>
  <c r="D60" i="19"/>
  <c r="F60" i="19" s="1"/>
  <c r="D59" i="19"/>
  <c r="F59" i="19" s="1"/>
  <c r="D58" i="19"/>
  <c r="F58" i="19" s="1"/>
  <c r="D56" i="19"/>
  <c r="F56" i="19" s="1"/>
  <c r="D55" i="19"/>
  <c r="F55" i="19" s="1"/>
  <c r="D54" i="19"/>
  <c r="F54" i="19" s="1"/>
  <c r="D47" i="19"/>
  <c r="G46" i="19" s="1"/>
  <c r="D45" i="19"/>
  <c r="D44" i="19"/>
  <c r="D43" i="19"/>
  <c r="D42" i="19"/>
  <c r="D40" i="19"/>
  <c r="D39" i="19"/>
  <c r="F39" i="19" s="1"/>
  <c r="D38" i="19"/>
  <c r="F38" i="19" s="1"/>
  <c r="D37" i="19"/>
  <c r="F37" i="19" s="1"/>
  <c r="D36" i="19"/>
  <c r="F36" i="19" s="1"/>
  <c r="D35" i="19"/>
  <c r="F35" i="19" s="1"/>
  <c r="D33" i="19"/>
  <c r="D32" i="19"/>
  <c r="F32" i="19" s="1"/>
  <c r="D31" i="19"/>
  <c r="F31" i="19" s="1"/>
  <c r="D30" i="19"/>
  <c r="F30" i="19" s="1"/>
  <c r="D29" i="19"/>
  <c r="F29" i="19" s="1"/>
  <c r="D27" i="19"/>
  <c r="F27" i="19" s="1"/>
  <c r="D26" i="19"/>
  <c r="F26" i="19" s="1"/>
  <c r="D25" i="19"/>
  <c r="F25" i="19" s="1"/>
  <c r="D24" i="19"/>
  <c r="F24" i="19" s="1"/>
  <c r="D23" i="19"/>
  <c r="F23" i="19" s="1"/>
  <c r="D21" i="19"/>
  <c r="F21" i="19" s="1"/>
  <c r="D20" i="19"/>
  <c r="F20" i="19" s="1"/>
  <c r="D19" i="19"/>
  <c r="F19" i="19" s="1"/>
  <c r="D18" i="19"/>
  <c r="F18" i="19" s="1"/>
  <c r="D16" i="19"/>
  <c r="F16" i="19" s="1"/>
  <c r="D15" i="19"/>
  <c r="F15" i="19" s="1"/>
  <c r="D14" i="19"/>
  <c r="F14" i="19" s="1"/>
  <c r="D13" i="19"/>
  <c r="F13" i="19" s="1"/>
  <c r="D12" i="19"/>
  <c r="F12" i="19" s="1"/>
  <c r="D11" i="19"/>
  <c r="F11" i="19" s="1"/>
  <c r="D9" i="19"/>
  <c r="F9" i="19" s="1"/>
  <c r="D8" i="19"/>
  <c r="F8" i="19" s="1"/>
  <c r="D7" i="19"/>
  <c r="F7" i="19" s="1"/>
  <c r="D6" i="19"/>
  <c r="F6" i="19" s="1"/>
  <c r="D5" i="19"/>
  <c r="F5" i="19" s="1"/>
  <c r="D4" i="19"/>
  <c r="F4" i="19" s="1"/>
  <c r="D139" i="19"/>
  <c r="F139" i="19" s="1"/>
  <c r="D138" i="19"/>
  <c r="F138" i="19" s="1"/>
  <c r="D137" i="19"/>
  <c r="F137" i="19" s="1"/>
  <c r="D136" i="19"/>
  <c r="F136" i="19" s="1"/>
  <c r="D135" i="19"/>
  <c r="F135" i="19" s="1"/>
  <c r="D134" i="19"/>
  <c r="F134" i="19" s="1"/>
  <c r="D141" i="18"/>
  <c r="F141" i="18" s="1"/>
  <c r="D140" i="18"/>
  <c r="F140" i="18" s="1"/>
  <c r="D139" i="18"/>
  <c r="F139" i="18" s="1"/>
  <c r="D138" i="18"/>
  <c r="F138" i="18" s="1"/>
  <c r="D137" i="18"/>
  <c r="F137" i="18" s="1"/>
  <c r="D136" i="18"/>
  <c r="F136" i="18" s="1"/>
  <c r="C135" i="18"/>
  <c r="D238" i="18"/>
  <c r="F238" i="18" s="1"/>
  <c r="D237" i="18"/>
  <c r="F237" i="18" s="1"/>
  <c r="D236" i="18"/>
  <c r="F236" i="18" s="1"/>
  <c r="D234" i="18"/>
  <c r="G234" i="18" s="1"/>
  <c r="D226" i="18"/>
  <c r="D225" i="18"/>
  <c r="F225" i="18" s="1"/>
  <c r="D224" i="18"/>
  <c r="F224" i="18" s="1"/>
  <c r="D223" i="18"/>
  <c r="F223" i="18" s="1"/>
  <c r="D222" i="18"/>
  <c r="F222" i="18" s="1"/>
  <c r="D221" i="18"/>
  <c r="F221" i="18" s="1"/>
  <c r="D219" i="18"/>
  <c r="D218" i="18"/>
  <c r="D217" i="18"/>
  <c r="D216" i="18"/>
  <c r="D215" i="18"/>
  <c r="D214" i="18"/>
  <c r="D213" i="18"/>
  <c r="D212" i="18"/>
  <c r="D211" i="18"/>
  <c r="D210" i="18"/>
  <c r="D209" i="18"/>
  <c r="D208" i="18"/>
  <c r="D207" i="18"/>
  <c r="D206" i="18"/>
  <c r="D203" i="18"/>
  <c r="D202" i="18"/>
  <c r="F202" i="18" s="1"/>
  <c r="D201" i="18"/>
  <c r="F201" i="18" s="1"/>
  <c r="D200" i="18"/>
  <c r="F200" i="18" s="1"/>
  <c r="D199" i="18"/>
  <c r="F199" i="18" s="1"/>
  <c r="D197" i="18"/>
  <c r="F197" i="18" s="1"/>
  <c r="D196" i="18"/>
  <c r="F196" i="18" s="1"/>
  <c r="D195" i="18"/>
  <c r="F195" i="18" s="1"/>
  <c r="D194" i="18"/>
  <c r="F194" i="18" s="1"/>
  <c r="D193" i="18"/>
  <c r="F193" i="18" s="1"/>
  <c r="D192" i="18"/>
  <c r="F192" i="18" s="1"/>
  <c r="D190" i="18"/>
  <c r="F190" i="18" s="1"/>
  <c r="D189" i="18"/>
  <c r="F189" i="18" s="1"/>
  <c r="D187" i="18"/>
  <c r="F187" i="18" s="1"/>
  <c r="D186" i="18"/>
  <c r="F186" i="18" s="1"/>
  <c r="D185" i="18"/>
  <c r="F185" i="18" s="1"/>
  <c r="D184" i="18"/>
  <c r="F184" i="18" s="1"/>
  <c r="D183" i="18"/>
  <c r="F183" i="18" s="1"/>
  <c r="D181" i="18"/>
  <c r="F181" i="18" s="1"/>
  <c r="D180" i="18"/>
  <c r="F180" i="18" s="1"/>
  <c r="D179" i="18"/>
  <c r="F179" i="18" s="1"/>
  <c r="D177" i="18"/>
  <c r="F177" i="18" s="1"/>
  <c r="D176" i="18"/>
  <c r="F176" i="18" s="1"/>
  <c r="D175" i="18"/>
  <c r="F175" i="18" s="1"/>
  <c r="D173" i="18"/>
  <c r="F173" i="18" s="1"/>
  <c r="D172" i="18"/>
  <c r="F172" i="18" s="1"/>
  <c r="D171" i="18"/>
  <c r="F171" i="18" s="1"/>
  <c r="D170" i="18"/>
  <c r="F170" i="18" s="1"/>
  <c r="D168" i="18"/>
  <c r="F168" i="18" s="1"/>
  <c r="D167" i="18"/>
  <c r="F167" i="18" s="1"/>
  <c r="D166" i="18"/>
  <c r="F166" i="18" s="1"/>
  <c r="D165" i="18"/>
  <c r="F165" i="18" s="1"/>
  <c r="D164" i="18"/>
  <c r="F164" i="18" s="1"/>
  <c r="D162" i="18"/>
  <c r="F162" i="18" s="1"/>
  <c r="D161" i="18"/>
  <c r="F161" i="18" s="1"/>
  <c r="G160" i="18" s="1"/>
  <c r="D159" i="18"/>
  <c r="F159" i="18" s="1"/>
  <c r="D158" i="18"/>
  <c r="F158" i="18" s="1"/>
  <c r="D157" i="18"/>
  <c r="F157" i="18" s="1"/>
  <c r="D156" i="18"/>
  <c r="F156" i="18" s="1"/>
  <c r="D155" i="18"/>
  <c r="F155" i="18" s="1"/>
  <c r="D154" i="18"/>
  <c r="F154" i="18" s="1"/>
  <c r="D153" i="18"/>
  <c r="F153" i="18" s="1"/>
  <c r="D152" i="18"/>
  <c r="D85" i="18"/>
  <c r="F85" i="18" s="1"/>
  <c r="D84" i="18"/>
  <c r="F84" i="18" s="1"/>
  <c r="D83" i="18"/>
  <c r="F83" i="18" s="1"/>
  <c r="D82" i="18"/>
  <c r="F82" i="18" s="1"/>
  <c r="D150" i="18"/>
  <c r="F150" i="18" s="1"/>
  <c r="D149" i="18"/>
  <c r="F149" i="18" s="1"/>
  <c r="D148" i="18"/>
  <c r="F148" i="18" s="1"/>
  <c r="D146" i="18"/>
  <c r="G146" i="18" s="1"/>
  <c r="D145" i="18"/>
  <c r="F145" i="18" s="1"/>
  <c r="D144" i="18"/>
  <c r="F144" i="18" s="1"/>
  <c r="D143" i="18"/>
  <c r="F143" i="18" s="1"/>
  <c r="D134" i="18"/>
  <c r="F134" i="18" s="1"/>
  <c r="D133" i="18"/>
  <c r="F133" i="18" s="1"/>
  <c r="D132" i="18"/>
  <c r="F132" i="18" s="1"/>
  <c r="D131" i="18"/>
  <c r="F131" i="18" s="1"/>
  <c r="D130" i="18"/>
  <c r="F130" i="18" s="1"/>
  <c r="D129" i="18"/>
  <c r="F129" i="18" s="1"/>
  <c r="D128" i="18"/>
  <c r="F128" i="18" s="1"/>
  <c r="D126" i="18"/>
  <c r="F126" i="18" s="1"/>
  <c r="D125" i="18"/>
  <c r="F125" i="18" s="1"/>
  <c r="D124" i="18"/>
  <c r="F124" i="18" s="1"/>
  <c r="D122" i="18"/>
  <c r="F122" i="18" s="1"/>
  <c r="D121" i="18"/>
  <c r="F121" i="18" s="1"/>
  <c r="D120" i="18"/>
  <c r="F120" i="18" s="1"/>
  <c r="D119" i="18"/>
  <c r="F119" i="18" s="1"/>
  <c r="D118" i="18"/>
  <c r="F118" i="18" s="1"/>
  <c r="D116" i="18"/>
  <c r="F116" i="18" s="1"/>
  <c r="D115" i="18"/>
  <c r="F115" i="18" s="1"/>
  <c r="D114" i="18"/>
  <c r="F114" i="18" s="1"/>
  <c r="D113" i="18"/>
  <c r="F113" i="18" s="1"/>
  <c r="D111" i="18"/>
  <c r="F111" i="18" s="1"/>
  <c r="D110" i="18"/>
  <c r="F110" i="18" s="1"/>
  <c r="D109" i="18"/>
  <c r="F109" i="18" s="1"/>
  <c r="D108" i="18"/>
  <c r="F108" i="18" s="1"/>
  <c r="D107" i="18"/>
  <c r="F107" i="18" s="1"/>
  <c r="D106" i="18"/>
  <c r="F106" i="18" s="1"/>
  <c r="D104" i="18"/>
  <c r="F104" i="18" s="1"/>
  <c r="D103" i="18"/>
  <c r="F103" i="18" s="1"/>
  <c r="D102" i="18"/>
  <c r="F102" i="18" s="1"/>
  <c r="D101" i="18"/>
  <c r="F101" i="18" s="1"/>
  <c r="D100" i="18"/>
  <c r="F100" i="18" s="1"/>
  <c r="D99" i="18"/>
  <c r="F99" i="18" s="1"/>
  <c r="D97" i="18"/>
  <c r="D96" i="18"/>
  <c r="F96" i="18" s="1"/>
  <c r="D95" i="18"/>
  <c r="F95" i="18" s="1"/>
  <c r="D94" i="18"/>
  <c r="F94" i="18" s="1"/>
  <c r="D93" i="18"/>
  <c r="F93" i="18" s="1"/>
  <c r="D92" i="18"/>
  <c r="F92" i="18" s="1"/>
  <c r="D90" i="18"/>
  <c r="D89" i="18"/>
  <c r="F89" i="18" s="1"/>
  <c r="D88" i="18"/>
  <c r="F88" i="18" s="1"/>
  <c r="D87" i="18"/>
  <c r="F87" i="18" s="1"/>
  <c r="D80" i="18"/>
  <c r="F80" i="18" s="1"/>
  <c r="D79" i="18"/>
  <c r="F79" i="18" s="1"/>
  <c r="D78" i="18"/>
  <c r="F78" i="18" s="1"/>
  <c r="D76" i="18"/>
  <c r="G75" i="18" s="1"/>
  <c r="D74" i="18"/>
  <c r="D73" i="18"/>
  <c r="D72" i="18"/>
  <c r="D71" i="18"/>
  <c r="D69" i="18"/>
  <c r="G69" i="18" s="1"/>
  <c r="D68" i="18"/>
  <c r="D67" i="18"/>
  <c r="F67" i="18" s="1"/>
  <c r="D66" i="18"/>
  <c r="F66" i="18" s="1"/>
  <c r="D65" i="18"/>
  <c r="F65" i="18" s="1"/>
  <c r="D64" i="18"/>
  <c r="F64" i="18" s="1"/>
  <c r="D63" i="18"/>
  <c r="F63" i="18" s="1"/>
  <c r="D61" i="18"/>
  <c r="D60" i="18"/>
  <c r="F60" i="18" s="1"/>
  <c r="D59" i="18"/>
  <c r="F59" i="18" s="1"/>
  <c r="D58" i="18"/>
  <c r="F58" i="18" s="1"/>
  <c r="D57" i="18"/>
  <c r="F57" i="18" s="1"/>
  <c r="D55" i="18"/>
  <c r="F55" i="18" s="1"/>
  <c r="D54" i="18"/>
  <c r="F54" i="18" s="1"/>
  <c r="D53" i="18"/>
  <c r="F53" i="18" s="1"/>
  <c r="G52" i="18"/>
  <c r="D51" i="18"/>
  <c r="F51" i="18" s="1"/>
  <c r="D50" i="18"/>
  <c r="F50" i="18" s="1"/>
  <c r="D49" i="18"/>
  <c r="F49" i="18" s="1"/>
  <c r="D48" i="18"/>
  <c r="F48" i="18" s="1"/>
  <c r="D47" i="18"/>
  <c r="F47" i="18" s="1"/>
  <c r="D45" i="18"/>
  <c r="F45" i="18" s="1"/>
  <c r="D44" i="18"/>
  <c r="F44" i="18" s="1"/>
  <c r="D43" i="18"/>
  <c r="F43" i="18" s="1"/>
  <c r="D42" i="18"/>
  <c r="F42" i="18" s="1"/>
  <c r="D41" i="18"/>
  <c r="F41" i="18" s="1"/>
  <c r="D40" i="18"/>
  <c r="F40" i="18" s="1"/>
  <c r="D38" i="18"/>
  <c r="F38" i="18" s="1"/>
  <c r="D37" i="18"/>
  <c r="F37" i="18" s="1"/>
  <c r="D36" i="18"/>
  <c r="F36" i="18" s="1"/>
  <c r="D35" i="18"/>
  <c r="F35" i="18" s="1"/>
  <c r="D34" i="18"/>
  <c r="F34" i="18" s="1"/>
  <c r="D33" i="18"/>
  <c r="F33" i="18" s="1"/>
  <c r="D31" i="18"/>
  <c r="F31" i="18" s="1"/>
  <c r="D30" i="18"/>
  <c r="F30" i="18" s="1"/>
  <c r="D29" i="18"/>
  <c r="F29" i="18" s="1"/>
  <c r="D28" i="18"/>
  <c r="F28" i="18" s="1"/>
  <c r="D27" i="18"/>
  <c r="F27" i="18" s="1"/>
  <c r="D25" i="18"/>
  <c r="F25" i="18" s="1"/>
  <c r="D24" i="18"/>
  <c r="F24" i="18" s="1"/>
  <c r="D22" i="18"/>
  <c r="F22" i="18" s="1"/>
  <c r="D21" i="18"/>
  <c r="F21" i="18" s="1"/>
  <c r="D20" i="18"/>
  <c r="F20" i="18" s="1"/>
  <c r="D19" i="18"/>
  <c r="F19" i="18" s="1"/>
  <c r="D18" i="18"/>
  <c r="F18" i="18" s="1"/>
  <c r="D16" i="18"/>
  <c r="F16" i="18" s="1"/>
  <c r="D15" i="18"/>
  <c r="F15" i="18" s="1"/>
  <c r="D14" i="18"/>
  <c r="F14" i="18" s="1"/>
  <c r="D13" i="18"/>
  <c r="F13" i="18" s="1"/>
  <c r="D12" i="18"/>
  <c r="F12" i="18" s="1"/>
  <c r="D10" i="18"/>
  <c r="F10" i="18" s="1"/>
  <c r="D9" i="18"/>
  <c r="F9" i="18" s="1"/>
  <c r="D8" i="18"/>
  <c r="F8" i="18" s="1"/>
  <c r="D7" i="18"/>
  <c r="F7" i="18" s="1"/>
  <c r="D6" i="18"/>
  <c r="F6" i="18" s="1"/>
  <c r="D5" i="18"/>
  <c r="F5" i="18" s="1"/>
  <c r="D92" i="15"/>
  <c r="F92" i="15" s="1"/>
  <c r="D91" i="15"/>
  <c r="F91" i="15" s="1"/>
  <c r="D90" i="15"/>
  <c r="F90" i="15" s="1"/>
  <c r="D89" i="15"/>
  <c r="F89" i="15" s="1"/>
  <c r="D88" i="15"/>
  <c r="F88" i="15" s="1"/>
  <c r="D87" i="15"/>
  <c r="F87" i="15" s="1"/>
  <c r="G86" i="15" s="1"/>
  <c r="C92" i="15"/>
  <c r="C91" i="15"/>
  <c r="C90" i="15"/>
  <c r="C89" i="15"/>
  <c r="C88" i="15"/>
  <c r="C87" i="15"/>
  <c r="C86" i="15"/>
  <c r="D174" i="15"/>
  <c r="D173" i="15"/>
  <c r="F173" i="15" s="1"/>
  <c r="D172" i="15"/>
  <c r="F172" i="15" s="1"/>
  <c r="D171" i="15"/>
  <c r="F171" i="15" s="1"/>
  <c r="D170" i="15"/>
  <c r="F170" i="15" s="1"/>
  <c r="D169" i="15"/>
  <c r="F169" i="15" s="1"/>
  <c r="D167" i="15"/>
  <c r="D166" i="15"/>
  <c r="D165" i="15"/>
  <c r="D164" i="15"/>
  <c r="D163" i="15"/>
  <c r="D162" i="15"/>
  <c r="D161" i="15"/>
  <c r="D160" i="15"/>
  <c r="D159" i="15"/>
  <c r="D158" i="15"/>
  <c r="D157" i="15"/>
  <c r="D156" i="15"/>
  <c r="D155" i="15"/>
  <c r="D154" i="15"/>
  <c r="D151" i="15"/>
  <c r="G151" i="15" s="1"/>
  <c r="D150" i="15"/>
  <c r="G150" i="15" s="1"/>
  <c r="D149" i="15"/>
  <c r="G149" i="15" s="1"/>
  <c r="D148" i="15"/>
  <c r="F148" i="15" s="1"/>
  <c r="D147" i="15"/>
  <c r="F147" i="15" s="1"/>
  <c r="D145" i="15"/>
  <c r="F145" i="15" s="1"/>
  <c r="D144" i="15"/>
  <c r="F144" i="15" s="1"/>
  <c r="D143" i="15"/>
  <c r="F143" i="15" s="1"/>
  <c r="D142" i="15"/>
  <c r="F142" i="15" s="1"/>
  <c r="D141" i="15"/>
  <c r="F141" i="15" s="1"/>
  <c r="D139" i="15"/>
  <c r="F139" i="15" s="1"/>
  <c r="D138" i="15"/>
  <c r="F138" i="15" s="1"/>
  <c r="D136" i="15"/>
  <c r="F136" i="15" s="1"/>
  <c r="D135" i="15"/>
  <c r="F135" i="15" s="1"/>
  <c r="D134" i="15"/>
  <c r="F134" i="15" s="1"/>
  <c r="D132" i="15"/>
  <c r="F132" i="15" s="1"/>
  <c r="D131" i="15"/>
  <c r="F131" i="15" s="1"/>
  <c r="D130" i="15"/>
  <c r="F130" i="15" s="1"/>
  <c r="D129" i="15"/>
  <c r="F129" i="15" s="1"/>
  <c r="D127" i="15"/>
  <c r="F127" i="15" s="1"/>
  <c r="D126" i="15"/>
  <c r="F126" i="15" s="1"/>
  <c r="D125" i="15"/>
  <c r="F125" i="15" s="1"/>
  <c r="D124" i="15"/>
  <c r="F124" i="15" s="1"/>
  <c r="D123" i="15"/>
  <c r="F123" i="15" s="1"/>
  <c r="D121" i="15"/>
  <c r="F121" i="15" s="1"/>
  <c r="D120" i="15"/>
  <c r="F120" i="15" s="1"/>
  <c r="D119" i="15"/>
  <c r="F119" i="15" s="1"/>
  <c r="D118" i="15"/>
  <c r="F118" i="15" s="1"/>
  <c r="D117" i="15"/>
  <c r="F117" i="15" s="1"/>
  <c r="G116" i="15" s="1"/>
  <c r="D115" i="15"/>
  <c r="F115" i="15" s="1"/>
  <c r="D114" i="15"/>
  <c r="F114" i="15" s="1"/>
  <c r="G113" i="15" s="1"/>
  <c r="D112" i="15"/>
  <c r="F112" i="15" s="1"/>
  <c r="D111" i="15"/>
  <c r="F111" i="15" s="1"/>
  <c r="D110" i="15"/>
  <c r="F110" i="15" s="1"/>
  <c r="D109" i="15"/>
  <c r="F109" i="15" s="1"/>
  <c r="D108" i="15"/>
  <c r="F108" i="15" s="1"/>
  <c r="D106" i="15"/>
  <c r="F106" i="15" s="1"/>
  <c r="D105" i="15"/>
  <c r="F105" i="15" s="1"/>
  <c r="D104" i="15"/>
  <c r="F104" i="15" s="1"/>
  <c r="D102" i="15"/>
  <c r="F102" i="15" s="1"/>
  <c r="D101" i="15"/>
  <c r="F101" i="15" s="1"/>
  <c r="D100" i="15"/>
  <c r="F100" i="15" s="1"/>
  <c r="D99" i="15"/>
  <c r="F99" i="15" s="1"/>
  <c r="D98" i="15"/>
  <c r="F98" i="15" s="1"/>
  <c r="D96" i="15"/>
  <c r="F96" i="15" s="1"/>
  <c r="D95" i="15"/>
  <c r="F95" i="15" s="1"/>
  <c r="D94" i="15"/>
  <c r="F94" i="15" s="1"/>
  <c r="D85" i="15"/>
  <c r="F85" i="15" s="1"/>
  <c r="D84" i="15"/>
  <c r="F84" i="15" s="1"/>
  <c r="D83" i="15"/>
  <c r="F83" i="15" s="1"/>
  <c r="D82" i="15"/>
  <c r="F82" i="15" s="1"/>
  <c r="D81" i="15"/>
  <c r="F81" i="15" s="1"/>
  <c r="D80" i="15"/>
  <c r="F80" i="15" s="1"/>
  <c r="D79" i="15"/>
  <c r="F79" i="15" s="1"/>
  <c r="D77" i="15"/>
  <c r="F77" i="15" s="1"/>
  <c r="D76" i="15"/>
  <c r="F76" i="15" s="1"/>
  <c r="D75" i="15"/>
  <c r="F75" i="15" s="1"/>
  <c r="D73" i="15"/>
  <c r="F73" i="15" s="1"/>
  <c r="D72" i="15"/>
  <c r="F72" i="15" s="1"/>
  <c r="D71" i="15"/>
  <c r="F71" i="15" s="1"/>
  <c r="D69" i="15"/>
  <c r="F69" i="15" s="1"/>
  <c r="D68" i="15"/>
  <c r="F68" i="15" s="1"/>
  <c r="D67" i="15"/>
  <c r="F67" i="15" s="1"/>
  <c r="D66" i="15"/>
  <c r="F66" i="15" s="1"/>
  <c r="D65" i="15"/>
  <c r="F65" i="15" s="1"/>
  <c r="D63" i="15"/>
  <c r="F63" i="15" s="1"/>
  <c r="D62" i="15"/>
  <c r="F62" i="15" s="1"/>
  <c r="D61" i="15"/>
  <c r="F61" i="15" s="1"/>
  <c r="D60" i="15"/>
  <c r="F60" i="15" s="1"/>
  <c r="D58" i="15"/>
  <c r="F58" i="15" s="1"/>
  <c r="D57" i="15"/>
  <c r="F57" i="15" s="1"/>
  <c r="D56" i="15"/>
  <c r="F56" i="15" s="1"/>
  <c r="D55" i="15"/>
  <c r="F55" i="15" s="1"/>
  <c r="D54" i="15"/>
  <c r="F54" i="15" s="1"/>
  <c r="D52" i="15"/>
  <c r="F52" i="15" s="1"/>
  <c r="D51" i="15"/>
  <c r="F51" i="15" s="1"/>
  <c r="D50" i="15"/>
  <c r="F50" i="15" s="1"/>
  <c r="D49" i="15"/>
  <c r="F49" i="15" s="1"/>
  <c r="D48" i="15"/>
  <c r="F48" i="15" s="1"/>
  <c r="D47" i="15"/>
  <c r="F47" i="15" s="1"/>
  <c r="D45" i="15"/>
  <c r="F45" i="15" s="1"/>
  <c r="D44" i="15"/>
  <c r="F44" i="15" s="1"/>
  <c r="D43" i="15"/>
  <c r="F43" i="15" s="1"/>
  <c r="D42" i="15"/>
  <c r="F42" i="15" s="1"/>
  <c r="D41" i="15"/>
  <c r="F41" i="15" s="1"/>
  <c r="D40" i="15"/>
  <c r="F40" i="15" s="1"/>
  <c r="D38" i="15"/>
  <c r="D37" i="15"/>
  <c r="F37" i="15" s="1"/>
  <c r="D36" i="15"/>
  <c r="F36" i="15" s="1"/>
  <c r="D35" i="15"/>
  <c r="F35" i="15" s="1"/>
  <c r="D34" i="15"/>
  <c r="F34" i="15" s="1"/>
  <c r="D33" i="15"/>
  <c r="F33" i="15" s="1"/>
  <c r="D31" i="15"/>
  <c r="F31" i="15" s="1"/>
  <c r="D30" i="15"/>
  <c r="F30" i="15" s="1"/>
  <c r="D29" i="15"/>
  <c r="F29" i="15" s="1"/>
  <c r="D27" i="15"/>
  <c r="G27" i="15" s="1"/>
  <c r="D26" i="15"/>
  <c r="G26" i="15" s="1"/>
  <c r="D25" i="15"/>
  <c r="D24" i="15"/>
  <c r="F24" i="15" s="1"/>
  <c r="D23" i="15"/>
  <c r="F23" i="15" s="1"/>
  <c r="D22" i="15"/>
  <c r="F22" i="15" s="1"/>
  <c r="D21" i="15"/>
  <c r="F21" i="15" s="1"/>
  <c r="D20" i="15"/>
  <c r="F20" i="15" s="1"/>
  <c r="D18" i="15"/>
  <c r="D17" i="15"/>
  <c r="F17" i="15" s="1"/>
  <c r="D16" i="15"/>
  <c r="F16" i="15" s="1"/>
  <c r="D15" i="15"/>
  <c r="F15" i="15" s="1"/>
  <c r="D14" i="15"/>
  <c r="F14" i="15" s="1"/>
  <c r="D12" i="15"/>
  <c r="F12" i="15" s="1"/>
  <c r="D11" i="15"/>
  <c r="F11" i="15" s="1"/>
  <c r="D10" i="15"/>
  <c r="G9" i="15" s="1"/>
  <c r="D8" i="15"/>
  <c r="F8" i="15" s="1"/>
  <c r="D7" i="15"/>
  <c r="F7" i="15" s="1"/>
  <c r="D6" i="15"/>
  <c r="F6" i="15" s="1"/>
  <c r="D5" i="15"/>
  <c r="F5" i="15" s="1"/>
  <c r="D4" i="15"/>
  <c r="F4" i="15" s="1"/>
  <c r="D150" i="17"/>
  <c r="F150" i="17" s="1"/>
  <c r="D149" i="17"/>
  <c r="F149" i="17" s="1"/>
  <c r="D148" i="17"/>
  <c r="F148" i="17" s="1"/>
  <c r="D147" i="17"/>
  <c r="F147" i="17" s="1"/>
  <c r="D146" i="17"/>
  <c r="F146" i="17" s="1"/>
  <c r="D145" i="17"/>
  <c r="F145" i="17" s="1"/>
  <c r="D143" i="17"/>
  <c r="F143" i="17" s="1"/>
  <c r="D142" i="17"/>
  <c r="F142" i="17" s="1"/>
  <c r="D141" i="17"/>
  <c r="F141" i="17" s="1"/>
  <c r="D139" i="17"/>
  <c r="F139" i="17" s="1"/>
  <c r="D138" i="17"/>
  <c r="F138" i="17" s="1"/>
  <c r="D137" i="17"/>
  <c r="F137" i="17" s="1"/>
  <c r="D136" i="17"/>
  <c r="F136" i="17" s="1"/>
  <c r="D135" i="17"/>
  <c r="F135" i="17" s="1"/>
  <c r="D134" i="17"/>
  <c r="F134" i="17" s="1"/>
  <c r="D132" i="17"/>
  <c r="F132" i="17" s="1"/>
  <c r="D131" i="17"/>
  <c r="F131" i="17" s="1"/>
  <c r="D130" i="17"/>
  <c r="F130" i="17" s="1"/>
  <c r="D129" i="17"/>
  <c r="F129" i="17" s="1"/>
  <c r="D128" i="17"/>
  <c r="F128" i="17" s="1"/>
  <c r="D125" i="17"/>
  <c r="G125" i="17" s="1"/>
  <c r="D124" i="17"/>
  <c r="F124" i="17" s="1"/>
  <c r="D123" i="17"/>
  <c r="F123" i="17" s="1"/>
  <c r="D122" i="17"/>
  <c r="F122" i="17" s="1"/>
  <c r="D121" i="17"/>
  <c r="F121" i="17" s="1"/>
  <c r="D120" i="17"/>
  <c r="F120" i="17" s="1"/>
  <c r="D118" i="17"/>
  <c r="F118" i="17" s="1"/>
  <c r="D117" i="17"/>
  <c r="F117" i="17" s="1"/>
  <c r="D116" i="17"/>
  <c r="F116" i="17" s="1"/>
  <c r="D115" i="17"/>
  <c r="F115" i="17" s="1"/>
  <c r="D114" i="17"/>
  <c r="F114" i="17" s="1"/>
  <c r="D112" i="17"/>
  <c r="F112" i="17" s="1"/>
  <c r="D111" i="17"/>
  <c r="F111" i="17" s="1"/>
  <c r="D110" i="17"/>
  <c r="F110" i="17" s="1"/>
  <c r="D108" i="17"/>
  <c r="F108" i="17" s="1"/>
  <c r="D107" i="17"/>
  <c r="F107" i="17" s="1"/>
  <c r="D106" i="17"/>
  <c r="F106" i="17" s="1"/>
  <c r="D105" i="17"/>
  <c r="F105" i="17" s="1"/>
  <c r="D104" i="17"/>
  <c r="F104" i="17" s="1"/>
  <c r="D102" i="17"/>
  <c r="F102" i="17" s="1"/>
  <c r="D101" i="17"/>
  <c r="F101" i="17" s="1"/>
  <c r="D100" i="17"/>
  <c r="F100" i="17" s="1"/>
  <c r="D99" i="17"/>
  <c r="F99" i="17" s="1"/>
  <c r="D98" i="17"/>
  <c r="F98" i="17" s="1"/>
  <c r="D96" i="17"/>
  <c r="F96" i="17" s="1"/>
  <c r="D95" i="17"/>
  <c r="F95" i="17" s="1"/>
  <c r="D94" i="17"/>
  <c r="F94" i="17" s="1"/>
  <c r="D93" i="17"/>
  <c r="F93" i="17" s="1"/>
  <c r="D91" i="17"/>
  <c r="G91" i="17" s="1"/>
  <c r="D90" i="17"/>
  <c r="G90" i="17" s="1"/>
  <c r="D89" i="17"/>
  <c r="F89" i="17" s="1"/>
  <c r="D88" i="17"/>
  <c r="F88" i="17" s="1"/>
  <c r="D87" i="17"/>
  <c r="F87" i="17" s="1"/>
  <c r="G86" i="17" s="1"/>
  <c r="D78" i="17"/>
  <c r="F78" i="17" s="1"/>
  <c r="D77" i="17"/>
  <c r="F77" i="17" s="1"/>
  <c r="D76" i="17"/>
  <c r="F76" i="17" s="1"/>
  <c r="D75" i="17"/>
  <c r="F75" i="17" s="1"/>
  <c r="D74" i="17"/>
  <c r="F74" i="17" s="1"/>
  <c r="D73" i="17"/>
  <c r="F73" i="17" s="1"/>
  <c r="D72" i="17"/>
  <c r="F72" i="17" s="1"/>
  <c r="D70" i="17"/>
  <c r="F70" i="17" s="1"/>
  <c r="D69" i="17"/>
  <c r="F69" i="17" s="1"/>
  <c r="D68" i="17"/>
  <c r="F68" i="17" s="1"/>
  <c r="D66" i="17"/>
  <c r="F66" i="17" s="1"/>
  <c r="D65" i="17"/>
  <c r="F65" i="17" s="1"/>
  <c r="D64" i="17"/>
  <c r="F64" i="17" s="1"/>
  <c r="D62" i="17"/>
  <c r="F62" i="17" s="1"/>
  <c r="D61" i="17"/>
  <c r="F61" i="17" s="1"/>
  <c r="D60" i="17"/>
  <c r="F60" i="17" s="1"/>
  <c r="D59" i="17"/>
  <c r="F59" i="17" s="1"/>
  <c r="D58" i="17"/>
  <c r="F58" i="17" s="1"/>
  <c r="D56" i="17"/>
  <c r="G56" i="17" s="1"/>
  <c r="D55" i="17"/>
  <c r="F55" i="17" s="1"/>
  <c r="D54" i="17"/>
  <c r="F54" i="17" s="1"/>
  <c r="D53" i="17"/>
  <c r="F53" i="17" s="1"/>
  <c r="D52" i="17"/>
  <c r="F52" i="17" s="1"/>
  <c r="D51" i="17"/>
  <c r="F51" i="17" s="1"/>
  <c r="D50" i="17"/>
  <c r="F50" i="17" s="1"/>
  <c r="D48" i="17"/>
  <c r="F48" i="17" s="1"/>
  <c r="D47" i="17"/>
  <c r="F47" i="17" s="1"/>
  <c r="D46" i="17"/>
  <c r="F46" i="17" s="1"/>
  <c r="D45" i="17"/>
  <c r="F45" i="17" s="1"/>
  <c r="D44" i="17"/>
  <c r="F44" i="17" s="1"/>
  <c r="D43" i="17"/>
  <c r="F43" i="17" s="1"/>
  <c r="D41" i="17"/>
  <c r="D40" i="17"/>
  <c r="F40" i="17" s="1"/>
  <c r="D39" i="17"/>
  <c r="F39" i="17" s="1"/>
  <c r="D38" i="17"/>
  <c r="F38" i="17" s="1"/>
  <c r="D37" i="17"/>
  <c r="F37" i="17" s="1"/>
  <c r="D36" i="17"/>
  <c r="F36" i="17" s="1"/>
  <c r="D34" i="17"/>
  <c r="G33" i="17" s="1"/>
  <c r="D32" i="17"/>
  <c r="D31" i="17"/>
  <c r="D30" i="17"/>
  <c r="D29" i="17"/>
  <c r="D27" i="17"/>
  <c r="G27" i="17" s="1"/>
  <c r="D26" i="17"/>
  <c r="G26" i="17" s="1"/>
  <c r="D25" i="17"/>
  <c r="D24" i="17"/>
  <c r="F24" i="17" s="1"/>
  <c r="D23" i="17"/>
  <c r="F23" i="17" s="1"/>
  <c r="D22" i="17"/>
  <c r="F22" i="17" s="1"/>
  <c r="D21" i="17"/>
  <c r="F21" i="17" s="1"/>
  <c r="D20" i="17"/>
  <c r="F20" i="17" s="1"/>
  <c r="D18" i="17"/>
  <c r="D17" i="17"/>
  <c r="F17" i="17" s="1"/>
  <c r="D16" i="17"/>
  <c r="F16" i="17" s="1"/>
  <c r="D15" i="17"/>
  <c r="F15" i="17" s="1"/>
  <c r="D14" i="17"/>
  <c r="F14" i="17" s="1"/>
  <c r="D12" i="17"/>
  <c r="F12" i="17" s="1"/>
  <c r="D11" i="17"/>
  <c r="F11" i="17" s="1"/>
  <c r="D10" i="17"/>
  <c r="G9" i="17" s="1"/>
  <c r="D8" i="17"/>
  <c r="F8" i="17" s="1"/>
  <c r="D7" i="17"/>
  <c r="F7" i="17" s="1"/>
  <c r="D6" i="17"/>
  <c r="F6" i="17" s="1"/>
  <c r="D5" i="17"/>
  <c r="F5" i="17" s="1"/>
  <c r="D4" i="17"/>
  <c r="F4" i="17" s="1"/>
  <c r="D89" i="16"/>
  <c r="F89" i="16" s="1"/>
  <c r="D88" i="16"/>
  <c r="F88" i="16" s="1"/>
  <c r="D87" i="16"/>
  <c r="F87" i="16" s="1"/>
  <c r="D86" i="16"/>
  <c r="F86" i="16" s="1"/>
  <c r="D85" i="16"/>
  <c r="F85" i="16" s="1"/>
  <c r="D84" i="16"/>
  <c r="F84" i="16" s="1"/>
  <c r="C89" i="16"/>
  <c r="C88" i="16"/>
  <c r="C87" i="16"/>
  <c r="C86" i="16"/>
  <c r="C85" i="16"/>
  <c r="C84" i="16"/>
  <c r="C83" i="16"/>
  <c r="D159" i="16"/>
  <c r="D151" i="17" s="1"/>
  <c r="F151" i="17" s="1"/>
  <c r="D158" i="16"/>
  <c r="F158" i="16" s="1"/>
  <c r="D157" i="16"/>
  <c r="F157" i="16" s="1"/>
  <c r="D156" i="16"/>
  <c r="F156" i="16" s="1"/>
  <c r="D155" i="16"/>
  <c r="F155" i="16" s="1"/>
  <c r="D154" i="16"/>
  <c r="F154" i="16" s="1"/>
  <c r="D153" i="16"/>
  <c r="F153" i="16" s="1"/>
  <c r="D151" i="16"/>
  <c r="F151" i="16" s="1"/>
  <c r="D150" i="16"/>
  <c r="F150" i="16" s="1"/>
  <c r="D149" i="16"/>
  <c r="F149" i="16" s="1"/>
  <c r="D147" i="16"/>
  <c r="G147" i="16" s="1"/>
  <c r="D146" i="16"/>
  <c r="F146" i="16" s="1"/>
  <c r="D145" i="16"/>
  <c r="F145" i="16" s="1"/>
  <c r="D144" i="16"/>
  <c r="F144" i="16" s="1"/>
  <c r="D143" i="16"/>
  <c r="F143" i="16" s="1"/>
  <c r="D142" i="16"/>
  <c r="F142" i="16" s="1"/>
  <c r="D141" i="16"/>
  <c r="F141" i="16" s="1"/>
  <c r="D139" i="16"/>
  <c r="F139" i="16" s="1"/>
  <c r="D138" i="16"/>
  <c r="F138" i="16" s="1"/>
  <c r="D137" i="16"/>
  <c r="F137" i="16" s="1"/>
  <c r="D136" i="16"/>
  <c r="F136" i="16" s="1"/>
  <c r="D135" i="16"/>
  <c r="F135" i="16" s="1"/>
  <c r="D132" i="16"/>
  <c r="G132" i="16" s="1"/>
  <c r="D131" i="16"/>
  <c r="G131" i="16" s="1"/>
  <c r="D130" i="16"/>
  <c r="G130" i="16" s="1"/>
  <c r="D129" i="16"/>
  <c r="F129" i="16" s="1"/>
  <c r="D128" i="16"/>
  <c r="F128" i="16" s="1"/>
  <c r="D126" i="16"/>
  <c r="F126" i="16" s="1"/>
  <c r="D125" i="16"/>
  <c r="F125" i="16" s="1"/>
  <c r="D124" i="16"/>
  <c r="F124" i="16" s="1"/>
  <c r="D123" i="16"/>
  <c r="F123" i="16" s="1"/>
  <c r="D122" i="16"/>
  <c r="F122" i="16" s="1"/>
  <c r="D120" i="16"/>
  <c r="F120" i="16" s="1"/>
  <c r="D119" i="16"/>
  <c r="F119" i="16" s="1"/>
  <c r="D118" i="16"/>
  <c r="F118" i="16" s="1"/>
  <c r="D117" i="16"/>
  <c r="F117" i="16" s="1"/>
  <c r="D116" i="16"/>
  <c r="F116" i="16" s="1"/>
  <c r="D114" i="16"/>
  <c r="F114" i="16" s="1"/>
  <c r="D113" i="16"/>
  <c r="F113" i="16" s="1"/>
  <c r="D112" i="16"/>
  <c r="F112" i="16" s="1"/>
  <c r="D110" i="16"/>
  <c r="F110" i="16" s="1"/>
  <c r="D109" i="16"/>
  <c r="F109" i="16" s="1"/>
  <c r="D108" i="16"/>
  <c r="F108" i="16" s="1"/>
  <c r="D107" i="16"/>
  <c r="F107" i="16" s="1"/>
  <c r="D106" i="16"/>
  <c r="F106" i="16" s="1"/>
  <c r="D104" i="16"/>
  <c r="F104" i="16" s="1"/>
  <c r="D103" i="16"/>
  <c r="F103" i="16" s="1"/>
  <c r="D102" i="16"/>
  <c r="F102" i="16" s="1"/>
  <c r="D101" i="16"/>
  <c r="F101" i="16" s="1"/>
  <c r="D100" i="16"/>
  <c r="F100" i="16" s="1"/>
  <c r="D98" i="16"/>
  <c r="F98" i="16" s="1"/>
  <c r="D97" i="16"/>
  <c r="F97" i="16" s="1"/>
  <c r="D96" i="16"/>
  <c r="F96" i="16" s="1"/>
  <c r="D95" i="16"/>
  <c r="F95" i="16" s="1"/>
  <c r="D93" i="16"/>
  <c r="F93" i="16" s="1"/>
  <c r="D92" i="16"/>
  <c r="F92" i="16" s="1"/>
  <c r="D91" i="16"/>
  <c r="F91" i="16" s="1"/>
  <c r="D82" i="16"/>
  <c r="F82" i="16" s="1"/>
  <c r="D81" i="16"/>
  <c r="F81" i="16" s="1"/>
  <c r="D80" i="16"/>
  <c r="F80" i="16" s="1"/>
  <c r="D79" i="16"/>
  <c r="F79" i="16" s="1"/>
  <c r="D78" i="16"/>
  <c r="F78" i="16" s="1"/>
  <c r="D77" i="16"/>
  <c r="F77" i="16" s="1"/>
  <c r="D76" i="16"/>
  <c r="F76" i="16" s="1"/>
  <c r="D74" i="16"/>
  <c r="F74" i="16" s="1"/>
  <c r="D73" i="16"/>
  <c r="F73" i="16" s="1"/>
  <c r="D72" i="16"/>
  <c r="F72" i="16" s="1"/>
  <c r="D70" i="16"/>
  <c r="F70" i="16" s="1"/>
  <c r="D69" i="16"/>
  <c r="F69" i="16" s="1"/>
  <c r="D68" i="16"/>
  <c r="F68" i="16" s="1"/>
  <c r="D67" i="16"/>
  <c r="F67" i="16" s="1"/>
  <c r="D66" i="16"/>
  <c r="F66" i="16" s="1"/>
  <c r="D64" i="16"/>
  <c r="F64" i="16" s="1"/>
  <c r="D63" i="16"/>
  <c r="F63" i="16" s="1"/>
  <c r="D62" i="16"/>
  <c r="F62" i="16" s="1"/>
  <c r="D61" i="16"/>
  <c r="F61" i="16" s="1"/>
  <c r="D60" i="16"/>
  <c r="F60" i="16" s="1"/>
  <c r="D58" i="16"/>
  <c r="G58" i="16" s="1"/>
  <c r="D57" i="16"/>
  <c r="F57" i="16" s="1"/>
  <c r="D56" i="16"/>
  <c r="F56" i="16" s="1"/>
  <c r="D55" i="16"/>
  <c r="F55" i="16" s="1"/>
  <c r="D54" i="16"/>
  <c r="F54" i="16" s="1"/>
  <c r="D53" i="16"/>
  <c r="F53" i="16" s="1"/>
  <c r="D51" i="16"/>
  <c r="F51" i="16" s="1"/>
  <c r="D50" i="16"/>
  <c r="F50" i="16" s="1"/>
  <c r="D49" i="16"/>
  <c r="F49" i="16" s="1"/>
  <c r="D48" i="16"/>
  <c r="F48" i="16" s="1"/>
  <c r="D47" i="16"/>
  <c r="F47" i="16" s="1"/>
  <c r="D46" i="16"/>
  <c r="F46" i="16" s="1"/>
  <c r="D44" i="16"/>
  <c r="F44" i="16" s="1"/>
  <c r="D43" i="16"/>
  <c r="F43" i="16" s="1"/>
  <c r="D42" i="16"/>
  <c r="F42" i="16" s="1"/>
  <c r="D41" i="16"/>
  <c r="F41" i="16" s="1"/>
  <c r="D40" i="16"/>
  <c r="F40" i="16" s="1"/>
  <c r="D39" i="16"/>
  <c r="F39" i="16" s="1"/>
  <c r="D37" i="16"/>
  <c r="D36" i="16"/>
  <c r="F36" i="16" s="1"/>
  <c r="D35" i="16"/>
  <c r="F35" i="16" s="1"/>
  <c r="D34" i="16"/>
  <c r="F34" i="16" s="1"/>
  <c r="D33" i="16"/>
  <c r="F33" i="16" s="1"/>
  <c r="D32" i="16"/>
  <c r="F32" i="16" s="1"/>
  <c r="D30" i="16"/>
  <c r="F30" i="16" s="1"/>
  <c r="D29" i="16"/>
  <c r="F29" i="16" s="1"/>
  <c r="D28" i="16"/>
  <c r="F28" i="16" s="1"/>
  <c r="D26" i="16"/>
  <c r="G25" i="16" s="1"/>
  <c r="D24" i="16"/>
  <c r="D23" i="16"/>
  <c r="D22" i="16"/>
  <c r="D21" i="16"/>
  <c r="D19" i="16"/>
  <c r="G19" i="16" s="1"/>
  <c r="D18" i="16"/>
  <c r="D17" i="16"/>
  <c r="F17" i="16" s="1"/>
  <c r="D16" i="16"/>
  <c r="F16" i="16" s="1"/>
  <c r="D15" i="16"/>
  <c r="F15" i="16" s="1"/>
  <c r="D14" i="16"/>
  <c r="F14" i="16" s="1"/>
  <c r="D12" i="16"/>
  <c r="F12" i="16" s="1"/>
  <c r="D11" i="16"/>
  <c r="F11" i="16" s="1"/>
  <c r="D10" i="16"/>
  <c r="D8" i="16"/>
  <c r="F8" i="16" s="1"/>
  <c r="D7" i="16"/>
  <c r="F7" i="16" s="1"/>
  <c r="D6" i="16"/>
  <c r="F6" i="16" s="1"/>
  <c r="D5" i="16"/>
  <c r="F5" i="16" s="1"/>
  <c r="D4" i="16"/>
  <c r="F4" i="16" s="1"/>
  <c r="D76" i="14"/>
  <c r="F76" i="14" s="1"/>
  <c r="D75" i="14"/>
  <c r="F75" i="14" s="1"/>
  <c r="D74" i="14"/>
  <c r="F74" i="14" s="1"/>
  <c r="D73" i="14"/>
  <c r="F73" i="14" s="1"/>
  <c r="D72" i="14"/>
  <c r="F72" i="14" s="1"/>
  <c r="D71" i="14"/>
  <c r="F71" i="14" s="1"/>
  <c r="C76" i="14"/>
  <c r="C75" i="14"/>
  <c r="C74" i="14"/>
  <c r="C73" i="14"/>
  <c r="C72" i="14"/>
  <c r="C71" i="14"/>
  <c r="C70" i="14"/>
  <c r="D139" i="14"/>
  <c r="D138" i="14"/>
  <c r="F138" i="14" s="1"/>
  <c r="D137" i="14"/>
  <c r="F137" i="14" s="1"/>
  <c r="D136" i="14"/>
  <c r="F136" i="14" s="1"/>
  <c r="D135" i="14"/>
  <c r="F135" i="14" s="1"/>
  <c r="D134" i="14"/>
  <c r="F134" i="14" s="1"/>
  <c r="D132" i="14"/>
  <c r="F132" i="14" s="1"/>
  <c r="D131" i="14"/>
  <c r="F131" i="14" s="1"/>
  <c r="D130" i="14"/>
  <c r="F130" i="14" s="1"/>
  <c r="D129" i="14"/>
  <c r="F129" i="14" s="1"/>
  <c r="D128" i="14"/>
  <c r="F128" i="14" s="1"/>
  <c r="D127" i="14"/>
  <c r="F127" i="14" s="1"/>
  <c r="D125" i="14"/>
  <c r="F125" i="14" s="1"/>
  <c r="D124" i="14"/>
  <c r="F124" i="14" s="1"/>
  <c r="D123" i="14"/>
  <c r="F123" i="14" s="1"/>
  <c r="D122" i="14"/>
  <c r="F122" i="14" s="1"/>
  <c r="D116" i="14"/>
  <c r="F116" i="14" s="1"/>
  <c r="D114" i="14"/>
  <c r="F114" i="14" s="1"/>
  <c r="D113" i="14"/>
  <c r="F113" i="14" s="1"/>
  <c r="D112" i="14"/>
  <c r="F112" i="14" s="1"/>
  <c r="D111" i="14"/>
  <c r="F111" i="14" s="1"/>
  <c r="D110" i="14"/>
  <c r="F110" i="14" s="1"/>
  <c r="D109" i="14"/>
  <c r="D108" i="14"/>
  <c r="F108" i="14" s="1"/>
  <c r="D107" i="14"/>
  <c r="F107" i="14" s="1"/>
  <c r="D106" i="14"/>
  <c r="F106" i="14" s="1"/>
  <c r="D105" i="14"/>
  <c r="F105" i="14" s="1"/>
  <c r="D104" i="14"/>
  <c r="F104" i="14" s="1"/>
  <c r="D24" i="14"/>
  <c r="F24" i="14" s="1"/>
  <c r="D23" i="14"/>
  <c r="F23" i="14" s="1"/>
  <c r="D22" i="14"/>
  <c r="F22" i="14" s="1"/>
  <c r="D21" i="14"/>
  <c r="F21" i="14" s="1"/>
  <c r="D102" i="14"/>
  <c r="F102" i="14" s="1"/>
  <c r="D101" i="14"/>
  <c r="F101" i="14" s="1"/>
  <c r="D100" i="14"/>
  <c r="F100" i="14" s="1"/>
  <c r="D98" i="14"/>
  <c r="F98" i="14" s="1"/>
  <c r="D97" i="14"/>
  <c r="F97" i="14" s="1"/>
  <c r="D96" i="14"/>
  <c r="F96" i="14" s="1"/>
  <c r="D94" i="14"/>
  <c r="F94" i="14" s="1"/>
  <c r="D93" i="14"/>
  <c r="F93" i="14" s="1"/>
  <c r="D92" i="14"/>
  <c r="F92" i="14" s="1"/>
  <c r="D91" i="14"/>
  <c r="F91" i="14" s="1"/>
  <c r="D90" i="14"/>
  <c r="F90" i="14" s="1"/>
  <c r="D88" i="14"/>
  <c r="F88" i="14" s="1"/>
  <c r="D87" i="14"/>
  <c r="F87" i="14" s="1"/>
  <c r="D86" i="14"/>
  <c r="F86" i="14" s="1"/>
  <c r="D85" i="14"/>
  <c r="F85" i="14" s="1"/>
  <c r="D84" i="14"/>
  <c r="F84" i="14" s="1"/>
  <c r="D82" i="14"/>
  <c r="G82" i="14" s="1"/>
  <c r="D81" i="14"/>
  <c r="G81" i="14" s="1"/>
  <c r="D80" i="14"/>
  <c r="F80" i="14" s="1"/>
  <c r="D79" i="14"/>
  <c r="F79" i="14" s="1"/>
  <c r="D78" i="14"/>
  <c r="F78" i="14" s="1"/>
  <c r="D69" i="14"/>
  <c r="F69" i="14" s="1"/>
  <c r="D68" i="14"/>
  <c r="F68" i="14" s="1"/>
  <c r="D67" i="14"/>
  <c r="F67" i="14" s="1"/>
  <c r="D66" i="14"/>
  <c r="F66" i="14" s="1"/>
  <c r="D65" i="14"/>
  <c r="F65" i="14" s="1"/>
  <c r="D64" i="14"/>
  <c r="F64" i="14" s="1"/>
  <c r="D63" i="14"/>
  <c r="F63" i="14" s="1"/>
  <c r="D61" i="14"/>
  <c r="F61" i="14" s="1"/>
  <c r="D60" i="14"/>
  <c r="F60" i="14" s="1"/>
  <c r="D59" i="14"/>
  <c r="F59" i="14" s="1"/>
  <c r="D58" i="14"/>
  <c r="F58" i="14" s="1"/>
  <c r="D57" i="14"/>
  <c r="F57" i="14" s="1"/>
  <c r="D55" i="14"/>
  <c r="F55" i="14" s="1"/>
  <c r="D54" i="14"/>
  <c r="F54" i="14" s="1"/>
  <c r="D53" i="14"/>
  <c r="F53" i="14" s="1"/>
  <c r="D52" i="14"/>
  <c r="F52" i="14" s="1"/>
  <c r="D51" i="14"/>
  <c r="F51" i="14" s="1"/>
  <c r="D49" i="14"/>
  <c r="F49" i="14" s="1"/>
  <c r="D48" i="14"/>
  <c r="F48" i="14" s="1"/>
  <c r="D47" i="14"/>
  <c r="F47" i="14" s="1"/>
  <c r="D46" i="14"/>
  <c r="F46" i="14" s="1"/>
  <c r="D44" i="14"/>
  <c r="F44" i="14" s="1"/>
  <c r="D43" i="14"/>
  <c r="F43" i="14" s="1"/>
  <c r="D42" i="14"/>
  <c r="F42" i="14" s="1"/>
  <c r="D41" i="14"/>
  <c r="F41" i="14" s="1"/>
  <c r="D40" i="14"/>
  <c r="F40" i="14" s="1"/>
  <c r="D38" i="14"/>
  <c r="D37" i="14"/>
  <c r="F37" i="14" s="1"/>
  <c r="D36" i="14"/>
  <c r="F36" i="14" s="1"/>
  <c r="D35" i="14"/>
  <c r="F35" i="14" s="1"/>
  <c r="D34" i="14"/>
  <c r="F34" i="14" s="1"/>
  <c r="D33" i="14"/>
  <c r="F33" i="14" s="1"/>
  <c r="D31" i="14"/>
  <c r="F31" i="14" s="1"/>
  <c r="D30" i="14"/>
  <c r="F30" i="14" s="1"/>
  <c r="D29" i="14"/>
  <c r="F29" i="14" s="1"/>
  <c r="D28" i="14"/>
  <c r="F28" i="14" s="1"/>
  <c r="D27" i="14"/>
  <c r="F27" i="14" s="1"/>
  <c r="D26" i="14"/>
  <c r="F26" i="14" s="1"/>
  <c r="D154" i="14"/>
  <c r="E154" i="14" s="1"/>
  <c r="D153" i="14"/>
  <c r="E153" i="14" s="1"/>
  <c r="D152" i="14"/>
  <c r="G151" i="14" s="1"/>
  <c r="D19" i="14"/>
  <c r="G19" i="14" s="1"/>
  <c r="D18" i="14"/>
  <c r="G18" i="14" s="1"/>
  <c r="D17" i="14"/>
  <c r="D16" i="14"/>
  <c r="F16" i="14" s="1"/>
  <c r="D15" i="14"/>
  <c r="F15" i="14" s="1"/>
  <c r="D14" i="14"/>
  <c r="F14" i="14" s="1"/>
  <c r="D13" i="14"/>
  <c r="F13" i="14" s="1"/>
  <c r="D12" i="14"/>
  <c r="F12" i="14" s="1"/>
  <c r="D10" i="14"/>
  <c r="D9" i="14"/>
  <c r="F9" i="14" s="1"/>
  <c r="D8" i="14"/>
  <c r="F8" i="14" s="1"/>
  <c r="D7" i="14"/>
  <c r="F7" i="14" s="1"/>
  <c r="D6" i="14"/>
  <c r="F6" i="14" s="1"/>
  <c r="D5" i="14"/>
  <c r="F5" i="14" s="1"/>
  <c r="D4" i="14"/>
  <c r="F4" i="14" s="1"/>
  <c r="D150" i="14"/>
  <c r="F150" i="14" s="1"/>
  <c r="D149" i="14"/>
  <c r="F149" i="14" s="1"/>
  <c r="D148" i="14"/>
  <c r="D146" i="14"/>
  <c r="F146" i="14" s="1"/>
  <c r="D145" i="14"/>
  <c r="F145" i="14" s="1"/>
  <c r="D144" i="14"/>
  <c r="F144" i="14" s="1"/>
  <c r="D143" i="14"/>
  <c r="F143" i="14" s="1"/>
  <c r="D142" i="14"/>
  <c r="F142" i="14" s="1"/>
  <c r="D68" i="13"/>
  <c r="F68" i="13" s="1"/>
  <c r="D67" i="13"/>
  <c r="F67" i="13" s="1"/>
  <c r="D66" i="13"/>
  <c r="F66" i="13" s="1"/>
  <c r="D65" i="13"/>
  <c r="F65" i="13" s="1"/>
  <c r="D64" i="13"/>
  <c r="F64" i="13" s="1"/>
  <c r="D63" i="13"/>
  <c r="F63" i="13" s="1"/>
  <c r="G62" i="13" s="1"/>
  <c r="C62" i="13"/>
  <c r="D129" i="13"/>
  <c r="D128" i="13"/>
  <c r="F128" i="13" s="1"/>
  <c r="D127" i="13"/>
  <c r="F127" i="13" s="1"/>
  <c r="D126" i="13"/>
  <c r="F126" i="13" s="1"/>
  <c r="D125" i="13"/>
  <c r="F125" i="13" s="1"/>
  <c r="D124" i="13"/>
  <c r="F124" i="13" s="1"/>
  <c r="D122" i="13"/>
  <c r="F122" i="13" s="1"/>
  <c r="D121" i="13"/>
  <c r="F121" i="13" s="1"/>
  <c r="D120" i="13"/>
  <c r="F120" i="13" s="1"/>
  <c r="D119" i="13"/>
  <c r="F119" i="13" s="1"/>
  <c r="D117" i="13"/>
  <c r="F117" i="13" s="1"/>
  <c r="D116" i="13"/>
  <c r="F116" i="13" s="1"/>
  <c r="D115" i="13"/>
  <c r="F115" i="13" s="1"/>
  <c r="D114" i="13"/>
  <c r="F114" i="13" s="1"/>
  <c r="D113" i="13"/>
  <c r="F113" i="13" s="1"/>
  <c r="D112" i="13"/>
  <c r="F112" i="13" s="1"/>
  <c r="D110" i="13"/>
  <c r="F110" i="13" s="1"/>
  <c r="D109" i="13"/>
  <c r="F109" i="13" s="1"/>
  <c r="D108" i="13"/>
  <c r="F108" i="13" s="1"/>
  <c r="D107" i="13"/>
  <c r="F107" i="13" s="1"/>
  <c r="D106" i="13"/>
  <c r="F106" i="13" s="1"/>
  <c r="D104" i="13"/>
  <c r="F104" i="13" s="1"/>
  <c r="D103" i="13"/>
  <c r="F103" i="13" s="1"/>
  <c r="D102" i="13"/>
  <c r="F102" i="13" s="1"/>
  <c r="D101" i="13"/>
  <c r="F101" i="13" s="1"/>
  <c r="D100" i="13"/>
  <c r="F100" i="13" s="1"/>
  <c r="D98" i="13"/>
  <c r="F98" i="13" s="1"/>
  <c r="D97" i="13"/>
  <c r="F97" i="13" s="1"/>
  <c r="D96" i="13"/>
  <c r="F96" i="13" s="1"/>
  <c r="D95" i="13"/>
  <c r="F95" i="13" s="1"/>
  <c r="D94" i="13"/>
  <c r="F94" i="13" s="1"/>
  <c r="D93" i="13"/>
  <c r="F93" i="13" s="1"/>
  <c r="D92" i="13"/>
  <c r="F92" i="13" s="1"/>
  <c r="D91" i="13"/>
  <c r="D89" i="13"/>
  <c r="F89" i="13" s="1"/>
  <c r="D88" i="13"/>
  <c r="F88" i="13" s="1"/>
  <c r="D87" i="13"/>
  <c r="F87" i="13" s="1"/>
  <c r="D86" i="13"/>
  <c r="F86" i="13" s="1"/>
  <c r="D85" i="13"/>
  <c r="F85" i="13" s="1"/>
  <c r="G84" i="13" s="1"/>
  <c r="D16" i="13"/>
  <c r="F16" i="13" s="1"/>
  <c r="D15" i="13"/>
  <c r="F15" i="13" s="1"/>
  <c r="D14" i="13"/>
  <c r="F14" i="13" s="1"/>
  <c r="D13" i="13"/>
  <c r="F13" i="13" s="1"/>
  <c r="D83" i="13"/>
  <c r="F83" i="13" s="1"/>
  <c r="D82" i="13"/>
  <c r="F82" i="13" s="1"/>
  <c r="D81" i="13"/>
  <c r="F81" i="13" s="1"/>
  <c r="D79" i="13"/>
  <c r="F79" i="13" s="1"/>
  <c r="D78" i="13"/>
  <c r="F78" i="13" s="1"/>
  <c r="D77" i="13"/>
  <c r="F77" i="13" s="1"/>
  <c r="D75" i="13"/>
  <c r="F75" i="13" s="1"/>
  <c r="D74" i="13"/>
  <c r="F74" i="13" s="1"/>
  <c r="D73" i="13"/>
  <c r="F73" i="13" s="1"/>
  <c r="D72" i="13"/>
  <c r="F72" i="13" s="1"/>
  <c r="D71" i="13"/>
  <c r="F71" i="13" s="1"/>
  <c r="D61" i="13"/>
  <c r="F61" i="13" s="1"/>
  <c r="D60" i="13"/>
  <c r="F60" i="13" s="1"/>
  <c r="D59" i="13"/>
  <c r="F59" i="13" s="1"/>
  <c r="D58" i="13"/>
  <c r="F58" i="13" s="1"/>
  <c r="D57" i="13"/>
  <c r="F57" i="13" s="1"/>
  <c r="D56" i="13"/>
  <c r="F56" i="13" s="1"/>
  <c r="D55" i="13"/>
  <c r="F55" i="13" s="1"/>
  <c r="D53" i="13"/>
  <c r="F53" i="13" s="1"/>
  <c r="D52" i="13"/>
  <c r="F52" i="13" s="1"/>
  <c r="D51" i="13"/>
  <c r="F51" i="13" s="1"/>
  <c r="D50" i="13"/>
  <c r="F50" i="13" s="1"/>
  <c r="D49" i="13"/>
  <c r="F49" i="13" s="1"/>
  <c r="D47" i="13"/>
  <c r="F47" i="13" s="1"/>
  <c r="D46" i="13"/>
  <c r="F46" i="13" s="1"/>
  <c r="D45" i="13"/>
  <c r="F45" i="13" s="1"/>
  <c r="D44" i="13"/>
  <c r="F44" i="13" s="1"/>
  <c r="D43" i="13"/>
  <c r="F43" i="13" s="1"/>
  <c r="D41" i="13"/>
  <c r="F41" i="13" s="1"/>
  <c r="D40" i="13"/>
  <c r="F40" i="13" s="1"/>
  <c r="D39" i="13"/>
  <c r="F39" i="13" s="1"/>
  <c r="D38" i="13"/>
  <c r="F38" i="13" s="1"/>
  <c r="D36" i="13"/>
  <c r="F36" i="13" s="1"/>
  <c r="D35" i="13"/>
  <c r="F35" i="13" s="1"/>
  <c r="D34" i="13"/>
  <c r="F34" i="13" s="1"/>
  <c r="D33" i="13"/>
  <c r="F33" i="13" s="1"/>
  <c r="D32" i="13"/>
  <c r="F32" i="13" s="1"/>
  <c r="D30" i="13"/>
  <c r="F30" i="13" s="1"/>
  <c r="D29" i="13"/>
  <c r="F29" i="13" s="1"/>
  <c r="D28" i="13"/>
  <c r="F28" i="13" s="1"/>
  <c r="D27" i="13"/>
  <c r="F27" i="13" s="1"/>
  <c r="D26" i="13"/>
  <c r="F26" i="13" s="1"/>
  <c r="D25" i="13"/>
  <c r="F25" i="13" s="1"/>
  <c r="D23" i="13"/>
  <c r="D22" i="13"/>
  <c r="F22" i="13" s="1"/>
  <c r="D21" i="13"/>
  <c r="F21" i="13" s="1"/>
  <c r="D20" i="13"/>
  <c r="F20" i="13" s="1"/>
  <c r="D19" i="13"/>
  <c r="F19" i="13" s="1"/>
  <c r="D18" i="13"/>
  <c r="F18" i="13" s="1"/>
  <c r="D11" i="13"/>
  <c r="G10" i="13" s="1"/>
  <c r="D9" i="13"/>
  <c r="D8" i="13"/>
  <c r="F8" i="13" s="1"/>
  <c r="D7" i="13"/>
  <c r="F7" i="13" s="1"/>
  <c r="D6" i="13"/>
  <c r="F6" i="13" s="1"/>
  <c r="D5" i="13"/>
  <c r="F5" i="13" s="1"/>
  <c r="D4" i="13"/>
  <c r="F4" i="13" s="1"/>
  <c r="D95" i="11"/>
  <c r="F95" i="11" s="1"/>
  <c r="D94" i="11"/>
  <c r="F94" i="11" s="1"/>
  <c r="D93" i="11"/>
  <c r="F93" i="11" s="1"/>
  <c r="D92" i="11"/>
  <c r="F92" i="11" s="1"/>
  <c r="D91" i="11"/>
  <c r="F91" i="11" s="1"/>
  <c r="D90" i="11"/>
  <c r="F90" i="11" s="1"/>
  <c r="C89" i="11"/>
  <c r="D219" i="11"/>
  <c r="F219" i="11" s="1"/>
  <c r="D218" i="11"/>
  <c r="F218" i="11" s="1"/>
  <c r="D217" i="11"/>
  <c r="F217" i="11" s="1"/>
  <c r="D215" i="11"/>
  <c r="F215" i="11" s="1"/>
  <c r="D214" i="11"/>
  <c r="F214" i="11" s="1"/>
  <c r="D213" i="11"/>
  <c r="F213" i="11" s="1"/>
  <c r="D212" i="11"/>
  <c r="F212" i="11" s="1"/>
  <c r="D210" i="11"/>
  <c r="F210" i="11" s="1"/>
  <c r="D209" i="11"/>
  <c r="F209" i="11" s="1"/>
  <c r="G208" i="11" s="1"/>
  <c r="D207" i="11"/>
  <c r="F207" i="11" s="1"/>
  <c r="D206" i="11"/>
  <c r="F206" i="11" s="1"/>
  <c r="D205" i="11"/>
  <c r="F205" i="11" s="1"/>
  <c r="D204" i="11"/>
  <c r="F204" i="11" s="1"/>
  <c r="D203" i="11"/>
  <c r="F203" i="11" s="1"/>
  <c r="D201" i="11"/>
  <c r="F201" i="11" s="1"/>
  <c r="D200" i="11"/>
  <c r="F200" i="11" s="1"/>
  <c r="D199" i="11"/>
  <c r="F199" i="11" s="1"/>
  <c r="D198" i="11"/>
  <c r="F198" i="11" s="1"/>
  <c r="D197" i="11"/>
  <c r="F197" i="11" s="1"/>
  <c r="D195" i="11"/>
  <c r="G195" i="11" s="1"/>
  <c r="D194" i="11"/>
  <c r="F194" i="11" s="1"/>
  <c r="D193" i="11"/>
  <c r="F193" i="11" s="1"/>
  <c r="D192" i="11"/>
  <c r="F192" i="11" s="1"/>
  <c r="D190" i="11"/>
  <c r="F190" i="11" s="1"/>
  <c r="D189" i="11"/>
  <c r="F189" i="11" s="1"/>
  <c r="D188" i="11"/>
  <c r="F188" i="11" s="1"/>
  <c r="D186" i="11"/>
  <c r="F186" i="11" s="1"/>
  <c r="D185" i="11"/>
  <c r="F185" i="11" s="1"/>
  <c r="D184" i="11"/>
  <c r="F184" i="11" s="1"/>
  <c r="D183" i="11"/>
  <c r="F183" i="11" s="1"/>
  <c r="D181" i="11"/>
  <c r="E181" i="11" s="1"/>
  <c r="D180" i="11"/>
  <c r="E180" i="11" s="1"/>
  <c r="D179" i="11"/>
  <c r="D177" i="11"/>
  <c r="F177" i="11" s="1"/>
  <c r="D176" i="11"/>
  <c r="F176" i="11" s="1"/>
  <c r="D175" i="11"/>
  <c r="F175" i="11" s="1"/>
  <c r="D174" i="11"/>
  <c r="F174" i="11" s="1"/>
  <c r="D173" i="11"/>
  <c r="F173" i="11" s="1"/>
  <c r="D172" i="11"/>
  <c r="F172" i="11" s="1"/>
  <c r="D171" i="11"/>
  <c r="F171" i="11" s="1"/>
  <c r="D170" i="11"/>
  <c r="F170" i="11" s="1"/>
  <c r="D169" i="11"/>
  <c r="F169" i="11" s="1"/>
  <c r="D167" i="11"/>
  <c r="D166" i="11"/>
  <c r="F166" i="11" s="1"/>
  <c r="D165" i="11"/>
  <c r="F165" i="11" s="1"/>
  <c r="D164" i="11"/>
  <c r="F164" i="11" s="1"/>
  <c r="D163" i="11"/>
  <c r="F163" i="11" s="1"/>
  <c r="D161" i="11"/>
  <c r="F161" i="11" s="1"/>
  <c r="D160" i="11"/>
  <c r="F160" i="11" s="1"/>
  <c r="D159" i="11"/>
  <c r="F159" i="11" s="1"/>
  <c r="D158" i="11"/>
  <c r="F158" i="11" s="1"/>
  <c r="D157" i="11"/>
  <c r="F157" i="11" s="1"/>
  <c r="D154" i="11"/>
  <c r="G154" i="11" s="1"/>
  <c r="D153" i="11"/>
  <c r="D152" i="11"/>
  <c r="F152" i="11" s="1"/>
  <c r="D151" i="11"/>
  <c r="F151" i="11" s="1"/>
  <c r="D150" i="11"/>
  <c r="F150" i="11" s="1"/>
  <c r="D149" i="11"/>
  <c r="F149" i="11" s="1"/>
  <c r="D148" i="11"/>
  <c r="F148" i="11" s="1"/>
  <c r="D146" i="11"/>
  <c r="F146" i="11" s="1"/>
  <c r="D145" i="11"/>
  <c r="F145" i="11" s="1"/>
  <c r="D144" i="11"/>
  <c r="F144" i="11" s="1"/>
  <c r="D143" i="11"/>
  <c r="F143" i="11" s="1"/>
  <c r="D142" i="11"/>
  <c r="F142" i="11" s="1"/>
  <c r="D141" i="11"/>
  <c r="F141" i="11" s="1"/>
  <c r="D139" i="11"/>
  <c r="F139" i="11" s="1"/>
  <c r="D138" i="11"/>
  <c r="F138" i="11" s="1"/>
  <c r="D137" i="11"/>
  <c r="F137" i="11" s="1"/>
  <c r="D135" i="11"/>
  <c r="F135" i="11" s="1"/>
  <c r="D134" i="11"/>
  <c r="F134" i="11" s="1"/>
  <c r="D133" i="11"/>
  <c r="F133" i="11" s="1"/>
  <c r="D131" i="11"/>
  <c r="F131" i="11" s="1"/>
  <c r="D130" i="11"/>
  <c r="F130" i="11" s="1"/>
  <c r="D129" i="11"/>
  <c r="F129" i="11" s="1"/>
  <c r="D128" i="11"/>
  <c r="F128" i="11" s="1"/>
  <c r="D126" i="11"/>
  <c r="F126" i="11" s="1"/>
  <c r="D125" i="11"/>
  <c r="F125" i="11" s="1"/>
  <c r="D124" i="11"/>
  <c r="F124" i="11" s="1"/>
  <c r="D123" i="11"/>
  <c r="F123" i="11" s="1"/>
  <c r="D122" i="11"/>
  <c r="F122" i="11" s="1"/>
  <c r="D35" i="11"/>
  <c r="F35" i="11" s="1"/>
  <c r="D34" i="11"/>
  <c r="F34" i="11" s="1"/>
  <c r="D33" i="11"/>
  <c r="F33" i="11" s="1"/>
  <c r="D32" i="11"/>
  <c r="F32" i="11" s="1"/>
  <c r="D120" i="11"/>
  <c r="F120" i="11" s="1"/>
  <c r="D119" i="11"/>
  <c r="F119" i="11" s="1"/>
  <c r="D118" i="11"/>
  <c r="F118" i="11" s="1"/>
  <c r="D116" i="11"/>
  <c r="F116" i="11" s="1"/>
  <c r="D115" i="11"/>
  <c r="F115" i="11" s="1"/>
  <c r="D114" i="11"/>
  <c r="F114" i="11" s="1"/>
  <c r="G113" i="11" s="1"/>
  <c r="D112" i="11"/>
  <c r="F112" i="11" s="1"/>
  <c r="D111" i="11"/>
  <c r="F111" i="11" s="1"/>
  <c r="D110" i="11"/>
  <c r="F110" i="11" s="1"/>
  <c r="D109" i="11"/>
  <c r="F109" i="11" s="1"/>
  <c r="D108" i="11"/>
  <c r="F108" i="11" s="1"/>
  <c r="D106" i="11"/>
  <c r="F106" i="11" s="1"/>
  <c r="D105" i="11"/>
  <c r="F105" i="11" s="1"/>
  <c r="D104" i="11"/>
  <c r="F104" i="11" s="1"/>
  <c r="D103" i="11"/>
  <c r="F103" i="11" s="1"/>
  <c r="D102" i="11"/>
  <c r="F102" i="11" s="1"/>
  <c r="D100" i="11"/>
  <c r="G100" i="11" s="1"/>
  <c r="D99" i="11"/>
  <c r="F99" i="11" s="1"/>
  <c r="D98" i="11"/>
  <c r="F98" i="11" s="1"/>
  <c r="D97" i="11"/>
  <c r="F97" i="11" s="1"/>
  <c r="D88" i="11"/>
  <c r="F88" i="11" s="1"/>
  <c r="D87" i="11"/>
  <c r="F87" i="11" s="1"/>
  <c r="D86" i="11"/>
  <c r="F86" i="11" s="1"/>
  <c r="D85" i="11"/>
  <c r="F85" i="11" s="1"/>
  <c r="D84" i="11"/>
  <c r="F84" i="11" s="1"/>
  <c r="D83" i="11"/>
  <c r="F83" i="11" s="1"/>
  <c r="D82" i="11"/>
  <c r="F82" i="11" s="1"/>
  <c r="D80" i="11"/>
  <c r="F80" i="11" s="1"/>
  <c r="D79" i="11"/>
  <c r="F79" i="11" s="1"/>
  <c r="D78" i="11"/>
  <c r="F78" i="11" s="1"/>
  <c r="D77" i="11"/>
  <c r="F77" i="11" s="1"/>
  <c r="D76" i="11"/>
  <c r="F76" i="11" s="1"/>
  <c r="D74" i="11"/>
  <c r="F74" i="11" s="1"/>
  <c r="D73" i="11"/>
  <c r="F73" i="11" s="1"/>
  <c r="D72" i="11"/>
  <c r="F72" i="11" s="1"/>
  <c r="D71" i="11"/>
  <c r="F71" i="11" s="1"/>
  <c r="D69" i="11"/>
  <c r="F69" i="11" s="1"/>
  <c r="D68" i="11"/>
  <c r="F68" i="11" s="1"/>
  <c r="D67" i="11"/>
  <c r="F67" i="11" s="1"/>
  <c r="D66" i="11"/>
  <c r="F66" i="11" s="1"/>
  <c r="D65" i="11"/>
  <c r="F65" i="11" s="1"/>
  <c r="D63" i="11"/>
  <c r="F63" i="11" s="1"/>
  <c r="D62" i="11"/>
  <c r="F62" i="11" s="1"/>
  <c r="D61" i="11"/>
  <c r="F61" i="11" s="1"/>
  <c r="D60" i="11"/>
  <c r="F60" i="11" s="1"/>
  <c r="D59" i="11"/>
  <c r="F59" i="11" s="1"/>
  <c r="D58" i="11"/>
  <c r="F58" i="11" s="1"/>
  <c r="D56" i="11"/>
  <c r="F56" i="11" s="1"/>
  <c r="D55" i="11"/>
  <c r="F55" i="11" s="1"/>
  <c r="D54" i="11"/>
  <c r="F54" i="11" s="1"/>
  <c r="D53" i="11"/>
  <c r="F53" i="11" s="1"/>
  <c r="D52" i="11"/>
  <c r="F52" i="11" s="1"/>
  <c r="D51" i="11"/>
  <c r="F51" i="11" s="1"/>
  <c r="D49" i="11"/>
  <c r="D48" i="11"/>
  <c r="F48" i="11" s="1"/>
  <c r="D47" i="11"/>
  <c r="F47" i="11" s="1"/>
  <c r="D46" i="11"/>
  <c r="F46" i="11" s="1"/>
  <c r="D45" i="11"/>
  <c r="F45" i="11" s="1"/>
  <c r="D44" i="11"/>
  <c r="F44" i="11" s="1"/>
  <c r="D42" i="11"/>
  <c r="F42" i="11" s="1"/>
  <c r="D41" i="11"/>
  <c r="F41" i="11" s="1"/>
  <c r="D40" i="11"/>
  <c r="F40" i="11" s="1"/>
  <c r="D39" i="11"/>
  <c r="F39" i="11" s="1"/>
  <c r="D38" i="11"/>
  <c r="F38" i="11" s="1"/>
  <c r="D37" i="11"/>
  <c r="F37" i="11" s="1"/>
  <c r="D30" i="11"/>
  <c r="F30" i="11" s="1"/>
  <c r="D29" i="11"/>
  <c r="F29" i="11" s="1"/>
  <c r="D28" i="11"/>
  <c r="F28" i="11" s="1"/>
  <c r="D26" i="11"/>
  <c r="F26" i="11" s="1"/>
  <c r="D25" i="11"/>
  <c r="F25" i="11" s="1"/>
  <c r="D24" i="11"/>
  <c r="F24" i="11" s="1"/>
  <c r="D23" i="11"/>
  <c r="F23" i="11" s="1"/>
  <c r="D21" i="11"/>
  <c r="D19" i="11"/>
  <c r="D18" i="11"/>
  <c r="F18" i="11" s="1"/>
  <c r="D17" i="11"/>
  <c r="F17" i="11" s="1"/>
  <c r="D16" i="11"/>
  <c r="F16" i="11" s="1"/>
  <c r="D15" i="11"/>
  <c r="F15" i="11" s="1"/>
  <c r="D14" i="11"/>
  <c r="F14" i="11" s="1"/>
  <c r="D12" i="11"/>
  <c r="F12" i="11" s="1"/>
  <c r="D11" i="11"/>
  <c r="F11" i="11" s="1"/>
  <c r="D10" i="11"/>
  <c r="F10" i="11" s="1"/>
  <c r="D8" i="11"/>
  <c r="F8" i="11" s="1"/>
  <c r="D7" i="11"/>
  <c r="F7" i="11" s="1"/>
  <c r="D6" i="11"/>
  <c r="F6" i="11" s="1"/>
  <c r="D5" i="11"/>
  <c r="F5" i="11" s="1"/>
  <c r="D4" i="11"/>
  <c r="F4" i="11" s="1"/>
  <c r="D73" i="10"/>
  <c r="F73" i="10" s="1"/>
  <c r="D72" i="10"/>
  <c r="F72" i="10" s="1"/>
  <c r="D71" i="10"/>
  <c r="F71" i="10" s="1"/>
  <c r="D70" i="10"/>
  <c r="F70" i="10" s="1"/>
  <c r="D69" i="10"/>
  <c r="F69" i="10" s="1"/>
  <c r="D68" i="10"/>
  <c r="F68" i="10" s="1"/>
  <c r="C67" i="10"/>
  <c r="D173" i="10"/>
  <c r="D172" i="10"/>
  <c r="F172" i="10" s="1"/>
  <c r="D171" i="10"/>
  <c r="F171" i="10" s="1"/>
  <c r="D170" i="10"/>
  <c r="F170" i="10" s="1"/>
  <c r="D169" i="10"/>
  <c r="F169" i="10" s="1"/>
  <c r="D168" i="10"/>
  <c r="F168" i="10" s="1"/>
  <c r="D166" i="10"/>
  <c r="F166" i="10" s="1"/>
  <c r="D165" i="10"/>
  <c r="F165" i="10" s="1"/>
  <c r="D164" i="10"/>
  <c r="F164" i="10" s="1"/>
  <c r="D163" i="10"/>
  <c r="F163" i="10" s="1"/>
  <c r="D161" i="10"/>
  <c r="F161" i="10" s="1"/>
  <c r="D160" i="10"/>
  <c r="F160" i="10" s="1"/>
  <c r="D159" i="10"/>
  <c r="F159" i="10" s="1"/>
  <c r="D158" i="10"/>
  <c r="F158" i="10" s="1"/>
  <c r="D157" i="10"/>
  <c r="F157" i="10" s="1"/>
  <c r="D145" i="10"/>
  <c r="F145" i="10" s="1"/>
  <c r="D144" i="10"/>
  <c r="F144" i="10" s="1"/>
  <c r="D143" i="10"/>
  <c r="F143" i="10" s="1"/>
  <c r="D141" i="10"/>
  <c r="F141" i="10" s="1"/>
  <c r="D140" i="10"/>
  <c r="F140" i="10" s="1"/>
  <c r="D139" i="10"/>
  <c r="F139" i="10" s="1"/>
  <c r="D155" i="10"/>
  <c r="F155" i="10" s="1"/>
  <c r="D154" i="10"/>
  <c r="F154" i="10" s="1"/>
  <c r="D153" i="10"/>
  <c r="F153" i="10" s="1"/>
  <c r="D137" i="10"/>
  <c r="F137" i="10" s="1"/>
  <c r="D136" i="10"/>
  <c r="F136" i="10" s="1"/>
  <c r="D135" i="10"/>
  <c r="F135" i="10" s="1"/>
  <c r="D134" i="10"/>
  <c r="F134" i="10" s="1"/>
  <c r="D132" i="10"/>
  <c r="E132" i="10" s="1"/>
  <c r="D131" i="10"/>
  <c r="E131" i="10" s="1"/>
  <c r="D130" i="10"/>
  <c r="G129" i="10" s="1"/>
  <c r="D151" i="10"/>
  <c r="F151" i="10" s="1"/>
  <c r="D150" i="10"/>
  <c r="F150" i="10" s="1"/>
  <c r="D149" i="10"/>
  <c r="F149" i="10" s="1"/>
  <c r="D148" i="10"/>
  <c r="F148" i="10" s="1"/>
  <c r="D128" i="10"/>
  <c r="D127" i="10"/>
  <c r="F127" i="10" s="1"/>
  <c r="D126" i="10"/>
  <c r="F126" i="10" s="1"/>
  <c r="D125" i="10"/>
  <c r="F125" i="10" s="1"/>
  <c r="D123" i="10"/>
  <c r="F123" i="10" s="1"/>
  <c r="D122" i="10"/>
  <c r="F122" i="10" s="1"/>
  <c r="D121" i="10"/>
  <c r="F121" i="10" s="1"/>
  <c r="D120" i="10"/>
  <c r="F120" i="10" s="1"/>
  <c r="D119" i="10"/>
  <c r="F119" i="10" s="1"/>
  <c r="D117" i="10"/>
  <c r="F117" i="10" s="1"/>
  <c r="D116" i="10"/>
  <c r="F116" i="10" s="1"/>
  <c r="D115" i="10"/>
  <c r="F115" i="10" s="1"/>
  <c r="D112" i="10"/>
  <c r="F112" i="10" s="1"/>
  <c r="D111" i="10"/>
  <c r="F111" i="10" s="1"/>
  <c r="D110" i="10"/>
  <c r="F110" i="10" s="1"/>
  <c r="D109" i="10"/>
  <c r="F109" i="10" s="1"/>
  <c r="D108" i="10"/>
  <c r="F108" i="10" s="1"/>
  <c r="D107" i="10"/>
  <c r="F107" i="10" s="1"/>
  <c r="D105" i="10"/>
  <c r="F105" i="10" s="1"/>
  <c r="D104" i="10"/>
  <c r="F104" i="10" s="1"/>
  <c r="D103" i="10"/>
  <c r="F103" i="10" s="1"/>
  <c r="D101" i="10"/>
  <c r="F101" i="10" s="1"/>
  <c r="D100" i="10"/>
  <c r="F100" i="10" s="1"/>
  <c r="D99" i="10"/>
  <c r="F99" i="10" s="1"/>
  <c r="D98" i="10"/>
  <c r="F98" i="10" s="1"/>
  <c r="D27" i="10"/>
  <c r="F27" i="10" s="1"/>
  <c r="D26" i="10"/>
  <c r="F26" i="10" s="1"/>
  <c r="D25" i="10"/>
  <c r="F25" i="10" s="1"/>
  <c r="D24" i="10"/>
  <c r="F24" i="10" s="1"/>
  <c r="D96" i="10"/>
  <c r="F96" i="10" s="1"/>
  <c r="D95" i="10"/>
  <c r="F95" i="10" s="1"/>
  <c r="D94" i="10"/>
  <c r="F94" i="10" s="1"/>
  <c r="D92" i="10"/>
  <c r="F92" i="10" s="1"/>
  <c r="D91" i="10"/>
  <c r="F91" i="10" s="1"/>
  <c r="D90" i="10"/>
  <c r="F90" i="10" s="1"/>
  <c r="D89" i="10"/>
  <c r="F89" i="10" s="1"/>
  <c r="D88" i="10"/>
  <c r="F88" i="10" s="1"/>
  <c r="D86" i="10"/>
  <c r="F86" i="10" s="1"/>
  <c r="D85" i="10"/>
  <c r="F85" i="10" s="1"/>
  <c r="D84" i="10"/>
  <c r="F84" i="10" s="1"/>
  <c r="D83" i="10"/>
  <c r="F83" i="10" s="1"/>
  <c r="D82" i="10"/>
  <c r="F82" i="10" s="1"/>
  <c r="D80" i="10"/>
  <c r="G80" i="10" s="1"/>
  <c r="D79" i="10"/>
  <c r="G79" i="10" s="1"/>
  <c r="D78" i="10"/>
  <c r="G78" i="10" s="1"/>
  <c r="D77" i="10"/>
  <c r="F77" i="10" s="1"/>
  <c r="D76" i="10"/>
  <c r="F76" i="10" s="1"/>
  <c r="D75" i="10"/>
  <c r="F75" i="10" s="1"/>
  <c r="D66" i="10"/>
  <c r="F66" i="10" s="1"/>
  <c r="D65" i="10"/>
  <c r="F65" i="10" s="1"/>
  <c r="D64" i="10"/>
  <c r="F64" i="10" s="1"/>
  <c r="D63" i="10"/>
  <c r="F63" i="10" s="1"/>
  <c r="D62" i="10"/>
  <c r="F62" i="10" s="1"/>
  <c r="D60" i="10"/>
  <c r="F60" i="10" s="1"/>
  <c r="D59" i="10"/>
  <c r="F59" i="10" s="1"/>
  <c r="D58" i="10"/>
  <c r="F58" i="10" s="1"/>
  <c r="D57" i="10"/>
  <c r="F57" i="10" s="1"/>
  <c r="D56" i="10"/>
  <c r="F56" i="10" s="1"/>
  <c r="D54" i="10"/>
  <c r="F54" i="10" s="1"/>
  <c r="D53" i="10"/>
  <c r="F53" i="10" s="1"/>
  <c r="D52" i="10"/>
  <c r="F52" i="10" s="1"/>
  <c r="D51" i="10"/>
  <c r="F51" i="10" s="1"/>
  <c r="D49" i="10"/>
  <c r="G49" i="10" s="1"/>
  <c r="D48" i="10"/>
  <c r="F48" i="10" s="1"/>
  <c r="D47" i="10"/>
  <c r="F47" i="10" s="1"/>
  <c r="D46" i="10"/>
  <c r="F46" i="10" s="1"/>
  <c r="D45" i="10"/>
  <c r="F45" i="10" s="1"/>
  <c r="D44" i="10"/>
  <c r="F44" i="10" s="1"/>
  <c r="D43" i="10"/>
  <c r="F43" i="10" s="1"/>
  <c r="D41" i="10"/>
  <c r="F41" i="10" s="1"/>
  <c r="D40" i="10"/>
  <c r="F40" i="10" s="1"/>
  <c r="D39" i="10"/>
  <c r="F39" i="10" s="1"/>
  <c r="D38" i="10"/>
  <c r="F38" i="10" s="1"/>
  <c r="D37" i="10"/>
  <c r="F37" i="10" s="1"/>
  <c r="D36" i="10"/>
  <c r="F36" i="10" s="1"/>
  <c r="D34" i="10"/>
  <c r="F34" i="10" s="1"/>
  <c r="D33" i="10"/>
  <c r="F33" i="10" s="1"/>
  <c r="D32" i="10"/>
  <c r="F32" i="10" s="1"/>
  <c r="D31" i="10"/>
  <c r="F31" i="10" s="1"/>
  <c r="D30" i="10"/>
  <c r="F30" i="10" s="1"/>
  <c r="D29" i="10"/>
  <c r="F29" i="10" s="1"/>
  <c r="D22" i="10"/>
  <c r="F22" i="10" s="1"/>
  <c r="D21" i="10"/>
  <c r="F21" i="10" s="1"/>
  <c r="D20" i="10"/>
  <c r="F20" i="10" s="1"/>
  <c r="D19" i="10"/>
  <c r="F19" i="10" s="1"/>
  <c r="D17" i="10"/>
  <c r="G16" i="10" s="1"/>
  <c r="D15" i="10"/>
  <c r="D14" i="10"/>
  <c r="F14" i="10" s="1"/>
  <c r="D13" i="10"/>
  <c r="F13" i="10" s="1"/>
  <c r="D12" i="10"/>
  <c r="F12" i="10" s="1"/>
  <c r="D11" i="10"/>
  <c r="F11" i="10" s="1"/>
  <c r="D10" i="10"/>
  <c r="F10" i="10" s="1"/>
  <c r="D8" i="10"/>
  <c r="F8" i="10" s="1"/>
  <c r="D7" i="10"/>
  <c r="F7" i="10" s="1"/>
  <c r="D6" i="10"/>
  <c r="F6" i="10" s="1"/>
  <c r="D5" i="10"/>
  <c r="F5" i="10" s="1"/>
  <c r="D4" i="10"/>
  <c r="F4" i="10" s="1"/>
  <c r="D78" i="9"/>
  <c r="F78" i="9" s="1"/>
  <c r="D77" i="9"/>
  <c r="F77" i="9" s="1"/>
  <c r="D76" i="9"/>
  <c r="F76" i="9" s="1"/>
  <c r="D75" i="9"/>
  <c r="F75" i="9" s="1"/>
  <c r="D74" i="9"/>
  <c r="F74" i="9" s="1"/>
  <c r="D73" i="9"/>
  <c r="F73" i="9" s="1"/>
  <c r="C78" i="9"/>
  <c r="C77" i="9"/>
  <c r="C76" i="9"/>
  <c r="C75" i="9"/>
  <c r="C74" i="9"/>
  <c r="C73" i="9"/>
  <c r="C72" i="9"/>
  <c r="D180" i="9"/>
  <c r="D179" i="9"/>
  <c r="F179" i="9" s="1"/>
  <c r="D178" i="9"/>
  <c r="F178" i="9" s="1"/>
  <c r="D177" i="9"/>
  <c r="F177" i="9" s="1"/>
  <c r="D176" i="9"/>
  <c r="F176" i="9" s="1"/>
  <c r="D174" i="9"/>
  <c r="F174" i="9" s="1"/>
  <c r="D173" i="9"/>
  <c r="F173" i="9" s="1"/>
  <c r="D172" i="9"/>
  <c r="F172" i="9" s="1"/>
  <c r="D171" i="9"/>
  <c r="F171" i="9" s="1"/>
  <c r="D169" i="9"/>
  <c r="F169" i="9" s="1"/>
  <c r="D168" i="9"/>
  <c r="F168" i="9" s="1"/>
  <c r="D167" i="9"/>
  <c r="F167" i="9" s="1"/>
  <c r="D166" i="9"/>
  <c r="F166" i="9" s="1"/>
  <c r="D165" i="9"/>
  <c r="F165" i="9" s="1"/>
  <c r="D163" i="9"/>
  <c r="F163" i="9" s="1"/>
  <c r="D162" i="9"/>
  <c r="F162" i="9" s="1"/>
  <c r="D161" i="9"/>
  <c r="F161" i="9" s="1"/>
  <c r="D160" i="9"/>
  <c r="F160" i="9" s="1"/>
  <c r="D158" i="9"/>
  <c r="G158" i="9" s="1"/>
  <c r="D157" i="9"/>
  <c r="F157" i="9" s="1"/>
  <c r="D156" i="9"/>
  <c r="F156" i="9" s="1"/>
  <c r="D155" i="9"/>
  <c r="F155" i="9" s="1"/>
  <c r="D154" i="9"/>
  <c r="F154" i="9" s="1"/>
  <c r="F152" i="9"/>
  <c r="D150" i="9"/>
  <c r="F150" i="9" s="1"/>
  <c r="D149" i="9"/>
  <c r="F149" i="9" s="1"/>
  <c r="D148" i="9"/>
  <c r="F148" i="9" s="1"/>
  <c r="D147" i="9"/>
  <c r="F147" i="9" s="1"/>
  <c r="D145" i="9"/>
  <c r="F145" i="9" s="1"/>
  <c r="D144" i="9"/>
  <c r="F144" i="9" s="1"/>
  <c r="D143" i="9"/>
  <c r="F143" i="9" s="1"/>
  <c r="E132" i="9"/>
  <c r="D141" i="9"/>
  <c r="E131" i="9" s="1"/>
  <c r="D140" i="9"/>
  <c r="E130" i="9" s="1"/>
  <c r="D139" i="9"/>
  <c r="F139" i="9" s="1"/>
  <c r="D137" i="9"/>
  <c r="F137" i="9" s="1"/>
  <c r="D136" i="9"/>
  <c r="F136" i="9" s="1"/>
  <c r="D135" i="9"/>
  <c r="F135" i="9" s="1"/>
  <c r="D134" i="9"/>
  <c r="F134" i="9" s="1"/>
  <c r="D132" i="9"/>
  <c r="D131" i="9"/>
  <c r="D130" i="9"/>
  <c r="G129" i="9" s="1"/>
  <c r="D128" i="9"/>
  <c r="G124" i="9" s="1"/>
  <c r="D127" i="9"/>
  <c r="D126" i="9"/>
  <c r="D125" i="9"/>
  <c r="D123" i="9"/>
  <c r="G119" i="9" s="1"/>
  <c r="D122" i="9"/>
  <c r="D121" i="9"/>
  <c r="D120" i="9"/>
  <c r="D118" i="9"/>
  <c r="D117" i="9"/>
  <c r="F117" i="9" s="1"/>
  <c r="D116" i="9"/>
  <c r="F116" i="9" s="1"/>
  <c r="D115" i="9"/>
  <c r="F115" i="9" s="1"/>
  <c r="D113" i="9"/>
  <c r="F113" i="9" s="1"/>
  <c r="D112" i="9"/>
  <c r="F112" i="9" s="1"/>
  <c r="D111" i="9"/>
  <c r="F111" i="9" s="1"/>
  <c r="D108" i="9"/>
  <c r="F108" i="9" s="1"/>
  <c r="D107" i="9"/>
  <c r="F107" i="9" s="1"/>
  <c r="D106" i="9"/>
  <c r="F106" i="9" s="1"/>
  <c r="D104" i="9"/>
  <c r="F104" i="9" s="1"/>
  <c r="D103" i="9"/>
  <c r="F103" i="9" s="1"/>
  <c r="D102" i="9"/>
  <c r="F102" i="9" s="1"/>
  <c r="D101" i="9"/>
  <c r="F101" i="9" s="1"/>
  <c r="D27" i="9"/>
  <c r="F27" i="9" s="1"/>
  <c r="D26" i="9"/>
  <c r="F26" i="9" s="1"/>
  <c r="D25" i="9"/>
  <c r="F25" i="9" s="1"/>
  <c r="D24" i="9"/>
  <c r="F24" i="9" s="1"/>
  <c r="D99" i="9"/>
  <c r="F99" i="9" s="1"/>
  <c r="D98" i="9"/>
  <c r="F98" i="9" s="1"/>
  <c r="D97" i="9"/>
  <c r="F97" i="9" s="1"/>
  <c r="D95" i="9"/>
  <c r="F95" i="9" s="1"/>
  <c r="D94" i="9"/>
  <c r="F94" i="9" s="1"/>
  <c r="D93" i="9"/>
  <c r="F93" i="9" s="1"/>
  <c r="D92" i="9"/>
  <c r="F92" i="9" s="1"/>
  <c r="D91" i="9"/>
  <c r="F91" i="9" s="1"/>
  <c r="D89" i="9"/>
  <c r="F89" i="9" s="1"/>
  <c r="D88" i="9"/>
  <c r="F88" i="9" s="1"/>
  <c r="D87" i="9"/>
  <c r="F87" i="9" s="1"/>
  <c r="D86" i="9"/>
  <c r="F86" i="9" s="1"/>
  <c r="D85" i="9"/>
  <c r="F85" i="9" s="1"/>
  <c r="D83" i="9"/>
  <c r="G83" i="9" s="1"/>
  <c r="D82" i="9"/>
  <c r="F82" i="9" s="1"/>
  <c r="D81" i="9"/>
  <c r="F81" i="9" s="1"/>
  <c r="D80" i="9"/>
  <c r="F80" i="9" s="1"/>
  <c r="D71" i="9"/>
  <c r="F71" i="9" s="1"/>
  <c r="D70" i="9"/>
  <c r="F70" i="9" s="1"/>
  <c r="D69" i="9"/>
  <c r="F69" i="9" s="1"/>
  <c r="D68" i="9"/>
  <c r="F68" i="9" s="1"/>
  <c r="D67" i="9"/>
  <c r="F67" i="9" s="1"/>
  <c r="D66" i="9"/>
  <c r="F66" i="9" s="1"/>
  <c r="D65" i="9"/>
  <c r="F65" i="9" s="1"/>
  <c r="D63" i="9"/>
  <c r="F63" i="9" s="1"/>
  <c r="D62" i="9"/>
  <c r="F62" i="9" s="1"/>
  <c r="D61" i="9"/>
  <c r="F61" i="9" s="1"/>
  <c r="D60" i="9"/>
  <c r="F60" i="9" s="1"/>
  <c r="D59" i="9"/>
  <c r="F59" i="9" s="1"/>
  <c r="D57" i="9"/>
  <c r="F57" i="9" s="1"/>
  <c r="D56" i="9"/>
  <c r="F56" i="9" s="1"/>
  <c r="D55" i="9"/>
  <c r="F55" i="9" s="1"/>
  <c r="D54" i="9"/>
  <c r="F54" i="9" s="1"/>
  <c r="D53" i="9"/>
  <c r="F53" i="9" s="1"/>
  <c r="D51" i="9"/>
  <c r="F51" i="9" s="1"/>
  <c r="D50" i="9"/>
  <c r="F50" i="9" s="1"/>
  <c r="D49" i="9"/>
  <c r="F49" i="9" s="1"/>
  <c r="D48" i="9"/>
  <c r="F48" i="9" s="1"/>
  <c r="D47" i="9"/>
  <c r="F47" i="9" s="1"/>
  <c r="D45" i="9"/>
  <c r="F45" i="9" s="1"/>
  <c r="D44" i="9"/>
  <c r="F44" i="9" s="1"/>
  <c r="D43" i="9"/>
  <c r="F43" i="9" s="1"/>
  <c r="D42" i="9"/>
  <c r="F42" i="9" s="1"/>
  <c r="D40" i="9"/>
  <c r="F40" i="9" s="1"/>
  <c r="D39" i="9"/>
  <c r="F39" i="9" s="1"/>
  <c r="D38" i="9"/>
  <c r="F38" i="9" s="1"/>
  <c r="D37" i="9"/>
  <c r="F37" i="9" s="1"/>
  <c r="D36" i="9"/>
  <c r="F36" i="9" s="1"/>
  <c r="D34" i="9"/>
  <c r="F34" i="9" s="1"/>
  <c r="D33" i="9"/>
  <c r="F33" i="9" s="1"/>
  <c r="D32" i="9"/>
  <c r="F32" i="9" s="1"/>
  <c r="D31" i="9"/>
  <c r="F31" i="9" s="1"/>
  <c r="D30" i="9"/>
  <c r="F30" i="9" s="1"/>
  <c r="D29" i="9"/>
  <c r="F29" i="9" s="1"/>
  <c r="D22" i="9"/>
  <c r="F22" i="9" s="1"/>
  <c r="D21" i="9"/>
  <c r="F21" i="9" s="1"/>
  <c r="D20" i="9"/>
  <c r="F20" i="9" s="1"/>
  <c r="D19" i="9"/>
  <c r="F19" i="9" s="1"/>
  <c r="D17" i="9"/>
  <c r="G16" i="9" s="1"/>
  <c r="D15" i="9"/>
  <c r="D14" i="9"/>
  <c r="F14" i="9" s="1"/>
  <c r="D13" i="9"/>
  <c r="F13" i="9" s="1"/>
  <c r="D12" i="9"/>
  <c r="F12" i="9" s="1"/>
  <c r="D11" i="9"/>
  <c r="F11" i="9" s="1"/>
  <c r="D10" i="9"/>
  <c r="F10" i="9" s="1"/>
  <c r="D8" i="9"/>
  <c r="F8" i="9" s="1"/>
  <c r="D7" i="9"/>
  <c r="F7" i="9" s="1"/>
  <c r="D6" i="9"/>
  <c r="F6" i="9" s="1"/>
  <c r="D5" i="9"/>
  <c r="F5" i="9" s="1"/>
  <c r="D4" i="9"/>
  <c r="F4" i="9" s="1"/>
  <c r="A30" i="34"/>
  <c r="B30" i="34"/>
  <c r="D36" i="34"/>
  <c r="F36" i="34" s="1"/>
  <c r="D35" i="34"/>
  <c r="F35" i="34" s="1"/>
  <c r="D34" i="34"/>
  <c r="F34" i="34" s="1"/>
  <c r="D33" i="34"/>
  <c r="F33" i="34" s="1"/>
  <c r="D32" i="34"/>
  <c r="F32" i="34" s="1"/>
  <c r="D31" i="34"/>
  <c r="F31" i="34" s="1"/>
  <c r="C36" i="34"/>
  <c r="C35" i="34"/>
  <c r="C34" i="34"/>
  <c r="C33" i="34"/>
  <c r="C32" i="34"/>
  <c r="C31" i="34"/>
  <c r="C30" i="34"/>
  <c r="D79" i="34"/>
  <c r="F79" i="34" s="1"/>
  <c r="D78" i="34"/>
  <c r="F78" i="34" s="1"/>
  <c r="D77" i="34"/>
  <c r="F77" i="34" s="1"/>
  <c r="D76" i="34"/>
  <c r="F76" i="34" s="1"/>
  <c r="D75" i="34"/>
  <c r="F75" i="34" s="1"/>
  <c r="D73" i="34"/>
  <c r="D72" i="34"/>
  <c r="D67" i="34"/>
  <c r="F67" i="34" s="1"/>
  <c r="D66" i="34"/>
  <c r="F66" i="34" s="1"/>
  <c r="D65" i="34"/>
  <c r="F65" i="34" s="1"/>
  <c r="D71" i="34"/>
  <c r="F71" i="34" s="1"/>
  <c r="D70" i="34"/>
  <c r="F70" i="34" s="1"/>
  <c r="D69" i="34"/>
  <c r="F69" i="34" s="1"/>
  <c r="D63" i="34"/>
  <c r="D62" i="34"/>
  <c r="D61" i="34"/>
  <c r="G60" i="34" s="1"/>
  <c r="D59" i="34"/>
  <c r="D58" i="34"/>
  <c r="F58" i="34" s="1"/>
  <c r="D57" i="34"/>
  <c r="F57" i="34" s="1"/>
  <c r="D56" i="34"/>
  <c r="F56" i="34" s="1"/>
  <c r="D55" i="34"/>
  <c r="F55" i="34" s="1"/>
  <c r="D54" i="34"/>
  <c r="F54" i="34" s="1"/>
  <c r="D52" i="34"/>
  <c r="F52" i="34" s="1"/>
  <c r="D51" i="34"/>
  <c r="F51" i="34" s="1"/>
  <c r="D50" i="34"/>
  <c r="F50" i="34" s="1"/>
  <c r="D48" i="34"/>
  <c r="F48" i="34" s="1"/>
  <c r="D47" i="34"/>
  <c r="F47" i="34" s="1"/>
  <c r="D46" i="34"/>
  <c r="F46" i="34" s="1"/>
  <c r="D45" i="34"/>
  <c r="F45" i="34" s="1"/>
  <c r="D44" i="34"/>
  <c r="F44" i="34" s="1"/>
  <c r="D41" i="34"/>
  <c r="F41" i="34" s="1"/>
  <c r="D40" i="34"/>
  <c r="F40" i="34" s="1"/>
  <c r="D39" i="34"/>
  <c r="F39" i="34" s="1"/>
  <c r="D37" i="34"/>
  <c r="G37" i="34" s="1"/>
  <c r="D29" i="34"/>
  <c r="F29" i="34" s="1"/>
  <c r="D28" i="34"/>
  <c r="F28" i="34" s="1"/>
  <c r="D27" i="34"/>
  <c r="F27" i="34" s="1"/>
  <c r="D26" i="34"/>
  <c r="F26" i="34" s="1"/>
  <c r="D25" i="34"/>
  <c r="F25" i="34" s="1"/>
  <c r="D24" i="34"/>
  <c r="F24" i="34" s="1"/>
  <c r="D23" i="34"/>
  <c r="F23" i="34" s="1"/>
  <c r="D21" i="34"/>
  <c r="F21" i="34" s="1"/>
  <c r="D20" i="34"/>
  <c r="F20" i="34" s="1"/>
  <c r="D19" i="34"/>
  <c r="F19" i="34" s="1"/>
  <c r="D18" i="34"/>
  <c r="F18" i="34" s="1"/>
  <c r="D17" i="34"/>
  <c r="F17" i="34" s="1"/>
  <c r="D15" i="34"/>
  <c r="F15" i="34" s="1"/>
  <c r="D14" i="34"/>
  <c r="F14" i="34" s="1"/>
  <c r="D13" i="34"/>
  <c r="F13" i="34" s="1"/>
  <c r="D12" i="34"/>
  <c r="F12" i="34" s="1"/>
  <c r="D11" i="34"/>
  <c r="F11" i="34" s="1"/>
  <c r="D9" i="34"/>
  <c r="F9" i="34" s="1"/>
  <c r="D8" i="34"/>
  <c r="F8" i="34" s="1"/>
  <c r="D7" i="34"/>
  <c r="F7" i="34" s="1"/>
  <c r="D6" i="34"/>
  <c r="F6" i="34" s="1"/>
  <c r="D5" i="34"/>
  <c r="F5" i="34" s="1"/>
  <c r="D4" i="34"/>
  <c r="F4" i="34" s="1"/>
  <c r="A34" i="12"/>
  <c r="B34" i="12"/>
  <c r="D40" i="12"/>
  <c r="F40" i="12" s="1"/>
  <c r="C40" i="12"/>
  <c r="D39" i="12"/>
  <c r="F39" i="12" s="1"/>
  <c r="C39" i="12"/>
  <c r="D38" i="12"/>
  <c r="F38" i="12" s="1"/>
  <c r="C38" i="12"/>
  <c r="D37" i="12"/>
  <c r="F37" i="12" s="1"/>
  <c r="C37" i="12"/>
  <c r="D36" i="12"/>
  <c r="F36" i="12" s="1"/>
  <c r="C36" i="12"/>
  <c r="D35" i="12"/>
  <c r="F35" i="12" s="1"/>
  <c r="G34" i="12" s="1"/>
  <c r="C35" i="12"/>
  <c r="C34" i="12"/>
  <c r="D76" i="12"/>
  <c r="F76" i="12" s="1"/>
  <c r="D75" i="12"/>
  <c r="F75" i="12" s="1"/>
  <c r="D74" i="12"/>
  <c r="F74" i="12" s="1"/>
  <c r="D73" i="12"/>
  <c r="F73" i="12" s="1"/>
  <c r="D72" i="12"/>
  <c r="F72" i="12" s="1"/>
  <c r="D70" i="12"/>
  <c r="D69" i="12"/>
  <c r="G69" i="12" s="1"/>
  <c r="D68" i="12"/>
  <c r="F68" i="12" s="1"/>
  <c r="D67" i="12"/>
  <c r="F67" i="12" s="1"/>
  <c r="D66" i="12"/>
  <c r="F66" i="12" s="1"/>
  <c r="D64" i="12"/>
  <c r="F64" i="12" s="1"/>
  <c r="D63" i="12"/>
  <c r="F63" i="12" s="1"/>
  <c r="D62" i="12"/>
  <c r="F62" i="12" s="1"/>
  <c r="D60" i="12"/>
  <c r="D59" i="12"/>
  <c r="D58" i="12"/>
  <c r="G57" i="12" s="1"/>
  <c r="D56" i="12"/>
  <c r="D55" i="12"/>
  <c r="F55" i="12" s="1"/>
  <c r="D54" i="12"/>
  <c r="F54" i="12" s="1"/>
  <c r="D53" i="12"/>
  <c r="F53" i="12" s="1"/>
  <c r="D52" i="12"/>
  <c r="F52" i="12" s="1"/>
  <c r="D51" i="12"/>
  <c r="F51" i="12" s="1"/>
  <c r="D49" i="12"/>
  <c r="F49" i="12" s="1"/>
  <c r="D48" i="12"/>
  <c r="F48" i="12" s="1"/>
  <c r="D47" i="12"/>
  <c r="F47" i="12" s="1"/>
  <c r="D44" i="12"/>
  <c r="F44" i="12" s="1"/>
  <c r="D43" i="12"/>
  <c r="F43" i="12" s="1"/>
  <c r="D42" i="12"/>
  <c r="F42" i="12" s="1"/>
  <c r="D33" i="12"/>
  <c r="F33" i="12" s="1"/>
  <c r="D32" i="12"/>
  <c r="F32" i="12" s="1"/>
  <c r="D31" i="12"/>
  <c r="F31" i="12" s="1"/>
  <c r="D30" i="12"/>
  <c r="F30" i="12" s="1"/>
  <c r="D29" i="12"/>
  <c r="F29" i="12" s="1"/>
  <c r="D28" i="12"/>
  <c r="F28" i="12" s="1"/>
  <c r="D27" i="12"/>
  <c r="F27" i="12" s="1"/>
  <c r="D25" i="12"/>
  <c r="F25" i="12" s="1"/>
  <c r="D24" i="12"/>
  <c r="F24" i="12" s="1"/>
  <c r="D23" i="12"/>
  <c r="F23" i="12" s="1"/>
  <c r="D22" i="12"/>
  <c r="F22" i="12" s="1"/>
  <c r="D21" i="12"/>
  <c r="F21" i="12" s="1"/>
  <c r="D19" i="12"/>
  <c r="F19" i="12" s="1"/>
  <c r="D18" i="12"/>
  <c r="F18" i="12" s="1"/>
  <c r="D17" i="12"/>
  <c r="F17" i="12" s="1"/>
  <c r="D16" i="12"/>
  <c r="F16" i="12" s="1"/>
  <c r="D15" i="12"/>
  <c r="F15" i="12" s="1"/>
  <c r="D13" i="12"/>
  <c r="F13" i="12" s="1"/>
  <c r="D12" i="12"/>
  <c r="F12" i="12" s="1"/>
  <c r="D11" i="12"/>
  <c r="F11" i="12" s="1"/>
  <c r="D10" i="12"/>
  <c r="F10" i="12" s="1"/>
  <c r="D9" i="12"/>
  <c r="F9" i="12" s="1"/>
  <c r="D8" i="12"/>
  <c r="F8" i="12" s="1"/>
  <c r="D6" i="12"/>
  <c r="F6" i="12" s="1"/>
  <c r="D5" i="12"/>
  <c r="F5" i="12" s="1"/>
  <c r="D4" i="12"/>
  <c r="F4" i="12" s="1"/>
  <c r="D54" i="31"/>
  <c r="D53" i="31"/>
  <c r="D52" i="31"/>
  <c r="G51" i="31" s="1"/>
  <c r="D50" i="31"/>
  <c r="D49" i="31"/>
  <c r="F49" i="31" s="1"/>
  <c r="D48" i="31"/>
  <c r="F48" i="31" s="1"/>
  <c r="D47" i="31"/>
  <c r="F47" i="31" s="1"/>
  <c r="D46" i="31"/>
  <c r="F46" i="31" s="1"/>
  <c r="D45" i="31"/>
  <c r="F45" i="31" s="1"/>
  <c r="D44" i="31"/>
  <c r="F44" i="31" s="1"/>
  <c r="D42" i="31"/>
  <c r="F42" i="31" s="1"/>
  <c r="D41" i="31"/>
  <c r="F41" i="31" s="1"/>
  <c r="D40" i="31"/>
  <c r="F40" i="31" s="1"/>
  <c r="D37" i="31"/>
  <c r="F37" i="31" s="1"/>
  <c r="D36" i="31"/>
  <c r="F36" i="31" s="1"/>
  <c r="D35" i="31"/>
  <c r="F35" i="31" s="1"/>
  <c r="D34" i="31"/>
  <c r="F34" i="31" s="1"/>
  <c r="D33" i="31"/>
  <c r="F33" i="31" s="1"/>
  <c r="D32" i="31"/>
  <c r="F32" i="31" s="1"/>
  <c r="D30" i="31"/>
  <c r="F30" i="31" s="1"/>
  <c r="D29" i="31"/>
  <c r="F29" i="31" s="1"/>
  <c r="D28" i="31"/>
  <c r="F28" i="31" s="1"/>
  <c r="D26" i="31"/>
  <c r="F26" i="31" s="1"/>
  <c r="D25" i="31"/>
  <c r="F25" i="31" s="1"/>
  <c r="D24" i="31"/>
  <c r="F24" i="31" s="1"/>
  <c r="D23" i="31"/>
  <c r="F23" i="31" s="1"/>
  <c r="D22" i="31"/>
  <c r="F22" i="31" s="1"/>
  <c r="D20" i="31"/>
  <c r="G20" i="31" s="1"/>
  <c r="D19" i="31"/>
  <c r="F19" i="31" s="1"/>
  <c r="D18" i="31"/>
  <c r="F18" i="31" s="1"/>
  <c r="D17" i="31"/>
  <c r="F17" i="31" s="1"/>
  <c r="D16" i="31"/>
  <c r="F16" i="31" s="1"/>
  <c r="D15" i="31"/>
  <c r="F15" i="31" s="1"/>
  <c r="D13" i="31"/>
  <c r="D12" i="31"/>
  <c r="F12" i="31" s="1"/>
  <c r="D11" i="31"/>
  <c r="F11" i="31" s="1"/>
  <c r="D10" i="31"/>
  <c r="F10" i="31" s="1"/>
  <c r="D9" i="31"/>
  <c r="F9" i="31" s="1"/>
  <c r="D8" i="31"/>
  <c r="F8" i="31" s="1"/>
  <c r="D6" i="31"/>
  <c r="F6" i="31" s="1"/>
  <c r="D5" i="31"/>
  <c r="F5" i="31" s="1"/>
  <c r="D4" i="31"/>
  <c r="F4" i="31" s="1"/>
  <c r="D109" i="8"/>
  <c r="F109" i="8" s="1"/>
  <c r="D108" i="8"/>
  <c r="F108" i="8" s="1"/>
  <c r="D107" i="8"/>
  <c r="F107" i="8" s="1"/>
  <c r="D105" i="8"/>
  <c r="F105" i="8" s="1"/>
  <c r="D104" i="8"/>
  <c r="F104" i="8" s="1"/>
  <c r="D103" i="8"/>
  <c r="F103" i="8" s="1"/>
  <c r="D101" i="8"/>
  <c r="F101" i="8" s="1"/>
  <c r="D100" i="8"/>
  <c r="F100" i="8" s="1"/>
  <c r="D99" i="8"/>
  <c r="F99" i="8" s="1"/>
  <c r="D98" i="8"/>
  <c r="F98" i="8" s="1"/>
  <c r="D96" i="8"/>
  <c r="D95" i="8"/>
  <c r="D94" i="8"/>
  <c r="G93" i="8" s="1"/>
  <c r="D92" i="8"/>
  <c r="F92" i="8" s="1"/>
  <c r="D91" i="8"/>
  <c r="F91" i="8" s="1"/>
  <c r="D90" i="8"/>
  <c r="F90" i="8" s="1"/>
  <c r="D88" i="8"/>
  <c r="G88" i="8" s="1"/>
  <c r="D86" i="8"/>
  <c r="F86" i="8" s="1"/>
  <c r="D85" i="8"/>
  <c r="F85" i="8" s="1"/>
  <c r="D84" i="8"/>
  <c r="F84" i="8" s="1"/>
  <c r="D83" i="8"/>
  <c r="F83" i="8" s="1"/>
  <c r="D82" i="8"/>
  <c r="F82" i="8" s="1"/>
  <c r="D81" i="8"/>
  <c r="F81" i="8" s="1"/>
  <c r="D79" i="8"/>
  <c r="F79" i="8" s="1"/>
  <c r="D78" i="8"/>
  <c r="F78" i="8" s="1"/>
  <c r="D77" i="8"/>
  <c r="F77" i="8" s="1"/>
  <c r="D28" i="8"/>
  <c r="F28" i="8" s="1"/>
  <c r="D27" i="8"/>
  <c r="F27" i="8" s="1"/>
  <c r="D26" i="8"/>
  <c r="F26" i="8" s="1"/>
  <c r="D25" i="8"/>
  <c r="F25" i="8" s="1"/>
  <c r="D75" i="8"/>
  <c r="F75" i="8" s="1"/>
  <c r="D74" i="8"/>
  <c r="F74" i="8" s="1"/>
  <c r="D73" i="8"/>
  <c r="F73" i="8" s="1"/>
  <c r="D71" i="8"/>
  <c r="D70" i="8"/>
  <c r="F70" i="8" s="1"/>
  <c r="D69" i="8"/>
  <c r="F69" i="8" s="1"/>
  <c r="D67" i="8"/>
  <c r="F67" i="8" s="1"/>
  <c r="D66" i="8"/>
  <c r="F66" i="8" s="1"/>
  <c r="D65" i="8"/>
  <c r="F65" i="8" s="1"/>
  <c r="D64" i="8"/>
  <c r="F64" i="8" s="1"/>
  <c r="D63" i="8"/>
  <c r="F63" i="8" s="1"/>
  <c r="D61" i="8"/>
  <c r="F61" i="8" s="1"/>
  <c r="D60" i="8"/>
  <c r="F60" i="8" s="1"/>
  <c r="D59" i="8"/>
  <c r="F59" i="8" s="1"/>
  <c r="D58" i="8"/>
  <c r="F58" i="8" s="1"/>
  <c r="D57" i="8"/>
  <c r="F57" i="8" s="1"/>
  <c r="D55" i="8"/>
  <c r="G55" i="8" s="1"/>
  <c r="D54" i="8"/>
  <c r="F54" i="8" s="1"/>
  <c r="D53" i="8"/>
  <c r="F53" i="8" s="1"/>
  <c r="D52" i="8"/>
  <c r="F52" i="8" s="1"/>
  <c r="D51" i="8"/>
  <c r="F51" i="8" s="1"/>
  <c r="D50" i="8"/>
  <c r="F50" i="8" s="1"/>
  <c r="D49" i="8"/>
  <c r="F49" i="8" s="1"/>
  <c r="D48" i="8"/>
  <c r="F48" i="8" s="1"/>
  <c r="D46" i="8"/>
  <c r="F46" i="8" s="1"/>
  <c r="D45" i="8"/>
  <c r="F45" i="8" s="1"/>
  <c r="D44" i="8"/>
  <c r="F44" i="8" s="1"/>
  <c r="D43" i="8"/>
  <c r="F43" i="8" s="1"/>
  <c r="D41" i="8"/>
  <c r="F41" i="8" s="1"/>
  <c r="D40" i="8"/>
  <c r="F40" i="8" s="1"/>
  <c r="D39" i="8"/>
  <c r="F39" i="8" s="1"/>
  <c r="D38" i="8"/>
  <c r="F38" i="8" s="1"/>
  <c r="D37" i="8"/>
  <c r="F37" i="8" s="1"/>
  <c r="D35" i="8"/>
  <c r="F35" i="8" s="1"/>
  <c r="D34" i="8"/>
  <c r="F34" i="8" s="1"/>
  <c r="D33" i="8"/>
  <c r="F33" i="8" s="1"/>
  <c r="D32" i="8"/>
  <c r="F32" i="8" s="1"/>
  <c r="D31" i="8"/>
  <c r="F31" i="8" s="1"/>
  <c r="D30" i="8"/>
  <c r="F30" i="8" s="1"/>
  <c r="D23" i="8"/>
  <c r="F23" i="8" s="1"/>
  <c r="D22" i="8"/>
  <c r="F22" i="8" s="1"/>
  <c r="D21" i="8"/>
  <c r="F21" i="8" s="1"/>
  <c r="D19" i="8"/>
  <c r="D18" i="8"/>
  <c r="D17" i="8"/>
  <c r="D15" i="8"/>
  <c r="D14" i="8"/>
  <c r="F14" i="8" s="1"/>
  <c r="D13" i="8"/>
  <c r="F13" i="8" s="1"/>
  <c r="D12" i="8"/>
  <c r="F12" i="8" s="1"/>
  <c r="D11" i="8"/>
  <c r="F11" i="8" s="1"/>
  <c r="D10" i="8"/>
  <c r="F10" i="8" s="1"/>
  <c r="D8" i="8"/>
  <c r="F8" i="8" s="1"/>
  <c r="D7" i="8"/>
  <c r="F7" i="8" s="1"/>
  <c r="D6" i="8"/>
  <c r="F6" i="8" s="1"/>
  <c r="D5" i="8"/>
  <c r="F5" i="8" s="1"/>
  <c r="D4" i="8"/>
  <c r="C200" i="20"/>
  <c r="C232" i="23"/>
  <c r="C231" i="23"/>
  <c r="B30" i="25"/>
  <c r="A30" i="25"/>
  <c r="C36" i="25"/>
  <c r="C35" i="25"/>
  <c r="C34" i="25"/>
  <c r="C33" i="25"/>
  <c r="C32" i="25"/>
  <c r="C31" i="25"/>
  <c r="C30" i="25"/>
  <c r="C29" i="25"/>
  <c r="C28" i="25"/>
  <c r="C27" i="25"/>
  <c r="C26" i="25"/>
  <c r="C25" i="25"/>
  <c r="C24" i="25"/>
  <c r="C23" i="25"/>
  <c r="C22" i="25"/>
  <c r="C21" i="25"/>
  <c r="C20" i="25"/>
  <c r="C19" i="25"/>
  <c r="C18" i="25"/>
  <c r="A3" i="22"/>
  <c r="B3" i="22"/>
  <c r="B91" i="22"/>
  <c r="A91" i="22"/>
  <c r="C97" i="22"/>
  <c r="C96" i="22"/>
  <c r="C95" i="22"/>
  <c r="C94" i="22"/>
  <c r="C93" i="22"/>
  <c r="C92" i="22"/>
  <c r="C91" i="22"/>
  <c r="C90" i="22"/>
  <c r="C89" i="22"/>
  <c r="C88" i="22"/>
  <c r="C87" i="22"/>
  <c r="C86" i="22"/>
  <c r="C85" i="22"/>
  <c r="C84" i="22"/>
  <c r="C83" i="22"/>
  <c r="C82" i="22"/>
  <c r="C81" i="22"/>
  <c r="C80" i="22"/>
  <c r="C79" i="22"/>
  <c r="B220" i="21"/>
  <c r="A220" i="21"/>
  <c r="C226" i="21"/>
  <c r="C225" i="21"/>
  <c r="C224" i="21"/>
  <c r="C223" i="21"/>
  <c r="C222" i="21"/>
  <c r="C221" i="21"/>
  <c r="C220" i="21"/>
  <c r="C219" i="21"/>
  <c r="C218" i="21"/>
  <c r="C217" i="21"/>
  <c r="C216" i="21"/>
  <c r="C215" i="21"/>
  <c r="C214" i="21"/>
  <c r="C213" i="21"/>
  <c r="C212" i="21"/>
  <c r="C211" i="21"/>
  <c r="C210" i="21"/>
  <c r="C209" i="21"/>
  <c r="C208" i="21"/>
  <c r="B226" i="23"/>
  <c r="A226" i="23"/>
  <c r="C230" i="23"/>
  <c r="C229" i="23"/>
  <c r="C228" i="23"/>
  <c r="C227" i="23"/>
  <c r="C226" i="23"/>
  <c r="C225" i="23"/>
  <c r="C224" i="23"/>
  <c r="C223" i="23"/>
  <c r="C222" i="23"/>
  <c r="C221" i="23"/>
  <c r="C220" i="23"/>
  <c r="C219" i="23"/>
  <c r="C218" i="23"/>
  <c r="C217" i="23"/>
  <c r="C216" i="23"/>
  <c r="C215" i="23"/>
  <c r="C214" i="23"/>
  <c r="B168" i="15"/>
  <c r="A168" i="15"/>
  <c r="C174" i="15"/>
  <c r="C173" i="15"/>
  <c r="C172" i="15"/>
  <c r="C171" i="15"/>
  <c r="C170" i="15"/>
  <c r="C169" i="15"/>
  <c r="C168" i="15"/>
  <c r="C167" i="15"/>
  <c r="C166" i="15"/>
  <c r="C165" i="15"/>
  <c r="C164" i="15"/>
  <c r="C163" i="15"/>
  <c r="C162" i="15"/>
  <c r="C161" i="15"/>
  <c r="C160" i="15"/>
  <c r="C159" i="15"/>
  <c r="C158" i="15"/>
  <c r="C157" i="15"/>
  <c r="C156" i="15"/>
  <c r="A220" i="18"/>
  <c r="B220" i="18"/>
  <c r="C226" i="18"/>
  <c r="C225" i="18"/>
  <c r="C224" i="18"/>
  <c r="C223" i="18"/>
  <c r="C222" i="18"/>
  <c r="C221" i="18"/>
  <c r="C220" i="18"/>
  <c r="C219" i="18"/>
  <c r="C218" i="18"/>
  <c r="C217" i="18"/>
  <c r="C216" i="18"/>
  <c r="C215" i="18"/>
  <c r="C214" i="18"/>
  <c r="C213" i="18"/>
  <c r="C212" i="18"/>
  <c r="C211" i="18"/>
  <c r="C210" i="18"/>
  <c r="C209" i="18"/>
  <c r="C208" i="18"/>
  <c r="C207" i="18"/>
  <c r="C119" i="21"/>
  <c r="C118" i="21"/>
  <c r="C117" i="21"/>
  <c r="C116" i="21"/>
  <c r="C115" i="21"/>
  <c r="A114" i="21"/>
  <c r="C114" i="21"/>
  <c r="B114" i="21"/>
  <c r="B145" i="21"/>
  <c r="C119" i="23"/>
  <c r="C118" i="23"/>
  <c r="C117" i="23"/>
  <c r="C116" i="23"/>
  <c r="C115" i="23"/>
  <c r="C114" i="23"/>
  <c r="A114" i="23"/>
  <c r="B114" i="23"/>
  <c r="C108" i="14"/>
  <c r="C107" i="14"/>
  <c r="C106" i="14"/>
  <c r="C105" i="14"/>
  <c r="C104" i="14"/>
  <c r="C103" i="14"/>
  <c r="A103" i="14"/>
  <c r="B103" i="14"/>
  <c r="C112" i="15"/>
  <c r="C111" i="15"/>
  <c r="C110" i="15"/>
  <c r="C109" i="15"/>
  <c r="C108" i="15"/>
  <c r="C107" i="15"/>
  <c r="A107" i="15"/>
  <c r="B107" i="15"/>
  <c r="C89" i="13"/>
  <c r="C88" i="13"/>
  <c r="C87" i="13"/>
  <c r="C86" i="13"/>
  <c r="C85" i="13"/>
  <c r="C84" i="13"/>
  <c r="A84" i="13"/>
  <c r="B84" i="13"/>
  <c r="C17" i="22"/>
  <c r="C16" i="22"/>
  <c r="C15" i="22"/>
  <c r="C14" i="22"/>
  <c r="C13" i="22"/>
  <c r="C12" i="22"/>
  <c r="C11" i="22"/>
  <c r="C10" i="22"/>
  <c r="C9" i="22"/>
  <c r="C8" i="22"/>
  <c r="C7" i="22"/>
  <c r="C6" i="22"/>
  <c r="C5" i="22"/>
  <c r="C4" i="22"/>
  <c r="C3" i="22"/>
  <c r="C45" i="20"/>
  <c r="C41" i="20"/>
  <c r="C44" i="20"/>
  <c r="C43" i="20"/>
  <c r="C42" i="20"/>
  <c r="C40" i="20"/>
  <c r="A40" i="20"/>
  <c r="B40" i="20"/>
  <c r="B3" i="14"/>
  <c r="A3" i="14"/>
  <c r="C10" i="14"/>
  <c r="C9" i="14"/>
  <c r="C8" i="14"/>
  <c r="C7" i="14"/>
  <c r="C6" i="14"/>
  <c r="C5" i="14"/>
  <c r="C4" i="14"/>
  <c r="C3" i="14"/>
  <c r="A73" i="34"/>
  <c r="B73" i="34"/>
  <c r="C73" i="34"/>
  <c r="C80" i="10"/>
  <c r="B80" i="10"/>
  <c r="A80" i="10"/>
  <c r="B240" i="18"/>
  <c r="B239" i="18"/>
  <c r="B180" i="15"/>
  <c r="B179" i="15"/>
  <c r="B178" i="15"/>
  <c r="B177" i="15"/>
  <c r="B176" i="15"/>
  <c r="B175" i="15"/>
  <c r="B152" i="17"/>
  <c r="B160" i="16"/>
  <c r="B77" i="12"/>
  <c r="B80" i="34"/>
  <c r="A3" i="24"/>
  <c r="B151" i="17"/>
  <c r="C159" i="16"/>
  <c r="C151" i="17" s="1"/>
  <c r="B159" i="16"/>
  <c r="A3" i="9"/>
  <c r="B3" i="9"/>
  <c r="C3" i="9"/>
  <c r="C4" i="9"/>
  <c r="C5" i="9"/>
  <c r="C6" i="9"/>
  <c r="C7" i="9"/>
  <c r="C8" i="9"/>
  <c r="A3" i="12"/>
  <c r="B3" i="12"/>
  <c r="C3" i="12"/>
  <c r="C4" i="12"/>
  <c r="C5" i="12"/>
  <c r="C6" i="12"/>
  <c r="C239" i="25"/>
  <c r="C238" i="25"/>
  <c r="C237" i="25"/>
  <c r="C236" i="25"/>
  <c r="C235" i="25"/>
  <c r="C234" i="25"/>
  <c r="C233" i="25"/>
  <c r="A233" i="25"/>
  <c r="B233" i="25"/>
  <c r="C194" i="23"/>
  <c r="C193" i="23"/>
  <c r="C192" i="23"/>
  <c r="C191" i="23"/>
  <c r="C190" i="23"/>
  <c r="C189" i="23"/>
  <c r="C188" i="23"/>
  <c r="A188" i="23"/>
  <c r="B188" i="23"/>
  <c r="C139" i="14"/>
  <c r="C138" i="14"/>
  <c r="C137" i="14"/>
  <c r="C136" i="14"/>
  <c r="C135" i="14"/>
  <c r="C134" i="14"/>
  <c r="C133" i="14"/>
  <c r="A133" i="14"/>
  <c r="B133" i="14"/>
  <c r="C153" i="11"/>
  <c r="C152" i="11"/>
  <c r="C151" i="11"/>
  <c r="C150" i="11"/>
  <c r="C149" i="11"/>
  <c r="C148" i="11"/>
  <c r="C147" i="11"/>
  <c r="A147" i="11"/>
  <c r="B147" i="11"/>
  <c r="C180" i="9"/>
  <c r="C179" i="9"/>
  <c r="C178" i="9"/>
  <c r="C177" i="9"/>
  <c r="C176" i="9"/>
  <c r="C175" i="9"/>
  <c r="A175" i="9"/>
  <c r="B175" i="9"/>
  <c r="C173" i="10"/>
  <c r="C172" i="10"/>
  <c r="C171" i="10"/>
  <c r="C170" i="10"/>
  <c r="C169" i="10"/>
  <c r="C168" i="10"/>
  <c r="B167" i="10"/>
  <c r="A167" i="10"/>
  <c r="C167" i="10"/>
  <c r="C129" i="13"/>
  <c r="C128" i="13"/>
  <c r="C127" i="13"/>
  <c r="C126" i="13"/>
  <c r="C125" i="13"/>
  <c r="C124" i="13"/>
  <c r="B123" i="13"/>
  <c r="A123" i="13"/>
  <c r="C123" i="13"/>
  <c r="C59" i="22"/>
  <c r="C58" i="22"/>
  <c r="C57" i="22"/>
  <c r="C56" i="22"/>
  <c r="C55" i="22"/>
  <c r="C174" i="21"/>
  <c r="C173" i="21"/>
  <c r="C172" i="21"/>
  <c r="C181" i="18"/>
  <c r="C180" i="18"/>
  <c r="C179" i="18"/>
  <c r="C139" i="11"/>
  <c r="C138" i="11"/>
  <c r="C123" i="9"/>
  <c r="C122" i="9"/>
  <c r="C121" i="9"/>
  <c r="C120" i="9"/>
  <c r="C119" i="9"/>
  <c r="A119" i="9"/>
  <c r="B119" i="9"/>
  <c r="C128" i="9"/>
  <c r="C127" i="9"/>
  <c r="C126" i="9"/>
  <c r="C125" i="9"/>
  <c r="C124" i="9"/>
  <c r="A124" i="9"/>
  <c r="B124" i="9"/>
  <c r="C78" i="24"/>
  <c r="B78" i="24"/>
  <c r="A78" i="24"/>
  <c r="C77" i="24"/>
  <c r="B77" i="24"/>
  <c r="A77" i="24"/>
  <c r="B75" i="24"/>
  <c r="A75" i="24"/>
  <c r="B73" i="24"/>
  <c r="A73" i="24"/>
  <c r="C70" i="24"/>
  <c r="C69" i="24"/>
  <c r="C68" i="24"/>
  <c r="C67" i="24"/>
  <c r="C58" i="24"/>
  <c r="B58" i="24"/>
  <c r="A58" i="24"/>
  <c r="C48" i="24"/>
  <c r="B48" i="24"/>
  <c r="A48" i="24"/>
  <c r="C34" i="24"/>
  <c r="C29" i="24"/>
  <c r="C28" i="24"/>
  <c r="C27" i="24"/>
  <c r="C26" i="24"/>
  <c r="B26" i="24"/>
  <c r="A26" i="24"/>
  <c r="C21" i="24"/>
  <c r="C20" i="24"/>
  <c r="C19" i="24"/>
  <c r="C18" i="24"/>
  <c r="C17" i="24"/>
  <c r="B17" i="24"/>
  <c r="A17" i="24"/>
  <c r="C25" i="24"/>
  <c r="C24" i="24"/>
  <c r="C23" i="24"/>
  <c r="C22" i="24"/>
  <c r="B22" i="24"/>
  <c r="A22" i="24"/>
  <c r="C16" i="24"/>
  <c r="C15" i="24"/>
  <c r="C14" i="24"/>
  <c r="C13" i="24"/>
  <c r="C12" i="24"/>
  <c r="C11" i="24"/>
  <c r="C10" i="24"/>
  <c r="B10" i="24"/>
  <c r="A10" i="24"/>
  <c r="C9" i="24"/>
  <c r="B9" i="24"/>
  <c r="A9" i="24"/>
  <c r="C8" i="24"/>
  <c r="C7" i="24"/>
  <c r="C228" i="25"/>
  <c r="B228" i="25"/>
  <c r="A228" i="25"/>
  <c r="C216" i="25"/>
  <c r="B216" i="25"/>
  <c r="A216" i="25"/>
  <c r="C202" i="25"/>
  <c r="C198" i="25"/>
  <c r="C197" i="25"/>
  <c r="C196" i="25"/>
  <c r="C195" i="25"/>
  <c r="B195" i="25"/>
  <c r="A195" i="25"/>
  <c r="C188" i="25"/>
  <c r="C187" i="25"/>
  <c r="C186" i="25"/>
  <c r="C185" i="25"/>
  <c r="C184" i="25"/>
  <c r="B184" i="25"/>
  <c r="A184" i="25"/>
  <c r="C183" i="25"/>
  <c r="C182" i="25"/>
  <c r="C181" i="25"/>
  <c r="B181" i="25"/>
  <c r="A181" i="25"/>
  <c r="C180" i="25"/>
  <c r="C179" i="25"/>
  <c r="C178" i="25"/>
  <c r="C177" i="25"/>
  <c r="C176" i="25"/>
  <c r="C175" i="25"/>
  <c r="C174" i="25"/>
  <c r="C173" i="25"/>
  <c r="C172" i="25"/>
  <c r="B172" i="25"/>
  <c r="A172" i="25"/>
  <c r="C171" i="25"/>
  <c r="C170" i="25"/>
  <c r="C169" i="25"/>
  <c r="C168" i="25"/>
  <c r="C167" i="25"/>
  <c r="C166" i="25"/>
  <c r="B166" i="25"/>
  <c r="A166" i="25"/>
  <c r="C165" i="25"/>
  <c r="C164" i="25"/>
  <c r="C163" i="25"/>
  <c r="C162" i="25"/>
  <c r="B162" i="25"/>
  <c r="A162" i="25"/>
  <c r="C161" i="25"/>
  <c r="C160" i="25"/>
  <c r="C159" i="25"/>
  <c r="C158" i="25"/>
  <c r="C157" i="25"/>
  <c r="C156" i="25"/>
  <c r="B156" i="25"/>
  <c r="A156" i="25"/>
  <c r="C155" i="25"/>
  <c r="C154" i="25"/>
  <c r="C153" i="25"/>
  <c r="C152" i="25"/>
  <c r="C151" i="25"/>
  <c r="B151" i="25"/>
  <c r="A151" i="25"/>
  <c r="C150" i="25"/>
  <c r="B150" i="25"/>
  <c r="A150" i="25"/>
  <c r="C144" i="25"/>
  <c r="C135" i="25"/>
  <c r="C129" i="25"/>
  <c r="C128" i="25"/>
  <c r="C127" i="25"/>
  <c r="C126" i="25"/>
  <c r="C125" i="25"/>
  <c r="C124" i="25"/>
  <c r="C123" i="25"/>
  <c r="B123" i="25"/>
  <c r="A123" i="25"/>
  <c r="C122" i="25"/>
  <c r="C121" i="25"/>
  <c r="C120" i="25"/>
  <c r="C115" i="25"/>
  <c r="C114" i="25"/>
  <c r="C113" i="25"/>
  <c r="C112" i="25"/>
  <c r="B112" i="25"/>
  <c r="A112" i="25"/>
  <c r="C111" i="25"/>
  <c r="C110" i="25"/>
  <c r="C109" i="25"/>
  <c r="C100" i="25"/>
  <c r="C98" i="25"/>
  <c r="C97" i="25"/>
  <c r="C96" i="25"/>
  <c r="C95" i="25"/>
  <c r="B95" i="25"/>
  <c r="A95" i="25"/>
  <c r="C94" i="25"/>
  <c r="C93" i="25"/>
  <c r="C92" i="25"/>
  <c r="C91" i="25"/>
  <c r="C90" i="25"/>
  <c r="B90" i="25"/>
  <c r="A90" i="25"/>
  <c r="C89" i="25"/>
  <c r="C88" i="25"/>
  <c r="C87" i="25"/>
  <c r="C86" i="25"/>
  <c r="B86" i="25"/>
  <c r="A86" i="25"/>
  <c r="C85" i="25"/>
  <c r="C84" i="25"/>
  <c r="C83" i="25"/>
  <c r="C82" i="25"/>
  <c r="C81" i="25"/>
  <c r="B81" i="25"/>
  <c r="A81" i="25"/>
  <c r="C80" i="25"/>
  <c r="B80" i="25"/>
  <c r="A80" i="25"/>
  <c r="C79" i="25"/>
  <c r="C78" i="25"/>
  <c r="B78" i="25"/>
  <c r="A78" i="25"/>
  <c r="C72" i="25"/>
  <c r="C71" i="25"/>
  <c r="C70" i="25"/>
  <c r="C69" i="25"/>
  <c r="C68" i="25"/>
  <c r="C67" i="25"/>
  <c r="C66" i="25"/>
  <c r="B66" i="25"/>
  <c r="A66" i="25"/>
  <c r="C77" i="25"/>
  <c r="C76" i="25"/>
  <c r="C75" i="25"/>
  <c r="C74" i="25"/>
  <c r="C73" i="25"/>
  <c r="B73" i="25"/>
  <c r="A73" i="25"/>
  <c r="C63" i="25"/>
  <c r="C53" i="25"/>
  <c r="C43" i="25"/>
  <c r="C17" i="25"/>
  <c r="C210" i="25"/>
  <c r="C4" i="25"/>
  <c r="C31" i="26"/>
  <c r="C28" i="26"/>
  <c r="C27" i="26"/>
  <c r="C20" i="26"/>
  <c r="B20" i="26"/>
  <c r="A20" i="26"/>
  <c r="C12" i="26"/>
  <c r="C10" i="26"/>
  <c r="C9" i="26"/>
  <c r="C8" i="26"/>
  <c r="C7" i="26"/>
  <c r="B7" i="26"/>
  <c r="A7" i="26"/>
  <c r="C6" i="26"/>
  <c r="C5" i="26"/>
  <c r="C4" i="26"/>
  <c r="B4" i="26"/>
  <c r="A4" i="26"/>
  <c r="C3" i="26"/>
  <c r="B3" i="26"/>
  <c r="A3" i="26"/>
  <c r="C34" i="28"/>
  <c r="C33" i="28"/>
  <c r="C32" i="28"/>
  <c r="C31" i="28"/>
  <c r="C30" i="28"/>
  <c r="B30" i="28"/>
  <c r="A30" i="28"/>
  <c r="C28" i="28"/>
  <c r="C27" i="28"/>
  <c r="C26" i="28"/>
  <c r="C25" i="28"/>
  <c r="B25" i="28"/>
  <c r="A25" i="28"/>
  <c r="C24" i="28"/>
  <c r="B24" i="28"/>
  <c r="A24" i="28"/>
  <c r="C23" i="28"/>
  <c r="C22" i="28"/>
  <c r="B22" i="28"/>
  <c r="A22" i="28"/>
  <c r="C21" i="28"/>
  <c r="B21" i="28"/>
  <c r="A21" i="28"/>
  <c r="C20" i="28"/>
  <c r="C19" i="28"/>
  <c r="C18" i="28"/>
  <c r="C17" i="28"/>
  <c r="C16" i="28"/>
  <c r="C15" i="28"/>
  <c r="B15" i="28"/>
  <c r="A15" i="28"/>
  <c r="C8" i="28"/>
  <c r="C7" i="28"/>
  <c r="C55" i="27"/>
  <c r="B55" i="27"/>
  <c r="A55" i="27"/>
  <c r="C54" i="27"/>
  <c r="B54" i="27"/>
  <c r="A54" i="27"/>
  <c r="C53" i="27"/>
  <c r="C52" i="27"/>
  <c r="C51" i="27"/>
  <c r="C42" i="27"/>
  <c r="B42" i="27"/>
  <c r="A42" i="27"/>
  <c r="C32" i="27"/>
  <c r="B32" i="27"/>
  <c r="A32" i="27"/>
  <c r="C25" i="27"/>
  <c r="B25" i="27"/>
  <c r="A25" i="27"/>
  <c r="C24" i="27"/>
  <c r="B24" i="27"/>
  <c r="A24" i="27"/>
  <c r="C23" i="27"/>
  <c r="C22" i="27"/>
  <c r="B22" i="27"/>
  <c r="A22" i="27"/>
  <c r="C15" i="27"/>
  <c r="C14" i="27"/>
  <c r="C13" i="27"/>
  <c r="C12" i="27"/>
  <c r="C11" i="27"/>
  <c r="C10" i="27"/>
  <c r="C9" i="27"/>
  <c r="B9" i="27"/>
  <c r="A9" i="27"/>
  <c r="C8" i="27"/>
  <c r="C7" i="27"/>
  <c r="B241" i="23"/>
  <c r="C239" i="23"/>
  <c r="B239" i="23"/>
  <c r="A239" i="23"/>
  <c r="C238" i="23"/>
  <c r="B238" i="23"/>
  <c r="A238" i="23"/>
  <c r="C237" i="23"/>
  <c r="C236" i="23"/>
  <c r="C235" i="23"/>
  <c r="C234" i="23"/>
  <c r="B234" i="23"/>
  <c r="A234" i="23"/>
  <c r="C233" i="23"/>
  <c r="B233" i="23"/>
  <c r="A233" i="23"/>
  <c r="C213" i="23"/>
  <c r="C209" i="23"/>
  <c r="B209" i="23"/>
  <c r="A209" i="23"/>
  <c r="C207" i="23"/>
  <c r="B207" i="23"/>
  <c r="A207" i="23"/>
  <c r="C206" i="23"/>
  <c r="C205" i="23"/>
  <c r="C204" i="23"/>
  <c r="C195" i="23"/>
  <c r="B195" i="23"/>
  <c r="A195" i="23"/>
  <c r="C178" i="23"/>
  <c r="C168" i="23"/>
  <c r="B168" i="23"/>
  <c r="A168" i="23"/>
  <c r="C153" i="23"/>
  <c r="C146" i="23"/>
  <c r="C145" i="23"/>
  <c r="C144" i="23"/>
  <c r="C143" i="23"/>
  <c r="C142" i="23"/>
  <c r="C141" i="23"/>
  <c r="B141" i="23"/>
  <c r="A141" i="23"/>
  <c r="C132" i="23"/>
  <c r="C130" i="23"/>
  <c r="C129" i="23"/>
  <c r="B129" i="23"/>
  <c r="A129" i="23"/>
  <c r="C128" i="23"/>
  <c r="C127" i="23"/>
  <c r="C126" i="23"/>
  <c r="B126" i="23"/>
  <c r="A126" i="23"/>
  <c r="C125" i="23"/>
  <c r="C124" i="23"/>
  <c r="C123" i="23"/>
  <c r="C122" i="23"/>
  <c r="C121" i="23"/>
  <c r="C120" i="23"/>
  <c r="B120" i="23"/>
  <c r="A120" i="23"/>
  <c r="C113" i="23"/>
  <c r="C112" i="23"/>
  <c r="C111" i="23"/>
  <c r="C110" i="23"/>
  <c r="C109" i="23"/>
  <c r="C108" i="23"/>
  <c r="B108" i="23"/>
  <c r="A108" i="23"/>
  <c r="C107" i="23"/>
  <c r="C106" i="23"/>
  <c r="C105" i="23"/>
  <c r="C104" i="23"/>
  <c r="B104" i="23"/>
  <c r="A104" i="23"/>
  <c r="C103" i="23"/>
  <c r="B103" i="23"/>
  <c r="A103" i="23"/>
  <c r="C102" i="23"/>
  <c r="C101" i="23"/>
  <c r="C100" i="23"/>
  <c r="C99" i="23"/>
  <c r="C98" i="23"/>
  <c r="B98" i="23"/>
  <c r="A98" i="23"/>
  <c r="C87" i="23"/>
  <c r="C77" i="23"/>
  <c r="B77" i="23"/>
  <c r="A77" i="23"/>
  <c r="C70" i="23"/>
  <c r="C69" i="23"/>
  <c r="C68" i="23"/>
  <c r="C67" i="23"/>
  <c r="C66" i="23"/>
  <c r="C65" i="23"/>
  <c r="C64" i="23"/>
  <c r="B64" i="23"/>
  <c r="A64" i="23"/>
  <c r="C63" i="23"/>
  <c r="A63" i="23"/>
  <c r="C62" i="23"/>
  <c r="A62" i="23"/>
  <c r="C61" i="23"/>
  <c r="A61" i="23"/>
  <c r="C56" i="23"/>
  <c r="B56" i="23"/>
  <c r="A56" i="23"/>
  <c r="C55" i="23"/>
  <c r="C54" i="23"/>
  <c r="C53" i="23"/>
  <c r="C52" i="23"/>
  <c r="B52" i="23"/>
  <c r="A52" i="23"/>
  <c r="C51" i="23"/>
  <c r="C50" i="23"/>
  <c r="B50" i="23"/>
  <c r="A50" i="23"/>
  <c r="C44" i="23"/>
  <c r="B44" i="23"/>
  <c r="A44" i="23"/>
  <c r="C43" i="23"/>
  <c r="B43" i="23"/>
  <c r="A43" i="23"/>
  <c r="C42" i="23"/>
  <c r="C41" i="23"/>
  <c r="C40" i="23"/>
  <c r="C39" i="23"/>
  <c r="C38" i="23"/>
  <c r="C37" i="23"/>
  <c r="C36" i="23"/>
  <c r="B36" i="23"/>
  <c r="A36" i="23"/>
  <c r="C49" i="23"/>
  <c r="C48" i="23"/>
  <c r="C47" i="23"/>
  <c r="C46" i="23"/>
  <c r="C45" i="23"/>
  <c r="B45" i="23"/>
  <c r="A45" i="23"/>
  <c r="C22" i="23"/>
  <c r="C162" i="23"/>
  <c r="C15" i="23"/>
  <c r="C14" i="23"/>
  <c r="C13" i="23"/>
  <c r="C12" i="23"/>
  <c r="C11" i="23"/>
  <c r="C10" i="23"/>
  <c r="C9" i="23"/>
  <c r="B9" i="23"/>
  <c r="A9" i="23"/>
  <c r="C8" i="23"/>
  <c r="C7" i="23"/>
  <c r="A99" i="22"/>
  <c r="C98" i="22"/>
  <c r="B98" i="22"/>
  <c r="A98" i="22"/>
  <c r="C78" i="22"/>
  <c r="C69" i="22"/>
  <c r="B69" i="22"/>
  <c r="A69" i="22"/>
  <c r="C64" i="22"/>
  <c r="C54" i="22"/>
  <c r="B54" i="22"/>
  <c r="A54" i="22"/>
  <c r="C48" i="22"/>
  <c r="C47" i="22"/>
  <c r="C46" i="22"/>
  <c r="C45" i="22"/>
  <c r="B45" i="22"/>
  <c r="A45" i="22"/>
  <c r="C44" i="22"/>
  <c r="C43" i="22"/>
  <c r="C42" i="22"/>
  <c r="B42" i="22"/>
  <c r="A42" i="22"/>
  <c r="C41" i="22"/>
  <c r="C40" i="22"/>
  <c r="C39" i="22"/>
  <c r="C38" i="22"/>
  <c r="B38" i="22"/>
  <c r="A38" i="22"/>
  <c r="C37" i="22"/>
  <c r="C36" i="22"/>
  <c r="C35" i="22"/>
  <c r="C34" i="22"/>
  <c r="C33" i="22"/>
  <c r="C32" i="22"/>
  <c r="C31" i="22"/>
  <c r="C30" i="22"/>
  <c r="C29" i="22"/>
  <c r="B29" i="22"/>
  <c r="A29" i="22"/>
  <c r="C23" i="22"/>
  <c r="C21" i="22"/>
  <c r="C20" i="22"/>
  <c r="C19" i="22"/>
  <c r="C18" i="22"/>
  <c r="B18" i="22"/>
  <c r="A18" i="22"/>
  <c r="C241" i="21"/>
  <c r="C240" i="21"/>
  <c r="C239" i="21"/>
  <c r="C235" i="21"/>
  <c r="B235" i="21"/>
  <c r="A235" i="21"/>
  <c r="C234" i="21"/>
  <c r="B234" i="21"/>
  <c r="A234" i="21"/>
  <c r="C207" i="21"/>
  <c r="C203" i="21"/>
  <c r="C202" i="21"/>
  <c r="C201" i="21"/>
  <c r="C192" i="21"/>
  <c r="B192" i="21"/>
  <c r="A192" i="21"/>
  <c r="C165" i="21"/>
  <c r="C164" i="21"/>
  <c r="C163" i="21"/>
  <c r="C162" i="21"/>
  <c r="B162" i="21"/>
  <c r="A162" i="21"/>
  <c r="C153" i="21"/>
  <c r="C151" i="21"/>
  <c r="C150" i="21"/>
  <c r="B150" i="21"/>
  <c r="A150" i="21"/>
  <c r="C149" i="21"/>
  <c r="C148" i="21"/>
  <c r="C147" i="21"/>
  <c r="C146" i="21"/>
  <c r="C145" i="21"/>
  <c r="A145" i="21"/>
  <c r="C144" i="21"/>
  <c r="C143" i="21"/>
  <c r="C142" i="21"/>
  <c r="B142" i="21"/>
  <c r="A142" i="21"/>
  <c r="C141" i="21"/>
  <c r="C140" i="21"/>
  <c r="C139" i="21"/>
  <c r="C138" i="21"/>
  <c r="C137" i="21"/>
  <c r="C136" i="21"/>
  <c r="B136" i="21"/>
  <c r="A136" i="21"/>
  <c r="C135" i="21"/>
  <c r="C134" i="21"/>
  <c r="C133" i="21"/>
  <c r="B133" i="21"/>
  <c r="A133" i="21"/>
  <c r="C132" i="21"/>
  <c r="C131" i="21"/>
  <c r="C130" i="21"/>
  <c r="C129" i="21"/>
  <c r="B129" i="21"/>
  <c r="A129" i="21"/>
  <c r="C128" i="21"/>
  <c r="C127" i="21"/>
  <c r="C126" i="21"/>
  <c r="C125" i="21"/>
  <c r="C124" i="21"/>
  <c r="C123" i="21"/>
  <c r="C122" i="21"/>
  <c r="C121" i="21"/>
  <c r="C120" i="21"/>
  <c r="B120" i="21"/>
  <c r="A120" i="21"/>
  <c r="C113" i="21"/>
  <c r="C112" i="21"/>
  <c r="C111" i="21"/>
  <c r="C110" i="21"/>
  <c r="C109" i="21"/>
  <c r="C108" i="21"/>
  <c r="B108" i="21"/>
  <c r="A108" i="21"/>
  <c r="C107" i="21"/>
  <c r="C106" i="21"/>
  <c r="C105" i="21"/>
  <c r="C104" i="21"/>
  <c r="C103" i="21"/>
  <c r="B103" i="21"/>
  <c r="A103" i="21"/>
  <c r="C79" i="21"/>
  <c r="C77" i="21"/>
  <c r="C76" i="21"/>
  <c r="C75" i="21"/>
  <c r="C74" i="21"/>
  <c r="C73" i="21"/>
  <c r="C72" i="21"/>
  <c r="C71" i="21"/>
  <c r="B71" i="21"/>
  <c r="A71" i="21"/>
  <c r="C70" i="21"/>
  <c r="B70" i="21"/>
  <c r="A70" i="21"/>
  <c r="C69" i="21"/>
  <c r="B69" i="21"/>
  <c r="A69" i="21"/>
  <c r="C68" i="21"/>
  <c r="C67" i="21"/>
  <c r="C66" i="21"/>
  <c r="C65" i="21"/>
  <c r="B65" i="21"/>
  <c r="A65" i="21"/>
  <c r="C64" i="21"/>
  <c r="C63" i="21"/>
  <c r="B63" i="21"/>
  <c r="A63" i="21"/>
  <c r="C62" i="21"/>
  <c r="B62" i="21"/>
  <c r="A62" i="21"/>
  <c r="C59" i="21"/>
  <c r="C44" i="21"/>
  <c r="C179" i="21"/>
  <c r="C28" i="21"/>
  <c r="C18" i="21"/>
  <c r="C16" i="21"/>
  <c r="C15" i="21"/>
  <c r="C14" i="21"/>
  <c r="C13" i="21"/>
  <c r="C12" i="21"/>
  <c r="C11" i="21"/>
  <c r="C10" i="21"/>
  <c r="B10" i="21"/>
  <c r="A10" i="21"/>
  <c r="C9" i="21"/>
  <c r="B9" i="21"/>
  <c r="A9" i="21"/>
  <c r="C8" i="21"/>
  <c r="C7" i="21"/>
  <c r="C206" i="20"/>
  <c r="C204" i="20"/>
  <c r="C203" i="20"/>
  <c r="C202" i="20"/>
  <c r="C201" i="20"/>
  <c r="B201" i="20"/>
  <c r="A201" i="20"/>
  <c r="B200" i="20"/>
  <c r="A200" i="20"/>
  <c r="C199" i="20"/>
  <c r="B199" i="20"/>
  <c r="A199" i="20"/>
  <c r="C190" i="20"/>
  <c r="B190" i="20"/>
  <c r="A190" i="20"/>
  <c r="C189" i="20"/>
  <c r="C188" i="20"/>
  <c r="C187" i="20"/>
  <c r="C178" i="20"/>
  <c r="B178" i="20"/>
  <c r="A178" i="20"/>
  <c r="C163" i="20"/>
  <c r="B163" i="20"/>
  <c r="A163" i="20"/>
  <c r="C155" i="20"/>
  <c r="C154" i="20"/>
  <c r="C153" i="20"/>
  <c r="C152" i="20"/>
  <c r="B152" i="20"/>
  <c r="A152" i="20"/>
  <c r="C151" i="20"/>
  <c r="C150" i="20"/>
  <c r="C149" i="20"/>
  <c r="C148" i="20"/>
  <c r="C147" i="20"/>
  <c r="C146" i="20"/>
  <c r="C145" i="20"/>
  <c r="C144" i="20"/>
  <c r="C143" i="20"/>
  <c r="B143" i="20"/>
  <c r="A143" i="20"/>
  <c r="C142" i="20"/>
  <c r="C141" i="20"/>
  <c r="C140" i="20"/>
  <c r="C139" i="20"/>
  <c r="C138" i="20"/>
  <c r="C137" i="20"/>
  <c r="B137" i="20"/>
  <c r="A137" i="20"/>
  <c r="C55" i="20"/>
  <c r="C54" i="20"/>
  <c r="C53" i="20"/>
  <c r="C52" i="20"/>
  <c r="C51" i="20"/>
  <c r="B51" i="20"/>
  <c r="A51" i="20"/>
  <c r="C136" i="20"/>
  <c r="C135" i="20"/>
  <c r="C134" i="20"/>
  <c r="C133" i="20"/>
  <c r="C132" i="20"/>
  <c r="B132" i="20"/>
  <c r="A132" i="20"/>
  <c r="C131" i="20"/>
  <c r="B131" i="20"/>
  <c r="A131" i="20"/>
  <c r="C130" i="20"/>
  <c r="B130" i="20"/>
  <c r="A130" i="20"/>
  <c r="C113" i="20"/>
  <c r="C103" i="20"/>
  <c r="C94" i="20"/>
  <c r="C84" i="20"/>
  <c r="B84" i="20"/>
  <c r="A84" i="20"/>
  <c r="G76" i="20"/>
  <c r="C71" i="20"/>
  <c r="C69" i="20"/>
  <c r="C68" i="20"/>
  <c r="C67" i="20"/>
  <c r="C66" i="20"/>
  <c r="C65" i="20"/>
  <c r="C64" i="20"/>
  <c r="C63" i="20"/>
  <c r="B63" i="20"/>
  <c r="A63" i="20"/>
  <c r="C62" i="20"/>
  <c r="A62" i="20"/>
  <c r="C61" i="20"/>
  <c r="A61" i="20"/>
  <c r="C60" i="20"/>
  <c r="A60" i="20"/>
  <c r="C50" i="20"/>
  <c r="C49" i="20"/>
  <c r="C48" i="20"/>
  <c r="C47" i="20"/>
  <c r="C46" i="20"/>
  <c r="B46" i="20"/>
  <c r="A46" i="20"/>
  <c r="C32" i="20"/>
  <c r="C22" i="20"/>
  <c r="C160" i="20"/>
  <c r="C9" i="20"/>
  <c r="C8" i="20"/>
  <c r="C7" i="20"/>
  <c r="C6" i="20"/>
  <c r="C5" i="20"/>
  <c r="C4" i="20"/>
  <c r="C3" i="20"/>
  <c r="B3" i="20"/>
  <c r="A3" i="20"/>
  <c r="C184" i="19"/>
  <c r="B184" i="19"/>
  <c r="A184" i="19"/>
  <c r="C174" i="19"/>
  <c r="B174" i="19"/>
  <c r="A174" i="19"/>
  <c r="C173" i="19"/>
  <c r="B173" i="19"/>
  <c r="A173" i="19"/>
  <c r="C165" i="19"/>
  <c r="C164" i="19"/>
  <c r="C158" i="19"/>
  <c r="B158" i="19"/>
  <c r="A158" i="19"/>
  <c r="C157" i="19"/>
  <c r="C156" i="19"/>
  <c r="C155" i="19"/>
  <c r="C146" i="19"/>
  <c r="B146" i="19"/>
  <c r="A146" i="19"/>
  <c r="C140" i="19"/>
  <c r="B140" i="19"/>
  <c r="A140" i="19"/>
  <c r="C127" i="19"/>
  <c r="C126" i="19"/>
  <c r="C125" i="19"/>
  <c r="C124" i="19"/>
  <c r="C123" i="19"/>
  <c r="C122" i="19"/>
  <c r="B122" i="19"/>
  <c r="A122" i="19"/>
  <c r="C52" i="19"/>
  <c r="C51" i="19"/>
  <c r="C50" i="19"/>
  <c r="C49" i="19"/>
  <c r="C48" i="19"/>
  <c r="B48" i="19"/>
  <c r="A48" i="19"/>
  <c r="C121" i="19"/>
  <c r="C120" i="19"/>
  <c r="C119" i="19"/>
  <c r="C118" i="19"/>
  <c r="C117" i="19"/>
  <c r="B117" i="19"/>
  <c r="A117" i="19"/>
  <c r="C116" i="19"/>
  <c r="B116" i="19"/>
  <c r="A116" i="19"/>
  <c r="C115" i="19"/>
  <c r="B115" i="19"/>
  <c r="A115" i="19"/>
  <c r="C98" i="19"/>
  <c r="C91" i="19"/>
  <c r="C72" i="19"/>
  <c r="C70" i="19"/>
  <c r="C69" i="19"/>
  <c r="C68" i="19"/>
  <c r="C67" i="19"/>
  <c r="C66" i="19"/>
  <c r="C65" i="19"/>
  <c r="C64" i="19"/>
  <c r="B64" i="19"/>
  <c r="A64" i="19"/>
  <c r="C63" i="19"/>
  <c r="A63" i="19"/>
  <c r="C62" i="19"/>
  <c r="A62" i="19"/>
  <c r="C61" i="19"/>
  <c r="A61" i="19"/>
  <c r="C56" i="19"/>
  <c r="C55" i="19"/>
  <c r="C54" i="19"/>
  <c r="C53" i="19"/>
  <c r="B53" i="19"/>
  <c r="A53" i="19"/>
  <c r="C47" i="19"/>
  <c r="C46" i="19"/>
  <c r="B46" i="19"/>
  <c r="A46" i="19"/>
  <c r="C45" i="19"/>
  <c r="C44" i="19"/>
  <c r="C43" i="19"/>
  <c r="C42" i="19"/>
  <c r="C41" i="19"/>
  <c r="B41" i="19"/>
  <c r="A41" i="19"/>
  <c r="C40" i="19"/>
  <c r="C39" i="19"/>
  <c r="C38" i="19"/>
  <c r="C37" i="19"/>
  <c r="C36" i="19"/>
  <c r="C35" i="19"/>
  <c r="C34" i="19"/>
  <c r="B34" i="19"/>
  <c r="A34" i="19"/>
  <c r="C33" i="19"/>
  <c r="C32" i="19"/>
  <c r="C31" i="19"/>
  <c r="C30" i="19"/>
  <c r="C29" i="19"/>
  <c r="C28" i="19"/>
  <c r="B28" i="19"/>
  <c r="A28" i="19"/>
  <c r="C19" i="19"/>
  <c r="C9" i="19"/>
  <c r="C137" i="19"/>
  <c r="C238" i="18"/>
  <c r="C237" i="18"/>
  <c r="C236" i="18"/>
  <c r="C235" i="18"/>
  <c r="B235" i="18"/>
  <c r="A235" i="18"/>
  <c r="C234" i="18"/>
  <c r="B234" i="18"/>
  <c r="A234" i="18"/>
  <c r="C203" i="18"/>
  <c r="B203" i="18"/>
  <c r="A203" i="18"/>
  <c r="C202" i="18"/>
  <c r="C201" i="18"/>
  <c r="C200" i="18"/>
  <c r="C191" i="18"/>
  <c r="B191" i="18"/>
  <c r="A191" i="18"/>
  <c r="C172" i="18"/>
  <c r="C171" i="18"/>
  <c r="C170" i="18"/>
  <c r="C169" i="18"/>
  <c r="B169" i="18"/>
  <c r="A169" i="18"/>
  <c r="C168" i="18"/>
  <c r="C167" i="18"/>
  <c r="C166" i="18"/>
  <c r="C165" i="18"/>
  <c r="C164" i="18"/>
  <c r="C163" i="18"/>
  <c r="B163" i="18"/>
  <c r="A163" i="18"/>
  <c r="C162" i="18"/>
  <c r="C161" i="18"/>
  <c r="C160" i="18"/>
  <c r="B160" i="18"/>
  <c r="A160" i="18"/>
  <c r="C159" i="18"/>
  <c r="C158" i="18"/>
  <c r="C157" i="18"/>
  <c r="C156" i="18"/>
  <c r="C155" i="18"/>
  <c r="C154" i="18"/>
  <c r="C153" i="18"/>
  <c r="C152" i="18"/>
  <c r="C151" i="18"/>
  <c r="B151" i="18"/>
  <c r="A151" i="18"/>
  <c r="C85" i="18"/>
  <c r="C84" i="18"/>
  <c r="C83" i="18"/>
  <c r="C82" i="18"/>
  <c r="C81" i="18"/>
  <c r="B81" i="18"/>
  <c r="A81" i="18"/>
  <c r="C150" i="18"/>
  <c r="C149" i="18"/>
  <c r="C148" i="18"/>
  <c r="C147" i="18"/>
  <c r="B147" i="18"/>
  <c r="A147" i="18"/>
  <c r="C146" i="18"/>
  <c r="B146" i="18"/>
  <c r="A146" i="18"/>
  <c r="C129" i="18"/>
  <c r="C125" i="18"/>
  <c r="C112" i="18"/>
  <c r="B112" i="18"/>
  <c r="A112" i="18"/>
  <c r="C106" i="18"/>
  <c r="C104" i="18"/>
  <c r="C103" i="18"/>
  <c r="C102" i="18"/>
  <c r="C101" i="18"/>
  <c r="C100" i="18"/>
  <c r="C99" i="18"/>
  <c r="C98" i="18"/>
  <c r="B98" i="18"/>
  <c r="A98" i="18"/>
  <c r="C97" i="18"/>
  <c r="A97" i="18"/>
  <c r="C96" i="18"/>
  <c r="A96" i="18"/>
  <c r="C95" i="18"/>
  <c r="A95" i="18"/>
  <c r="C90" i="18"/>
  <c r="C89" i="18"/>
  <c r="C88" i="18"/>
  <c r="C87" i="18"/>
  <c r="C86" i="18"/>
  <c r="B86" i="18"/>
  <c r="A86" i="18"/>
  <c r="C80" i="18"/>
  <c r="C79" i="18"/>
  <c r="C78" i="18"/>
  <c r="C77" i="18"/>
  <c r="B77" i="18"/>
  <c r="A77" i="18"/>
  <c r="C76" i="18"/>
  <c r="C75" i="18"/>
  <c r="B75" i="18"/>
  <c r="A75" i="18"/>
  <c r="C74" i="18"/>
  <c r="C73" i="18"/>
  <c r="C72" i="18"/>
  <c r="C71" i="18"/>
  <c r="C70" i="18"/>
  <c r="B70" i="18"/>
  <c r="A70" i="18"/>
  <c r="C69" i="18"/>
  <c r="B69" i="18"/>
  <c r="A69" i="18"/>
  <c r="C68" i="18"/>
  <c r="C67" i="18"/>
  <c r="C66" i="18"/>
  <c r="C65" i="18"/>
  <c r="C64" i="18"/>
  <c r="C63" i="18"/>
  <c r="C62" i="18"/>
  <c r="B62" i="18"/>
  <c r="A62" i="18"/>
  <c r="C61" i="18"/>
  <c r="C60" i="18"/>
  <c r="C59" i="18"/>
  <c r="C58" i="18"/>
  <c r="C57" i="18"/>
  <c r="C56" i="18"/>
  <c r="B56" i="18"/>
  <c r="A56" i="18"/>
  <c r="C55" i="18"/>
  <c r="C54" i="18"/>
  <c r="C53" i="18"/>
  <c r="C52" i="18"/>
  <c r="B52" i="18"/>
  <c r="A52" i="18"/>
  <c r="C38" i="18"/>
  <c r="C22" i="18"/>
  <c r="C12" i="18"/>
  <c r="C10" i="18"/>
  <c r="C9" i="18"/>
  <c r="C8" i="18"/>
  <c r="C7" i="18"/>
  <c r="C6" i="18"/>
  <c r="C5" i="18"/>
  <c r="C4" i="18"/>
  <c r="B4" i="18"/>
  <c r="A4" i="18"/>
  <c r="C3" i="18"/>
  <c r="B3" i="18"/>
  <c r="A3" i="18"/>
  <c r="C155" i="15"/>
  <c r="C151" i="15"/>
  <c r="B151" i="15"/>
  <c r="A151" i="15"/>
  <c r="C150" i="15"/>
  <c r="B150" i="15"/>
  <c r="A150" i="15"/>
  <c r="C131" i="15"/>
  <c r="C130" i="15"/>
  <c r="C129" i="15"/>
  <c r="C128" i="15"/>
  <c r="B128" i="15"/>
  <c r="A128" i="15"/>
  <c r="C119" i="15"/>
  <c r="C117" i="15"/>
  <c r="C116" i="15"/>
  <c r="B116" i="15"/>
  <c r="A116" i="15"/>
  <c r="C115" i="15"/>
  <c r="C114" i="15"/>
  <c r="C113" i="15"/>
  <c r="B113" i="15"/>
  <c r="A113" i="15"/>
  <c r="C106" i="15"/>
  <c r="C105" i="15"/>
  <c r="C104" i="15"/>
  <c r="C103" i="15"/>
  <c r="B103" i="15"/>
  <c r="A103" i="15"/>
  <c r="C102" i="15"/>
  <c r="C101" i="15"/>
  <c r="C100" i="15"/>
  <c r="C99" i="15"/>
  <c r="C98" i="15"/>
  <c r="C97" i="15"/>
  <c r="B97" i="15"/>
  <c r="A97" i="15"/>
  <c r="C80" i="15"/>
  <c r="C76" i="15"/>
  <c r="C69" i="15"/>
  <c r="C59" i="15"/>
  <c r="B59" i="15"/>
  <c r="A59" i="15"/>
  <c r="C47" i="15"/>
  <c r="C45" i="15"/>
  <c r="C44" i="15"/>
  <c r="C43" i="15"/>
  <c r="C42" i="15"/>
  <c r="C41" i="15"/>
  <c r="C40" i="15"/>
  <c r="C39" i="15"/>
  <c r="B39" i="15"/>
  <c r="A39" i="15"/>
  <c r="C38" i="15"/>
  <c r="A38" i="15"/>
  <c r="C37" i="15"/>
  <c r="A37" i="15"/>
  <c r="C36" i="15"/>
  <c r="A36" i="15"/>
  <c r="C31" i="15"/>
  <c r="C30" i="15"/>
  <c r="C29" i="15"/>
  <c r="C28" i="15"/>
  <c r="B28" i="15"/>
  <c r="A28" i="15"/>
  <c r="C27" i="15"/>
  <c r="B27" i="15"/>
  <c r="A27" i="15"/>
  <c r="C26" i="15"/>
  <c r="B26" i="15"/>
  <c r="A26" i="15"/>
  <c r="C25" i="15"/>
  <c r="C24" i="15"/>
  <c r="C23" i="15"/>
  <c r="C22" i="15"/>
  <c r="C21" i="15"/>
  <c r="C20" i="15"/>
  <c r="C19" i="15"/>
  <c r="B19" i="15"/>
  <c r="A19" i="15"/>
  <c r="C18" i="15"/>
  <c r="C17" i="15"/>
  <c r="C16" i="15"/>
  <c r="C15" i="15"/>
  <c r="C14" i="15"/>
  <c r="C13" i="15"/>
  <c r="B13" i="15"/>
  <c r="A13" i="15"/>
  <c r="C12" i="15"/>
  <c r="C11" i="15"/>
  <c r="C10" i="15"/>
  <c r="C9" i="15"/>
  <c r="B9" i="15"/>
  <c r="A9" i="15"/>
  <c r="A151" i="17"/>
  <c r="C144" i="17"/>
  <c r="B144" i="17"/>
  <c r="A144" i="17"/>
  <c r="C143" i="17"/>
  <c r="C142" i="17"/>
  <c r="C141" i="17"/>
  <c r="C140" i="17"/>
  <c r="B140" i="17"/>
  <c r="A140" i="17"/>
  <c r="C139" i="17"/>
  <c r="C138" i="17"/>
  <c r="C137" i="17"/>
  <c r="C136" i="17"/>
  <c r="C135" i="17"/>
  <c r="C134" i="17"/>
  <c r="C133" i="17"/>
  <c r="B133" i="17"/>
  <c r="A133" i="17"/>
  <c r="C132" i="17"/>
  <c r="C131" i="17"/>
  <c r="C112" i="17"/>
  <c r="C111" i="17"/>
  <c r="C110" i="17"/>
  <c r="C109" i="17"/>
  <c r="B109" i="17"/>
  <c r="A109" i="17"/>
  <c r="C108" i="17"/>
  <c r="C107" i="17"/>
  <c r="C106" i="17"/>
  <c r="C105" i="17"/>
  <c r="C104" i="17"/>
  <c r="C103" i="17"/>
  <c r="B103" i="17"/>
  <c r="A103" i="17"/>
  <c r="C102" i="17"/>
  <c r="C101" i="17"/>
  <c r="C100" i="17"/>
  <c r="C99" i="17"/>
  <c r="C98" i="17"/>
  <c r="C97" i="17"/>
  <c r="B97" i="17"/>
  <c r="A97" i="17"/>
  <c r="C96" i="17"/>
  <c r="C95" i="17"/>
  <c r="C94" i="17"/>
  <c r="C93" i="17"/>
  <c r="C92" i="17"/>
  <c r="B92" i="17"/>
  <c r="A92" i="17"/>
  <c r="C91" i="17"/>
  <c r="B91" i="17"/>
  <c r="A91" i="17"/>
  <c r="C90" i="17"/>
  <c r="B90" i="17"/>
  <c r="A90" i="17"/>
  <c r="C73" i="17"/>
  <c r="C69" i="17"/>
  <c r="C62" i="17"/>
  <c r="C50" i="17"/>
  <c r="C48" i="17"/>
  <c r="C47" i="17"/>
  <c r="C46" i="17"/>
  <c r="C45" i="17"/>
  <c r="C44" i="17"/>
  <c r="C43" i="17"/>
  <c r="C42" i="17"/>
  <c r="B42" i="17"/>
  <c r="A42" i="17"/>
  <c r="C41" i="17"/>
  <c r="A41" i="17"/>
  <c r="C40" i="17"/>
  <c r="A40" i="17"/>
  <c r="C39" i="17"/>
  <c r="A39" i="17"/>
  <c r="C34" i="17"/>
  <c r="C33" i="17"/>
  <c r="B33" i="17"/>
  <c r="A33" i="17"/>
  <c r="C32" i="17"/>
  <c r="C31" i="17"/>
  <c r="C30" i="17"/>
  <c r="C29" i="17"/>
  <c r="C28" i="17"/>
  <c r="B28" i="17"/>
  <c r="A28" i="17"/>
  <c r="C27" i="17"/>
  <c r="B27" i="17"/>
  <c r="A27" i="17"/>
  <c r="C26" i="17"/>
  <c r="B26" i="17"/>
  <c r="A26" i="17"/>
  <c r="C25" i="17"/>
  <c r="C24" i="17"/>
  <c r="C23" i="17"/>
  <c r="C22" i="17"/>
  <c r="C21" i="17"/>
  <c r="C20" i="17"/>
  <c r="C19" i="17"/>
  <c r="B19" i="17"/>
  <c r="A19" i="17"/>
  <c r="C18" i="17"/>
  <c r="C17" i="17"/>
  <c r="C16" i="17"/>
  <c r="C15" i="17"/>
  <c r="C14" i="17"/>
  <c r="C13" i="17"/>
  <c r="B13" i="17"/>
  <c r="A13" i="17"/>
  <c r="C12" i="17"/>
  <c r="C11" i="17"/>
  <c r="C10" i="17"/>
  <c r="C9" i="17"/>
  <c r="B9" i="17"/>
  <c r="A9" i="17"/>
  <c r="A159" i="16"/>
  <c r="C152" i="16"/>
  <c r="B152" i="16"/>
  <c r="A152" i="16"/>
  <c r="C151" i="16"/>
  <c r="C150" i="16"/>
  <c r="C149" i="16"/>
  <c r="C148" i="16"/>
  <c r="B148" i="16"/>
  <c r="A148" i="16"/>
  <c r="C147" i="16"/>
  <c r="B147" i="16"/>
  <c r="A147" i="16"/>
  <c r="C146" i="16"/>
  <c r="C145" i="16"/>
  <c r="C144" i="16"/>
  <c r="C143" i="16"/>
  <c r="C142" i="16"/>
  <c r="C141" i="16"/>
  <c r="C140" i="16"/>
  <c r="B140" i="16"/>
  <c r="A140" i="16"/>
  <c r="C139" i="16"/>
  <c r="C138" i="16"/>
  <c r="C132" i="16"/>
  <c r="B132" i="16"/>
  <c r="A132" i="16"/>
  <c r="B131" i="16"/>
  <c r="A131" i="16"/>
  <c r="C114" i="16"/>
  <c r="C113" i="16"/>
  <c r="C112" i="16"/>
  <c r="C111" i="16"/>
  <c r="B111" i="16"/>
  <c r="A111" i="16"/>
  <c r="C110" i="16"/>
  <c r="C109" i="16"/>
  <c r="C108" i="16"/>
  <c r="C107" i="16"/>
  <c r="C106" i="16"/>
  <c r="C105" i="16"/>
  <c r="B105" i="16"/>
  <c r="A105" i="16"/>
  <c r="C104" i="16"/>
  <c r="C103" i="16"/>
  <c r="C102" i="16"/>
  <c r="C101" i="16"/>
  <c r="C100" i="16"/>
  <c r="C99" i="16"/>
  <c r="B99" i="16"/>
  <c r="A99" i="16"/>
  <c r="C98" i="16"/>
  <c r="C97" i="16"/>
  <c r="C96" i="16"/>
  <c r="C95" i="16"/>
  <c r="C94" i="16"/>
  <c r="B94" i="16"/>
  <c r="A94" i="16"/>
  <c r="C77" i="16"/>
  <c r="C73" i="16"/>
  <c r="C70" i="16"/>
  <c r="C56" i="16"/>
  <c r="C46" i="16"/>
  <c r="C44" i="16"/>
  <c r="C43" i="16"/>
  <c r="C42" i="16"/>
  <c r="C41" i="16"/>
  <c r="C40" i="16"/>
  <c r="C39" i="16"/>
  <c r="C38" i="16"/>
  <c r="B38" i="16"/>
  <c r="A38" i="16"/>
  <c r="C37" i="16"/>
  <c r="A37" i="16"/>
  <c r="C36" i="16"/>
  <c r="A36" i="16"/>
  <c r="C35" i="16"/>
  <c r="A35" i="16"/>
  <c r="C30" i="16"/>
  <c r="C29" i="16"/>
  <c r="C28" i="16"/>
  <c r="C27" i="16"/>
  <c r="B27" i="16"/>
  <c r="A27" i="16"/>
  <c r="C26" i="16"/>
  <c r="C25" i="16"/>
  <c r="B25" i="16"/>
  <c r="A25" i="16"/>
  <c r="C24" i="16"/>
  <c r="C23" i="16"/>
  <c r="C22" i="16"/>
  <c r="C21" i="16"/>
  <c r="C20" i="16"/>
  <c r="B20" i="16"/>
  <c r="A20" i="16"/>
  <c r="C19" i="16"/>
  <c r="B19" i="16"/>
  <c r="A19" i="16"/>
  <c r="C18" i="16"/>
  <c r="C17" i="16"/>
  <c r="C16" i="16"/>
  <c r="C15" i="16"/>
  <c r="C14" i="16"/>
  <c r="C13" i="16"/>
  <c r="B13" i="16"/>
  <c r="A13" i="16"/>
  <c r="C12" i="16"/>
  <c r="C11" i="16"/>
  <c r="C10" i="16"/>
  <c r="C9" i="16"/>
  <c r="B9" i="16"/>
  <c r="A9" i="16"/>
  <c r="C128" i="14"/>
  <c r="C124" i="14"/>
  <c r="C123" i="14"/>
  <c r="C122" i="14"/>
  <c r="C121" i="14"/>
  <c r="B121" i="14"/>
  <c r="A121" i="14"/>
  <c r="C112" i="14"/>
  <c r="C110" i="14"/>
  <c r="C109" i="14"/>
  <c r="B109" i="14"/>
  <c r="A109" i="14"/>
  <c r="C24" i="14"/>
  <c r="C23" i="14"/>
  <c r="C22" i="14"/>
  <c r="C21" i="14"/>
  <c r="C20" i="14"/>
  <c r="B20" i="14"/>
  <c r="A20" i="14"/>
  <c r="C102" i="14"/>
  <c r="C101" i="14"/>
  <c r="C100" i="14"/>
  <c r="C99" i="14"/>
  <c r="B99" i="14"/>
  <c r="A99" i="14"/>
  <c r="C98" i="14"/>
  <c r="C96" i="14"/>
  <c r="C95" i="14"/>
  <c r="B95" i="14"/>
  <c r="A95" i="14"/>
  <c r="C94" i="14"/>
  <c r="C93" i="14"/>
  <c r="C92" i="14"/>
  <c r="C91" i="14"/>
  <c r="C90" i="14"/>
  <c r="C89" i="14"/>
  <c r="B89" i="14"/>
  <c r="A89" i="14"/>
  <c r="C88" i="14"/>
  <c r="C87" i="14"/>
  <c r="C86" i="14"/>
  <c r="C85" i="14"/>
  <c r="C84" i="14"/>
  <c r="C83" i="14"/>
  <c r="B83" i="14"/>
  <c r="A83" i="14"/>
  <c r="C82" i="14"/>
  <c r="B82" i="14"/>
  <c r="A82" i="14"/>
  <c r="C81" i="14"/>
  <c r="B81" i="14"/>
  <c r="A81" i="14"/>
  <c r="C64" i="14"/>
  <c r="C55" i="14"/>
  <c r="C45" i="14"/>
  <c r="B45" i="14"/>
  <c r="A45" i="14"/>
  <c r="C38" i="14"/>
  <c r="A38" i="14"/>
  <c r="C37" i="14"/>
  <c r="A37" i="14"/>
  <c r="C36" i="14"/>
  <c r="A36" i="14"/>
  <c r="C154" i="14"/>
  <c r="C153" i="14"/>
  <c r="C152" i="14"/>
  <c r="C151" i="14"/>
  <c r="B151" i="14"/>
  <c r="A151" i="14"/>
  <c r="C19" i="14"/>
  <c r="B19" i="14"/>
  <c r="A19" i="14"/>
  <c r="C18" i="14"/>
  <c r="B18" i="14"/>
  <c r="A18" i="14"/>
  <c r="C17" i="14"/>
  <c r="C16" i="14"/>
  <c r="C15" i="14"/>
  <c r="C14" i="14"/>
  <c r="C13" i="14"/>
  <c r="C12" i="14"/>
  <c r="C11" i="14"/>
  <c r="B11" i="14"/>
  <c r="A11" i="14"/>
  <c r="C31" i="14"/>
  <c r="C30" i="14"/>
  <c r="C29" i="14"/>
  <c r="C28" i="14"/>
  <c r="C27" i="14"/>
  <c r="C26" i="14"/>
  <c r="C25" i="14"/>
  <c r="B25" i="14"/>
  <c r="A25" i="14"/>
  <c r="C150" i="14"/>
  <c r="C149" i="14"/>
  <c r="C148" i="14"/>
  <c r="C147" i="14"/>
  <c r="B147" i="14"/>
  <c r="A147" i="14"/>
  <c r="B131" i="13"/>
  <c r="A131" i="13"/>
  <c r="C113" i="13"/>
  <c r="C110" i="13"/>
  <c r="C109" i="13"/>
  <c r="C108" i="13"/>
  <c r="C107" i="13"/>
  <c r="C106" i="13"/>
  <c r="C105" i="13"/>
  <c r="B105" i="13"/>
  <c r="A105" i="13"/>
  <c r="C102" i="13"/>
  <c r="C100" i="13"/>
  <c r="C99" i="13"/>
  <c r="B99" i="13"/>
  <c r="A99" i="13"/>
  <c r="C98" i="13"/>
  <c r="C97" i="13"/>
  <c r="C96" i="13"/>
  <c r="C95" i="13"/>
  <c r="C94" i="13"/>
  <c r="C93" i="13"/>
  <c r="C92" i="13"/>
  <c r="C91" i="13"/>
  <c r="C90" i="13"/>
  <c r="B90" i="13"/>
  <c r="A90" i="13"/>
  <c r="C16" i="13"/>
  <c r="C15" i="13"/>
  <c r="C14" i="13"/>
  <c r="C13" i="13"/>
  <c r="C12" i="13"/>
  <c r="B12" i="13"/>
  <c r="A12" i="13"/>
  <c r="C83" i="13"/>
  <c r="C82" i="13"/>
  <c r="C81" i="13"/>
  <c r="C80" i="13"/>
  <c r="B80" i="13"/>
  <c r="A80" i="13"/>
  <c r="C79" i="13"/>
  <c r="C78" i="13"/>
  <c r="C77" i="13"/>
  <c r="C76" i="13"/>
  <c r="B76" i="13"/>
  <c r="A76" i="13"/>
  <c r="C75" i="13"/>
  <c r="C74" i="13"/>
  <c r="C73" i="13"/>
  <c r="C72" i="13"/>
  <c r="C71" i="13"/>
  <c r="C70" i="13"/>
  <c r="B70" i="13"/>
  <c r="A70" i="13"/>
  <c r="C69" i="13"/>
  <c r="B69" i="13"/>
  <c r="A69" i="13"/>
  <c r="C56" i="13"/>
  <c r="C47" i="13"/>
  <c r="C37" i="13"/>
  <c r="B37" i="13"/>
  <c r="A37" i="13"/>
  <c r="C25" i="13"/>
  <c r="C23" i="13"/>
  <c r="A23" i="13"/>
  <c r="C22" i="13"/>
  <c r="A22" i="13"/>
  <c r="C21" i="13"/>
  <c r="A21" i="13"/>
  <c r="C11" i="13"/>
  <c r="C10" i="13"/>
  <c r="B10" i="13"/>
  <c r="A10" i="13"/>
  <c r="C9" i="13"/>
  <c r="C8" i="13"/>
  <c r="C7" i="13"/>
  <c r="C6" i="13"/>
  <c r="C5" i="13"/>
  <c r="C4" i="13"/>
  <c r="C3" i="13"/>
  <c r="B3" i="13"/>
  <c r="A3" i="13"/>
  <c r="A220" i="11"/>
  <c r="C211" i="11"/>
  <c r="B211" i="11"/>
  <c r="A211" i="11"/>
  <c r="C194" i="11"/>
  <c r="C193" i="11"/>
  <c r="C192" i="11"/>
  <c r="C191" i="11"/>
  <c r="B191" i="11"/>
  <c r="A191" i="11"/>
  <c r="C190" i="11"/>
  <c r="C189" i="11"/>
  <c r="C188" i="11"/>
  <c r="C187" i="11"/>
  <c r="B187" i="11"/>
  <c r="A187" i="11"/>
  <c r="C186" i="11"/>
  <c r="C185" i="11"/>
  <c r="C184" i="11"/>
  <c r="C183" i="11"/>
  <c r="C182" i="11"/>
  <c r="B182" i="11"/>
  <c r="A182" i="11"/>
  <c r="C181" i="11"/>
  <c r="C180" i="11"/>
  <c r="C179" i="11"/>
  <c r="C178" i="11"/>
  <c r="B178" i="11"/>
  <c r="A178" i="11"/>
  <c r="C177" i="11"/>
  <c r="C176" i="11"/>
  <c r="C175" i="11"/>
  <c r="C174" i="11"/>
  <c r="C173" i="11"/>
  <c r="C172" i="11"/>
  <c r="C171" i="11"/>
  <c r="C170" i="11"/>
  <c r="C169" i="11"/>
  <c r="C168" i="11"/>
  <c r="B168" i="11"/>
  <c r="A168" i="11"/>
  <c r="C195" i="11"/>
  <c r="B195" i="11"/>
  <c r="A195" i="11"/>
  <c r="C167" i="11"/>
  <c r="C166" i="11"/>
  <c r="C165" i="11"/>
  <c r="C164" i="11"/>
  <c r="C163" i="11"/>
  <c r="C162" i="11"/>
  <c r="B162" i="11"/>
  <c r="A162" i="11"/>
  <c r="C161" i="11"/>
  <c r="C160" i="11"/>
  <c r="C154" i="11"/>
  <c r="B154" i="11"/>
  <c r="A154" i="11"/>
  <c r="C142" i="11"/>
  <c r="C130" i="11"/>
  <c r="C129" i="11"/>
  <c r="C128" i="11"/>
  <c r="C127" i="11"/>
  <c r="B127" i="11"/>
  <c r="A127" i="11"/>
  <c r="C126" i="11"/>
  <c r="C125" i="11"/>
  <c r="C124" i="11"/>
  <c r="C123" i="11"/>
  <c r="C122" i="11"/>
  <c r="C121" i="11"/>
  <c r="B121" i="11"/>
  <c r="A121" i="11"/>
  <c r="C35" i="11"/>
  <c r="C34" i="11"/>
  <c r="C33" i="11"/>
  <c r="C32" i="11"/>
  <c r="C31" i="11"/>
  <c r="B31" i="11"/>
  <c r="A31" i="11"/>
  <c r="C120" i="11"/>
  <c r="C119" i="11"/>
  <c r="C118" i="11"/>
  <c r="C117" i="11"/>
  <c r="B117" i="11"/>
  <c r="A117" i="11"/>
  <c r="C116" i="11"/>
  <c r="C115" i="11"/>
  <c r="C114" i="11"/>
  <c r="C113" i="11"/>
  <c r="B113" i="11"/>
  <c r="A113" i="11"/>
  <c r="C112" i="11"/>
  <c r="C111" i="11"/>
  <c r="C110" i="11"/>
  <c r="C109" i="11"/>
  <c r="C108" i="11"/>
  <c r="C107" i="11"/>
  <c r="B107" i="11"/>
  <c r="A107" i="11"/>
  <c r="C106" i="11"/>
  <c r="C105" i="11"/>
  <c r="C104" i="11"/>
  <c r="C103" i="11"/>
  <c r="C102" i="11"/>
  <c r="C101" i="11"/>
  <c r="B101" i="11"/>
  <c r="A101" i="11"/>
  <c r="C100" i="11"/>
  <c r="B100" i="11"/>
  <c r="A100" i="11"/>
  <c r="C83" i="11"/>
  <c r="C70" i="11"/>
  <c r="B70" i="11"/>
  <c r="A70" i="11"/>
  <c r="C58" i="11"/>
  <c r="C56" i="11"/>
  <c r="C55" i="11"/>
  <c r="C54" i="11"/>
  <c r="C53" i="11"/>
  <c r="C52" i="11"/>
  <c r="C51" i="11"/>
  <c r="C50" i="11"/>
  <c r="B50" i="11"/>
  <c r="A50" i="11"/>
  <c r="C49" i="11"/>
  <c r="C48" i="11"/>
  <c r="C47" i="11"/>
  <c r="C30" i="11"/>
  <c r="C29" i="11"/>
  <c r="C28" i="11"/>
  <c r="C27" i="11"/>
  <c r="B27" i="11"/>
  <c r="A27" i="11"/>
  <c r="C26" i="11"/>
  <c r="C25" i="11"/>
  <c r="C24" i="11"/>
  <c r="C23" i="11"/>
  <c r="C22" i="11"/>
  <c r="B22" i="11"/>
  <c r="A22" i="11"/>
  <c r="C21" i="11"/>
  <c r="C20" i="11"/>
  <c r="B20" i="11"/>
  <c r="A20" i="11"/>
  <c r="C19" i="11"/>
  <c r="C18" i="11"/>
  <c r="C17" i="11"/>
  <c r="C16" i="11"/>
  <c r="C15" i="11"/>
  <c r="C14" i="11"/>
  <c r="C13" i="11"/>
  <c r="B13" i="11"/>
  <c r="A13" i="11"/>
  <c r="C42" i="11"/>
  <c r="C41" i="11"/>
  <c r="C40" i="11"/>
  <c r="C39" i="11"/>
  <c r="C38" i="11"/>
  <c r="C37" i="11"/>
  <c r="C36" i="11"/>
  <c r="B36" i="11"/>
  <c r="A36" i="11"/>
  <c r="C10" i="11"/>
  <c r="A174" i="10"/>
  <c r="C162" i="10"/>
  <c r="B162" i="10"/>
  <c r="A162" i="10"/>
  <c r="C155" i="10"/>
  <c r="C154" i="10"/>
  <c r="C153" i="10"/>
  <c r="C152" i="10"/>
  <c r="B152" i="10"/>
  <c r="A152" i="10"/>
  <c r="C151" i="10"/>
  <c r="C150" i="10"/>
  <c r="C149" i="10"/>
  <c r="C148" i="10"/>
  <c r="C147" i="10"/>
  <c r="B147" i="10"/>
  <c r="A147" i="10"/>
  <c r="C146" i="10"/>
  <c r="B146" i="10"/>
  <c r="A146" i="10"/>
  <c r="C145" i="10"/>
  <c r="C144" i="10"/>
  <c r="C143" i="10"/>
  <c r="C142" i="10"/>
  <c r="B142" i="10"/>
  <c r="A142" i="10"/>
  <c r="C141" i="10"/>
  <c r="C140" i="10"/>
  <c r="C139" i="10"/>
  <c r="C138" i="10"/>
  <c r="B138" i="10"/>
  <c r="A138" i="10"/>
  <c r="C137" i="10"/>
  <c r="C136" i="10"/>
  <c r="C135" i="10"/>
  <c r="C134" i="10"/>
  <c r="C133" i="10"/>
  <c r="B133" i="10"/>
  <c r="A133" i="10"/>
  <c r="C132" i="10"/>
  <c r="C131" i="10"/>
  <c r="C130" i="10"/>
  <c r="C129" i="10"/>
  <c r="B129" i="10"/>
  <c r="A129" i="10"/>
  <c r="C123" i="10"/>
  <c r="C122" i="10"/>
  <c r="C121" i="10"/>
  <c r="C120" i="10"/>
  <c r="C119" i="10"/>
  <c r="C118" i="10"/>
  <c r="B118" i="10"/>
  <c r="A118" i="10"/>
  <c r="C117" i="10"/>
  <c r="C116" i="10"/>
  <c r="C115" i="10"/>
  <c r="C114" i="10"/>
  <c r="B114" i="10"/>
  <c r="A114" i="10"/>
  <c r="C128" i="10"/>
  <c r="C127" i="10"/>
  <c r="C126" i="10"/>
  <c r="C125" i="10"/>
  <c r="C124" i="10"/>
  <c r="B124" i="10"/>
  <c r="A124" i="10"/>
  <c r="C108" i="10"/>
  <c r="C100" i="10"/>
  <c r="C99" i="10"/>
  <c r="C98" i="10"/>
  <c r="C97" i="10"/>
  <c r="B97" i="10"/>
  <c r="A97" i="10"/>
  <c r="C27" i="10"/>
  <c r="C26" i="10"/>
  <c r="C25" i="10"/>
  <c r="C24" i="10"/>
  <c r="C23" i="10"/>
  <c r="B23" i="10"/>
  <c r="A23" i="10"/>
  <c r="C96" i="10"/>
  <c r="C95" i="10"/>
  <c r="C94" i="10"/>
  <c r="C93" i="10"/>
  <c r="B93" i="10"/>
  <c r="A93" i="10"/>
  <c r="C92" i="10"/>
  <c r="C91" i="10"/>
  <c r="C90" i="10"/>
  <c r="C89" i="10"/>
  <c r="C88" i="10"/>
  <c r="C87" i="10"/>
  <c r="B87" i="10"/>
  <c r="A87" i="10"/>
  <c r="C86" i="10"/>
  <c r="C85" i="10"/>
  <c r="C84" i="10"/>
  <c r="C83" i="10"/>
  <c r="C82" i="10"/>
  <c r="C81" i="10"/>
  <c r="B81" i="10"/>
  <c r="A81" i="10"/>
  <c r="C79" i="10"/>
  <c r="B79" i="10"/>
  <c r="A79" i="10"/>
  <c r="C78" i="10"/>
  <c r="B78" i="10"/>
  <c r="A78" i="10"/>
  <c r="C60" i="10"/>
  <c r="C50" i="10"/>
  <c r="B50" i="10"/>
  <c r="A50" i="10"/>
  <c r="C43" i="10"/>
  <c r="C41" i="10"/>
  <c r="C40" i="10"/>
  <c r="C39" i="10"/>
  <c r="C38" i="10"/>
  <c r="C37" i="10"/>
  <c r="C36" i="10"/>
  <c r="C35" i="10"/>
  <c r="B35" i="10"/>
  <c r="A35" i="10"/>
  <c r="C22" i="10"/>
  <c r="C21" i="10"/>
  <c r="C20" i="10"/>
  <c r="C19" i="10"/>
  <c r="C18" i="10"/>
  <c r="B18" i="10"/>
  <c r="A18" i="10"/>
  <c r="C17" i="10"/>
  <c r="C16" i="10"/>
  <c r="B16" i="10"/>
  <c r="A16" i="10"/>
  <c r="C15" i="10"/>
  <c r="C14" i="10"/>
  <c r="C13" i="10"/>
  <c r="C12" i="10"/>
  <c r="C11" i="10"/>
  <c r="C10" i="10"/>
  <c r="C9" i="10"/>
  <c r="B9" i="10"/>
  <c r="A9" i="10"/>
  <c r="C34" i="10"/>
  <c r="C33" i="10"/>
  <c r="C32" i="10"/>
  <c r="C31" i="10"/>
  <c r="C30" i="10"/>
  <c r="C29" i="10"/>
  <c r="C28" i="10"/>
  <c r="B28" i="10"/>
  <c r="A28" i="10"/>
  <c r="C181" i="9"/>
  <c r="B181" i="9"/>
  <c r="A181" i="9"/>
  <c r="C170" i="9"/>
  <c r="B170" i="9"/>
  <c r="A170" i="9"/>
  <c r="C163" i="9"/>
  <c r="C162" i="9"/>
  <c r="C161" i="9"/>
  <c r="C160" i="9"/>
  <c r="C159" i="9"/>
  <c r="B159" i="9"/>
  <c r="A159" i="9"/>
  <c r="C158" i="9"/>
  <c r="B158" i="9"/>
  <c r="A158" i="9"/>
  <c r="C153" i="9"/>
  <c r="B153" i="9"/>
  <c r="A153" i="9"/>
  <c r="C150" i="9"/>
  <c r="C149" i="9"/>
  <c r="C148" i="9"/>
  <c r="C147" i="9"/>
  <c r="C146" i="9"/>
  <c r="B146" i="9"/>
  <c r="A146" i="9"/>
  <c r="C145" i="9"/>
  <c r="C144" i="9"/>
  <c r="C143" i="9"/>
  <c r="C142" i="9"/>
  <c r="B142" i="9"/>
  <c r="A142" i="9"/>
  <c r="C141" i="9"/>
  <c r="C140" i="9"/>
  <c r="C139" i="9"/>
  <c r="C138" i="9"/>
  <c r="B138" i="9"/>
  <c r="A138" i="9"/>
  <c r="C137" i="9"/>
  <c r="C136" i="9"/>
  <c r="C135" i="9"/>
  <c r="C134" i="9"/>
  <c r="C133" i="9"/>
  <c r="B133" i="9"/>
  <c r="A133" i="9"/>
  <c r="C132" i="9"/>
  <c r="C131" i="9"/>
  <c r="C130" i="9"/>
  <c r="C129" i="9"/>
  <c r="B129" i="9"/>
  <c r="A129" i="9"/>
  <c r="C113" i="9"/>
  <c r="C112" i="9"/>
  <c r="C111" i="9"/>
  <c r="C110" i="9"/>
  <c r="B110" i="9"/>
  <c r="A110" i="9"/>
  <c r="C118" i="9"/>
  <c r="C117" i="9"/>
  <c r="C116" i="9"/>
  <c r="C115" i="9"/>
  <c r="C114" i="9"/>
  <c r="B114" i="9"/>
  <c r="A114" i="9"/>
  <c r="C103" i="9"/>
  <c r="C102" i="9"/>
  <c r="C101" i="9"/>
  <c r="C100" i="9"/>
  <c r="B100" i="9"/>
  <c r="A100" i="9"/>
  <c r="C27" i="9"/>
  <c r="C26" i="9"/>
  <c r="C25" i="9"/>
  <c r="C24" i="9"/>
  <c r="C23" i="9"/>
  <c r="B23" i="9"/>
  <c r="A23" i="9"/>
  <c r="C99" i="9"/>
  <c r="C98" i="9"/>
  <c r="C97" i="9"/>
  <c r="C96" i="9"/>
  <c r="B96" i="9"/>
  <c r="A96" i="9"/>
  <c r="C95" i="9"/>
  <c r="C94" i="9"/>
  <c r="C93" i="9"/>
  <c r="C92" i="9"/>
  <c r="C91" i="9"/>
  <c r="C90" i="9"/>
  <c r="B90" i="9"/>
  <c r="A90" i="9"/>
  <c r="C89" i="9"/>
  <c r="C88" i="9"/>
  <c r="C87" i="9"/>
  <c r="C86" i="9"/>
  <c r="C85" i="9"/>
  <c r="C84" i="9"/>
  <c r="B84" i="9"/>
  <c r="A84" i="9"/>
  <c r="C83" i="9"/>
  <c r="B83" i="9"/>
  <c r="A83" i="9"/>
  <c r="C66" i="9"/>
  <c r="C56" i="9"/>
  <c r="C51" i="9"/>
  <c r="C41" i="9"/>
  <c r="B41" i="9"/>
  <c r="A41" i="9"/>
  <c r="C22" i="9"/>
  <c r="C21" i="9"/>
  <c r="C20" i="9"/>
  <c r="C19" i="9"/>
  <c r="C18" i="9"/>
  <c r="B18" i="9"/>
  <c r="A18" i="9"/>
  <c r="C17" i="9"/>
  <c r="C16" i="9"/>
  <c r="B16" i="9"/>
  <c r="A16" i="9"/>
  <c r="C15" i="9"/>
  <c r="C14" i="9"/>
  <c r="C13" i="9"/>
  <c r="C12" i="9"/>
  <c r="C11" i="9"/>
  <c r="C10" i="9"/>
  <c r="C9" i="9"/>
  <c r="B9" i="9"/>
  <c r="A9" i="9"/>
  <c r="C34" i="9"/>
  <c r="C33" i="9"/>
  <c r="C32" i="9"/>
  <c r="C31" i="9"/>
  <c r="C30" i="9"/>
  <c r="C29" i="9"/>
  <c r="C28" i="9"/>
  <c r="B28" i="9"/>
  <c r="A28" i="9"/>
  <c r="C79" i="34"/>
  <c r="C78" i="34"/>
  <c r="C77" i="34"/>
  <c r="C76" i="34"/>
  <c r="C75" i="34"/>
  <c r="C74" i="34"/>
  <c r="B74" i="34"/>
  <c r="A74" i="34"/>
  <c r="C67" i="34"/>
  <c r="C66" i="34"/>
  <c r="C65" i="34"/>
  <c r="C64" i="34"/>
  <c r="B64" i="34"/>
  <c r="A64" i="34"/>
  <c r="C71" i="34"/>
  <c r="C70" i="34"/>
  <c r="C69" i="34"/>
  <c r="C68" i="34"/>
  <c r="B68" i="34"/>
  <c r="A68" i="34"/>
  <c r="C63" i="34"/>
  <c r="C62" i="34"/>
  <c r="C61" i="34"/>
  <c r="C60" i="34"/>
  <c r="B60" i="34"/>
  <c r="A60" i="34"/>
  <c r="C59" i="34"/>
  <c r="C58" i="34"/>
  <c r="C57" i="34"/>
  <c r="C56" i="34"/>
  <c r="C55" i="34"/>
  <c r="C54" i="34"/>
  <c r="C53" i="34"/>
  <c r="B53" i="34"/>
  <c r="A53" i="34"/>
  <c r="C52" i="34"/>
  <c r="C51" i="34"/>
  <c r="C50" i="34"/>
  <c r="C49" i="34"/>
  <c r="B49" i="34"/>
  <c r="A49" i="34"/>
  <c r="C41" i="34"/>
  <c r="C40" i="34"/>
  <c r="C39" i="34"/>
  <c r="C38" i="34"/>
  <c r="B38" i="34"/>
  <c r="A38" i="34"/>
  <c r="C37" i="34"/>
  <c r="B37" i="34"/>
  <c r="A37" i="34"/>
  <c r="C24" i="34"/>
  <c r="C21" i="34"/>
  <c r="C14" i="34"/>
  <c r="C9" i="34"/>
  <c r="C8" i="34"/>
  <c r="C7" i="34"/>
  <c r="C6" i="34"/>
  <c r="C5" i="34"/>
  <c r="C4" i="34"/>
  <c r="C3" i="34"/>
  <c r="B3" i="34"/>
  <c r="A3" i="34"/>
  <c r="C76" i="12"/>
  <c r="C75" i="12"/>
  <c r="C74" i="12"/>
  <c r="C73" i="12"/>
  <c r="C72" i="12"/>
  <c r="C71" i="12"/>
  <c r="B71" i="12"/>
  <c r="A71" i="12"/>
  <c r="G70" i="12"/>
  <c r="C70" i="12"/>
  <c r="B70" i="12"/>
  <c r="A70" i="12"/>
  <c r="C68" i="12"/>
  <c r="C67" i="12"/>
  <c r="C66" i="12"/>
  <c r="C65" i="12"/>
  <c r="B65" i="12"/>
  <c r="A65" i="12"/>
  <c r="C64" i="12"/>
  <c r="C63" i="12"/>
  <c r="C62" i="12"/>
  <c r="C61" i="12"/>
  <c r="B61" i="12"/>
  <c r="A61" i="12"/>
  <c r="C60" i="12"/>
  <c r="C59" i="12"/>
  <c r="C58" i="12"/>
  <c r="C57" i="12"/>
  <c r="B57" i="12"/>
  <c r="A57" i="12"/>
  <c r="C56" i="12"/>
  <c r="C55" i="12"/>
  <c r="C54" i="12"/>
  <c r="C53" i="12"/>
  <c r="C52" i="12"/>
  <c r="C51" i="12"/>
  <c r="C50" i="12"/>
  <c r="B50" i="12"/>
  <c r="A50" i="12"/>
  <c r="C49" i="12"/>
  <c r="C48" i="12"/>
  <c r="C47" i="12"/>
  <c r="C46" i="12"/>
  <c r="B46" i="12"/>
  <c r="A46" i="12"/>
  <c r="C44" i="12"/>
  <c r="C43" i="12"/>
  <c r="C42" i="12"/>
  <c r="C41" i="12"/>
  <c r="B41" i="12"/>
  <c r="A41" i="12"/>
  <c r="C28" i="12"/>
  <c r="C25" i="12"/>
  <c r="C18" i="12"/>
  <c r="C13" i="12"/>
  <c r="C12" i="12"/>
  <c r="C11" i="12"/>
  <c r="C10" i="12"/>
  <c r="C9" i="12"/>
  <c r="C8" i="12"/>
  <c r="C7" i="12"/>
  <c r="B7" i="12"/>
  <c r="A7" i="12"/>
  <c r="C54" i="31"/>
  <c r="C53" i="31"/>
  <c r="C52" i="31"/>
  <c r="C51" i="31"/>
  <c r="B51" i="31"/>
  <c r="A51" i="31"/>
  <c r="C50" i="31"/>
  <c r="C49" i="31"/>
  <c r="C48" i="31"/>
  <c r="C47" i="31"/>
  <c r="C46" i="31"/>
  <c r="C45" i="31"/>
  <c r="C44" i="31"/>
  <c r="C43" i="31"/>
  <c r="B43" i="31"/>
  <c r="A43" i="31"/>
  <c r="C42" i="31"/>
  <c r="C41" i="31"/>
  <c r="C40" i="31"/>
  <c r="C39" i="31"/>
  <c r="B39" i="31"/>
  <c r="A39" i="31"/>
  <c r="C33" i="31"/>
  <c r="C30" i="31"/>
  <c r="C29" i="31"/>
  <c r="C28" i="31"/>
  <c r="C27" i="31"/>
  <c r="B27" i="31"/>
  <c r="A27" i="31"/>
  <c r="C26" i="31"/>
  <c r="C25" i="31"/>
  <c r="C24" i="31"/>
  <c r="C23" i="31"/>
  <c r="C22" i="31"/>
  <c r="C21" i="31"/>
  <c r="B21" i="31"/>
  <c r="A21" i="31"/>
  <c r="C20" i="31"/>
  <c r="B20" i="31"/>
  <c r="A20" i="31"/>
  <c r="C19" i="31"/>
  <c r="C13" i="31"/>
  <c r="A13" i="31"/>
  <c r="C12" i="31"/>
  <c r="A12" i="31"/>
  <c r="C11" i="31"/>
  <c r="A11" i="31"/>
  <c r="C6" i="31"/>
  <c r="C5" i="31"/>
  <c r="C4" i="31"/>
  <c r="C3" i="31"/>
  <c r="B3" i="31"/>
  <c r="A3" i="31"/>
  <c r="C109" i="8"/>
  <c r="C108" i="8"/>
  <c r="C107" i="8"/>
  <c r="C106" i="8"/>
  <c r="B106" i="8"/>
  <c r="A106" i="8"/>
  <c r="C105" i="8"/>
  <c r="C104" i="8"/>
  <c r="C103" i="8"/>
  <c r="C102" i="8"/>
  <c r="B102" i="8"/>
  <c r="A102" i="8"/>
  <c r="C101" i="8"/>
  <c r="C100" i="8"/>
  <c r="C99" i="8"/>
  <c r="C98" i="8"/>
  <c r="C97" i="8"/>
  <c r="B97" i="8"/>
  <c r="A97" i="8"/>
  <c r="C96" i="8"/>
  <c r="C95" i="8"/>
  <c r="C94" i="8"/>
  <c r="C93" i="8"/>
  <c r="B93" i="8"/>
  <c r="A93" i="8"/>
  <c r="C92" i="8"/>
  <c r="C91" i="8"/>
  <c r="C90" i="8"/>
  <c r="C89" i="8"/>
  <c r="B89" i="8"/>
  <c r="A89" i="8"/>
  <c r="C88" i="8"/>
  <c r="B88" i="8"/>
  <c r="A88" i="8"/>
  <c r="C82" i="8"/>
  <c r="C28" i="8"/>
  <c r="C27" i="8"/>
  <c r="C26" i="8"/>
  <c r="C25" i="8"/>
  <c r="C24" i="8"/>
  <c r="B24" i="8"/>
  <c r="A24" i="8"/>
  <c r="C75" i="8"/>
  <c r="C74" i="8"/>
  <c r="C73" i="8"/>
  <c r="C72" i="8"/>
  <c r="B72" i="8"/>
  <c r="A72" i="8"/>
  <c r="C71" i="8"/>
  <c r="C70" i="8"/>
  <c r="C69" i="8"/>
  <c r="C68" i="8"/>
  <c r="B68" i="8"/>
  <c r="A68" i="8"/>
  <c r="C67" i="8"/>
  <c r="C66" i="8"/>
  <c r="C65" i="8"/>
  <c r="C64" i="8"/>
  <c r="C63" i="8"/>
  <c r="C62" i="8"/>
  <c r="B62" i="8"/>
  <c r="A62" i="8"/>
  <c r="C61" i="8"/>
  <c r="C60" i="8"/>
  <c r="C59" i="8"/>
  <c r="C58" i="8"/>
  <c r="C57" i="8"/>
  <c r="C56" i="8"/>
  <c r="B56" i="8"/>
  <c r="A56" i="8"/>
  <c r="C55" i="8"/>
  <c r="B55" i="8"/>
  <c r="A55" i="8"/>
  <c r="C49" i="8"/>
  <c r="C42" i="8"/>
  <c r="B42" i="8"/>
  <c r="A42" i="8"/>
  <c r="C23" i="8"/>
  <c r="C22" i="8"/>
  <c r="C21" i="8"/>
  <c r="C20" i="8"/>
  <c r="B20" i="8"/>
  <c r="A20" i="8"/>
  <c r="C19" i="8"/>
  <c r="C18" i="8"/>
  <c r="C17" i="8"/>
  <c r="B16" i="8"/>
  <c r="A16" i="8"/>
  <c r="C15" i="8"/>
  <c r="C14" i="8"/>
  <c r="C13" i="8"/>
  <c r="C12" i="8"/>
  <c r="C11" i="8"/>
  <c r="C10" i="8"/>
  <c r="C9" i="8"/>
  <c r="B9" i="8"/>
  <c r="A9" i="8"/>
  <c r="C35" i="8"/>
  <c r="C34" i="8"/>
  <c r="C33" i="8"/>
  <c r="C32" i="8"/>
  <c r="C31" i="8"/>
  <c r="C30" i="8"/>
  <c r="C29" i="8"/>
  <c r="B29" i="8"/>
  <c r="A29" i="8"/>
  <c r="C99" i="22"/>
  <c r="B99" i="22"/>
  <c r="D73" i="24"/>
  <c r="G73" i="24" s="1"/>
  <c r="D72" i="24"/>
  <c r="G72" i="24" s="1"/>
  <c r="D71" i="24"/>
  <c r="G71" i="24" s="1"/>
  <c r="B3" i="24"/>
  <c r="C3" i="24"/>
  <c r="C4" i="24"/>
  <c r="C5" i="24"/>
  <c r="C6" i="24"/>
  <c r="A30" i="24"/>
  <c r="B30" i="24"/>
  <c r="C30" i="24"/>
  <c r="C31" i="24"/>
  <c r="C32" i="24"/>
  <c r="C33" i="24"/>
  <c r="A35" i="24"/>
  <c r="B35" i="24"/>
  <c r="C35" i="24"/>
  <c r="C36" i="24"/>
  <c r="C37" i="24"/>
  <c r="C38" i="24"/>
  <c r="C39" i="24"/>
  <c r="C40" i="24"/>
  <c r="A41" i="24"/>
  <c r="B41" i="24"/>
  <c r="C41" i="24"/>
  <c r="C42" i="24"/>
  <c r="C43" i="24"/>
  <c r="A44" i="24"/>
  <c r="B44" i="24"/>
  <c r="C44" i="24"/>
  <c r="C45" i="24"/>
  <c r="C46" i="24"/>
  <c r="C47" i="24"/>
  <c r="C49" i="24"/>
  <c r="C50" i="24"/>
  <c r="C51" i="24"/>
  <c r="C52" i="24"/>
  <c r="A53" i="24"/>
  <c r="B53" i="24"/>
  <c r="C53" i="24"/>
  <c r="C54" i="24"/>
  <c r="C55" i="24"/>
  <c r="C56" i="24"/>
  <c r="C57" i="24"/>
  <c r="C59" i="24"/>
  <c r="C60" i="24"/>
  <c r="C61" i="24"/>
  <c r="C62" i="24"/>
  <c r="C63" i="24"/>
  <c r="C64" i="24"/>
  <c r="A65" i="24"/>
  <c r="B65" i="24"/>
  <c r="C65" i="24"/>
  <c r="C66" i="24"/>
  <c r="A70" i="24"/>
  <c r="B70" i="24"/>
  <c r="A71" i="24"/>
  <c r="B71" i="24"/>
  <c r="C71" i="24"/>
  <c r="A72" i="24"/>
  <c r="B72" i="24"/>
  <c r="C72" i="24"/>
  <c r="C73" i="24"/>
  <c r="A74" i="24"/>
  <c r="B74" i="24"/>
  <c r="D74" i="24"/>
  <c r="G74" i="24" s="1"/>
  <c r="C75" i="24"/>
  <c r="A76" i="24"/>
  <c r="B76" i="24"/>
  <c r="A3" i="25"/>
  <c r="B3" i="25"/>
  <c r="C3" i="25"/>
  <c r="C5" i="25"/>
  <c r="C6" i="25"/>
  <c r="C7" i="25"/>
  <c r="C8" i="25"/>
  <c r="A9" i="25"/>
  <c r="B9" i="25"/>
  <c r="C9" i="25"/>
  <c r="C10" i="25"/>
  <c r="C11" i="25"/>
  <c r="C12" i="25"/>
  <c r="C13" i="25"/>
  <c r="C14" i="25"/>
  <c r="A206" i="25"/>
  <c r="B206" i="25"/>
  <c r="C206" i="25"/>
  <c r="C207" i="25"/>
  <c r="C208" i="25"/>
  <c r="C209" i="25"/>
  <c r="C211" i="25"/>
  <c r="C212" i="25"/>
  <c r="A15" i="25"/>
  <c r="B15" i="25"/>
  <c r="C15" i="25"/>
  <c r="C16" i="25"/>
  <c r="A37" i="25"/>
  <c r="B37" i="25"/>
  <c r="C37" i="25"/>
  <c r="C38" i="25"/>
  <c r="C39" i="25"/>
  <c r="C40" i="25"/>
  <c r="C41" i="25"/>
  <c r="C42" i="25"/>
  <c r="A44" i="25"/>
  <c r="B44" i="25"/>
  <c r="C44" i="25"/>
  <c r="C45" i="25"/>
  <c r="C46" i="25"/>
  <c r="C47" i="25"/>
  <c r="C48" i="25"/>
  <c r="C49" i="25"/>
  <c r="C50" i="25"/>
  <c r="A51" i="25"/>
  <c r="B51" i="25"/>
  <c r="C51" i="25"/>
  <c r="C52" i="25"/>
  <c r="C54" i="25"/>
  <c r="C55" i="25"/>
  <c r="A56" i="25"/>
  <c r="B56" i="25"/>
  <c r="C56" i="25"/>
  <c r="C57" i="25"/>
  <c r="C58" i="25"/>
  <c r="C59" i="25"/>
  <c r="C60" i="25"/>
  <c r="C61" i="25"/>
  <c r="A62" i="25"/>
  <c r="B62" i="25"/>
  <c r="C62" i="25"/>
  <c r="C64" i="25"/>
  <c r="C65" i="25"/>
  <c r="C99" i="25"/>
  <c r="A101" i="25"/>
  <c r="B101" i="25"/>
  <c r="C101" i="25"/>
  <c r="C102" i="25"/>
  <c r="C103" i="25"/>
  <c r="C104" i="25"/>
  <c r="C105" i="25"/>
  <c r="A106" i="25"/>
  <c r="B106" i="25"/>
  <c r="C106" i="25"/>
  <c r="C107" i="25"/>
  <c r="C108" i="25"/>
  <c r="A116" i="25"/>
  <c r="B116" i="25"/>
  <c r="C116" i="25"/>
  <c r="C117" i="25"/>
  <c r="C118" i="25"/>
  <c r="C119" i="25"/>
  <c r="A130" i="25"/>
  <c r="B130" i="25"/>
  <c r="C130" i="25"/>
  <c r="C131" i="25"/>
  <c r="C132" i="25"/>
  <c r="C133" i="25"/>
  <c r="C134" i="25"/>
  <c r="A136" i="25"/>
  <c r="B136" i="25"/>
  <c r="C136" i="25"/>
  <c r="C137" i="25"/>
  <c r="C138" i="25"/>
  <c r="C139" i="25"/>
  <c r="C140" i="25"/>
  <c r="C141" i="25"/>
  <c r="A142" i="25"/>
  <c r="B142" i="25"/>
  <c r="C142" i="25"/>
  <c r="C143" i="25"/>
  <c r="C145" i="25"/>
  <c r="C146" i="25"/>
  <c r="C147" i="25"/>
  <c r="C148" i="25"/>
  <c r="C149" i="25"/>
  <c r="A189" i="25"/>
  <c r="B189" i="25"/>
  <c r="C189" i="25"/>
  <c r="C190" i="25"/>
  <c r="C191" i="25"/>
  <c r="C192" i="25"/>
  <c r="C193" i="25"/>
  <c r="C194" i="25"/>
  <c r="C199" i="25"/>
  <c r="A200" i="25"/>
  <c r="B200" i="25"/>
  <c r="C200" i="25"/>
  <c r="C201" i="25"/>
  <c r="C203" i="25"/>
  <c r="C204" i="25"/>
  <c r="C205" i="25"/>
  <c r="A213" i="25"/>
  <c r="B213" i="25"/>
  <c r="C213" i="25"/>
  <c r="C214" i="25"/>
  <c r="C215" i="25"/>
  <c r="C218" i="25"/>
  <c r="C219" i="25"/>
  <c r="C220" i="25"/>
  <c r="C221" i="25"/>
  <c r="A222" i="25"/>
  <c r="B222" i="25"/>
  <c r="C222" i="25"/>
  <c r="C223" i="25"/>
  <c r="C224" i="25"/>
  <c r="C225" i="25"/>
  <c r="C226" i="25"/>
  <c r="C227" i="25"/>
  <c r="C229" i="25"/>
  <c r="C230" i="25"/>
  <c r="C231" i="25"/>
  <c r="C232" i="25"/>
  <c r="C11" i="26"/>
  <c r="A13" i="26"/>
  <c r="B13" i="26"/>
  <c r="C13" i="26"/>
  <c r="C14" i="26"/>
  <c r="C15" i="26"/>
  <c r="C16" i="26"/>
  <c r="A17" i="26"/>
  <c r="B17" i="26"/>
  <c r="C17" i="26"/>
  <c r="C18" i="26"/>
  <c r="C19" i="26"/>
  <c r="C21" i="26"/>
  <c r="C22" i="26"/>
  <c r="C23" i="26"/>
  <c r="C24" i="26"/>
  <c r="C25" i="26"/>
  <c r="C29" i="26"/>
  <c r="C30" i="26"/>
  <c r="A3" i="28"/>
  <c r="B3" i="28"/>
  <c r="C3" i="28"/>
  <c r="C4" i="28"/>
  <c r="C5" i="28"/>
  <c r="C6" i="28"/>
  <c r="A9" i="28"/>
  <c r="B9" i="28"/>
  <c r="C9" i="28"/>
  <c r="C10" i="28"/>
  <c r="C11" i="28"/>
  <c r="C12" i="28"/>
  <c r="C13" i="28"/>
  <c r="C14" i="28"/>
  <c r="C35" i="28"/>
  <c r="A3" i="27"/>
  <c r="B3" i="27"/>
  <c r="C3" i="27"/>
  <c r="C4" i="27"/>
  <c r="C5" i="27"/>
  <c r="C6" i="27"/>
  <c r="A16" i="27"/>
  <c r="B16" i="27"/>
  <c r="C16" i="27"/>
  <c r="C17" i="27"/>
  <c r="C18" i="27"/>
  <c r="C19" i="27"/>
  <c r="C20" i="27"/>
  <c r="C21" i="27"/>
  <c r="A26" i="27"/>
  <c r="B26" i="27"/>
  <c r="C26" i="27"/>
  <c r="A28" i="27"/>
  <c r="B28" i="27"/>
  <c r="C28" i="27"/>
  <c r="C29" i="27"/>
  <c r="C30" i="27"/>
  <c r="C31" i="27"/>
  <c r="C33" i="27"/>
  <c r="C34" i="27"/>
  <c r="C35" i="27"/>
  <c r="C36" i="27"/>
  <c r="A37" i="27"/>
  <c r="B37" i="27"/>
  <c r="C37" i="27"/>
  <c r="C38" i="27"/>
  <c r="C39" i="27"/>
  <c r="C40" i="27"/>
  <c r="C41" i="27"/>
  <c r="C43" i="27"/>
  <c r="C44" i="27"/>
  <c r="C45" i="27"/>
  <c r="C46" i="27"/>
  <c r="C47" i="27"/>
  <c r="C48" i="27"/>
  <c r="A49" i="27"/>
  <c r="B49" i="27"/>
  <c r="C49" i="27"/>
  <c r="C50" i="27"/>
  <c r="A3" i="23"/>
  <c r="B3" i="23"/>
  <c r="C3" i="23"/>
  <c r="C4" i="23"/>
  <c r="C5" i="23"/>
  <c r="C6" i="23"/>
  <c r="A158" i="23"/>
  <c r="B158" i="23"/>
  <c r="C158" i="23"/>
  <c r="C159" i="23"/>
  <c r="C160" i="23"/>
  <c r="C161" i="23"/>
  <c r="C163" i="23"/>
  <c r="C164" i="23"/>
  <c r="A16" i="23"/>
  <c r="B16" i="23"/>
  <c r="C16" i="23"/>
  <c r="C17" i="23"/>
  <c r="C18" i="23"/>
  <c r="C19" i="23"/>
  <c r="C20" i="23"/>
  <c r="C21" i="23"/>
  <c r="A23" i="23"/>
  <c r="B23" i="23"/>
  <c r="C23" i="23"/>
  <c r="C24" i="23"/>
  <c r="C25" i="23"/>
  <c r="C26" i="23"/>
  <c r="C27" i="23"/>
  <c r="C28" i="23"/>
  <c r="C29" i="23"/>
  <c r="A30" i="23"/>
  <c r="B30" i="23"/>
  <c r="C30" i="23"/>
  <c r="C31" i="23"/>
  <c r="C32" i="23"/>
  <c r="C33" i="23"/>
  <c r="C34" i="23"/>
  <c r="C35" i="23"/>
  <c r="A57" i="23"/>
  <c r="B57" i="23"/>
  <c r="C57" i="23"/>
  <c r="A58" i="23"/>
  <c r="C58" i="23"/>
  <c r="A59" i="23"/>
  <c r="C59" i="23"/>
  <c r="A60" i="23"/>
  <c r="C60" i="23"/>
  <c r="A71" i="23"/>
  <c r="B71" i="23"/>
  <c r="C71" i="23"/>
  <c r="C72" i="23"/>
  <c r="C73" i="23"/>
  <c r="C74" i="23"/>
  <c r="C75" i="23"/>
  <c r="C76" i="23"/>
  <c r="C78" i="23"/>
  <c r="C79" i="23"/>
  <c r="C80" i="23"/>
  <c r="C81" i="23"/>
  <c r="A82" i="23"/>
  <c r="B82" i="23"/>
  <c r="C82" i="23"/>
  <c r="C83" i="23"/>
  <c r="C84" i="23"/>
  <c r="C85" i="23"/>
  <c r="C86" i="23"/>
  <c r="A88" i="23"/>
  <c r="B88" i="23"/>
  <c r="C88" i="23"/>
  <c r="C89" i="23"/>
  <c r="C90" i="23"/>
  <c r="C91" i="23"/>
  <c r="C92" i="23"/>
  <c r="C93" i="23"/>
  <c r="A94" i="23"/>
  <c r="B94" i="23"/>
  <c r="C94" i="23"/>
  <c r="C95" i="23"/>
  <c r="C96" i="23"/>
  <c r="C97" i="23"/>
  <c r="C131" i="23"/>
  <c r="C133" i="23"/>
  <c r="C134" i="23"/>
  <c r="A135" i="23"/>
  <c r="B135" i="23"/>
  <c r="C135" i="23"/>
  <c r="C136" i="23"/>
  <c r="C137" i="23"/>
  <c r="C138" i="23"/>
  <c r="C139" i="23"/>
  <c r="C140" i="23"/>
  <c r="A147" i="23"/>
  <c r="B147" i="23"/>
  <c r="C147" i="23"/>
  <c r="C148" i="23"/>
  <c r="C149" i="23"/>
  <c r="C150" i="23"/>
  <c r="A151" i="23"/>
  <c r="B151" i="23"/>
  <c r="C151" i="23"/>
  <c r="C152" i="23"/>
  <c r="C154" i="23"/>
  <c r="C155" i="23"/>
  <c r="C156" i="23"/>
  <c r="C157" i="23"/>
  <c r="A165" i="23"/>
  <c r="B165" i="23"/>
  <c r="C165" i="23"/>
  <c r="C166" i="23"/>
  <c r="C167" i="23"/>
  <c r="C169" i="23"/>
  <c r="C171" i="23"/>
  <c r="C172" i="23"/>
  <c r="C173" i="23"/>
  <c r="A174" i="23"/>
  <c r="B174" i="23"/>
  <c r="C174" i="23"/>
  <c r="C175" i="23"/>
  <c r="C176" i="23"/>
  <c r="C177" i="23"/>
  <c r="A179" i="23"/>
  <c r="B179" i="23"/>
  <c r="C179" i="23"/>
  <c r="C180" i="23"/>
  <c r="C181" i="23"/>
  <c r="C182" i="23"/>
  <c r="C183" i="23"/>
  <c r="C184" i="23"/>
  <c r="A185" i="23"/>
  <c r="B185" i="23"/>
  <c r="C185" i="23"/>
  <c r="C186" i="23"/>
  <c r="C187" i="23"/>
  <c r="C196" i="23"/>
  <c r="C197" i="23"/>
  <c r="C198" i="23"/>
  <c r="C199" i="23"/>
  <c r="C200" i="23"/>
  <c r="C201" i="23"/>
  <c r="A202" i="23"/>
  <c r="B202" i="23"/>
  <c r="C202" i="23"/>
  <c r="C203" i="23"/>
  <c r="A208" i="23"/>
  <c r="B208" i="23"/>
  <c r="C208" i="23"/>
  <c r="A211" i="23"/>
  <c r="B211" i="23"/>
  <c r="C211" i="23"/>
  <c r="C212" i="23"/>
  <c r="B240" i="23"/>
  <c r="B242" i="23"/>
  <c r="A22" i="22"/>
  <c r="B22" i="22"/>
  <c r="C22" i="22"/>
  <c r="C24" i="22"/>
  <c r="C25" i="22"/>
  <c r="C26" i="22"/>
  <c r="C27" i="22"/>
  <c r="C28" i="22"/>
  <c r="C49" i="22"/>
  <c r="A50" i="22"/>
  <c r="B50" i="22"/>
  <c r="C50" i="22"/>
  <c r="C51" i="22"/>
  <c r="C52" i="22"/>
  <c r="C53" i="22"/>
  <c r="A60" i="22"/>
  <c r="B60" i="22"/>
  <c r="C60" i="22"/>
  <c r="C61" i="22"/>
  <c r="C62" i="22"/>
  <c r="C63" i="22"/>
  <c r="C65" i="22"/>
  <c r="A66" i="22"/>
  <c r="B66" i="22"/>
  <c r="C66" i="22"/>
  <c r="C67" i="22"/>
  <c r="C68" i="22"/>
  <c r="C70" i="22"/>
  <c r="C71" i="22"/>
  <c r="C72" i="22"/>
  <c r="C73" i="22"/>
  <c r="A74" i="22"/>
  <c r="B74" i="22"/>
  <c r="C74" i="22"/>
  <c r="A76" i="22"/>
  <c r="B76" i="22"/>
  <c r="C76" i="22"/>
  <c r="C77" i="22"/>
  <c r="A3" i="21"/>
  <c r="B3" i="21"/>
  <c r="C3" i="21"/>
  <c r="C4" i="21"/>
  <c r="C5" i="21"/>
  <c r="C6" i="21"/>
  <c r="A17" i="21"/>
  <c r="B17" i="21"/>
  <c r="C17" i="21"/>
  <c r="C19" i="21"/>
  <c r="C20" i="21"/>
  <c r="C21" i="21"/>
  <c r="C22" i="21"/>
  <c r="A23" i="21"/>
  <c r="B23" i="21"/>
  <c r="C23" i="21"/>
  <c r="C24" i="21"/>
  <c r="C25" i="21"/>
  <c r="C26" i="21"/>
  <c r="C27" i="21"/>
  <c r="A29" i="21"/>
  <c r="B29" i="21"/>
  <c r="C29" i="21"/>
  <c r="C30" i="21"/>
  <c r="C31" i="21"/>
  <c r="A32" i="21"/>
  <c r="B32" i="21"/>
  <c r="C32" i="21"/>
  <c r="C33" i="21"/>
  <c r="C34" i="21"/>
  <c r="C35" i="21"/>
  <c r="C36" i="21"/>
  <c r="C37" i="21"/>
  <c r="A175" i="21"/>
  <c r="B175" i="21"/>
  <c r="C175" i="21"/>
  <c r="C176" i="21"/>
  <c r="C177" i="21"/>
  <c r="C178" i="21"/>
  <c r="C180" i="21"/>
  <c r="C181" i="21"/>
  <c r="A38" i="21"/>
  <c r="B38" i="21"/>
  <c r="C38" i="21"/>
  <c r="C39" i="21"/>
  <c r="C40" i="21"/>
  <c r="C41" i="21"/>
  <c r="C42" i="21"/>
  <c r="C43" i="21"/>
  <c r="A45" i="21"/>
  <c r="B45" i="21"/>
  <c r="C45" i="21"/>
  <c r="C46" i="21"/>
  <c r="C47" i="21"/>
  <c r="C48" i="21"/>
  <c r="C49" i="21"/>
  <c r="C50" i="21"/>
  <c r="C51" i="21"/>
  <c r="A52" i="21"/>
  <c r="B52" i="21"/>
  <c r="C52" i="21"/>
  <c r="C53" i="21"/>
  <c r="C54" i="21"/>
  <c r="C55" i="21"/>
  <c r="C56" i="21"/>
  <c r="C57" i="21"/>
  <c r="A58" i="21"/>
  <c r="B58" i="21"/>
  <c r="C58" i="21"/>
  <c r="C60" i="21"/>
  <c r="C61" i="21"/>
  <c r="A78" i="21"/>
  <c r="B78" i="21"/>
  <c r="C78" i="21"/>
  <c r="C80" i="21"/>
  <c r="C81" i="21"/>
  <c r="C82" i="21"/>
  <c r="C83" i="21"/>
  <c r="C84" i="21"/>
  <c r="A85" i="21"/>
  <c r="B85" i="21"/>
  <c r="C85" i="21"/>
  <c r="C86" i="21"/>
  <c r="C87" i="21"/>
  <c r="C88" i="21"/>
  <c r="C89" i="21"/>
  <c r="C90" i="21"/>
  <c r="A99" i="21"/>
  <c r="B99" i="21"/>
  <c r="C99" i="21"/>
  <c r="C100" i="21"/>
  <c r="C101" i="21"/>
  <c r="C102" i="21"/>
  <c r="C152" i="21"/>
  <c r="C154" i="21"/>
  <c r="C155" i="21"/>
  <c r="A156" i="21"/>
  <c r="B156" i="21"/>
  <c r="C156" i="21"/>
  <c r="C157" i="21"/>
  <c r="C158" i="21"/>
  <c r="C159" i="21"/>
  <c r="C160" i="21"/>
  <c r="C161" i="21"/>
  <c r="C166" i="21"/>
  <c r="A167" i="21"/>
  <c r="B167" i="21"/>
  <c r="C167" i="21"/>
  <c r="C168" i="21"/>
  <c r="C169" i="21"/>
  <c r="C170" i="21"/>
  <c r="A171" i="21"/>
  <c r="B171" i="21"/>
  <c r="C171" i="21"/>
  <c r="A182" i="21"/>
  <c r="B182" i="21"/>
  <c r="C182" i="21"/>
  <c r="C183" i="21"/>
  <c r="C184" i="21"/>
  <c r="C185" i="21"/>
  <c r="C186" i="21"/>
  <c r="C187" i="21"/>
  <c r="A188" i="21"/>
  <c r="B188" i="21"/>
  <c r="C188" i="21"/>
  <c r="C189" i="21"/>
  <c r="C190" i="21"/>
  <c r="A191" i="21"/>
  <c r="B191" i="21"/>
  <c r="C191" i="21"/>
  <c r="C193" i="21"/>
  <c r="C194" i="21"/>
  <c r="C195" i="21"/>
  <c r="C196" i="21"/>
  <c r="C197" i="21"/>
  <c r="C198" i="21"/>
  <c r="A199" i="21"/>
  <c r="B199" i="21"/>
  <c r="C199" i="21"/>
  <c r="C200" i="21"/>
  <c r="A205" i="21"/>
  <c r="B205" i="21"/>
  <c r="C205" i="21"/>
  <c r="C206" i="21"/>
  <c r="A236" i="21"/>
  <c r="B236" i="21"/>
  <c r="C236" i="21"/>
  <c r="C237" i="21"/>
  <c r="C238" i="21"/>
  <c r="A10" i="20"/>
  <c r="B10" i="20"/>
  <c r="C10" i="20"/>
  <c r="C11" i="20"/>
  <c r="C12" i="20"/>
  <c r="C13" i="20"/>
  <c r="C14" i="20"/>
  <c r="C15" i="20"/>
  <c r="A156" i="20"/>
  <c r="B156" i="20"/>
  <c r="C156" i="20"/>
  <c r="C157" i="20"/>
  <c r="C158" i="20"/>
  <c r="C159" i="20"/>
  <c r="C161" i="20"/>
  <c r="C162" i="20"/>
  <c r="A16" i="20"/>
  <c r="B16" i="20"/>
  <c r="C16" i="20"/>
  <c r="C17" i="20"/>
  <c r="C18" i="20"/>
  <c r="C19" i="20"/>
  <c r="C20" i="20"/>
  <c r="C21" i="20"/>
  <c r="A23" i="20"/>
  <c r="B23" i="20"/>
  <c r="C23" i="20"/>
  <c r="C24" i="20"/>
  <c r="C25" i="20"/>
  <c r="C26" i="20"/>
  <c r="C27" i="20"/>
  <c r="C28" i="20"/>
  <c r="C29" i="20"/>
  <c r="A30" i="20"/>
  <c r="B30" i="20"/>
  <c r="C30" i="20"/>
  <c r="C31" i="20"/>
  <c r="C33" i="20"/>
  <c r="A34" i="20"/>
  <c r="B34" i="20"/>
  <c r="C34" i="20"/>
  <c r="C35" i="20"/>
  <c r="C36" i="20"/>
  <c r="C37" i="20"/>
  <c r="C38" i="20"/>
  <c r="C39" i="20"/>
  <c r="A56" i="20"/>
  <c r="B56" i="20"/>
  <c r="C56" i="20"/>
  <c r="A57" i="20"/>
  <c r="C57" i="20"/>
  <c r="A58" i="20"/>
  <c r="C58" i="20"/>
  <c r="A59" i="20"/>
  <c r="C59" i="20"/>
  <c r="A70" i="20"/>
  <c r="B70" i="20"/>
  <c r="C70" i="20"/>
  <c r="C72" i="20"/>
  <c r="C73" i="20"/>
  <c r="C74" i="20"/>
  <c r="C75" i="20"/>
  <c r="A76" i="20"/>
  <c r="B76" i="20"/>
  <c r="C76" i="20"/>
  <c r="A77" i="20"/>
  <c r="B77" i="20"/>
  <c r="C77" i="20"/>
  <c r="A78" i="20"/>
  <c r="B78" i="20"/>
  <c r="C78" i="20"/>
  <c r="C79" i="20"/>
  <c r="C80" i="20"/>
  <c r="C81" i="20"/>
  <c r="C82" i="20"/>
  <c r="C83" i="20"/>
  <c r="C85" i="20"/>
  <c r="C86" i="20"/>
  <c r="C87" i="20"/>
  <c r="C88" i="20"/>
  <c r="A89" i="20"/>
  <c r="B89" i="20"/>
  <c r="C89" i="20"/>
  <c r="C90" i="20"/>
  <c r="C91" i="20"/>
  <c r="C92" i="20"/>
  <c r="C93" i="20"/>
  <c r="A95" i="20"/>
  <c r="B95" i="20"/>
  <c r="C95" i="20"/>
  <c r="C96" i="20"/>
  <c r="C97" i="20"/>
  <c r="C98" i="20"/>
  <c r="A99" i="20"/>
  <c r="B99" i="20"/>
  <c r="C99" i="20"/>
  <c r="C100" i="20"/>
  <c r="C101" i="20"/>
  <c r="C102" i="20"/>
  <c r="C104" i="20"/>
  <c r="A105" i="20"/>
  <c r="B105" i="20"/>
  <c r="C105" i="20"/>
  <c r="C106" i="20"/>
  <c r="C107" i="20"/>
  <c r="C108" i="20"/>
  <c r="C109" i="20"/>
  <c r="C110" i="20"/>
  <c r="A111" i="20"/>
  <c r="B111" i="20"/>
  <c r="C111" i="20"/>
  <c r="C112" i="20"/>
  <c r="C114" i="20"/>
  <c r="C115" i="20"/>
  <c r="C116" i="20"/>
  <c r="C117" i="20"/>
  <c r="C118" i="20"/>
  <c r="A126" i="20"/>
  <c r="B126" i="20"/>
  <c r="C126" i="20"/>
  <c r="C127" i="20"/>
  <c r="C128" i="20"/>
  <c r="C129" i="20"/>
  <c r="C164" i="20"/>
  <c r="C165" i="20"/>
  <c r="C166" i="20"/>
  <c r="C167" i="20"/>
  <c r="C168" i="20"/>
  <c r="A169" i="20"/>
  <c r="B169" i="20"/>
  <c r="C169" i="20"/>
  <c r="C170" i="20"/>
  <c r="C171" i="20"/>
  <c r="C172" i="20"/>
  <c r="C173" i="20"/>
  <c r="C174" i="20"/>
  <c r="A175" i="20"/>
  <c r="B175" i="20"/>
  <c r="C175" i="20"/>
  <c r="C176" i="20"/>
  <c r="C177" i="20"/>
  <c r="C179" i="20"/>
  <c r="C180" i="20"/>
  <c r="C181" i="20"/>
  <c r="C182" i="20"/>
  <c r="C183" i="20"/>
  <c r="C184" i="20"/>
  <c r="A185" i="20"/>
  <c r="B185" i="20"/>
  <c r="C185" i="20"/>
  <c r="C186" i="20"/>
  <c r="C205" i="20"/>
  <c r="A133" i="19"/>
  <c r="C133" i="19"/>
  <c r="C134" i="19"/>
  <c r="C135" i="19"/>
  <c r="C136" i="19"/>
  <c r="C138" i="19"/>
  <c r="C139" i="19"/>
  <c r="A3" i="19"/>
  <c r="B3" i="19"/>
  <c r="C3" i="19"/>
  <c r="C4" i="19"/>
  <c r="C5" i="19"/>
  <c r="C6" i="19"/>
  <c r="C7" i="19"/>
  <c r="C8" i="19"/>
  <c r="A10" i="19"/>
  <c r="B10" i="19"/>
  <c r="C10" i="19"/>
  <c r="C11" i="19"/>
  <c r="C12" i="19"/>
  <c r="C13" i="19"/>
  <c r="C14" i="19"/>
  <c r="C15" i="19"/>
  <c r="C16" i="19"/>
  <c r="A17" i="19"/>
  <c r="B17" i="19"/>
  <c r="C17" i="19"/>
  <c r="C18" i="19"/>
  <c r="C20" i="19"/>
  <c r="C21" i="19"/>
  <c r="A22" i="19"/>
  <c r="B22" i="19"/>
  <c r="C22" i="19"/>
  <c r="C23" i="19"/>
  <c r="C24" i="19"/>
  <c r="C25" i="19"/>
  <c r="C26" i="19"/>
  <c r="C27" i="19"/>
  <c r="A57" i="19"/>
  <c r="B57" i="19"/>
  <c r="C57" i="19"/>
  <c r="A58" i="19"/>
  <c r="C58" i="19"/>
  <c r="A59" i="19"/>
  <c r="C59" i="19"/>
  <c r="A60" i="19"/>
  <c r="C60" i="19"/>
  <c r="A71" i="19"/>
  <c r="B71" i="19"/>
  <c r="C71" i="19"/>
  <c r="C73" i="19"/>
  <c r="C74" i="19"/>
  <c r="C75" i="19"/>
  <c r="C76" i="19"/>
  <c r="C77" i="19"/>
  <c r="A78" i="19"/>
  <c r="B78" i="19"/>
  <c r="C78" i="19"/>
  <c r="A79" i="19"/>
  <c r="B79" i="19"/>
  <c r="C79" i="19"/>
  <c r="A80" i="19"/>
  <c r="B80" i="19"/>
  <c r="C80" i="19"/>
  <c r="C81" i="19"/>
  <c r="C82" i="19"/>
  <c r="C83" i="19"/>
  <c r="C84" i="19"/>
  <c r="C85" i="19"/>
  <c r="A86" i="19"/>
  <c r="B86" i="19"/>
  <c r="C86" i="19"/>
  <c r="C87" i="19"/>
  <c r="C88" i="19"/>
  <c r="C89" i="19"/>
  <c r="C90" i="19"/>
  <c r="A92" i="19"/>
  <c r="B92" i="19"/>
  <c r="C92" i="19"/>
  <c r="C93" i="19"/>
  <c r="C94" i="19"/>
  <c r="C95" i="19"/>
  <c r="A96" i="19"/>
  <c r="B96" i="19"/>
  <c r="C96" i="19"/>
  <c r="C97" i="19"/>
  <c r="C99" i="19"/>
  <c r="C100" i="19"/>
  <c r="C101" i="19"/>
  <c r="C102" i="19"/>
  <c r="C103" i="19"/>
  <c r="A111" i="19"/>
  <c r="B111" i="19"/>
  <c r="C111" i="19"/>
  <c r="C112" i="19"/>
  <c r="C113" i="19"/>
  <c r="C114" i="19"/>
  <c r="A128" i="19"/>
  <c r="B128" i="19"/>
  <c r="C128" i="19"/>
  <c r="C129" i="19"/>
  <c r="C130" i="19"/>
  <c r="C131" i="19"/>
  <c r="C132" i="19"/>
  <c r="C141" i="19"/>
  <c r="C142" i="19"/>
  <c r="C143" i="19"/>
  <c r="C144" i="19"/>
  <c r="C145" i="19"/>
  <c r="C147" i="19"/>
  <c r="C148" i="19"/>
  <c r="C149" i="19"/>
  <c r="C150" i="19"/>
  <c r="C151" i="19"/>
  <c r="C152" i="19"/>
  <c r="A153" i="19"/>
  <c r="B153" i="19"/>
  <c r="C153" i="19"/>
  <c r="C154" i="19"/>
  <c r="A160" i="19"/>
  <c r="B160" i="19"/>
  <c r="C160" i="19"/>
  <c r="C161" i="19"/>
  <c r="C162" i="19"/>
  <c r="C163" i="19"/>
  <c r="A175" i="19"/>
  <c r="B175" i="19"/>
  <c r="C175" i="19"/>
  <c r="C176" i="19"/>
  <c r="C177" i="19"/>
  <c r="C178" i="19"/>
  <c r="C179" i="19"/>
  <c r="A180" i="19"/>
  <c r="B180" i="19"/>
  <c r="C180" i="19"/>
  <c r="C181" i="19"/>
  <c r="C182" i="19"/>
  <c r="C183" i="19"/>
  <c r="A11" i="18"/>
  <c r="B11" i="18"/>
  <c r="C11" i="18"/>
  <c r="C13" i="18"/>
  <c r="C14" i="18"/>
  <c r="C15" i="18"/>
  <c r="C16" i="18"/>
  <c r="A17" i="18"/>
  <c r="B17" i="18"/>
  <c r="C17" i="18"/>
  <c r="C18" i="18"/>
  <c r="C19" i="18"/>
  <c r="C20" i="18"/>
  <c r="C21" i="18"/>
  <c r="A23" i="18"/>
  <c r="B23" i="18"/>
  <c r="C23" i="18"/>
  <c r="C24" i="18"/>
  <c r="C25" i="18"/>
  <c r="A26" i="18"/>
  <c r="B26" i="18"/>
  <c r="C26" i="18"/>
  <c r="C27" i="18"/>
  <c r="C28" i="18"/>
  <c r="C29" i="18"/>
  <c r="C30" i="18"/>
  <c r="C31" i="18"/>
  <c r="A32" i="18"/>
  <c r="B32" i="18"/>
  <c r="C32" i="18"/>
  <c r="C33" i="18"/>
  <c r="C34" i="18"/>
  <c r="C35" i="18"/>
  <c r="C36" i="18"/>
  <c r="C37" i="18"/>
  <c r="A39" i="18"/>
  <c r="B39" i="18"/>
  <c r="C39" i="18"/>
  <c r="C40" i="18"/>
  <c r="C41" i="18"/>
  <c r="C42" i="18"/>
  <c r="C43" i="18"/>
  <c r="C44" i="18"/>
  <c r="C45" i="18"/>
  <c r="A46" i="18"/>
  <c r="B46" i="18"/>
  <c r="C46" i="18"/>
  <c r="C47" i="18"/>
  <c r="C48" i="18"/>
  <c r="C49" i="18"/>
  <c r="C50" i="18"/>
  <c r="C51" i="18"/>
  <c r="A91" i="18"/>
  <c r="B91" i="18"/>
  <c r="C91" i="18"/>
  <c r="A92" i="18"/>
  <c r="C92" i="18"/>
  <c r="A93" i="18"/>
  <c r="C93" i="18"/>
  <c r="A94" i="18"/>
  <c r="C94" i="18"/>
  <c r="A105" i="18"/>
  <c r="B105" i="18"/>
  <c r="C105" i="18"/>
  <c r="C107" i="18"/>
  <c r="C108" i="18"/>
  <c r="C109" i="18"/>
  <c r="C110" i="18"/>
  <c r="C111" i="18"/>
  <c r="C113" i="18"/>
  <c r="C114" i="18"/>
  <c r="C115" i="18"/>
  <c r="C116" i="18"/>
  <c r="A117" i="18"/>
  <c r="B117" i="18"/>
  <c r="C117" i="18"/>
  <c r="C118" i="18"/>
  <c r="C119" i="18"/>
  <c r="C120" i="18"/>
  <c r="C121" i="18"/>
  <c r="C122" i="18"/>
  <c r="A123" i="18"/>
  <c r="B123" i="18"/>
  <c r="C123" i="18"/>
  <c r="C124" i="18"/>
  <c r="C126" i="18"/>
  <c r="A127" i="18"/>
  <c r="B127" i="18"/>
  <c r="C127" i="18"/>
  <c r="C128" i="18"/>
  <c r="C130" i="18"/>
  <c r="C131" i="18"/>
  <c r="C132" i="18"/>
  <c r="C133" i="18"/>
  <c r="C134" i="18"/>
  <c r="A142" i="18"/>
  <c r="B142" i="18"/>
  <c r="C142" i="18"/>
  <c r="C143" i="18"/>
  <c r="C144" i="18"/>
  <c r="C145" i="18"/>
  <c r="C173" i="18"/>
  <c r="A174" i="18"/>
  <c r="B174" i="18"/>
  <c r="C174" i="18"/>
  <c r="C175" i="18"/>
  <c r="C176" i="18"/>
  <c r="C177" i="18"/>
  <c r="A178" i="18"/>
  <c r="B178" i="18"/>
  <c r="C178" i="18"/>
  <c r="A182" i="18"/>
  <c r="B182" i="18"/>
  <c r="C182" i="18"/>
  <c r="C183" i="18"/>
  <c r="C184" i="18"/>
  <c r="C185" i="18"/>
  <c r="C186" i="18"/>
  <c r="C187" i="18"/>
  <c r="A188" i="18"/>
  <c r="B188" i="18"/>
  <c r="C188" i="18"/>
  <c r="C189" i="18"/>
  <c r="C190" i="18"/>
  <c r="C192" i="18"/>
  <c r="C193" i="18"/>
  <c r="C194" i="18"/>
  <c r="C195" i="18"/>
  <c r="C196" i="18"/>
  <c r="C197" i="18"/>
  <c r="A198" i="18"/>
  <c r="B198" i="18"/>
  <c r="C198" i="18"/>
  <c r="C199" i="18"/>
  <c r="A205" i="18"/>
  <c r="B205" i="18"/>
  <c r="C205" i="18"/>
  <c r="C206" i="18"/>
  <c r="A3" i="15"/>
  <c r="B3" i="15"/>
  <c r="C3" i="15"/>
  <c r="C4" i="15"/>
  <c r="C5" i="15"/>
  <c r="C6" i="15"/>
  <c r="C7" i="15"/>
  <c r="C8" i="15"/>
  <c r="A32" i="15"/>
  <c r="B32" i="15"/>
  <c r="C32" i="15"/>
  <c r="A33" i="15"/>
  <c r="C33" i="15"/>
  <c r="A34" i="15"/>
  <c r="C34" i="15"/>
  <c r="A35" i="15"/>
  <c r="C35" i="15"/>
  <c r="A46" i="15"/>
  <c r="B46" i="15"/>
  <c r="C46" i="15"/>
  <c r="C48" i="15"/>
  <c r="C49" i="15"/>
  <c r="C50" i="15"/>
  <c r="C51" i="15"/>
  <c r="C52" i="15"/>
  <c r="A53" i="15"/>
  <c r="B53" i="15"/>
  <c r="C53" i="15"/>
  <c r="C54" i="15"/>
  <c r="C55" i="15"/>
  <c r="C56" i="15"/>
  <c r="C57" i="15"/>
  <c r="C58" i="15"/>
  <c r="C60" i="15"/>
  <c r="C61" i="15"/>
  <c r="C62" i="15"/>
  <c r="C63" i="15"/>
  <c r="A64" i="15"/>
  <c r="B64" i="15"/>
  <c r="C64" i="15"/>
  <c r="C65" i="15"/>
  <c r="C66" i="15"/>
  <c r="C67" i="15"/>
  <c r="C68" i="15"/>
  <c r="A70" i="15"/>
  <c r="B70" i="15"/>
  <c r="C70" i="15"/>
  <c r="C71" i="15"/>
  <c r="C72" i="15"/>
  <c r="C73" i="15"/>
  <c r="A74" i="15"/>
  <c r="B74" i="15"/>
  <c r="C74" i="15"/>
  <c r="C75" i="15"/>
  <c r="C77" i="15"/>
  <c r="A78" i="15"/>
  <c r="B78" i="15"/>
  <c r="C78" i="15"/>
  <c r="C79" i="15"/>
  <c r="C81" i="15"/>
  <c r="C82" i="15"/>
  <c r="C83" i="15"/>
  <c r="C84" i="15"/>
  <c r="C85" i="15"/>
  <c r="A93" i="15"/>
  <c r="B93" i="15"/>
  <c r="C93" i="15"/>
  <c r="C94" i="15"/>
  <c r="C95" i="15"/>
  <c r="C96" i="15"/>
  <c r="C118" i="15"/>
  <c r="C120" i="15"/>
  <c r="C121" i="15"/>
  <c r="A122" i="15"/>
  <c r="B122" i="15"/>
  <c r="C122" i="15"/>
  <c r="C123" i="15"/>
  <c r="C124" i="15"/>
  <c r="C125" i="15"/>
  <c r="C126" i="15"/>
  <c r="C127" i="15"/>
  <c r="C132" i="15"/>
  <c r="A133" i="15"/>
  <c r="B133" i="15"/>
  <c r="C133" i="15"/>
  <c r="C134" i="15"/>
  <c r="C135" i="15"/>
  <c r="C136" i="15"/>
  <c r="A137" i="15"/>
  <c r="B137" i="15"/>
  <c r="C137" i="15"/>
  <c r="C138" i="15"/>
  <c r="C139" i="15"/>
  <c r="A140" i="15"/>
  <c r="B140" i="15"/>
  <c r="C140" i="15"/>
  <c r="C141" i="15"/>
  <c r="C142" i="15"/>
  <c r="C143" i="15"/>
  <c r="C144" i="15"/>
  <c r="C145" i="15"/>
  <c r="A146" i="15"/>
  <c r="B146" i="15"/>
  <c r="C146" i="15"/>
  <c r="C147" i="15"/>
  <c r="C148" i="15"/>
  <c r="A149" i="15"/>
  <c r="B149" i="15"/>
  <c r="C149" i="15"/>
  <c r="A153" i="15"/>
  <c r="B153" i="15"/>
  <c r="C153" i="15"/>
  <c r="C154" i="15"/>
  <c r="A3" i="17"/>
  <c r="B3" i="17"/>
  <c r="C3" i="17"/>
  <c r="C4" i="17"/>
  <c r="C5" i="17"/>
  <c r="C6" i="17"/>
  <c r="C7" i="17"/>
  <c r="C8" i="17"/>
  <c r="A35" i="17"/>
  <c r="B35" i="17"/>
  <c r="C35" i="17"/>
  <c r="A36" i="17"/>
  <c r="C36" i="17"/>
  <c r="A37" i="17"/>
  <c r="C37" i="17"/>
  <c r="A38" i="17"/>
  <c r="C38" i="17"/>
  <c r="A49" i="17"/>
  <c r="B49" i="17"/>
  <c r="C49" i="17"/>
  <c r="C51" i="17"/>
  <c r="C52" i="17"/>
  <c r="C53" i="17"/>
  <c r="C54" i="17"/>
  <c r="C55" i="17"/>
  <c r="A56" i="17"/>
  <c r="B56" i="17"/>
  <c r="C56" i="17"/>
  <c r="A57" i="17"/>
  <c r="B57" i="17"/>
  <c r="C57" i="17"/>
  <c r="C58" i="17"/>
  <c r="C59" i="17"/>
  <c r="C60" i="17"/>
  <c r="C61" i="17"/>
  <c r="A63" i="17"/>
  <c r="B63" i="17"/>
  <c r="C63" i="17"/>
  <c r="C64" i="17"/>
  <c r="C65" i="17"/>
  <c r="C66" i="17"/>
  <c r="A67" i="17"/>
  <c r="B67" i="17"/>
  <c r="C67" i="17"/>
  <c r="C68" i="17"/>
  <c r="C70" i="17"/>
  <c r="A71" i="17"/>
  <c r="B71" i="17"/>
  <c r="C71" i="17"/>
  <c r="C72" i="17"/>
  <c r="C74" i="17"/>
  <c r="C75" i="17"/>
  <c r="C76" i="17"/>
  <c r="C77" i="17"/>
  <c r="C78" i="17"/>
  <c r="A86" i="17"/>
  <c r="B86" i="17"/>
  <c r="C86" i="17"/>
  <c r="C87" i="17"/>
  <c r="C88" i="17"/>
  <c r="C89" i="17"/>
  <c r="A113" i="17"/>
  <c r="B113" i="17"/>
  <c r="C113" i="17"/>
  <c r="C114" i="17"/>
  <c r="C115" i="17"/>
  <c r="C116" i="17"/>
  <c r="C117" i="17"/>
  <c r="C118" i="17"/>
  <c r="A119" i="17"/>
  <c r="B119" i="17"/>
  <c r="C119" i="17"/>
  <c r="C120" i="17"/>
  <c r="C121" i="17"/>
  <c r="C122" i="17"/>
  <c r="C123" i="17"/>
  <c r="C124" i="17"/>
  <c r="A125" i="17"/>
  <c r="B125" i="17"/>
  <c r="C125" i="17"/>
  <c r="A127" i="17"/>
  <c r="B127" i="17"/>
  <c r="C127" i="17"/>
  <c r="C128" i="17"/>
  <c r="C129" i="17"/>
  <c r="C130" i="17"/>
  <c r="C145" i="17"/>
  <c r="C146" i="17"/>
  <c r="C147" i="17"/>
  <c r="C148" i="17"/>
  <c r="C149" i="17"/>
  <c r="C150" i="17"/>
  <c r="A3" i="16"/>
  <c r="B3" i="16"/>
  <c r="C3" i="16"/>
  <c r="C4" i="16"/>
  <c r="C5" i="16"/>
  <c r="C6" i="16"/>
  <c r="C7" i="16"/>
  <c r="C8" i="16"/>
  <c r="A31" i="16"/>
  <c r="B31" i="16"/>
  <c r="C31" i="16"/>
  <c r="A32" i="16"/>
  <c r="C32" i="16"/>
  <c r="A33" i="16"/>
  <c r="C33" i="16"/>
  <c r="A34" i="16"/>
  <c r="C34" i="16"/>
  <c r="A45" i="16"/>
  <c r="B45" i="16"/>
  <c r="C45" i="16"/>
  <c r="C47" i="16"/>
  <c r="C48" i="16"/>
  <c r="C49" i="16"/>
  <c r="C50" i="16"/>
  <c r="C51" i="16"/>
  <c r="A52" i="16"/>
  <c r="B52" i="16"/>
  <c r="C52" i="16"/>
  <c r="C53" i="16"/>
  <c r="C54" i="16"/>
  <c r="C55" i="16"/>
  <c r="C57" i="16"/>
  <c r="A58" i="16"/>
  <c r="B58" i="16"/>
  <c r="C58" i="16"/>
  <c r="A59" i="16"/>
  <c r="B59" i="16"/>
  <c r="C59" i="16"/>
  <c r="C60" i="16"/>
  <c r="C61" i="16"/>
  <c r="C62" i="16"/>
  <c r="C63" i="16"/>
  <c r="C64" i="16"/>
  <c r="A65" i="16"/>
  <c r="B65" i="16"/>
  <c r="C65" i="16"/>
  <c r="C66" i="16"/>
  <c r="C67" i="16"/>
  <c r="C68" i="16"/>
  <c r="C69" i="16"/>
  <c r="A71" i="16"/>
  <c r="B71" i="16"/>
  <c r="C71" i="16"/>
  <c r="C72" i="16"/>
  <c r="C74" i="16"/>
  <c r="A75" i="16"/>
  <c r="B75" i="16"/>
  <c r="C75" i="16"/>
  <c r="C76" i="16"/>
  <c r="C78" i="16"/>
  <c r="C79" i="16"/>
  <c r="C80" i="16"/>
  <c r="C81" i="16"/>
  <c r="C82" i="16"/>
  <c r="A90" i="16"/>
  <c r="B90" i="16"/>
  <c r="C90" i="16"/>
  <c r="C91" i="16"/>
  <c r="C92" i="16"/>
  <c r="C93" i="16"/>
  <c r="A115" i="16"/>
  <c r="B115" i="16"/>
  <c r="C115" i="16"/>
  <c r="C116" i="16"/>
  <c r="C117" i="16"/>
  <c r="C118" i="16"/>
  <c r="C119" i="16"/>
  <c r="C120" i="16"/>
  <c r="A121" i="16"/>
  <c r="B121" i="16"/>
  <c r="C121" i="16"/>
  <c r="C122" i="16"/>
  <c r="C123" i="16"/>
  <c r="C124" i="16"/>
  <c r="C125" i="16"/>
  <c r="C126" i="16"/>
  <c r="A127" i="16"/>
  <c r="B127" i="16"/>
  <c r="C127" i="16"/>
  <c r="C128" i="16"/>
  <c r="C129" i="16"/>
  <c r="A130" i="16"/>
  <c r="B130" i="16"/>
  <c r="C130" i="16"/>
  <c r="C131" i="16"/>
  <c r="A134" i="16"/>
  <c r="B134" i="16"/>
  <c r="C134" i="16"/>
  <c r="C135" i="16"/>
  <c r="C136" i="16"/>
  <c r="C137" i="16"/>
  <c r="C153" i="16"/>
  <c r="C154" i="16"/>
  <c r="C155" i="16"/>
  <c r="C156" i="16"/>
  <c r="C157" i="16"/>
  <c r="C158" i="16"/>
  <c r="A141" i="14"/>
  <c r="B141" i="14"/>
  <c r="C141" i="14"/>
  <c r="C142" i="14"/>
  <c r="C143" i="14"/>
  <c r="C144" i="14"/>
  <c r="C145" i="14"/>
  <c r="C146" i="14"/>
  <c r="A32" i="14"/>
  <c r="B32" i="14"/>
  <c r="C32" i="14"/>
  <c r="A33" i="14"/>
  <c r="C33" i="14"/>
  <c r="A34" i="14"/>
  <c r="C34" i="14"/>
  <c r="A35" i="14"/>
  <c r="C35" i="14"/>
  <c r="A39" i="14"/>
  <c r="B39" i="14"/>
  <c r="C39" i="14"/>
  <c r="C40" i="14"/>
  <c r="C41" i="14"/>
  <c r="C42" i="14"/>
  <c r="C43" i="14"/>
  <c r="C44" i="14"/>
  <c r="C46" i="14"/>
  <c r="C47" i="14"/>
  <c r="C48" i="14"/>
  <c r="C49" i="14"/>
  <c r="A50" i="14"/>
  <c r="B50" i="14"/>
  <c r="C50" i="14"/>
  <c r="C51" i="14"/>
  <c r="C52" i="14"/>
  <c r="C53" i="14"/>
  <c r="C54" i="14"/>
  <c r="A56" i="14"/>
  <c r="B56" i="14"/>
  <c r="C56" i="14"/>
  <c r="C57" i="14"/>
  <c r="C58" i="14"/>
  <c r="C59" i="14"/>
  <c r="C60" i="14"/>
  <c r="C61" i="14"/>
  <c r="A62" i="14"/>
  <c r="B62" i="14"/>
  <c r="C62" i="14"/>
  <c r="C63" i="14"/>
  <c r="C65" i="14"/>
  <c r="C66" i="14"/>
  <c r="C67" i="14"/>
  <c r="C68" i="14"/>
  <c r="C69" i="14"/>
  <c r="A77" i="14"/>
  <c r="B77" i="14"/>
  <c r="C77" i="14"/>
  <c r="C78" i="14"/>
  <c r="C79" i="14"/>
  <c r="C80" i="14"/>
  <c r="C111" i="14"/>
  <c r="C113" i="14"/>
  <c r="C114" i="14"/>
  <c r="A115" i="14"/>
  <c r="B115" i="14"/>
  <c r="C115" i="14"/>
  <c r="C116" i="14"/>
  <c r="C125" i="14"/>
  <c r="A126" i="14"/>
  <c r="B126" i="14"/>
  <c r="C126" i="14"/>
  <c r="C127" i="14"/>
  <c r="C129" i="14"/>
  <c r="C130" i="14"/>
  <c r="C131" i="14"/>
  <c r="C132" i="14"/>
  <c r="A17" i="13"/>
  <c r="B17" i="13"/>
  <c r="C17" i="13"/>
  <c r="A18" i="13"/>
  <c r="C18" i="13"/>
  <c r="A19" i="13"/>
  <c r="C19" i="13"/>
  <c r="A20" i="13"/>
  <c r="C20" i="13"/>
  <c r="A24" i="13"/>
  <c r="B24" i="13"/>
  <c r="C24" i="13"/>
  <c r="C26" i="13"/>
  <c r="C27" i="13"/>
  <c r="C28" i="13"/>
  <c r="C29" i="13"/>
  <c r="C30" i="13"/>
  <c r="A31" i="13"/>
  <c r="B31" i="13"/>
  <c r="C31" i="13"/>
  <c r="C32" i="13"/>
  <c r="C33" i="13"/>
  <c r="C34" i="13"/>
  <c r="C35" i="13"/>
  <c r="C36" i="13"/>
  <c r="C38" i="13"/>
  <c r="C39" i="13"/>
  <c r="C40" i="13"/>
  <c r="C41" i="13"/>
  <c r="A42" i="13"/>
  <c r="B42" i="13"/>
  <c r="C42" i="13"/>
  <c r="C43" i="13"/>
  <c r="C44" i="13"/>
  <c r="C45" i="13"/>
  <c r="C46" i="13"/>
  <c r="A48" i="13"/>
  <c r="B48" i="13"/>
  <c r="C48" i="13"/>
  <c r="C49" i="13"/>
  <c r="C50" i="13"/>
  <c r="C51" i="13"/>
  <c r="C52" i="13"/>
  <c r="C53" i="13"/>
  <c r="A54" i="13"/>
  <c r="B54" i="13"/>
  <c r="C54" i="13"/>
  <c r="C55" i="13"/>
  <c r="C57" i="13"/>
  <c r="C58" i="13"/>
  <c r="C59" i="13"/>
  <c r="C60" i="13"/>
  <c r="C61" i="13"/>
  <c r="C101" i="13"/>
  <c r="C103" i="13"/>
  <c r="C104" i="13"/>
  <c r="A111" i="13"/>
  <c r="B111" i="13"/>
  <c r="C111" i="13"/>
  <c r="C112" i="13"/>
  <c r="C114" i="13"/>
  <c r="C115" i="13"/>
  <c r="C116" i="13"/>
  <c r="C117" i="13"/>
  <c r="B118" i="13"/>
  <c r="C118" i="13"/>
  <c r="C119" i="13"/>
  <c r="C120" i="13"/>
  <c r="C121" i="13"/>
  <c r="C122" i="13"/>
  <c r="A130" i="13"/>
  <c r="B130" i="13"/>
  <c r="A3" i="11"/>
  <c r="B3" i="11"/>
  <c r="C3" i="11"/>
  <c r="C4" i="11"/>
  <c r="C5" i="11"/>
  <c r="C6" i="11"/>
  <c r="C7" i="11"/>
  <c r="C8" i="11"/>
  <c r="A9" i="11"/>
  <c r="B9" i="11"/>
  <c r="C9" i="11"/>
  <c r="C11" i="11"/>
  <c r="C12" i="11"/>
  <c r="A43" i="11"/>
  <c r="B43" i="11"/>
  <c r="C43" i="11"/>
  <c r="C44" i="11"/>
  <c r="C45" i="11"/>
  <c r="C46" i="11"/>
  <c r="A57" i="11"/>
  <c r="B57" i="11"/>
  <c r="C57" i="11"/>
  <c r="C59" i="11"/>
  <c r="C60" i="11"/>
  <c r="C61" i="11"/>
  <c r="C62" i="11"/>
  <c r="C63" i="11"/>
  <c r="A64" i="11"/>
  <c r="B64" i="11"/>
  <c r="C64" i="11"/>
  <c r="C65" i="11"/>
  <c r="C66" i="11"/>
  <c r="C67" i="11"/>
  <c r="C68" i="11"/>
  <c r="C69" i="11"/>
  <c r="C71" i="11"/>
  <c r="C72" i="11"/>
  <c r="C73" i="11"/>
  <c r="C74" i="11"/>
  <c r="A75" i="11"/>
  <c r="B75" i="11"/>
  <c r="C75" i="11"/>
  <c r="C76" i="11"/>
  <c r="C77" i="11"/>
  <c r="C78" i="11"/>
  <c r="C79" i="11"/>
  <c r="C80" i="11"/>
  <c r="A81" i="11"/>
  <c r="B81" i="11"/>
  <c r="C81" i="11"/>
  <c r="C82" i="11"/>
  <c r="C84" i="11"/>
  <c r="C85" i="11"/>
  <c r="C86" i="11"/>
  <c r="C87" i="11"/>
  <c r="C88" i="11"/>
  <c r="A96" i="11"/>
  <c r="B96" i="11"/>
  <c r="C96" i="11"/>
  <c r="C97" i="11"/>
  <c r="C98" i="11"/>
  <c r="C99" i="11"/>
  <c r="C131" i="11"/>
  <c r="A132" i="11"/>
  <c r="B132" i="11"/>
  <c r="C132" i="11"/>
  <c r="C133" i="11"/>
  <c r="C134" i="11"/>
  <c r="C135" i="11"/>
  <c r="A136" i="11"/>
  <c r="B136" i="11"/>
  <c r="C136" i="11"/>
  <c r="C137" i="11"/>
  <c r="A140" i="11"/>
  <c r="B140" i="11"/>
  <c r="C140" i="11"/>
  <c r="C141" i="11"/>
  <c r="C143" i="11"/>
  <c r="C144" i="11"/>
  <c r="C145" i="11"/>
  <c r="C146" i="11"/>
  <c r="A156" i="11"/>
  <c r="B156" i="11"/>
  <c r="C156" i="11"/>
  <c r="C157" i="11"/>
  <c r="C158" i="11"/>
  <c r="C159" i="11"/>
  <c r="A196" i="11"/>
  <c r="B196" i="11"/>
  <c r="C196" i="11"/>
  <c r="C197" i="11"/>
  <c r="C198" i="11"/>
  <c r="C199" i="11"/>
  <c r="C200" i="11"/>
  <c r="C201" i="11"/>
  <c r="A202" i="11"/>
  <c r="B202" i="11"/>
  <c r="C202" i="11"/>
  <c r="C203" i="11"/>
  <c r="C204" i="11"/>
  <c r="C205" i="11"/>
  <c r="C206" i="11"/>
  <c r="C207" i="11"/>
  <c r="A208" i="11"/>
  <c r="B208" i="11"/>
  <c r="C208" i="11"/>
  <c r="C209" i="11"/>
  <c r="C210" i="11"/>
  <c r="C212" i="11"/>
  <c r="C213" i="11"/>
  <c r="C214" i="11"/>
  <c r="C215" i="11"/>
  <c r="A216" i="11"/>
  <c r="B216" i="11"/>
  <c r="C216" i="11"/>
  <c r="C217" i="11"/>
  <c r="C218" i="11"/>
  <c r="C219" i="11"/>
  <c r="B220" i="11"/>
  <c r="C220" i="11"/>
  <c r="A3" i="10"/>
  <c r="B3" i="10"/>
  <c r="C3" i="10"/>
  <c r="C4" i="10"/>
  <c r="C5" i="10"/>
  <c r="C6" i="10"/>
  <c r="C7" i="10"/>
  <c r="C8" i="10"/>
  <c r="A42" i="10"/>
  <c r="B42" i="10"/>
  <c r="C42" i="10"/>
  <c r="C44" i="10"/>
  <c r="C45" i="10"/>
  <c r="C46" i="10"/>
  <c r="C47" i="10"/>
  <c r="C48" i="10"/>
  <c r="A49" i="10"/>
  <c r="B49" i="10"/>
  <c r="C49" i="10"/>
  <c r="C51" i="10"/>
  <c r="C52" i="10"/>
  <c r="C53" i="10"/>
  <c r="C54" i="10"/>
  <c r="A55" i="10"/>
  <c r="B55" i="10"/>
  <c r="C55" i="10"/>
  <c r="C56" i="10"/>
  <c r="C57" i="10"/>
  <c r="C58" i="10"/>
  <c r="C59" i="10"/>
  <c r="A61" i="10"/>
  <c r="B61" i="10"/>
  <c r="C61" i="10"/>
  <c r="C62" i="10"/>
  <c r="C63" i="10"/>
  <c r="C64" i="10"/>
  <c r="C65" i="10"/>
  <c r="C66" i="10"/>
  <c r="A74" i="10"/>
  <c r="B74" i="10"/>
  <c r="C74" i="10"/>
  <c r="C75" i="10"/>
  <c r="C76" i="10"/>
  <c r="C77" i="10"/>
  <c r="C101" i="10"/>
  <c r="A102" i="10"/>
  <c r="B102" i="10"/>
  <c r="C102" i="10"/>
  <c r="C103" i="10"/>
  <c r="C104" i="10"/>
  <c r="C105" i="10"/>
  <c r="A106" i="10"/>
  <c r="B106" i="10"/>
  <c r="C106" i="10"/>
  <c r="C107" i="10"/>
  <c r="C109" i="10"/>
  <c r="C110" i="10"/>
  <c r="C111" i="10"/>
  <c r="C112" i="10"/>
  <c r="A156" i="10"/>
  <c r="B156" i="10"/>
  <c r="C156" i="10"/>
  <c r="C157" i="10"/>
  <c r="C158" i="10"/>
  <c r="C159" i="10"/>
  <c r="C160" i="10"/>
  <c r="C161" i="10"/>
  <c r="C163" i="10"/>
  <c r="C164" i="10"/>
  <c r="C165" i="10"/>
  <c r="C166" i="10"/>
  <c r="B174" i="10"/>
  <c r="C174" i="10"/>
  <c r="A35" i="9"/>
  <c r="B35" i="9"/>
  <c r="C35" i="9"/>
  <c r="C36" i="9"/>
  <c r="C37" i="9"/>
  <c r="C38" i="9"/>
  <c r="C39" i="9"/>
  <c r="C40" i="9"/>
  <c r="C42" i="9"/>
  <c r="C43" i="9"/>
  <c r="C44" i="9"/>
  <c r="C45" i="9"/>
  <c r="A46" i="9"/>
  <c r="B46" i="9"/>
  <c r="C46" i="9"/>
  <c r="C47" i="9"/>
  <c r="C48" i="9"/>
  <c r="C49" i="9"/>
  <c r="C50" i="9"/>
  <c r="A52" i="9"/>
  <c r="B52" i="9"/>
  <c r="C52" i="9"/>
  <c r="C53" i="9"/>
  <c r="C54" i="9"/>
  <c r="C55" i="9"/>
  <c r="C57" i="9"/>
  <c r="A58" i="9"/>
  <c r="B58" i="9"/>
  <c r="C58" i="9"/>
  <c r="C59" i="9"/>
  <c r="C60" i="9"/>
  <c r="C61" i="9"/>
  <c r="C62" i="9"/>
  <c r="C63" i="9"/>
  <c r="A64" i="9"/>
  <c r="B64" i="9"/>
  <c r="C64" i="9"/>
  <c r="C67" i="9"/>
  <c r="C68" i="9"/>
  <c r="C69" i="9"/>
  <c r="C70" i="9"/>
  <c r="C71" i="9"/>
  <c r="A79" i="9"/>
  <c r="B79" i="9"/>
  <c r="C79" i="9"/>
  <c r="C80" i="9"/>
  <c r="C81" i="9"/>
  <c r="C82" i="9"/>
  <c r="C104" i="9"/>
  <c r="A105" i="9"/>
  <c r="B105" i="9"/>
  <c r="C105" i="9"/>
  <c r="C106" i="9"/>
  <c r="C107" i="9"/>
  <c r="C108" i="9"/>
  <c r="C154" i="9"/>
  <c r="C155" i="9"/>
  <c r="C156" i="9"/>
  <c r="C157" i="9"/>
  <c r="A164" i="9"/>
  <c r="B164" i="9"/>
  <c r="C164" i="9"/>
  <c r="C165" i="9"/>
  <c r="C166" i="9"/>
  <c r="C167" i="9"/>
  <c r="C168" i="9"/>
  <c r="C169" i="9"/>
  <c r="C171" i="9"/>
  <c r="C172" i="9"/>
  <c r="C173" i="9"/>
  <c r="C174" i="9"/>
  <c r="A10" i="34"/>
  <c r="B10" i="34"/>
  <c r="C10" i="34"/>
  <c r="C11" i="34"/>
  <c r="C12" i="34"/>
  <c r="C13" i="34"/>
  <c r="C15" i="34"/>
  <c r="A16" i="34"/>
  <c r="B16" i="34"/>
  <c r="C16" i="34"/>
  <c r="C17" i="34"/>
  <c r="C18" i="34"/>
  <c r="C19" i="34"/>
  <c r="C20" i="34"/>
  <c r="A22" i="34"/>
  <c r="B22" i="34"/>
  <c r="C22" i="34"/>
  <c r="C23" i="34"/>
  <c r="C25" i="34"/>
  <c r="C26" i="34"/>
  <c r="C27" i="34"/>
  <c r="C28" i="34"/>
  <c r="C29" i="34"/>
  <c r="A43" i="34"/>
  <c r="B43" i="34"/>
  <c r="C43" i="34"/>
  <c r="C44" i="34"/>
  <c r="C45" i="34"/>
  <c r="C46" i="34"/>
  <c r="C47" i="34"/>
  <c r="C48" i="34"/>
  <c r="A72" i="34"/>
  <c r="B72" i="34"/>
  <c r="C72" i="34"/>
  <c r="A14" i="12"/>
  <c r="B14" i="12"/>
  <c r="C14" i="12"/>
  <c r="C15" i="12"/>
  <c r="C16" i="12"/>
  <c r="C17" i="12"/>
  <c r="C19" i="12"/>
  <c r="A20" i="12"/>
  <c r="B20" i="12"/>
  <c r="C20" i="12"/>
  <c r="C21" i="12"/>
  <c r="C22" i="12"/>
  <c r="C23" i="12"/>
  <c r="C24" i="12"/>
  <c r="A26" i="12"/>
  <c r="B26" i="12"/>
  <c r="C26" i="12"/>
  <c r="C27" i="12"/>
  <c r="C29" i="12"/>
  <c r="C30" i="12"/>
  <c r="C31" i="12"/>
  <c r="C32" i="12"/>
  <c r="C33" i="12"/>
  <c r="A69" i="12"/>
  <c r="B69" i="12"/>
  <c r="C69" i="12"/>
  <c r="A7" i="31"/>
  <c r="B7" i="31"/>
  <c r="C7" i="31"/>
  <c r="A8" i="31"/>
  <c r="C8" i="31"/>
  <c r="A9" i="31"/>
  <c r="C9" i="31"/>
  <c r="A10" i="31"/>
  <c r="C10" i="31"/>
  <c r="A14" i="31"/>
  <c r="B14" i="31"/>
  <c r="C14" i="31"/>
  <c r="C15" i="31"/>
  <c r="C16" i="31"/>
  <c r="C17" i="31"/>
  <c r="C18" i="31"/>
  <c r="A31" i="31"/>
  <c r="B31" i="31"/>
  <c r="C31" i="31"/>
  <c r="C32" i="31"/>
  <c r="C34" i="31"/>
  <c r="C35" i="31"/>
  <c r="C36" i="31"/>
  <c r="C37" i="31"/>
  <c r="A3" i="8"/>
  <c r="B3" i="8"/>
  <c r="C3" i="8"/>
  <c r="C4" i="8"/>
  <c r="C5" i="8"/>
  <c r="C6" i="8"/>
  <c r="C7" i="8"/>
  <c r="C8" i="8"/>
  <c r="A36" i="8"/>
  <c r="B36" i="8"/>
  <c r="C36" i="8"/>
  <c r="C38" i="8"/>
  <c r="C39" i="8"/>
  <c r="C40" i="8"/>
  <c r="C41" i="8"/>
  <c r="C43" i="8"/>
  <c r="C44" i="8"/>
  <c r="C45" i="8"/>
  <c r="C46" i="8"/>
  <c r="A47" i="8"/>
  <c r="B47" i="8"/>
  <c r="C47" i="8"/>
  <c r="C48" i="8"/>
  <c r="C50" i="8"/>
  <c r="C51" i="8"/>
  <c r="C52" i="8"/>
  <c r="C53" i="8"/>
  <c r="C54" i="8"/>
  <c r="A76" i="8"/>
  <c r="B76" i="8"/>
  <c r="C76" i="8"/>
  <c r="C77" i="8"/>
  <c r="C78" i="8"/>
  <c r="C79" i="8"/>
  <c r="A80" i="8"/>
  <c r="B80" i="8"/>
  <c r="C80" i="8"/>
  <c r="C81" i="8"/>
  <c r="C83" i="8"/>
  <c r="C84" i="8"/>
  <c r="C85" i="8"/>
  <c r="C86" i="8"/>
  <c r="D75" i="24"/>
  <c r="G75" i="24" s="1"/>
  <c r="D78" i="24"/>
  <c r="G78" i="24" s="1"/>
  <c r="G131" i="13"/>
  <c r="D70" i="24"/>
  <c r="G70" i="24" s="1"/>
  <c r="G130" i="13"/>
  <c r="D76" i="24"/>
  <c r="G76" i="24" s="1"/>
  <c r="D220" i="11"/>
  <c r="G220" i="11" s="1"/>
  <c r="D174" i="10"/>
  <c r="G174" i="10" s="1"/>
  <c r="D77" i="24"/>
  <c r="G77" i="24" s="1"/>
  <c r="D181" i="9"/>
  <c r="G181" i="9" s="1"/>
  <c r="G71" i="16"/>
  <c r="G191" i="21"/>
  <c r="F152" i="19"/>
  <c r="G172" i="25" l="1"/>
  <c r="G228" i="25"/>
  <c r="G20" i="26"/>
  <c r="G168" i="23"/>
  <c r="G38" i="22"/>
  <c r="G69" i="22"/>
  <c r="G99" i="21"/>
  <c r="G114" i="21"/>
  <c r="G150" i="21"/>
  <c r="G163" i="20"/>
  <c r="G143" i="20"/>
  <c r="G152" i="20"/>
  <c r="G140" i="19"/>
  <c r="G111" i="19"/>
  <c r="G135" i="18"/>
  <c r="G142" i="18"/>
  <c r="G107" i="15"/>
  <c r="G93" i="15"/>
  <c r="G90" i="16"/>
  <c r="G83" i="16"/>
  <c r="G89" i="14"/>
  <c r="G77" i="14"/>
  <c r="G70" i="14"/>
  <c r="G70" i="13"/>
  <c r="G99" i="13"/>
  <c r="G74" i="10"/>
  <c r="G67" i="10"/>
  <c r="G79" i="9"/>
  <c r="G146" i="9"/>
  <c r="G30" i="34"/>
  <c r="G96" i="11"/>
  <c r="G211" i="11"/>
  <c r="G89" i="11"/>
  <c r="G72" i="9"/>
  <c r="G42" i="8"/>
  <c r="G47" i="8"/>
  <c r="E130" i="10"/>
  <c r="G188" i="18"/>
  <c r="E21" i="11"/>
  <c r="G20" i="11"/>
  <c r="G87" i="10"/>
  <c r="G3" i="22"/>
  <c r="G4" i="26"/>
  <c r="G58" i="27"/>
  <c r="G95" i="25"/>
  <c r="G163" i="18"/>
  <c r="G141" i="14"/>
  <c r="E152" i="14"/>
  <c r="G181" i="25"/>
  <c r="G213" i="25"/>
  <c r="G52" i="23"/>
  <c r="G162" i="10"/>
  <c r="G144" i="17"/>
  <c r="G7" i="31"/>
  <c r="G170" i="9"/>
  <c r="G142" i="10"/>
  <c r="G27" i="11"/>
  <c r="G187" i="11"/>
  <c r="G102" i="8"/>
  <c r="G3" i="12"/>
  <c r="G64" i="34"/>
  <c r="G114" i="9"/>
  <c r="G142" i="9"/>
  <c r="G138" i="10"/>
  <c r="G191" i="11"/>
  <c r="G106" i="8"/>
  <c r="G77" i="18"/>
  <c r="G18" i="22"/>
  <c r="G61" i="12"/>
  <c r="G68" i="34"/>
  <c r="G124" i="10"/>
  <c r="G25" i="28"/>
  <c r="G105" i="20"/>
  <c r="G88" i="23"/>
  <c r="F30" i="22"/>
  <c r="G29" i="22" s="1"/>
  <c r="F121" i="21"/>
  <c r="G120" i="21" s="1"/>
  <c r="F152" i="18"/>
  <c r="G151" i="18" s="1"/>
  <c r="G75" i="11"/>
  <c r="G74" i="22"/>
  <c r="G136" i="25"/>
  <c r="G67" i="17"/>
  <c r="G123" i="18"/>
  <c r="G48" i="13"/>
  <c r="G56" i="14"/>
  <c r="G99" i="20"/>
  <c r="G117" i="18"/>
  <c r="G74" i="15"/>
  <c r="F55" i="8"/>
  <c r="F116" i="19"/>
  <c r="F79" i="10"/>
  <c r="F100" i="11"/>
  <c r="G147" i="23"/>
  <c r="G85" i="21"/>
  <c r="G52" i="9"/>
  <c r="G58" i="9"/>
  <c r="G61" i="10"/>
  <c r="G130" i="25"/>
  <c r="G58" i="24"/>
  <c r="G30" i="20"/>
  <c r="G126" i="23"/>
  <c r="G137" i="15"/>
  <c r="G118" i="13"/>
  <c r="G17" i="26"/>
  <c r="G162" i="25"/>
  <c r="G207" i="23"/>
  <c r="G199" i="21"/>
  <c r="G70" i="15"/>
  <c r="G92" i="17"/>
  <c r="G158" i="19"/>
  <c r="G151" i="17"/>
  <c r="G165" i="23"/>
  <c r="G109" i="17"/>
  <c r="G167" i="21"/>
  <c r="G80" i="13"/>
  <c r="G99" i="14"/>
  <c r="G203" i="18"/>
  <c r="G54" i="27"/>
  <c r="G23" i="20"/>
  <c r="G45" i="23"/>
  <c r="G29" i="21"/>
  <c r="G26" i="24"/>
  <c r="G112" i="25"/>
  <c r="G35" i="24"/>
  <c r="G17" i="19"/>
  <c r="G103" i="15"/>
  <c r="G189" i="25"/>
  <c r="G129" i="21"/>
  <c r="G50" i="22"/>
  <c r="G9" i="25"/>
  <c r="G39" i="14"/>
  <c r="G39" i="15"/>
  <c r="G46" i="15"/>
  <c r="G59" i="15"/>
  <c r="G96" i="19"/>
  <c r="G180" i="19"/>
  <c r="G175" i="21"/>
  <c r="G71" i="21"/>
  <c r="G108" i="21"/>
  <c r="G156" i="21"/>
  <c r="G158" i="23"/>
  <c r="G104" i="23"/>
  <c r="G108" i="23"/>
  <c r="G135" i="23"/>
  <c r="G190" i="20"/>
  <c r="G132" i="20"/>
  <c r="G54" i="13"/>
  <c r="G179" i="23"/>
  <c r="G206" i="25"/>
  <c r="G93" i="10"/>
  <c r="G216" i="11"/>
  <c r="G50" i="14"/>
  <c r="G62" i="14"/>
  <c r="G63" i="17"/>
  <c r="G140" i="15"/>
  <c r="G105" i="18"/>
  <c r="G92" i="19"/>
  <c r="G81" i="11"/>
  <c r="G121" i="11"/>
  <c r="G196" i="11"/>
  <c r="G24" i="13"/>
  <c r="G37" i="13"/>
  <c r="G83" i="14"/>
  <c r="G99" i="16"/>
  <c r="G115" i="16"/>
  <c r="G35" i="17"/>
  <c r="G71" i="17"/>
  <c r="G53" i="15"/>
  <c r="G78" i="15"/>
  <c r="G122" i="15"/>
  <c r="G127" i="18"/>
  <c r="G169" i="18"/>
  <c r="G198" i="18"/>
  <c r="G123" i="13"/>
  <c r="G48" i="24"/>
  <c r="G234" i="23"/>
  <c r="G117" i="11"/>
  <c r="G105" i="13"/>
  <c r="G174" i="18"/>
  <c r="G57" i="19"/>
  <c r="G64" i="19"/>
  <c r="G156" i="20"/>
  <c r="G56" i="20"/>
  <c r="G63" i="20"/>
  <c r="G133" i="21"/>
  <c r="G132" i="11"/>
  <c r="G3" i="25"/>
  <c r="G123" i="25"/>
  <c r="G166" i="25"/>
  <c r="G184" i="25"/>
  <c r="G128" i="19"/>
  <c r="G200" i="25"/>
  <c r="G136" i="11"/>
  <c r="G50" i="11"/>
  <c r="G153" i="19"/>
  <c r="G137" i="20"/>
  <c r="G136" i="21"/>
  <c r="G145" i="21"/>
  <c r="G162" i="21"/>
  <c r="G182" i="21"/>
  <c r="G120" i="23"/>
  <c r="G121" i="14"/>
  <c r="G113" i="17"/>
  <c r="G91" i="18"/>
  <c r="G191" i="18"/>
  <c r="G121" i="16"/>
  <c r="G152" i="16"/>
  <c r="G17" i="13"/>
  <c r="G126" i="14"/>
  <c r="G42" i="17"/>
  <c r="G32" i="15"/>
  <c r="G98" i="18"/>
  <c r="G54" i="22"/>
  <c r="G60" i="22"/>
  <c r="G151" i="23"/>
  <c r="G174" i="23"/>
  <c r="G188" i="23"/>
  <c r="G116" i="25"/>
  <c r="G146" i="19"/>
  <c r="G23" i="18"/>
  <c r="G97" i="10"/>
  <c r="G201" i="20"/>
  <c r="G22" i="24"/>
  <c r="G4" i="18"/>
  <c r="G235" i="18"/>
  <c r="G45" i="21"/>
  <c r="G236" i="21"/>
  <c r="G106" i="25"/>
  <c r="G3" i="19"/>
  <c r="F140" i="9"/>
  <c r="G89" i="8"/>
  <c r="G10" i="19"/>
  <c r="G10" i="20"/>
  <c r="G162" i="11"/>
  <c r="G168" i="11"/>
  <c r="G27" i="16"/>
  <c r="G140" i="17"/>
  <c r="G13" i="15"/>
  <c r="G187" i="15" s="1"/>
  <c r="G10" i="21"/>
  <c r="G31" i="11"/>
  <c r="G30" i="25"/>
  <c r="G51" i="25"/>
  <c r="G66" i="22"/>
  <c r="G142" i="25"/>
  <c r="G151" i="25"/>
  <c r="G195" i="25"/>
  <c r="G233" i="25"/>
  <c r="G95" i="14"/>
  <c r="G133" i="15"/>
  <c r="G182" i="18"/>
  <c r="G133" i="19"/>
  <c r="G71" i="19"/>
  <c r="G70" i="20"/>
  <c r="G84" i="20"/>
  <c r="G16" i="8"/>
  <c r="G182" i="11"/>
  <c r="G9" i="28"/>
  <c r="G62" i="25"/>
  <c r="G66" i="25"/>
  <c r="G81" i="25"/>
  <c r="G86" i="25"/>
  <c r="G90" i="25"/>
  <c r="G86" i="19"/>
  <c r="G95" i="20"/>
  <c r="G13" i="16"/>
  <c r="G39" i="31"/>
  <c r="G117" i="19"/>
  <c r="G111" i="16"/>
  <c r="G153" i="15"/>
  <c r="G3" i="23"/>
  <c r="G10" i="24"/>
  <c r="G57" i="11"/>
  <c r="G64" i="11"/>
  <c r="G140" i="11"/>
  <c r="G147" i="11"/>
  <c r="G202" i="11"/>
  <c r="G111" i="13"/>
  <c r="G32" i="14"/>
  <c r="G109" i="14"/>
  <c r="G45" i="16"/>
  <c r="G59" i="16"/>
  <c r="G65" i="16"/>
  <c r="G94" i="16"/>
  <c r="G103" i="17"/>
  <c r="G64" i="15"/>
  <c r="G112" i="18"/>
  <c r="G134" i="16"/>
  <c r="G133" i="17"/>
  <c r="G17" i="24"/>
  <c r="G169" i="20"/>
  <c r="G142" i="21"/>
  <c r="G57" i="23"/>
  <c r="G64" i="23"/>
  <c r="G77" i="23"/>
  <c r="G98" i="23"/>
  <c r="G168" i="15"/>
  <c r="G3" i="11"/>
  <c r="G3" i="17"/>
  <c r="G11" i="18"/>
  <c r="G17" i="18"/>
  <c r="G46" i="18"/>
  <c r="G22" i="19"/>
  <c r="G28" i="19"/>
  <c r="G40" i="20"/>
  <c r="G9" i="23"/>
  <c r="G226" i="23"/>
  <c r="G133" i="14"/>
  <c r="G195" i="23"/>
  <c r="G32" i="27"/>
  <c r="G42" i="27"/>
  <c r="G55" i="27"/>
  <c r="F50" i="27"/>
  <c r="G49" i="27" s="1"/>
  <c r="G72" i="8"/>
  <c r="G147" i="18"/>
  <c r="G70" i="18"/>
  <c r="G46" i="20"/>
  <c r="G28" i="17"/>
  <c r="G175" i="19"/>
  <c r="G16" i="23"/>
  <c r="G23" i="23"/>
  <c r="G101" i="25"/>
  <c r="G20" i="16"/>
  <c r="G41" i="19"/>
  <c r="G3" i="13"/>
  <c r="G12" i="13"/>
  <c r="G3" i="14"/>
  <c r="G11" i="14"/>
  <c r="G20" i="14"/>
  <c r="G26" i="18"/>
  <c r="G32" i="18"/>
  <c r="G39" i="18"/>
  <c r="G86" i="18"/>
  <c r="G58" i="21"/>
  <c r="G140" i="16"/>
  <c r="G48" i="19"/>
  <c r="G160" i="19"/>
  <c r="G3" i="20"/>
  <c r="G34" i="20"/>
  <c r="G34" i="19"/>
  <c r="G118" i="10"/>
  <c r="G30" i="23"/>
  <c r="G36" i="23"/>
  <c r="G9" i="27"/>
  <c r="G3" i="28"/>
  <c r="G127" i="17"/>
  <c r="G3" i="15"/>
  <c r="G19" i="15"/>
  <c r="G28" i="15"/>
  <c r="G15" i="25"/>
  <c r="G37" i="25"/>
  <c r="G73" i="25"/>
  <c r="F141" i="9"/>
  <c r="G23" i="21"/>
  <c r="G23" i="10"/>
  <c r="G220" i="18"/>
  <c r="G91" i="22"/>
  <c r="G178" i="18"/>
  <c r="G30" i="28"/>
  <c r="G13" i="26"/>
  <c r="G128" i="15"/>
  <c r="G45" i="22"/>
  <c r="G13" i="11"/>
  <c r="G7" i="26"/>
  <c r="G50" i="10"/>
  <c r="G44" i="24"/>
  <c r="G65" i="24"/>
  <c r="G22" i="22"/>
  <c r="G202" i="23"/>
  <c r="G31" i="13"/>
  <c r="G105" i="16"/>
  <c r="G30" i="24"/>
  <c r="G53" i="24"/>
  <c r="G25" i="14"/>
  <c r="G220" i="21"/>
  <c r="G106" i="10"/>
  <c r="G180" i="10" s="1"/>
  <c r="G75" i="16"/>
  <c r="E179" i="11"/>
  <c r="G178" i="11"/>
  <c r="F91" i="13"/>
  <c r="G90" i="13" s="1"/>
  <c r="F148" i="14"/>
  <c r="G147" i="14"/>
  <c r="F10" i="16"/>
  <c r="G9" i="16"/>
  <c r="G80" i="8"/>
  <c r="G127" i="11"/>
  <c r="G45" i="14"/>
  <c r="G53" i="19"/>
  <c r="G76" i="22"/>
  <c r="G211" i="23"/>
  <c r="G56" i="25"/>
  <c r="G115" i="14"/>
  <c r="G156" i="10"/>
  <c r="G107" i="11"/>
  <c r="G127" i="16"/>
  <c r="G148" i="16"/>
  <c r="G80" i="19"/>
  <c r="G78" i="20"/>
  <c r="G205" i="21"/>
  <c r="G15" i="28"/>
  <c r="G192" i="20"/>
  <c r="F71" i="8"/>
  <c r="G68" i="8"/>
  <c r="G114" i="8" s="1"/>
  <c r="G208" i="23"/>
  <c r="G103" i="23"/>
  <c r="G3" i="16"/>
  <c r="G205" i="18"/>
  <c r="G3" i="27"/>
  <c r="G37" i="27"/>
  <c r="G156" i="11"/>
  <c r="G56" i="18"/>
  <c r="G44" i="25"/>
  <c r="G3" i="24"/>
  <c r="G62" i="18"/>
  <c r="G81" i="18"/>
  <c r="G3" i="31"/>
  <c r="G43" i="34"/>
  <c r="G16" i="27"/>
  <c r="G166" i="19"/>
  <c r="F4" i="8"/>
  <c r="G3" i="8" s="1"/>
  <c r="G9" i="9"/>
  <c r="G28" i="9"/>
  <c r="G51" i="20"/>
  <c r="G227" i="18"/>
  <c r="G29" i="8"/>
  <c r="G53" i="34"/>
  <c r="G114" i="10"/>
  <c r="G71" i="23"/>
  <c r="G82" i="23"/>
  <c r="G141" i="23"/>
  <c r="G192" i="21"/>
  <c r="G103" i="21"/>
  <c r="G78" i="21"/>
  <c r="G227" i="21"/>
  <c r="G38" i="21"/>
  <c r="G32" i="21"/>
  <c r="G65" i="21"/>
  <c r="G17" i="21"/>
  <c r="G3" i="21"/>
  <c r="G52" i="21"/>
  <c r="G89" i="20"/>
  <c r="G13" i="17"/>
  <c r="G19" i="17"/>
  <c r="G57" i="17"/>
  <c r="G42" i="13"/>
  <c r="G76" i="13"/>
  <c r="G147" i="10"/>
  <c r="G38" i="16"/>
  <c r="G119" i="17"/>
  <c r="G28" i="27"/>
  <c r="G43" i="11"/>
  <c r="G111" i="20"/>
  <c r="G178" i="20"/>
  <c r="G156" i="25"/>
  <c r="G152" i="10"/>
  <c r="G70" i="11"/>
  <c r="G103" i="14"/>
  <c r="G52" i="16"/>
  <c r="G222" i="25"/>
  <c r="G31" i="16"/>
  <c r="G49" i="17"/>
  <c r="G122" i="19"/>
  <c r="G187" i="19" s="1"/>
  <c r="G171" i="21"/>
  <c r="G185" i="20"/>
  <c r="G35" i="10"/>
  <c r="G41" i="12"/>
  <c r="G41" i="9"/>
  <c r="G96" i="9"/>
  <c r="G175" i="20"/>
  <c r="G64" i="9"/>
  <c r="G100" i="9"/>
  <c r="G164" i="9"/>
  <c r="G43" i="31"/>
  <c r="G14" i="12"/>
  <c r="G50" i="12"/>
  <c r="G110" i="9"/>
  <c r="G153" i="9"/>
  <c r="G9" i="10"/>
  <c r="G28" i="10"/>
  <c r="G97" i="8"/>
  <c r="G21" i="31"/>
  <c r="G59" i="31" s="1"/>
  <c r="G31" i="31"/>
  <c r="G10" i="34"/>
  <c r="G22" i="34"/>
  <c r="G175" i="9"/>
  <c r="G24" i="8"/>
  <c r="G26" i="12"/>
  <c r="G71" i="12"/>
  <c r="G3" i="34"/>
  <c r="G49" i="34"/>
  <c r="G35" i="9"/>
  <c r="G105" i="9"/>
  <c r="G133" i="9"/>
  <c r="G9" i="11"/>
  <c r="G188" i="21"/>
  <c r="G26" i="26"/>
  <c r="G41" i="24"/>
  <c r="G185" i="23"/>
  <c r="G20" i="8"/>
  <c r="G62" i="8"/>
  <c r="G27" i="31"/>
  <c r="G20" i="12"/>
  <c r="G46" i="12"/>
  <c r="G46" i="9"/>
  <c r="G55" i="10"/>
  <c r="G167" i="10"/>
  <c r="G22" i="11"/>
  <c r="G36" i="11"/>
  <c r="G65" i="12"/>
  <c r="G16" i="34"/>
  <c r="G74" i="34"/>
  <c r="G18" i="9"/>
  <c r="G23" i="9"/>
  <c r="G18" i="10"/>
  <c r="G42" i="10"/>
  <c r="G102" i="10"/>
  <c r="G9" i="8"/>
  <c r="G36" i="8"/>
  <c r="G76" i="8"/>
  <c r="G14" i="31"/>
  <c r="G7" i="12"/>
  <c r="G38" i="34"/>
  <c r="G3" i="9"/>
  <c r="G90" i="9"/>
  <c r="G3" i="10"/>
  <c r="G133" i="10"/>
  <c r="G146" i="15"/>
  <c r="G243" i="18" l="1"/>
  <c r="G186" i="9"/>
  <c r="G113" i="8"/>
  <c r="G246" i="21"/>
  <c r="G249" i="23"/>
  <c r="G165" i="14"/>
  <c r="G138" i="9"/>
  <c r="G190" i="9" s="1"/>
  <c r="G194" i="19"/>
  <c r="G155" i="17"/>
  <c r="G184" i="15"/>
  <c r="G209" i="20"/>
  <c r="G156" i="17"/>
  <c r="G245" i="18"/>
  <c r="G157" i="14"/>
  <c r="G246" i="25"/>
  <c r="G82" i="24"/>
  <c r="G244" i="23"/>
  <c r="G216" i="20"/>
  <c r="G211" i="20"/>
  <c r="G183" i="15"/>
  <c r="G178" i="10"/>
  <c r="G243" i="21"/>
  <c r="G135" i="13"/>
  <c r="G243" i="25"/>
  <c r="G159" i="14"/>
  <c r="G102" i="22"/>
  <c r="G191" i="19"/>
  <c r="G33" i="26"/>
  <c r="C42" i="5" s="1"/>
  <c r="F42" i="5" s="1"/>
  <c r="G42" i="5" s="1"/>
  <c r="G37" i="28"/>
  <c r="C40" i="5" s="1"/>
  <c r="F40" i="5" s="1"/>
  <c r="G40" i="5" s="1"/>
  <c r="G61" i="31"/>
  <c r="G244" i="21"/>
  <c r="G225" i="11"/>
  <c r="G242" i="18"/>
  <c r="G182" i="15"/>
  <c r="G244" i="18"/>
  <c r="G247" i="23"/>
  <c r="G59" i="27"/>
  <c r="G222" i="11"/>
  <c r="G188" i="19"/>
  <c r="G111" i="8"/>
  <c r="G213" i="20"/>
  <c r="G212" i="20"/>
  <c r="G224" i="11"/>
  <c r="G136" i="13"/>
  <c r="G208" i="20"/>
  <c r="G161" i="14"/>
  <c r="G187" i="9"/>
  <c r="G166" i="16"/>
  <c r="G162" i="16"/>
  <c r="G186" i="19"/>
  <c r="G133" i="13"/>
  <c r="G160" i="14"/>
  <c r="G185" i="15"/>
  <c r="G186" i="15"/>
  <c r="G249" i="18"/>
  <c r="G190" i="19"/>
  <c r="G247" i="18"/>
  <c r="G165" i="16"/>
  <c r="G158" i="17"/>
  <c r="G244" i="25"/>
  <c r="G248" i="23"/>
  <c r="G248" i="18"/>
  <c r="G101" i="22"/>
  <c r="G245" i="23"/>
  <c r="G189" i="19"/>
  <c r="G242" i="25"/>
  <c r="G241" i="25"/>
  <c r="G157" i="17"/>
  <c r="G210" i="20"/>
  <c r="G226" i="11"/>
  <c r="G229" i="11"/>
  <c r="G83" i="24"/>
  <c r="G81" i="24"/>
  <c r="G80" i="24"/>
  <c r="G179" i="10"/>
  <c r="G57" i="27"/>
  <c r="G251" i="21"/>
  <c r="G246" i="18"/>
  <c r="G250" i="23"/>
  <c r="G162" i="14"/>
  <c r="G245" i="25"/>
  <c r="G184" i="9"/>
  <c r="G154" i="17"/>
  <c r="G60" i="31"/>
  <c r="G112" i="8"/>
  <c r="G105" i="22"/>
  <c r="G183" i="9"/>
  <c r="G248" i="21"/>
  <c r="G246" i="23"/>
  <c r="G134" i="13"/>
  <c r="G176" i="10"/>
  <c r="G181" i="10"/>
  <c r="G185" i="9"/>
  <c r="G223" i="11"/>
  <c r="G79" i="12"/>
  <c r="B22" i="5" s="1"/>
  <c r="G247" i="21"/>
  <c r="G245" i="21"/>
  <c r="G163" i="16"/>
  <c r="G164" i="16"/>
  <c r="G82" i="34"/>
  <c r="B23" i="5" s="1"/>
  <c r="G117" i="8"/>
  <c r="G177" i="10"/>
  <c r="G184" i="10"/>
  <c r="G116" i="8" l="1"/>
  <c r="G160" i="17"/>
  <c r="G176" i="15" s="1"/>
  <c r="H42" i="5"/>
  <c r="I42" i="5" s="1"/>
  <c r="H40" i="5"/>
  <c r="D22" i="5"/>
  <c r="E22" i="5" s="1"/>
  <c r="D23" i="5"/>
  <c r="E23" i="5" s="1"/>
  <c r="G61" i="27"/>
  <c r="C39" i="5" s="1"/>
  <c r="G251" i="18"/>
  <c r="G177" i="15" s="1"/>
  <c r="G104" i="22"/>
  <c r="G63" i="31"/>
  <c r="B21" i="5" s="1"/>
  <c r="G242" i="23"/>
  <c r="G158" i="14"/>
  <c r="G164" i="14" s="1"/>
  <c r="B28" i="5" s="1"/>
  <c r="G215" i="20"/>
  <c r="B34" i="5" s="1"/>
  <c r="G138" i="13"/>
  <c r="B27" i="5" s="1"/>
  <c r="D27" i="5" s="1"/>
  <c r="E27" i="5" s="1"/>
  <c r="G193" i="19"/>
  <c r="B33" i="5" s="1"/>
  <c r="G189" i="15"/>
  <c r="B31" i="5" s="1"/>
  <c r="G84" i="24"/>
  <c r="C43" i="5" s="1"/>
  <c r="F43" i="5" s="1"/>
  <c r="G43" i="5" s="1"/>
  <c r="G228" i="11"/>
  <c r="B26" i="5" s="1"/>
  <c r="G248" i="25"/>
  <c r="C41" i="5" s="1"/>
  <c r="F41" i="5" s="1"/>
  <c r="G41" i="5" s="1"/>
  <c r="G252" i="23"/>
  <c r="B37" i="5" s="1"/>
  <c r="G189" i="9"/>
  <c r="B24" i="5" s="1"/>
  <c r="G250" i="21"/>
  <c r="G183" i="10"/>
  <c r="B25" i="5" s="1"/>
  <c r="G168" i="16"/>
  <c r="G56" i="31" s="1"/>
  <c r="H27" i="5" l="1"/>
  <c r="I27" i="5" s="1"/>
  <c r="I40" i="5"/>
  <c r="J40" i="5" s="1"/>
  <c r="J42" i="5"/>
  <c r="H43" i="5"/>
  <c r="H41" i="5"/>
  <c r="D20" i="5"/>
  <c r="F39" i="5"/>
  <c r="G241" i="23"/>
  <c r="B35" i="5"/>
  <c r="C33" i="5"/>
  <c r="D33" i="5"/>
  <c r="E33" i="5" s="1"/>
  <c r="C34" i="5"/>
  <c r="D34" i="5"/>
  <c r="E34" i="5" s="1"/>
  <c r="G240" i="23"/>
  <c r="B36" i="5"/>
  <c r="D37" i="5"/>
  <c r="E37" i="5" s="1"/>
  <c r="C20" i="5"/>
  <c r="C21" i="5"/>
  <c r="D21" i="5"/>
  <c r="C24" i="5"/>
  <c r="D24" i="5"/>
  <c r="D31" i="5"/>
  <c r="E31" i="5" s="1"/>
  <c r="C26" i="5"/>
  <c r="D26" i="5"/>
  <c r="E26" i="5" s="1"/>
  <c r="D28" i="5"/>
  <c r="E28" i="5" s="1"/>
  <c r="C28" i="5"/>
  <c r="C25" i="5"/>
  <c r="D25" i="5"/>
  <c r="E25" i="5" s="1"/>
  <c r="G179" i="15"/>
  <c r="B32" i="5"/>
  <c r="G80" i="34"/>
  <c r="G83" i="34" s="1"/>
  <c r="C23" i="5" s="1"/>
  <c r="G57" i="31"/>
  <c r="B30" i="5"/>
  <c r="G178" i="15"/>
  <c r="G160" i="16"/>
  <c r="G169" i="16" s="1"/>
  <c r="D152" i="17"/>
  <c r="F152" i="17" s="1"/>
  <c r="G239" i="18"/>
  <c r="G55" i="31"/>
  <c r="G240" i="18"/>
  <c r="G180" i="15"/>
  <c r="G77" i="12"/>
  <c r="G80" i="12" s="1"/>
  <c r="C22" i="5" s="1"/>
  <c r="B29" i="5"/>
  <c r="G175" i="15"/>
  <c r="G39" i="5" l="1"/>
  <c r="G51" i="5" s="1"/>
  <c r="F51" i="5"/>
  <c r="E20" i="5"/>
  <c r="E45" i="5" s="1"/>
  <c r="D45" i="5"/>
  <c r="E21" i="5"/>
  <c r="E47" i="5" s="1"/>
  <c r="D47" i="5"/>
  <c r="E24" i="5"/>
  <c r="E46" i="5" s="1"/>
  <c r="D46" i="5"/>
  <c r="J27" i="5"/>
  <c r="I43" i="5"/>
  <c r="J43" i="5" s="1"/>
  <c r="I41" i="5"/>
  <c r="J41" i="5" s="1"/>
  <c r="H39" i="5"/>
  <c r="G253" i="23"/>
  <c r="C37" i="5" s="1"/>
  <c r="D35" i="5"/>
  <c r="C35" i="5"/>
  <c r="D36" i="5"/>
  <c r="E36" i="5" s="1"/>
  <c r="C36" i="5"/>
  <c r="D30" i="5"/>
  <c r="E30" i="5" s="1"/>
  <c r="D32" i="5"/>
  <c r="D29" i="5"/>
  <c r="C29" i="5"/>
  <c r="G190" i="15"/>
  <c r="C31" i="5" s="1"/>
  <c r="G64" i="31"/>
  <c r="G252" i="18"/>
  <c r="C32" i="5" s="1"/>
  <c r="G152" i="17"/>
  <c r="G161" i="17" s="1"/>
  <c r="C30" i="5" s="1"/>
  <c r="E29" i="5" l="1"/>
  <c r="E48" i="5" s="1"/>
  <c r="D48" i="5"/>
  <c r="E32" i="5"/>
  <c r="E49" i="5" s="1"/>
  <c r="D49" i="5"/>
  <c r="E35" i="5"/>
  <c r="E50" i="5" s="1"/>
  <c r="D50" i="5"/>
  <c r="I39" i="5"/>
  <c r="J39" i="5" s="1"/>
  <c r="F33" i="5"/>
  <c r="G33" i="5" s="1"/>
  <c r="F21" i="5"/>
  <c r="F31" i="5"/>
  <c r="F35" i="5"/>
  <c r="F20" i="5"/>
  <c r="F37" i="5"/>
  <c r="G37" i="5" s="1"/>
  <c r="F34" i="5"/>
  <c r="G34" i="5" s="1"/>
  <c r="F22" i="5"/>
  <c r="G22" i="5" s="1"/>
  <c r="F25" i="5"/>
  <c r="G25" i="5" s="1"/>
  <c r="F28" i="5"/>
  <c r="G28" i="5" s="1"/>
  <c r="F36" i="5"/>
  <c r="G36" i="5" s="1"/>
  <c r="F23" i="5"/>
  <c r="G23" i="5" s="1"/>
  <c r="F29" i="5"/>
  <c r="F26" i="5"/>
  <c r="G26" i="5" s="1"/>
  <c r="F24" i="5"/>
  <c r="F30" i="5"/>
  <c r="G30" i="5" s="1"/>
  <c r="F32" i="5"/>
  <c r="G32" i="5" l="1"/>
  <c r="G49" i="5" s="1"/>
  <c r="F49" i="5"/>
  <c r="G29" i="5"/>
  <c r="G48" i="5" s="1"/>
  <c r="F48" i="5"/>
  <c r="G24" i="5"/>
  <c r="G46" i="5" s="1"/>
  <c r="F46" i="5"/>
  <c r="G20" i="5"/>
  <c r="G45" i="5" s="1"/>
  <c r="F45" i="5"/>
  <c r="G35" i="5"/>
  <c r="G50" i="5" s="1"/>
  <c r="F50" i="5"/>
  <c r="G21" i="5"/>
  <c r="F47" i="5"/>
  <c r="G31" i="5"/>
  <c r="H28" i="5"/>
  <c r="H21" i="5"/>
  <c r="H34" i="5"/>
  <c r="H31" i="5"/>
  <c r="I31" i="5" s="1"/>
  <c r="H30" i="5"/>
  <c r="H24" i="5"/>
  <c r="H37" i="5"/>
  <c r="H33" i="5"/>
  <c r="H32" i="5"/>
  <c r="H36" i="5"/>
  <c r="I36" i="5" s="1"/>
  <c r="H25" i="5"/>
  <c r="H29" i="5"/>
  <c r="H22" i="5"/>
  <c r="I22" i="5" s="1"/>
  <c r="H35" i="5"/>
  <c r="I35" i="5" s="1"/>
  <c r="H26" i="5"/>
  <c r="I26" i="5" s="1"/>
  <c r="H23" i="5"/>
  <c r="I23" i="5" s="1"/>
  <c r="H20" i="5"/>
  <c r="I20" i="5" s="1"/>
  <c r="G47" i="5" l="1"/>
  <c r="I24" i="5"/>
  <c r="J24" i="5" s="1"/>
  <c r="I25" i="5"/>
  <c r="J25" i="5" s="1"/>
  <c r="J36" i="5"/>
  <c r="J35" i="5"/>
  <c r="I37" i="5"/>
  <c r="J37" i="5" s="1"/>
  <c r="I32" i="5"/>
  <c r="J32" i="5" s="1"/>
  <c r="J31" i="5"/>
  <c r="J20" i="5"/>
  <c r="J22" i="5"/>
  <c r="I33" i="5"/>
  <c r="J33" i="5" s="1"/>
  <c r="I29" i="5"/>
  <c r="J29" i="5" s="1"/>
  <c r="I30" i="5"/>
  <c r="J30" i="5" s="1"/>
  <c r="I28" i="5"/>
  <c r="J28" i="5" s="1"/>
  <c r="I34" i="5"/>
  <c r="J34" i="5" s="1"/>
  <c r="J23" i="5"/>
  <c r="I21" i="5"/>
  <c r="J21" i="5" s="1"/>
  <c r="J26" i="5"/>
</calcChain>
</file>

<file path=xl/sharedStrings.xml><?xml version="1.0" encoding="utf-8"?>
<sst xmlns="http://schemas.openxmlformats.org/spreadsheetml/2006/main" count="9694" uniqueCount="5832">
  <si>
    <t>Wetlands that are narrower than the channel, lake, or estuary they adjoin are likely to have much less effect on water temperature in those receiving waters.</t>
  </si>
  <si>
    <t>Conservation Investment</t>
  </si>
  <si>
    <t>Mitigation Investment</t>
  </si>
  <si>
    <t>S5</t>
  </si>
  <si>
    <t>Fish Access or Use</t>
  </si>
  <si>
    <t>Shorebird Feeding Habitats</t>
  </si>
  <si>
    <t>&lt;1% or none</t>
  </si>
  <si>
    <t>Core Area 1</t>
  </si>
  <si>
    <t>Throughflow Complexity</t>
  </si>
  <si>
    <t>Tidal Proximity</t>
  </si>
  <si>
    <t>25-100 ft</t>
  </si>
  <si>
    <t>100-300 ft</t>
  </si>
  <si>
    <t>25-50%</t>
  </si>
  <si>
    <t>50-75%</t>
  </si>
  <si>
    <t>&gt;75%</t>
  </si>
  <si>
    <t>Outflow Duration</t>
  </si>
  <si>
    <t>F8</t>
  </si>
  <si>
    <t>F9</t>
  </si>
  <si>
    <t>&lt;300 ft, but no uninterrupted natural land corridor</t>
  </si>
  <si>
    <t>300-1000 ft, but no uninterrupted natural land corridor</t>
  </si>
  <si>
    <t>&gt;1000 ft, but no uninterrupted natural land corridor</t>
  </si>
  <si>
    <t>2-6 ft deep</t>
  </si>
  <si>
    <t>Internal Gradient</t>
  </si>
  <si>
    <t>Sediment &amp; Toxicant Retention &amp; Stabilization (SR)</t>
  </si>
  <si>
    <t>Ponded Water Proximity</t>
  </si>
  <si>
    <t>Most waterbirds favor ponded areas (that typically are flat) rather than flowing water that typifies slope and riverine wetlands.</t>
  </si>
  <si>
    <t>extensive evidence, high intensity*</t>
  </si>
  <si>
    <t>potentially (based on high-intensity* land use) or scattered evidence</t>
  </si>
  <si>
    <t>potentially (based on low-intensity* land use) with little or no direct evidence</t>
  </si>
  <si>
    <t>Pollinators are especially valuable if the wetland contains a rare plant species dependent on insect pollination.</t>
  </si>
  <si>
    <t>Many pollinating species depend on such microtopographic features for nest sites and cover.</t>
  </si>
  <si>
    <t>Values Score for Pollinator Habitat</t>
  </si>
  <si>
    <t>Function Score for Aquatic Invertebrate Habitat</t>
  </si>
  <si>
    <r>
      <t xml:space="preserve">The number of downed wood pieces </t>
    </r>
    <r>
      <rPr>
        <b/>
        <sz val="10"/>
        <rFont val="Arial Narrow"/>
        <family val="2"/>
      </rPr>
      <t xml:space="preserve">longer than 6 ft </t>
    </r>
    <r>
      <rPr>
        <sz val="10"/>
        <rFont val="Arial Narrow"/>
        <family val="2"/>
      </rPr>
      <t xml:space="preserve">and with diameter </t>
    </r>
    <r>
      <rPr>
        <b/>
        <sz val="10"/>
        <rFont val="Arial Narrow"/>
        <family val="2"/>
      </rPr>
      <t>&gt;6",</t>
    </r>
    <r>
      <rPr>
        <sz val="10"/>
        <rFont val="Arial Narrow"/>
        <family val="2"/>
      </rPr>
      <t xml:space="preserve"> and </t>
    </r>
    <r>
      <rPr>
        <b/>
        <sz val="10"/>
        <rFont val="Arial Narrow"/>
        <family val="2"/>
      </rPr>
      <t>not persistently submerged</t>
    </r>
    <r>
      <rPr>
        <sz val="10"/>
        <rFont val="Arial Narrow"/>
        <family val="2"/>
      </rPr>
      <t>, is:</t>
    </r>
  </si>
  <si>
    <t>Drier Water Regime - Internal Causes</t>
  </si>
  <si>
    <t>Drier Water Regime - External Causes</t>
  </si>
  <si>
    <r>
      <t xml:space="preserve">Wetter Water Regime - </t>
    </r>
    <r>
      <rPr>
        <b/>
        <i/>
        <sz val="12"/>
        <rFont val="Arial"/>
        <family val="2"/>
      </rPr>
      <t>External</t>
    </r>
    <r>
      <rPr>
        <b/>
        <sz val="12"/>
        <rFont val="Arial"/>
        <family val="2"/>
      </rPr>
      <t xml:space="preserve"> Causes</t>
    </r>
  </si>
  <si>
    <t>S9</t>
  </si>
  <si>
    <t>Severe (3 points)</t>
  </si>
  <si>
    <t>Medium (2 points)</t>
  </si>
  <si>
    <t>Mild (1 point)</t>
  </si>
  <si>
    <t>6-12"</t>
  </si>
  <si>
    <t>&lt;6 inches</t>
  </si>
  <si>
    <t>Vegetation provides more food and cover to invertebrates than do bare areas, so invertebrate density and diversity is typically greater.</t>
  </si>
  <si>
    <t>Core Area 2</t>
  </si>
  <si>
    <t>Bare Ground &amp; Accumulated Plant Litter</t>
  </si>
  <si>
    <t>Carbon Sequestration (CS)</t>
  </si>
  <si>
    <t>Aquatic Invertebrate Habitat (INV)</t>
  </si>
  <si>
    <t>Anadromous Fish Habitat (FA)</t>
  </si>
  <si>
    <t>Waterbird Feeding Habitat (WBF)</t>
  </si>
  <si>
    <t>Waterbird Nesting Habitat (WBN)</t>
  </si>
  <si>
    <t>Pollinator Habitat (POL)</t>
  </si>
  <si>
    <t>Function Score for Carbon Sequestration</t>
  </si>
  <si>
    <t>Values Score for Carbon Sequestration</t>
  </si>
  <si>
    <t>10 to 25%</t>
  </si>
  <si>
    <t>&gt;25%</t>
  </si>
  <si>
    <t>Regardless of the accessibility and quality of a wetland, if anadromous fish cannot access the larger watershed of which it is a part, the wetland will be unable to currently support anadromous fish.</t>
  </si>
  <si>
    <t>&lt;25%</t>
  </si>
  <si>
    <t>Domestic Wells</t>
  </si>
  <si>
    <t>Mostly true</t>
  </si>
  <si>
    <t>Non-consumptive Uses - Actual or Potential</t>
  </si>
  <si>
    <t>Altered Timing of Water Inputs</t>
  </si>
  <si>
    <t>Dense vegetation offers frictional resistance to water flow, promoting sedimentation of suspended particles, as well as reducing the resuspension of bottom sediments by waves and currents.</t>
  </si>
  <si>
    <t>These features cumulatively decelerate runoff, thus allowing for more sedimentation to occur, although usually only to a minor degree.</t>
  </si>
  <si>
    <t>F66</t>
  </si>
  <si>
    <t>N Fixers</t>
  </si>
  <si>
    <t>evergreen 1-4" diameter and &gt;3 ft tall</t>
  </si>
  <si>
    <t>Few or none</t>
  </si>
  <si>
    <r>
      <t>unlikely</t>
    </r>
    <r>
      <rPr>
        <sz val="10"/>
        <rFont val="Arial Narrow"/>
        <family val="2"/>
      </rPr>
      <t xml:space="preserve"> because site characteristics above are deficient, and/or this is a settled area or other area where beaver are routinely removed.  But beaver occur in the region (i.e., within 10 miles, or on same island).</t>
    </r>
  </si>
  <si>
    <r>
      <rPr>
        <b/>
        <sz val="10"/>
        <rFont val="Arial Narrow"/>
        <family val="2"/>
      </rPr>
      <t>none</t>
    </r>
    <r>
      <rPr>
        <sz val="10"/>
        <rFont val="Arial Narrow"/>
        <family val="2"/>
      </rPr>
      <t>.  Beaver are absent from the region and/or the island.</t>
    </r>
  </si>
  <si>
    <t>Waterbirds prefer landscapes where multiple wetlands are present in close proximity, so that if birds are disturbed in one area, they can fly to alternate sites that serve as refuge and which may provide different but complementary water regimes and foods.</t>
  </si>
  <si>
    <t>1 to 10 acres</t>
  </si>
  <si>
    <t>10 to 100 acres</t>
  </si>
  <si>
    <t>100 to 1000 acres</t>
  </si>
  <si>
    <t>0.1 - 1 acre</t>
  </si>
  <si>
    <t>Several (extensive micro-topography)</t>
  </si>
  <si>
    <t>Unless impounded, steeply sloping wetlands retain less surface runoff and precipitation.</t>
  </si>
  <si>
    <r>
      <t xml:space="preserve">those species together do </t>
    </r>
    <r>
      <rPr>
        <b/>
        <sz val="10"/>
        <rFont val="Arial Narrow"/>
        <family val="2"/>
      </rPr>
      <t xml:space="preserve">not </t>
    </r>
    <r>
      <rPr>
        <sz val="10"/>
        <rFont val="Arial Narrow"/>
        <family val="2"/>
      </rPr>
      <t>comprise &gt; 50% of the areal cover of native herbaceous plants at any time during the year.</t>
    </r>
  </si>
  <si>
    <t xml:space="preserve">in the AA </t>
  </si>
  <si>
    <t>outside the AA but within 0.5 mile, in a generally similar wetland</t>
  </si>
  <si>
    <t>outside the AA and 0.5 to 2 miles away, in a generally similar wetland</t>
  </si>
  <si>
    <t>Non-breeding (Feeding) Waterbird Species of Conservation Concern</t>
  </si>
  <si>
    <t>Songbird or Raptor Species of Conservation Concern</t>
  </si>
  <si>
    <t>&lt;10%</t>
  </si>
  <si>
    <t>Mostly untrue</t>
  </si>
  <si>
    <t>1-10 acres</t>
  </si>
  <si>
    <t>10-100 acres</t>
  </si>
  <si>
    <t>100-1000 acres</t>
  </si>
  <si>
    <t>&gt;1000 acres</t>
  </si>
  <si>
    <t>5-50%</t>
  </si>
  <si>
    <t>Size of Largest Nearby Tract or Corridor of Natural Land Cover</t>
  </si>
  <si>
    <t>Natural Land Cover Extent</t>
  </si>
  <si>
    <t>&lt;1 mile</t>
  </si>
  <si>
    <t>&gt;50%</t>
  </si>
  <si>
    <t>F39</t>
  </si>
  <si>
    <t>F40</t>
  </si>
  <si>
    <t>F41</t>
  </si>
  <si>
    <t>F42</t>
  </si>
  <si>
    <t>F43</t>
  </si>
  <si>
    <t>F45</t>
  </si>
  <si>
    <t>F49</t>
  </si>
  <si>
    <t>F50</t>
  </si>
  <si>
    <t>F51</t>
  </si>
  <si>
    <t>F54</t>
  </si>
  <si>
    <t>&gt;1000 ft, and connected with a natural land corridor</t>
  </si>
  <si>
    <t>Mudflats and seasonally inundated shortgrass flats (including farmed wetlands, Taft &amp; Haig 2003, 2005) are important to large numbers of migratory waterbirds.</t>
  </si>
  <si>
    <t>&lt;1% (flat -- almost no noticeable slope)</t>
  </si>
  <si>
    <t>none of the upland edge (invasives apparently absent)</t>
  </si>
  <si>
    <t>A direct indicator of value, at least for some species.</t>
  </si>
  <si>
    <t>Fish are especially valued in food webs when the same wetland's structure also strongly supports important consumers such as birds (e.g., loons, grebes, cormorants, kingfisher).</t>
  </si>
  <si>
    <t>The degree of dependency of local communities and individuals on fish is a direct measure of the value of the fish and the wetlands that support them.</t>
  </si>
  <si>
    <t xml:space="preserve">Most amphibians in this region appear to prefer ponded or slowly-flowing waters, as are typically associated with gentle gradient.  </t>
  </si>
  <si>
    <t>Increased visitation by humans and pets can potentially increase the spread of aquatic fungi that are lethal to many amphibians.</t>
  </si>
  <si>
    <t>A direct (but hardly the only) indicator of value, at least for some species.</t>
  </si>
  <si>
    <t>Wetlands with upland inclusions allow animals to move more conveniently between uplands and wetlands, using resources in each.</t>
  </si>
  <si>
    <t>These wetland species are particularly valued because of their rarity and/or declining populations as listed by agencies.</t>
  </si>
  <si>
    <t>Larger ponded areas are preferred by swans, loons, grebes, cormorants, and some other waterbird species.  That is because they provide greater buffer against predators, are more likely to have productive fish populations, and are sufficiently long enough for waterbird species that cannot take flight by leaping directly upward.</t>
  </si>
  <si>
    <t>Data</t>
  </si>
  <si>
    <t>F56</t>
  </si>
  <si>
    <t>Designated IBA</t>
  </si>
  <si>
    <t>other conditions, or no data</t>
  </si>
  <si>
    <t>&gt;5 miles and on the mainland or the same island</t>
  </si>
  <si>
    <t>Deadwood</t>
  </si>
  <si>
    <t>Organic matter accumultation (vegetative litter) in several stages of decomposition</t>
  </si>
  <si>
    <t>Buffer condition (width, connectivity, etc.)</t>
  </si>
  <si>
    <t>Disease/ vigor</t>
  </si>
  <si>
    <t>Consumptive Uses (Provisioning Services)</t>
  </si>
  <si>
    <t>1-25%</t>
  </si>
  <si>
    <t>F10</t>
  </si>
  <si>
    <t>F18</t>
  </si>
  <si>
    <t>F65</t>
  </si>
  <si>
    <t>300-1000 ft, and connected with a natural land corridor</t>
  </si>
  <si>
    <t>F12</t>
  </si>
  <si>
    <t>F46</t>
  </si>
  <si>
    <t>20 to 60% of the land</t>
  </si>
  <si>
    <t>Zone F Ground Water Surface Water Influence</t>
  </si>
  <si>
    <t>Zone G Ground Water Surface Water Influence</t>
  </si>
  <si>
    <t>None of above</t>
  </si>
  <si>
    <t>&gt;300 ft</t>
  </si>
  <si>
    <t>Beaver</t>
  </si>
  <si>
    <t>Although moderate increases in nutrients may benefit invertebrate communities and thus fish in some wetlands, high levels of contaminants (especially heavy metals such as copper) can be detrimental.</t>
  </si>
  <si>
    <t>F</t>
  </si>
  <si>
    <t>V</t>
  </si>
  <si>
    <t>S8</t>
  </si>
  <si>
    <t>persistent vs. seldom</t>
  </si>
  <si>
    <t>persistent vs. seasonal</t>
  </si>
  <si>
    <t>slightly longer or more often</t>
  </si>
  <si>
    <t>&gt;1 ft</t>
  </si>
  <si>
    <t>1-12"</t>
  </si>
  <si>
    <t>&lt;1 inch</t>
  </si>
  <si>
    <t xml:space="preserve">seldom vs. persistent </t>
  </si>
  <si>
    <t>seasonal vs. persistent</t>
  </si>
  <si>
    <t>slightly shorter or less often</t>
  </si>
  <si>
    <t>became very flashy or controlled</t>
  </si>
  <si>
    <t>became mildly flashy or controlled</t>
  </si>
  <si>
    <t>Usual toxicity of most toxic contaminants</t>
  </si>
  <si>
    <t>Frequency &amp; duration of input</t>
  </si>
  <si>
    <t>AA proximity to main sources (actual or potential)</t>
  </si>
  <si>
    <t>0-50 ft</t>
  </si>
  <si>
    <t>50-300 ft or in groundwater</t>
  </si>
  <si>
    <t>Erosion in CA</t>
  </si>
  <si>
    <t>Recentness of significant soil disturbance in the CA</t>
  </si>
  <si>
    <t>current &amp; ongoing</t>
  </si>
  <si>
    <t>1-12 months ago</t>
  </si>
  <si>
    <t>&gt;1 yr ago</t>
  </si>
  <si>
    <t>AA proximity to actual or potential sources</t>
  </si>
  <si>
    <t>Inflow</t>
  </si>
  <si>
    <t>500-1000 ft</t>
  </si>
  <si>
    <t>Aspect</t>
  </si>
  <si>
    <t>Function Score for Pollinator Habitat</t>
  </si>
  <si>
    <t>Function Score for Feeding Waterbird Habitat</t>
  </si>
  <si>
    <t>Function Score for Nesting Waterbird Habitat</t>
  </si>
  <si>
    <t>Function Score for Songbird, Raptor, &amp; Mammal Habitat</t>
  </si>
  <si>
    <t>Wetlands with greater plant richness are likely to be more valuable to pollinators if other factors already suggest the wetland has high capacity to support pollinators.</t>
  </si>
  <si>
    <t>&gt;30%</t>
  </si>
  <si>
    <t>Greater microtopography implies greater heterogeneity of water, vegetation, and disturbance regimes, which together should indicate higher capacity to support a wide variety of invertebrates.</t>
  </si>
  <si>
    <t>Some waterbirds nest in upland forests and other natural upland habitats, and the closer these are to the wetland, the more likely the wetland may be used.</t>
  </si>
  <si>
    <t>Nesting Waterbird Species of Conservation Concern</t>
  </si>
  <si>
    <t>Score</t>
  </si>
  <si>
    <t>Steeper gradients imply a greater likelihood that whatever organic matter is produced will be transported offsite.</t>
  </si>
  <si>
    <t xml:space="preserve">Function Score for Phosphorus Retention </t>
  </si>
  <si>
    <t>Function Score for Nitrate Removal</t>
  </si>
  <si>
    <t>Values Score for Nitrate Removal</t>
  </si>
  <si>
    <t xml:space="preserve">Values Score for Phosphorus Retention </t>
  </si>
  <si>
    <t>Values Score for Sediment Retention &amp; Stabilization</t>
  </si>
  <si>
    <t>Values Score for Water Storage</t>
  </si>
  <si>
    <t>Contributing Area (CA) Percent</t>
  </si>
  <si>
    <t>Upland Inclusions</t>
  </si>
  <si>
    <t>Many wetland songbirds and mammals may prefer landscapes where multiple wetlands are present in close proximity, so that if birds are disturbed in one area, they can use alternate sites which may provide different but complementary types of food and cover.</t>
  </si>
  <si>
    <t>Ponded Water in Landscape</t>
  </si>
  <si>
    <t>Somewhat true</t>
  </si>
  <si>
    <t>Although wetlands that never contain surface water may still be visited by feeding waterbirds, they are used by fewer species.</t>
  </si>
  <si>
    <t>Nitrate Removal &amp; Retention (NR)</t>
  </si>
  <si>
    <t>Because actual data on phosphorus loads are lacking for many wetland watersheds, this approximation based on a host of phosphorus-generating activities is included as well.</t>
  </si>
  <si>
    <t>Many unaltered wetlands are homogeneous due to their landscape setting, and many altered wetlands have more patch types due to disturbance.  Highly correlated with wetland size.  More an indicator of habitat functions than of Condition.</t>
  </si>
  <si>
    <t>Accumulation can indicate lack of desirable natural disturbance, e.g., fire.  Difficult to survey with any repeatability.  Organic matter accumulation in vernal pools and playas can encourage biological invasions and lead to deleterious algal blooms.</t>
  </si>
  <si>
    <t>These features cumulatively decelerate runoff, thus allowing for more deposition of phosphorus-containing suspended sediments to occur, although usually only to a minor degree.</t>
  </si>
  <si>
    <t>Reason for Rejection</t>
  </si>
  <si>
    <r>
      <t xml:space="preserve">those species together comprise </t>
    </r>
    <r>
      <rPr>
        <b/>
        <sz val="10"/>
        <rFont val="Arial Narrow"/>
        <family val="2"/>
      </rPr>
      <t>&gt; 50%</t>
    </r>
    <r>
      <rPr>
        <sz val="10"/>
        <rFont val="Arial Narrow"/>
        <family val="2"/>
      </rPr>
      <t xml:space="preserve"> of the areal cover of </t>
    </r>
    <r>
      <rPr>
        <b/>
        <sz val="10"/>
        <rFont val="Arial Narrow"/>
        <family val="2"/>
      </rPr>
      <t xml:space="preserve">native </t>
    </r>
    <r>
      <rPr>
        <sz val="10"/>
        <rFont val="Arial Narrow"/>
        <family val="2"/>
      </rPr>
      <t>herbaceous plants at any time during the year.</t>
    </r>
  </si>
  <si>
    <t>&lt;300 ft, and connected with a natural land corridor</t>
  </si>
  <si>
    <t>Used as a classifier.</t>
  </si>
  <si>
    <t>S6</t>
  </si>
  <si>
    <t>S7</t>
  </si>
  <si>
    <t>Humans visiting wetlands commonly bring dogs, which potentially harass waterbirds.  Even the simple presence of people on foot will cause many waterbirds to take flight (Burger 1981; Klein et al. 1995; Burger &amp; Gochfeld 1998).  Although some species may habituate to frequent disturbance more readily than others, repeated intrusions drain the energy of many waterbirds.  This is especially damaging during cold weather, or when birds (especially shorebirds) are stopping briefly to feed during long migrations.</t>
  </si>
  <si>
    <t>Values Score for Native Plant Habitat</t>
  </si>
  <si>
    <t>5-25 ft</t>
  </si>
  <si>
    <t>&gt;10%</t>
  </si>
  <si>
    <t>6-10%</t>
  </si>
  <si>
    <t xml:space="preserve">&lt;5% </t>
  </si>
  <si>
    <t>Function Score for Native Plant Habitat</t>
  </si>
  <si>
    <t>Score for Wetland Sensitivity</t>
  </si>
  <si>
    <t>most (&gt;50%) of the upland edge</t>
  </si>
  <si>
    <t>1000 ft - 1 mile</t>
  </si>
  <si>
    <t>Not a valid indicator of Condition for many wetland types.  May indicate disease.  Difficult to survey rapidly with any repeatability.</t>
  </si>
  <si>
    <t>Glacier Fed</t>
  </si>
  <si>
    <t xml:space="preserve">1-5 ft </t>
  </si>
  <si>
    <t>Many wetland invertebrates inhabit the soil, and potentially are harmed by soil disturbance such as from tillage or compaction.</t>
  </si>
  <si>
    <t>F2</t>
  </si>
  <si>
    <t>F3</t>
  </si>
  <si>
    <t>Wetlands with maritime climate are more likely to have temperatures favorable to amphibians in this region.</t>
  </si>
  <si>
    <t>Wetlands at lower elevations are more likely to have conditions favorable to feeding waterbirds in this region.</t>
  </si>
  <si>
    <t>Geography</t>
  </si>
  <si>
    <t>Ice Cover</t>
  </si>
  <si>
    <t>Shrub Species Dominance</t>
  </si>
  <si>
    <r>
      <t xml:space="preserve">those species together comprise </t>
    </r>
    <r>
      <rPr>
        <b/>
        <sz val="10"/>
        <rFont val="Arial Narrow"/>
        <family val="2"/>
      </rPr>
      <t>&gt; 50%</t>
    </r>
    <r>
      <rPr>
        <sz val="10"/>
        <rFont val="Arial Narrow"/>
        <family val="2"/>
      </rPr>
      <t xml:space="preserve"> of the areal cover of</t>
    </r>
    <r>
      <rPr>
        <b/>
        <sz val="10"/>
        <rFont val="Arial Narrow"/>
        <family val="2"/>
      </rPr>
      <t xml:space="preserve"> </t>
    </r>
    <r>
      <rPr>
        <sz val="10"/>
        <rFont val="Arial Narrow"/>
        <family val="2"/>
      </rPr>
      <t>native shrub species.</t>
    </r>
  </si>
  <si>
    <r>
      <t xml:space="preserve">those species together do </t>
    </r>
    <r>
      <rPr>
        <b/>
        <sz val="10"/>
        <rFont val="Arial Narrow"/>
        <family val="2"/>
      </rPr>
      <t xml:space="preserve">not </t>
    </r>
    <r>
      <rPr>
        <sz val="10"/>
        <rFont val="Arial Narrow"/>
        <family val="2"/>
      </rPr>
      <t>comprise &gt; 50% of the areal cover of native shrub species.</t>
    </r>
  </si>
  <si>
    <t>F67</t>
  </si>
  <si>
    <t>&lt;3 yrs ago</t>
  </si>
  <si>
    <t xml:space="preserve">3-9 yrs ago </t>
  </si>
  <si>
    <t>10-100 yrs ago</t>
  </si>
  <si>
    <t>3-9 yrs ago</t>
  </si>
  <si>
    <t>Water level decrease</t>
  </si>
  <si>
    <t>Inundation now vs. previously</t>
  </si>
  <si>
    <t>Average water level increase</t>
  </si>
  <si>
    <t>Because of its ability to fertilize soil, alder can speed biological recovery following disturbance [Gomi et al. 2006].  Wetlands without alder may be slower to recover and thus more sensitive.</t>
  </si>
  <si>
    <t>These areas were designated based on a rigorous nomination and screening process by ornithologists.</t>
  </si>
  <si>
    <t>0.5 - 1 ft deep</t>
  </si>
  <si>
    <t>Depth Class Distribution</t>
  </si>
  <si>
    <t xml:space="preserve">Few or none </t>
  </si>
  <si>
    <t>Wetlands that lack surface water throughout the year may still provide dispersal sites for adult frogs, toads, and salamanders, but do not provide reproductive habitat for most amphibian species.</t>
  </si>
  <si>
    <t>Most waterbirds favor ponded areas (that typically are flat) rather than flowing water that typifies slope wetlands.</t>
  </si>
  <si>
    <t>F59</t>
  </si>
  <si>
    <t>Although scattered open spots provide feeding opportunities for some species, most songbirds and mammals prefer dense ground cover as concealment from predators.</t>
  </si>
  <si>
    <t>infrequent &amp; mainly during scattered events</t>
  </si>
  <si>
    <t>Amphibian Habitat (AM)</t>
  </si>
  <si>
    <t>F44</t>
  </si>
  <si>
    <t>New Wetland</t>
  </si>
  <si>
    <t>No</t>
  </si>
  <si>
    <t>yes, but time of origin unknown</t>
  </si>
  <si>
    <t>unknown if new within 20 years or not</t>
  </si>
  <si>
    <t xml:space="preserve">industrial effluent or 303d* for toxics </t>
  </si>
  <si>
    <t>frequent but mostly seasonal</t>
  </si>
  <si>
    <t>frequent and year-round</t>
  </si>
  <si>
    <t>infrequent &amp; during high runoff events mainly</t>
  </si>
  <si>
    <t>Outflow Confinement</t>
  </si>
  <si>
    <t>Function Score for Water Storage</t>
  </si>
  <si>
    <t>Function Score for Sediment Retention &amp; Stabilization</t>
  </si>
  <si>
    <t>Sustained Scientific Use</t>
  </si>
  <si>
    <t>deciduous 4-9" diameter</t>
  </si>
  <si>
    <t>deciduous 9-21" diameter</t>
  </si>
  <si>
    <t>evergreen 9-21" diameter</t>
  </si>
  <si>
    <t>deciduous &gt;21" diameter</t>
  </si>
  <si>
    <t>evergreen &gt;21" diameter</t>
  </si>
  <si>
    <t># of physical feature patch types</t>
  </si>
  <si>
    <t>An indicator of Sensitivity or Stress, only presumptively an indicator of Condition</t>
  </si>
  <si>
    <t>An indicator of Stress, only presumptively an indicator of Condition</t>
  </si>
  <si>
    <t>Impossible to assess (in context of a rapid one-visit method) with reasonable repeatability</t>
  </si>
  <si>
    <t>S3</t>
  </si>
  <si>
    <t>S2</t>
  </si>
  <si>
    <t>Rejected Indicators</t>
  </si>
  <si>
    <t>Such areas can provide shelter for pollinator nests and mud for hive construction.</t>
  </si>
  <si>
    <t>Spatial extent of resulting wetter condition</t>
  </si>
  <si>
    <t>When most of the timing shift began</t>
  </si>
  <si>
    <t>shift of weeks</t>
  </si>
  <si>
    <t>shift of days</t>
  </si>
  <si>
    <t>shift of hours or minutes</t>
  </si>
  <si>
    <t>intermediate</t>
  </si>
  <si>
    <t>Values Score for Aquatic Invertebrate Habitat</t>
  </si>
  <si>
    <t>Function Score for Anadromous Fish Habitat</t>
  </si>
  <si>
    <t>Values Score for Anadromous Fish Habitat</t>
  </si>
  <si>
    <t>Function Score for Non-anadromous Fish Habitat</t>
  </si>
  <si>
    <t>Duration</t>
  </si>
  <si>
    <t>Timing of soil alteration</t>
  </si>
  <si>
    <t>Larger wetlands are used disproportionately by feeding waterbirds.  Smaller identical wetlands of equal cumulative area probably support lower numbers and cumulative richness of feeding waterbirds, unless they are close together in a complex.</t>
  </si>
  <si>
    <t>Such areas have been chosen through a systematic selection process by biologists and birders in each state.</t>
  </si>
  <si>
    <t>&gt;5 miles and on a different island</t>
  </si>
  <si>
    <t>Input Stream Gradient</t>
  </si>
  <si>
    <t>See above.</t>
  </si>
  <si>
    <t>50-95%</t>
  </si>
  <si>
    <t>Indicator</t>
  </si>
  <si>
    <t>#</t>
  </si>
  <si>
    <t>Fluc6</t>
  </si>
  <si>
    <t>Depth6</t>
  </si>
  <si>
    <t>VwidthAbs6</t>
  </si>
  <si>
    <t>OutDura6</t>
  </si>
  <si>
    <t>Constric6</t>
  </si>
  <si>
    <t>ThruFlo6</t>
  </si>
  <si>
    <t>Nfixer6</t>
  </si>
  <si>
    <t>Gcover6</t>
  </si>
  <si>
    <t>SoilTex6</t>
  </si>
  <si>
    <t>Gradient6</t>
  </si>
  <si>
    <t>TidalProx6</t>
  </si>
  <si>
    <t>NewWet6</t>
  </si>
  <si>
    <t>Elev6</t>
  </si>
  <si>
    <t>AqPlantCov6</t>
  </si>
  <si>
    <t>Wettype8</t>
  </si>
  <si>
    <t>SeasPct8</t>
  </si>
  <si>
    <t>AqCov8</t>
  </si>
  <si>
    <t>PermWpct8</t>
  </si>
  <si>
    <t>ABpct8</t>
  </si>
  <si>
    <t>IsoWet8</t>
  </si>
  <si>
    <t>Fluc8</t>
  </si>
  <si>
    <t>Depth8</t>
  </si>
  <si>
    <t>Interspers8</t>
  </si>
  <si>
    <t>Hardwood8</t>
  </si>
  <si>
    <t>ThruFlo8</t>
  </si>
  <si>
    <t>Nfixers8</t>
  </si>
  <si>
    <t>WoodDown8</t>
  </si>
  <si>
    <t>Gcover8</t>
  </si>
  <si>
    <t>Girreg8</t>
  </si>
  <si>
    <t>NatVegPctC8</t>
  </si>
  <si>
    <t>CUbuffLUtyp8</t>
  </si>
  <si>
    <t>TidalProx8</t>
  </si>
  <si>
    <t>Glacier8</t>
  </si>
  <si>
    <t>AltTime8</t>
  </si>
  <si>
    <t>SedCA8</t>
  </si>
  <si>
    <t>SoilDisturb8</t>
  </si>
  <si>
    <t>Landscape</t>
  </si>
  <si>
    <t>Hydroperiod</t>
  </si>
  <si>
    <t>Connectivity</t>
  </si>
  <si>
    <t>Structure</t>
  </si>
  <si>
    <t>Fish8</t>
  </si>
  <si>
    <t>Groundw8</t>
  </si>
  <si>
    <t>SeasWpct9</t>
  </si>
  <si>
    <t>Shade9</t>
  </si>
  <si>
    <t>WoodAbove9</t>
  </si>
  <si>
    <t>AqPlantCov9</t>
  </si>
  <si>
    <t>IsoWet9</t>
  </si>
  <si>
    <t>Depth9</t>
  </si>
  <si>
    <t>Interspers9</t>
  </si>
  <si>
    <t>GroundW9</t>
  </si>
  <si>
    <t>OutDura9</t>
  </si>
  <si>
    <t>Thruflo9</t>
  </si>
  <si>
    <t>BuffLU9</t>
  </si>
  <si>
    <t>TidalProx9</t>
  </si>
  <si>
    <t>Access9</t>
  </si>
  <si>
    <t>SalmoShed9</t>
  </si>
  <si>
    <t>Elev9</t>
  </si>
  <si>
    <t>ImpervCA9</t>
  </si>
  <si>
    <t>AltTime9</t>
  </si>
  <si>
    <t>NutrIn9</t>
  </si>
  <si>
    <t>SedIn9</t>
  </si>
  <si>
    <t>Fishing9</t>
  </si>
  <si>
    <t>WbirdFeed</t>
  </si>
  <si>
    <t>Glacier9</t>
  </si>
  <si>
    <t>PermWpct10</t>
  </si>
  <si>
    <t>WoodAbove10</t>
  </si>
  <si>
    <t>ABpct10</t>
  </si>
  <si>
    <t>IceDura10</t>
  </si>
  <si>
    <t>IsoDry10</t>
  </si>
  <si>
    <t>Depth10</t>
  </si>
  <si>
    <t>DepthEven10</t>
  </si>
  <si>
    <t>Interspers10</t>
  </si>
  <si>
    <t>OutDura10</t>
  </si>
  <si>
    <t>ThruFlo10</t>
  </si>
  <si>
    <t>NatVegCUpct10</t>
  </si>
  <si>
    <t>TidalProx10</t>
  </si>
  <si>
    <t>Access10</t>
  </si>
  <si>
    <t>Elev10</t>
  </si>
  <si>
    <t>AltTime10</t>
  </si>
  <si>
    <t>PopDist10</t>
  </si>
  <si>
    <t>Subsist10</t>
  </si>
  <si>
    <t>Productivity</t>
  </si>
  <si>
    <t>ImpervCA</t>
  </si>
  <si>
    <t>PermWpct9</t>
  </si>
  <si>
    <t>Wettype9</t>
  </si>
  <si>
    <t>BuffPctNat9</t>
  </si>
  <si>
    <t>WbirdFeed10</t>
  </si>
  <si>
    <t>Wettype10</t>
  </si>
  <si>
    <t>Nfix10</t>
  </si>
  <si>
    <t>Groundw10</t>
  </si>
  <si>
    <t>HydroRegime</t>
  </si>
  <si>
    <t>Glacier10</t>
  </si>
  <si>
    <t>Karst10</t>
  </si>
  <si>
    <t>Anoxia Risk</t>
  </si>
  <si>
    <t>Lake10</t>
  </si>
  <si>
    <t>BuffSlope2</t>
  </si>
  <si>
    <t>BuffSlope3</t>
  </si>
  <si>
    <t>Wettype11</t>
  </si>
  <si>
    <t>Fluctu11</t>
  </si>
  <si>
    <t>PermWpct11</t>
  </si>
  <si>
    <t>WoodAbove11</t>
  </si>
  <si>
    <t>ABpct11</t>
  </si>
  <si>
    <t>Ice11</t>
  </si>
  <si>
    <t>IsoWet11</t>
  </si>
  <si>
    <t>Interspers11</t>
  </si>
  <si>
    <t>Vwidth11</t>
  </si>
  <si>
    <t>TreeVar11</t>
  </si>
  <si>
    <t>WoodDown11</t>
  </si>
  <si>
    <t>Gcover11</t>
  </si>
  <si>
    <t>Girreg11</t>
  </si>
  <si>
    <t>Inclus11</t>
  </si>
  <si>
    <t>Gradient11</t>
  </si>
  <si>
    <t>GroundW11</t>
  </si>
  <si>
    <t>Core1_11</t>
  </si>
  <si>
    <t>Core2_11</t>
  </si>
  <si>
    <t>NatVegPct11</t>
  </si>
  <si>
    <t>BuffLU11</t>
  </si>
  <si>
    <t>RoadCirc11</t>
  </si>
  <si>
    <t>RdDis11</t>
  </si>
  <si>
    <t>NatVegProx11</t>
  </si>
  <si>
    <t>NatCov2mi11</t>
  </si>
  <si>
    <t>ScapeLU11</t>
  </si>
  <si>
    <t>NatVegSize11</t>
  </si>
  <si>
    <t>PondPctScape11</t>
  </si>
  <si>
    <t>PondProx11</t>
  </si>
  <si>
    <t>TidalProx11</t>
  </si>
  <si>
    <t>FishAcc11</t>
  </si>
  <si>
    <t>AmPres11</t>
  </si>
  <si>
    <t>GDD11</t>
  </si>
  <si>
    <t>Elev11</t>
  </si>
  <si>
    <t>Toxic11</t>
  </si>
  <si>
    <t>AcidicPool10</t>
  </si>
  <si>
    <t>Aspect11</t>
  </si>
  <si>
    <t>Aspect4</t>
  </si>
  <si>
    <t>Climate</t>
  </si>
  <si>
    <t>Waterscape</t>
  </si>
  <si>
    <t>AVERAGE(PondPctScape, PondProx)</t>
  </si>
  <si>
    <t>Ice12</t>
  </si>
  <si>
    <t>Fringe12</t>
  </si>
  <si>
    <t>SeasWpct12</t>
  </si>
  <si>
    <t>PermWpct12</t>
  </si>
  <si>
    <t>ABpct12</t>
  </si>
  <si>
    <t>IsoWet12</t>
  </si>
  <si>
    <t>Karst8</t>
  </si>
  <si>
    <t>Depth12</t>
  </si>
  <si>
    <t>DepthEven12</t>
  </si>
  <si>
    <t>Interspers12</t>
  </si>
  <si>
    <t>EmPct12</t>
  </si>
  <si>
    <t>Mudflat12</t>
  </si>
  <si>
    <t>Gradient12</t>
  </si>
  <si>
    <t>Core12a</t>
  </si>
  <si>
    <t>Core12b</t>
  </si>
  <si>
    <t>Size12</t>
  </si>
  <si>
    <t>PondPctScape12</t>
  </si>
  <si>
    <t>PondProx12</t>
  </si>
  <si>
    <t>BigPondProx12</t>
  </si>
  <si>
    <t>TidalProx12</t>
  </si>
  <si>
    <t>Fish12a</t>
  </si>
  <si>
    <t>Elev12</t>
  </si>
  <si>
    <t>_Tox12</t>
  </si>
  <si>
    <t>Duckhunt</t>
  </si>
  <si>
    <t>Rare12</t>
  </si>
  <si>
    <t>Beaver12</t>
  </si>
  <si>
    <t>Geography12</t>
  </si>
  <si>
    <t>Lake12</t>
  </si>
  <si>
    <t>Wettype12</t>
  </si>
  <si>
    <t>Wettype13</t>
  </si>
  <si>
    <t>Fringe13</t>
  </si>
  <si>
    <t>Fluctu13</t>
  </si>
  <si>
    <t>PermWpct13</t>
  </si>
  <si>
    <t>ISOdry13</t>
  </si>
  <si>
    <t>Depth13</t>
  </si>
  <si>
    <t>DepthEven13</t>
  </si>
  <si>
    <t>Interspers13</t>
  </si>
  <si>
    <t>VwidthAbs13</t>
  </si>
  <si>
    <t>AqPlantCov13</t>
  </si>
  <si>
    <t>EmPct13</t>
  </si>
  <si>
    <t>SnagB13</t>
  </si>
  <si>
    <t>TreeForm13</t>
  </si>
  <si>
    <t>Gradient13</t>
  </si>
  <si>
    <t>Core1_13</t>
  </si>
  <si>
    <t>Core2_13</t>
  </si>
  <si>
    <t>BuffNatPct13</t>
  </si>
  <si>
    <t>BuffLUtype13</t>
  </si>
  <si>
    <t>ShoreSlope13</t>
  </si>
  <si>
    <t>RdDis13</t>
  </si>
  <si>
    <t>NatVegTractSize13</t>
  </si>
  <si>
    <t>Size13</t>
  </si>
  <si>
    <t>PondscapePct13</t>
  </si>
  <si>
    <t>PondProx13</t>
  </si>
  <si>
    <t>LakeProx13</t>
  </si>
  <si>
    <r>
      <t xml:space="preserve">Draw a circle of radius of </t>
    </r>
    <r>
      <rPr>
        <b/>
        <sz val="10"/>
        <rFont val="Arial Narrow"/>
        <family val="2"/>
      </rPr>
      <t>2 miles</t>
    </r>
    <r>
      <rPr>
        <sz val="10"/>
        <rFont val="Arial Narrow"/>
        <family val="2"/>
      </rPr>
      <t xml:space="preserve"> centered on the AA.  </t>
    </r>
    <r>
      <rPr>
        <b/>
        <sz val="10"/>
        <rFont val="Arial Narrow"/>
        <family val="2"/>
      </rPr>
      <t xml:space="preserve">Including </t>
    </r>
    <r>
      <rPr>
        <sz val="10"/>
        <rFont val="Arial Narrow"/>
        <family val="2"/>
      </rPr>
      <t>water ponded in the AA itself or in a fringing non-marine water body, the amount of water that is ponded (standing) during most of the year is:</t>
    </r>
  </si>
  <si>
    <t>TidalProx13</t>
  </si>
  <si>
    <t>Acidic13</t>
  </si>
  <si>
    <t>Beaver13</t>
  </si>
  <si>
    <t>SeasWpct</t>
  </si>
  <si>
    <t>PermWpct14</t>
  </si>
  <si>
    <t>WoodyPct14</t>
  </si>
  <si>
    <t>WoodPatt14</t>
  </si>
  <si>
    <t>SnagsD14</t>
  </si>
  <si>
    <t>WoodDown14</t>
  </si>
  <si>
    <t>Gcover14</t>
  </si>
  <si>
    <t>Girreg14</t>
  </si>
  <si>
    <t>Inclus14</t>
  </si>
  <si>
    <t>Cliffs14</t>
  </si>
  <si>
    <t>Beaver14</t>
  </si>
  <si>
    <t>Core14a</t>
  </si>
  <si>
    <t>Core14b</t>
  </si>
  <si>
    <t>UpEdge14</t>
  </si>
  <si>
    <t>CUbuffNatPct14</t>
  </si>
  <si>
    <t>CUtypeLU14</t>
  </si>
  <si>
    <t>PopCtr14</t>
  </si>
  <si>
    <t>RdBox14</t>
  </si>
  <si>
    <t>DisRd14</t>
  </si>
  <si>
    <t>NatVegProx14</t>
  </si>
  <si>
    <t>NatVegPctScape14</t>
  </si>
  <si>
    <t>ScapeLU14</t>
  </si>
  <si>
    <t>NatVegSize14</t>
  </si>
  <si>
    <t>Size14</t>
  </si>
  <si>
    <t>PondPctScape14</t>
  </si>
  <si>
    <t>PondProx14</t>
  </si>
  <si>
    <t>UniqPatch14</t>
  </si>
  <si>
    <t>_IBA14</t>
  </si>
  <si>
    <t>Rare14</t>
  </si>
  <si>
    <t>Interspers14</t>
  </si>
  <si>
    <t>Vwidth14</t>
  </si>
  <si>
    <t>Hardwd14</t>
  </si>
  <si>
    <t>Nfix14</t>
  </si>
  <si>
    <t>ShrubCanop14</t>
  </si>
  <si>
    <t>ShrubDiv14</t>
  </si>
  <si>
    <t>TidalProx14</t>
  </si>
  <si>
    <t>Elev14</t>
  </si>
  <si>
    <t>Unless (or even when) new wetlands are sown with plants, the number of species often remains low for years as colonization gradually occurs and diverse plant communities become established.</t>
  </si>
  <si>
    <r>
      <t xml:space="preserve">Wetter Water Regime - </t>
    </r>
    <r>
      <rPr>
        <b/>
        <i/>
        <sz val="12"/>
        <rFont val="Arial"/>
        <family val="2"/>
      </rPr>
      <t xml:space="preserve">Internal </t>
    </r>
    <r>
      <rPr>
        <b/>
        <sz val="12"/>
        <rFont val="Arial"/>
        <family val="2"/>
      </rPr>
      <t>Causes</t>
    </r>
  </si>
  <si>
    <t>Songbird, Raptor, &amp; Mammal Habitat (SBM)</t>
  </si>
  <si>
    <t>Rare Species or Communities</t>
  </si>
  <si>
    <t>Type of Land Cover Alteration</t>
  </si>
  <si>
    <t>Contaminants in food webs are detrimental in the long term.</t>
  </si>
  <si>
    <t>S4</t>
  </si>
  <si>
    <t>5 to 30%</t>
  </si>
  <si>
    <t>30 to 60%</t>
  </si>
  <si>
    <t>60 to 90%</t>
  </si>
  <si>
    <t>Intermediate</t>
  </si>
  <si>
    <t>Downed Wood</t>
  </si>
  <si>
    <t>Ground Irregularity</t>
  </si>
  <si>
    <t>no information</t>
  </si>
  <si>
    <t>Upslope Soil Erodibility &amp; Debris Flow Potential</t>
  </si>
  <si>
    <t>&lt;300 ft</t>
  </si>
  <si>
    <t>300-1000 ft</t>
  </si>
  <si>
    <t>Input timing now vs. previously</t>
  </si>
  <si>
    <t>Flashiness or muting</t>
  </si>
  <si>
    <t>Freeze</t>
  </si>
  <si>
    <t>SeasPct</t>
  </si>
  <si>
    <t>IsoDry</t>
  </si>
  <si>
    <t>Fluctua</t>
  </si>
  <si>
    <t>OutDura</t>
  </si>
  <si>
    <t>Constric</t>
  </si>
  <si>
    <t>ThruFlo</t>
  </si>
  <si>
    <t>Girreg</t>
  </si>
  <si>
    <t>Gradient</t>
  </si>
  <si>
    <t>Elev</t>
  </si>
  <si>
    <t>TidalProx</t>
  </si>
  <si>
    <t>GDD</t>
  </si>
  <si>
    <t>FloodBdg</t>
  </si>
  <si>
    <t>ShedPos</t>
  </si>
  <si>
    <t>CApct</t>
  </si>
  <si>
    <t>CAunveg</t>
  </si>
  <si>
    <t>Transport</t>
  </si>
  <si>
    <t>Resident &amp; Other Fish Habitat (FR)</t>
  </si>
  <si>
    <t>Because actual data on sediment loads are lacking for many wetland watersheds, this approximation (which is based on a host of sediment-generating activities) is included as well.</t>
  </si>
  <si>
    <t>Large water level fluctuations pose the possibility of increased shoreline erosion, which can be partly alleviated by wetlands, thus making those wetlands more valuable as shoreline stabilizers.</t>
  </si>
  <si>
    <t>1-2 ft deep</t>
  </si>
  <si>
    <t>1-5 miles</t>
  </si>
  <si>
    <t>&gt;5 miles</t>
  </si>
  <si>
    <t>&gt;1 mile</t>
  </si>
  <si>
    <t>0.5- 1 mile</t>
  </si>
  <si>
    <t>&lt;100 ft</t>
  </si>
  <si>
    <t>100-500 ft</t>
  </si>
  <si>
    <t>F55</t>
  </si>
  <si>
    <t>Predominant Depth Class</t>
  </si>
  <si>
    <t>Values Score for Amphibian &amp; Reptile Habitat</t>
  </si>
  <si>
    <t>Floodable Property</t>
  </si>
  <si>
    <t>Not a valid indicator of Condition for many wetland types.  May indicate absence of desirable natural disturbances, e.g., fire.</t>
  </si>
  <si>
    <t>Surrounding land cover</t>
  </si>
  <si>
    <t>Number of activities that could alter water regime or soils</t>
  </si>
  <si>
    <t>Water quality</t>
  </si>
  <si>
    <t>S1</t>
  </si>
  <si>
    <t>Public Use &amp; Recognition (PU)</t>
  </si>
  <si>
    <t>Spatial extent of altered soil</t>
  </si>
  <si>
    <r>
      <t xml:space="preserve">Soil or Sediment Alteration </t>
    </r>
    <r>
      <rPr>
        <b/>
        <i/>
        <sz val="12"/>
        <rFont val="Arial"/>
        <family val="2"/>
      </rPr>
      <t>Within the Assessment Area</t>
    </r>
  </si>
  <si>
    <t>None of the above</t>
  </si>
  <si>
    <t>F15</t>
  </si>
  <si>
    <t>Zone A Ground Water</t>
  </si>
  <si>
    <t>Zone B Ground Water</t>
  </si>
  <si>
    <t>Zone A Surface Water</t>
  </si>
  <si>
    <t>Zone B Surface Water</t>
  </si>
  <si>
    <t>Zone C Surface Water</t>
  </si>
  <si>
    <t>Zone E Ground Water Surface Water Influence</t>
  </si>
  <si>
    <t>1 to 10% of its CA</t>
  </si>
  <si>
    <t>10 to 100%  of its CA</t>
  </si>
  <si>
    <t>5 to 20% of the land</t>
  </si>
  <si>
    <t>Values Score for Feeding Waterbird Habitat</t>
  </si>
  <si>
    <t>Values Score for Nesting Waterbird Habitat</t>
  </si>
  <si>
    <t>Values Score for Songbird, Raptor, &amp; Mammal Habitat</t>
  </si>
  <si>
    <t>Newly deglaciated or man-made wetlands typically have less diverse vegetation and limited soil carbon, making them more sensitive to extreme natural events and slower to recover.</t>
  </si>
  <si>
    <t>NewWet_S</t>
  </si>
  <si>
    <t>AmpSiteS</t>
  </si>
  <si>
    <t>WBNsiteS</t>
  </si>
  <si>
    <t>WBFsiteS</t>
  </si>
  <si>
    <t>SBMsiteS</t>
  </si>
  <si>
    <t>PlantSiteS</t>
  </si>
  <si>
    <t>GDD_S</t>
  </si>
  <si>
    <t>ShedPos_S</t>
  </si>
  <si>
    <t>CUratio_S</t>
  </si>
  <si>
    <t>AVERAGE(Wettype, Nfix, NewWet)</t>
  </si>
  <si>
    <t>TreeCovS</t>
  </si>
  <si>
    <t>AbioSens</t>
  </si>
  <si>
    <t>BioSens</t>
  </si>
  <si>
    <t>Fertility</t>
  </si>
  <si>
    <t>Colonizer</t>
  </si>
  <si>
    <t>GrowthRate</t>
  </si>
  <si>
    <t>AVERAGE(AbioSens,BioSens,Fertility,Climate,Colonizer,GrowthRate)</t>
  </si>
  <si>
    <t>Depth15</t>
  </si>
  <si>
    <t>WidthPD</t>
  </si>
  <si>
    <t>wood2pd</t>
  </si>
  <si>
    <t>GirregPD</t>
  </si>
  <si>
    <t>SoilTexPD</t>
  </si>
  <si>
    <t>herb1pd</t>
  </si>
  <si>
    <t>herbdom15</t>
  </si>
  <si>
    <t>WeedSourcePD</t>
  </si>
  <si>
    <t>NatVegCApd</t>
  </si>
  <si>
    <t>BuffLUpd</t>
  </si>
  <si>
    <t>Core1pd</t>
  </si>
  <si>
    <t>Core2pd</t>
  </si>
  <si>
    <t>PopCtr15</t>
  </si>
  <si>
    <t>DistRdPD</t>
  </si>
  <si>
    <t>PondScape15</t>
  </si>
  <si>
    <t>PondProx15</t>
  </si>
  <si>
    <t>NewWetPD</t>
  </si>
  <si>
    <t>AltTime20</t>
  </si>
  <si>
    <t>SedDisturb20</t>
  </si>
  <si>
    <t>Such factors potentially result in smothering or erosion of vegetation, and facilitate the invasion by exotic species.</t>
  </si>
  <si>
    <t>UniqPatchPD</t>
  </si>
  <si>
    <t>RarePspp</t>
  </si>
  <si>
    <t>ScorePOLf</t>
  </si>
  <si>
    <t>WettypePD</t>
  </si>
  <si>
    <t>MossPD</t>
  </si>
  <si>
    <t>TreeCovPD</t>
  </si>
  <si>
    <t>NfixPD</t>
  </si>
  <si>
    <t>ShrubSun</t>
  </si>
  <si>
    <t>HardwdPD</t>
  </si>
  <si>
    <t>SeasWpctPD</t>
  </si>
  <si>
    <t>SizePD</t>
  </si>
  <si>
    <t>GWpd</t>
  </si>
  <si>
    <t>InterspersPD</t>
  </si>
  <si>
    <t>BeaverPD</t>
  </si>
  <si>
    <t>InfloPD</t>
  </si>
  <si>
    <t>FlucPD</t>
  </si>
  <si>
    <t>A relatively rare and highly fertile geologic type in this region, which hosts several species with restricted distributions.</t>
  </si>
  <si>
    <t>GDDpd</t>
  </si>
  <si>
    <t>ElevPD</t>
  </si>
  <si>
    <t>AspectPD</t>
  </si>
  <si>
    <t>ShrubSun11</t>
  </si>
  <si>
    <t>Aquatic Structure</t>
  </si>
  <si>
    <t>Terrestrial Structure</t>
  </si>
  <si>
    <t>Plant species richness is often high in wet shrub communities that occur in recently uplifted areas near Alaskan tidal waters (NatureServe and Alaska Natural Heritage Program 2008).</t>
  </si>
  <si>
    <t>TidalProxPD</t>
  </si>
  <si>
    <t>Aquatic Fertility</t>
  </si>
  <si>
    <t>Terrestrial Fertility</t>
  </si>
  <si>
    <t>ScoreSBM</t>
  </si>
  <si>
    <t>ScoreSubsis</t>
  </si>
  <si>
    <t>Friction</t>
  </si>
  <si>
    <t>Glacier1</t>
  </si>
  <si>
    <t>Groundwater Input</t>
  </si>
  <si>
    <t>OutDur</t>
  </si>
  <si>
    <t>Entrain</t>
  </si>
  <si>
    <t>Frozen</t>
  </si>
  <si>
    <t>Depth2_</t>
  </si>
  <si>
    <t>Soil2_</t>
  </si>
  <si>
    <t>Groundw2_</t>
  </si>
  <si>
    <t>OutDur2_</t>
  </si>
  <si>
    <t>GDD2_</t>
  </si>
  <si>
    <t>Aspect2_</t>
  </si>
  <si>
    <t>Wetlands that are wider than the channel, lake, or estuary they adjoin are likely to have greater effect on water temperature in those receiving waters.</t>
  </si>
  <si>
    <t>AnadFish7</t>
  </si>
  <si>
    <t>Fringe7b</t>
  </si>
  <si>
    <t>ShadeIn7</t>
  </si>
  <si>
    <t>OutDur7</t>
  </si>
  <si>
    <t>Glacier7</t>
  </si>
  <si>
    <t>Elev7</t>
  </si>
  <si>
    <t>Aspect7v</t>
  </si>
  <si>
    <t>Imperv7</t>
  </si>
  <si>
    <t>InvScore2</t>
  </si>
  <si>
    <t>AnadScore2</t>
  </si>
  <si>
    <t>ResFishScore2</t>
  </si>
  <si>
    <t>glacier2</t>
  </si>
  <si>
    <t>Gwater7</t>
  </si>
  <si>
    <t>Shade7</t>
  </si>
  <si>
    <t>ISOdry7</t>
  </si>
  <si>
    <t>Depth7</t>
  </si>
  <si>
    <t>Aspect7</t>
  </si>
  <si>
    <t>Water7w</t>
  </si>
  <si>
    <t>AcidPool7</t>
  </si>
  <si>
    <t>Gwater7w</t>
  </si>
  <si>
    <t>Shade7w</t>
  </si>
  <si>
    <t>ISOdry7w</t>
  </si>
  <si>
    <t>Depth7w</t>
  </si>
  <si>
    <t>Fringe7a</t>
  </si>
  <si>
    <t>TideProx7</t>
  </si>
  <si>
    <t>Glacier7w</t>
  </si>
  <si>
    <t>Elev7w</t>
  </si>
  <si>
    <t>Aspect7vw</t>
  </si>
  <si>
    <t>Imperv7w</t>
  </si>
  <si>
    <t>Fluc2</t>
  </si>
  <si>
    <t>SeasPct2</t>
  </si>
  <si>
    <t>AqPlantCov2</t>
  </si>
  <si>
    <t>Freeze2</t>
  </si>
  <si>
    <t>IsoWet2s</t>
  </si>
  <si>
    <t>DepthC2</t>
  </si>
  <si>
    <t>WatEdgeSlope2</t>
  </si>
  <si>
    <t>WidthAbs2</t>
  </si>
  <si>
    <t>OutDur2</t>
  </si>
  <si>
    <t>Constric2</t>
  </si>
  <si>
    <t>ThruFlo2</t>
  </si>
  <si>
    <t>Gcover2</t>
  </si>
  <si>
    <t>Girreg2</t>
  </si>
  <si>
    <t>Gradient2</t>
  </si>
  <si>
    <t>TideProx2</t>
  </si>
  <si>
    <t>GDD2</t>
  </si>
  <si>
    <t>Elev2</t>
  </si>
  <si>
    <t>MaxFluc2</t>
  </si>
  <si>
    <t>Inflo2</t>
  </si>
  <si>
    <t>FlowIn2</t>
  </si>
  <si>
    <t>CAnatPct2</t>
  </si>
  <si>
    <t>Glacier2</t>
  </si>
  <si>
    <t>SedIn2</t>
  </si>
  <si>
    <t>NewWet2a</t>
  </si>
  <si>
    <t>CApct2</t>
  </si>
  <si>
    <t>ImpervPctSS</t>
  </si>
  <si>
    <t>TransportSS</t>
  </si>
  <si>
    <t>Erodible2</t>
  </si>
  <si>
    <t>Lake3</t>
  </si>
  <si>
    <t>Persis3</t>
  </si>
  <si>
    <t>AqPlantCov3</t>
  </si>
  <si>
    <t>Freeze3</t>
  </si>
  <si>
    <t>Fluctu3</t>
  </si>
  <si>
    <t>DomDepth3</t>
  </si>
  <si>
    <t>VegWabs3</t>
  </si>
  <si>
    <t>OutDura3</t>
  </si>
  <si>
    <t>Constric3</t>
  </si>
  <si>
    <t>ThruFlo3</t>
  </si>
  <si>
    <t>Gcover3</t>
  </si>
  <si>
    <t>Girreg3</t>
  </si>
  <si>
    <t>SoilTex3</t>
  </si>
  <si>
    <t>Gradient3</t>
  </si>
  <si>
    <t>StreamInGrad3</t>
  </si>
  <si>
    <t>TidalProx3</t>
  </si>
  <si>
    <t>NewWet3</t>
  </si>
  <si>
    <t>GDD3</t>
  </si>
  <si>
    <t>Elev3</t>
  </si>
  <si>
    <t>CApctB3</t>
  </si>
  <si>
    <t>Inflo3</t>
  </si>
  <si>
    <t>Groundw3</t>
  </si>
  <si>
    <t>NatCApct3</t>
  </si>
  <si>
    <t>ErodScore3</t>
  </si>
  <si>
    <t>Anad3</t>
  </si>
  <si>
    <t>PosShed3</t>
  </si>
  <si>
    <t>CApct3</t>
  </si>
  <si>
    <t>ImpervCA3</t>
  </si>
  <si>
    <t>Transport3</t>
  </si>
  <si>
    <t>Pload3</t>
  </si>
  <si>
    <t>Wettype4</t>
  </si>
  <si>
    <t>SeasWpct4</t>
  </si>
  <si>
    <t>PermWpct4</t>
  </si>
  <si>
    <t>AqPlantCov4</t>
  </si>
  <si>
    <t>Freeze4</t>
  </si>
  <si>
    <t>Fluctu4</t>
  </si>
  <si>
    <t>Interspers4</t>
  </si>
  <si>
    <t>VwidthAbs4</t>
  </si>
  <si>
    <t>TreeCanop4</t>
  </si>
  <si>
    <t>Nfix4</t>
  </si>
  <si>
    <t>Groundw4</t>
  </si>
  <si>
    <t>OutDura4</t>
  </si>
  <si>
    <t>Constric4</t>
  </si>
  <si>
    <t>Thruflo4</t>
  </si>
  <si>
    <t>Gcover4</t>
  </si>
  <si>
    <t>Girreg4</t>
  </si>
  <si>
    <t>Inclus4</t>
  </si>
  <si>
    <t>SoilTex4</t>
  </si>
  <si>
    <t>Gradient4</t>
  </si>
  <si>
    <t>UpEdgeShape4</t>
  </si>
  <si>
    <t>TidalProx4</t>
  </si>
  <si>
    <t>NewWet</t>
  </si>
  <si>
    <t>Elev4</t>
  </si>
  <si>
    <t>Soil temperatures are warmer for longer at lower elevations, and this is essential for denitrification which removes soluble N.</t>
  </si>
  <si>
    <t>SoilDisturb4</t>
  </si>
  <si>
    <t>Inflo4</t>
  </si>
  <si>
    <t>CAnatPct4</t>
  </si>
  <si>
    <t>BuffSlope4</t>
  </si>
  <si>
    <t>Aquifer4</t>
  </si>
  <si>
    <t>PopDist4</t>
  </si>
  <si>
    <t>Anad4</t>
  </si>
  <si>
    <t>ShedPos4</t>
  </si>
  <si>
    <t>Capct4</t>
  </si>
  <si>
    <t>Imperv4</t>
  </si>
  <si>
    <t>Transport4</t>
  </si>
  <si>
    <t>Drink4</t>
  </si>
  <si>
    <t>AqPlantCov5</t>
  </si>
  <si>
    <t>Glacier6</t>
  </si>
  <si>
    <t>Groundw6</t>
  </si>
  <si>
    <t>ToxData2</t>
  </si>
  <si>
    <t>Nfix9</t>
  </si>
  <si>
    <t>Karst9</t>
  </si>
  <si>
    <t>ToxData9</t>
  </si>
  <si>
    <t>IceDur2</t>
  </si>
  <si>
    <t>ToxData10</t>
  </si>
  <si>
    <t>Wetlands with greater plant richness are likely to be more valuable for subsistence activities if other factors already suggest the wetland has high capacity to support those.</t>
  </si>
  <si>
    <t>Wetlands with greater plant richness are likely to be more valuable to supporting a variety of songbirds and mammals if other factors already suggest the wetland has high capacity to support those.</t>
  </si>
  <si>
    <t>UniqPatch11</t>
  </si>
  <si>
    <t>AmphScore</t>
  </si>
  <si>
    <t>Plants of Conservation Concern</t>
  </si>
  <si>
    <t>Granitic Soils</t>
  </si>
  <si>
    <t>Granitic bedrock is more erosion-resistant and thus their associated soils are poorer in nutrients (Banner et al. 2005), implying lower productivity and thus less carbon available for supporting aquatic food chains.</t>
  </si>
  <si>
    <t>GraniteSoilPD</t>
  </si>
  <si>
    <t>Granite6</t>
  </si>
  <si>
    <t>Karst16a</t>
  </si>
  <si>
    <t>Karst6a</t>
  </si>
  <si>
    <t>Wettype2</t>
  </si>
  <si>
    <t>AVERAGE(Groundw,Wettype)</t>
  </si>
  <si>
    <t>Organic Nutrient Export (OE)</t>
  </si>
  <si>
    <t>&lt;1%</t>
  </si>
  <si>
    <t>1-5%</t>
  </si>
  <si>
    <t>Wetlands located close to other wetlands are more likely to be used by frogs and aquatic salamanders, because many species in these groups commonly need to disperse among wetlands.</t>
  </si>
  <si>
    <t>This constitutes direct evidence that a wetland is at least minimally supporting amphibians.</t>
  </si>
  <si>
    <t>evergreen 4-9" diameter</t>
  </si>
  <si>
    <t>F4</t>
  </si>
  <si>
    <t>F6</t>
  </si>
  <si>
    <t>F17</t>
  </si>
  <si>
    <t>F20</t>
  </si>
  <si>
    <t>F22</t>
  </si>
  <si>
    <t>F24</t>
  </si>
  <si>
    <t>F29</t>
  </si>
  <si>
    <t>F30</t>
  </si>
  <si>
    <t>F31</t>
  </si>
  <si>
    <t>F32</t>
  </si>
  <si>
    <t>F33</t>
  </si>
  <si>
    <t>F36</t>
  </si>
  <si>
    <t>F37</t>
  </si>
  <si>
    <t>F38</t>
  </si>
  <si>
    <t>F47</t>
  </si>
  <si>
    <t>F52</t>
  </si>
  <si>
    <t>F53</t>
  </si>
  <si>
    <t>The maritime influence supports a longer growing season and thus greater potential for recovering from disturbances.</t>
  </si>
  <si>
    <t>Wells or water bodies that currently provide drinking water are:</t>
  </si>
  <si>
    <t>Fishing</t>
  </si>
  <si>
    <t>F57</t>
  </si>
  <si>
    <t>F58</t>
  </si>
  <si>
    <t>F60</t>
  </si>
  <si>
    <t>F61</t>
  </si>
  <si>
    <t>F63</t>
  </si>
  <si>
    <t>F64</t>
  </si>
  <si>
    <t>F68</t>
  </si>
  <si>
    <t>Wetland Ecological Condition</t>
  </si>
  <si>
    <t>Ownership</t>
  </si>
  <si>
    <t>60 to 90% of the land</t>
  </si>
  <si>
    <t>Overall percent cover</t>
  </si>
  <si>
    <r>
      <t xml:space="preserve">Excessive Sediment Loading </t>
    </r>
    <r>
      <rPr>
        <b/>
        <i/>
        <sz val="12"/>
        <rFont val="Arial"/>
        <family val="2"/>
      </rPr>
      <t>from Contributing Area</t>
    </r>
  </si>
  <si>
    <t>Regeneration (especially of woody plants)</t>
  </si>
  <si>
    <t>Difficult to survey and meaningfully quantify.</t>
  </si>
  <si>
    <r>
      <t xml:space="preserve">The distance from the AA edge to the closest </t>
    </r>
    <r>
      <rPr>
        <b/>
        <sz val="10"/>
        <rFont val="Arial Narrow"/>
        <family val="2"/>
      </rPr>
      <t xml:space="preserve">tidal water </t>
    </r>
    <r>
      <rPr>
        <sz val="10"/>
        <rFont val="Arial Narrow"/>
        <family val="2"/>
      </rPr>
      <t>body is:</t>
    </r>
  </si>
  <si>
    <t>2-5%</t>
  </si>
  <si>
    <t>Transport From Upslope</t>
  </si>
  <si>
    <t>Herbaceous Species Dominance</t>
  </si>
  <si>
    <t>Used as a classifier (subsequent questions on herbaceous vegetation are not used if too little herbaceous cover is present).</t>
  </si>
  <si>
    <t>A wider variety of plant species suggests greater availability of pollen and nectar throughout the year.</t>
  </si>
  <si>
    <t>Alteration of a wetland's water quality or its normal water or sediment regime is usually followed by invasion by non-native species, making these an indicator of past or ongoing alteration.</t>
  </si>
  <si>
    <t>Wetlands that are more geographically isolated from each other may be likely to have lower plant species richness than those close together (Nekola 1999).</t>
  </si>
  <si>
    <t>Larger contiguous tracts of nearby natural land are more likely to meet the habitat needs of dispersing amphibians than small or fragmented patches.</t>
  </si>
  <si>
    <t>Complex microtopography provides many suitable microclimates important to survival of adult amphibians during the late summer, fall, and winter.</t>
  </si>
  <si>
    <t>To meet all their life history requirements, most amphibians require uplands in close proximity to, or interspersed within, suitable wetlands.</t>
  </si>
  <si>
    <t>Weed Source Along Upland Edge</t>
  </si>
  <si>
    <t>5-30%</t>
  </si>
  <si>
    <t>Stressors</t>
  </si>
  <si>
    <t>F48</t>
  </si>
  <si>
    <t>&lt;0.5 ft deep (but &gt;0)</t>
  </si>
  <si>
    <t>Woody Diameter Classes</t>
  </si>
  <si>
    <t>F11</t>
  </si>
  <si>
    <t>F13</t>
  </si>
  <si>
    <t>F14</t>
  </si>
  <si>
    <t>F16</t>
  </si>
  <si>
    <t>F23</t>
  </si>
  <si>
    <t>F25</t>
  </si>
  <si>
    <t>F26</t>
  </si>
  <si>
    <t>F27</t>
  </si>
  <si>
    <t>F28</t>
  </si>
  <si>
    <t>F34</t>
  </si>
  <si>
    <t>F35</t>
  </si>
  <si>
    <t xml:space="preserve">If a wetland lacks surface water outflow, nearly all contaminants that enter it will remain and be accumulated over time (Oberts 1977).  This is particularly true of runoff-borne sediment, which can eventually fill a wetland and thus destroy it (Whited 2001, Whigham &amp; Jordan 2003, Leibowitz 2003). </t>
  </si>
  <si>
    <t>Wetlands whose adjoining soils intrinsically are highly erodible  are more susceptible to being gradually filled in by sediment, especially when vegetation in the wetland buffer is cleared (e.g., Martin &amp; Hartman 1987). Vegetation in wetlands that contain or are adjoined by highly erodible soils is more susceptible to impacts from excessive sedimentation because biological communities are likely to already be existing close to their sediment tolerance limits.  However, debris flows can also diversify local native plant communities.</t>
  </si>
  <si>
    <t>Visibility</t>
  </si>
  <si>
    <t>Snags</t>
  </si>
  <si>
    <t xml:space="preserve">Drinking Water Source </t>
  </si>
  <si>
    <t>F1</t>
  </si>
  <si>
    <t>F5</t>
  </si>
  <si>
    <t>&lt;0.5 mile</t>
  </si>
  <si>
    <t>0.5 - 2 miles</t>
  </si>
  <si>
    <t>2-5 miles</t>
  </si>
  <si>
    <t>5-10 miles</t>
  </si>
  <si>
    <t>&gt;10 miles</t>
  </si>
  <si>
    <t xml:space="preserve">Road corridors are often followed by ravens and mammals that prey on waterbird eggs and young. </t>
  </si>
  <si>
    <t>Road corridors are a significant vector for non-native plants that can reduce native plant richness if they invade nearby wetlands.</t>
  </si>
  <si>
    <t>Specific Functions or Values:</t>
  </si>
  <si>
    <t xml:space="preserve">Wetlands are likely to be more resilient (less sensitive, thus lower weighting factor) if large and/or surrounded by other natural landscapes, and/or if they are near other wetlands of the same type,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</si>
  <si>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 xml:space="preserve">Wetlands adjoined by steep slopes are likely to be subject to more sediment and contaminant input, other factors being equal.  </t>
  </si>
  <si>
    <t>deciduous 1-4" diameter and &gt;3 ft tall</t>
  </si>
  <si>
    <t>Distance to Natural Land Cover</t>
  </si>
  <si>
    <t>Larger wetlands have a greater proportional area that is buffered against external disturbances and thus may be considered less sensitive.</t>
  </si>
  <si>
    <t>0-50 ft, or farther but on steep erodible slopes</t>
  </si>
  <si>
    <t>50-300 ft</t>
  </si>
  <si>
    <t>long-lasting, minimal veg recovery</t>
  </si>
  <si>
    <t>long-lasting but mostly revegetated</t>
  </si>
  <si>
    <t xml:space="preserve">short-term, revegetated, not intense </t>
  </si>
  <si>
    <t>High levels of these substances, such as from livestock use or wastewater effluent, can  harm amphibian populations and reduce amphibian diversity, e.g., Schmutzer et al. 2008).</t>
  </si>
  <si>
    <t>Complex microtopography reflects and provides more extensive habitat for small mammals and some songbirds.</t>
  </si>
  <si>
    <t>Some of these features are important to bank-living beavers, swallows, and swifts.</t>
  </si>
  <si>
    <t>F7</t>
  </si>
  <si>
    <t>F19</t>
  </si>
  <si>
    <t>F21</t>
  </si>
  <si>
    <t>Rationale</t>
  </si>
  <si>
    <t>Amphibians are especially valued when the same wetland's structure also strongly supports important consumers such as waterbirds (e.g., herons) and mammals which prey upon them.</t>
  </si>
  <si>
    <t>Although many amphibians benefit from warmer temperatures associated with sparser ground cover within a wetland, dense ground cover provides better protection from predators.  Thus, intermediate levels are scored highest.</t>
  </si>
  <si>
    <t>Larger water bodies such as lakes tend to attract higher densities of waterbirds, other factors being equal (e.g., Savard et al. 1994).</t>
  </si>
  <si>
    <t>A small proportion of bare earth is important to some burrowing pollinators, but too much is at the expense of plants that provide pollen.</t>
  </si>
  <si>
    <t>Public enjoyment of wetlands is assumed to be greater when most of the wetland can be seen without obstruction by dense shrubs or other features.</t>
  </si>
  <si>
    <t>Public ownership generally implies greater public use.</t>
  </si>
  <si>
    <t>The portion of a wetland that is accessible to visitors is assumed to be an important determinant of frequence of visitation</t>
  </si>
  <si>
    <t>Collection of long term data from wetlands is in the public interest partly because it can lead to more effective and fair regulations.</t>
  </si>
  <si>
    <t>Mitigation wetlands represent an investment of funds in the public's interest, which should not be wasted.</t>
  </si>
  <si>
    <t>Prior public investment for these purposes requires greater protection.</t>
  </si>
  <si>
    <t>Subsistence activities of many Native Americans are focused on coastal areas, partly due to the milder climate and more abundant wild resources there.</t>
  </si>
  <si>
    <t>Although imperfect and incomplete, the ADFW maps and reports are presently the best available source of information on important geographic locations for subsistence.</t>
  </si>
  <si>
    <t>Amphibians are particularly sensitive to activities that impact wetlands, so their presence results in a higher sensitivity score.</t>
  </si>
  <si>
    <t>If vegetation cover in a wetland is already sparse, it is often more susceptible to further loss from erosion and altered microclimate.</t>
  </si>
  <si>
    <t>One study in Southeast Alaska found a significant relationship between red alder basal area and summer carrying capacity for deer, and alder is well-known to increase abundance of forbs important to songbirds as well as deer [Hanley et al. 2006].</t>
  </si>
  <si>
    <t>Wetland Type</t>
  </si>
  <si>
    <t xml:space="preserve">Rare native species are usually the first to disappear after a wetland is subjected to alteration of its water quality, hydrologic connectivity, or normal water or sediment regimes.  Thus, their absence is sometimes indicative of past or ongoing impacts to the wetland's processes and condition.  </t>
  </si>
  <si>
    <t>Distance by Road to Nearest Population Center</t>
  </si>
  <si>
    <t>within the AA</t>
  </si>
  <si>
    <t>F62</t>
  </si>
  <si>
    <t>F1.1</t>
  </si>
  <si>
    <t>F1.2</t>
  </si>
  <si>
    <t>F1.3</t>
  </si>
  <si>
    <t>F1.4</t>
  </si>
  <si>
    <t>F1.5</t>
  </si>
  <si>
    <t>F1.6</t>
  </si>
  <si>
    <t>Function Score for Low Flow Augmentation</t>
  </si>
  <si>
    <t>Values Score for Low Flow Augmentation</t>
  </si>
  <si>
    <t>Function Scores</t>
  </si>
  <si>
    <t>Function Score for Invertebrates</t>
  </si>
  <si>
    <t>Function Score for Water Cooling</t>
  </si>
  <si>
    <t>Summer streamflow is critical to supporting this group's productivity and diversity.</t>
  </si>
  <si>
    <t>The need to cool surface waters is likely to be greatest at locations where cold glacier water inputs are minor or absent.</t>
  </si>
  <si>
    <t>The need to cool surface waters is likely to be greatest at locations where much of the contributing area is clearcut or paved, thus generating warmer inputs to streams.</t>
  </si>
  <si>
    <t>AVERAGE(InvScore,AnadScore,ResFishScore,Glacier,Elev)</t>
  </si>
  <si>
    <t>Value Score for Water Cooling</t>
  </si>
  <si>
    <t>Wetlands that have no outflow are likely to have only minimal effect on temperature of other water bodies.</t>
  </si>
  <si>
    <t>For much of the year, marine waters are colder than non-marine waters.  Marine waters are more likely to be warmed locally by warmer freshwater inputs if the wetlands providing those warm inputs are closer to the cold marine waters.</t>
  </si>
  <si>
    <t>During summer the water within bog pools and draining into outflow streams may be especially warmer because of dark color (staining from tannins) that absorbs solar radiation, usually little shading, and less groundwater input as compared with fens.  Thus many bogs during summer are more likely to contribute warm than cool water to downstream areas (Desrochers &amp; van Duinen 2006).</t>
  </si>
  <si>
    <t xml:space="preserve">Groundwater discharging into wetlands supports a wetland's capacity to cool surface runoff during summer, because groundwater in most cases is cooler than surface water during that time [Mellina et al. 2002]. </t>
  </si>
  <si>
    <t>Freeze5</t>
  </si>
  <si>
    <t>GroundW5</t>
  </si>
  <si>
    <t>SeasWpct5</t>
  </si>
  <si>
    <t>PermWpct5</t>
  </si>
  <si>
    <t>IsoWet5</t>
  </si>
  <si>
    <t>Depth5</t>
  </si>
  <si>
    <t>VwidthAbs5</t>
  </si>
  <si>
    <t>MossCov5</t>
  </si>
  <si>
    <t>OutDura5</t>
  </si>
  <si>
    <t>Constric5</t>
  </si>
  <si>
    <t>TreeForm5</t>
  </si>
  <si>
    <t>SoilTex5</t>
  </si>
  <si>
    <t>Graident5</t>
  </si>
  <si>
    <t>NewWet5</t>
  </si>
  <si>
    <t>Elev5</t>
  </si>
  <si>
    <t>Wettype5</t>
  </si>
  <si>
    <t>Fluctu5</t>
  </si>
  <si>
    <t>Freeze6</t>
  </si>
  <si>
    <t>SeasWpct6</t>
  </si>
  <si>
    <t>StructureA</t>
  </si>
  <si>
    <t>StructureB</t>
  </si>
  <si>
    <t>persist0</t>
  </si>
  <si>
    <t>woodydbh0</t>
  </si>
  <si>
    <t>Sngs0</t>
  </si>
  <si>
    <t>downwood0</t>
  </si>
  <si>
    <t>gcover0</t>
  </si>
  <si>
    <t>girreg0</t>
  </si>
  <si>
    <t>gramin0</t>
  </si>
  <si>
    <t>herbsens0</t>
  </si>
  <si>
    <t>herbdiv0</t>
  </si>
  <si>
    <t>cliff0</t>
  </si>
  <si>
    <t>wetuniq</t>
  </si>
  <si>
    <t>NestSites</t>
  </si>
  <si>
    <t xml:space="preserve">South-facing slopes are especially used by one large group of Alaskan bee species (Armbruster &amp; Guinn 1989). </t>
  </si>
  <si>
    <t>aspect0</t>
  </si>
  <si>
    <t>RecreaPot</t>
  </si>
  <si>
    <t>PopCtrDisPU</t>
  </si>
  <si>
    <t>TidalProxPU</t>
  </si>
  <si>
    <t>ElevPU</t>
  </si>
  <si>
    <t>MitigaSite</t>
  </si>
  <si>
    <t>ConsInvest</t>
  </si>
  <si>
    <t>SciUse</t>
  </si>
  <si>
    <t>Investment</t>
  </si>
  <si>
    <t>Values Score for Public Use &amp; Recognition</t>
  </si>
  <si>
    <t>Growth of trees in forested wetlands was investigated in Southeast Alaska, and it was determined that if observed growth rates are sustained, these stands would produce wood volume at a level nearly double the USDA Forest Service minimum standard for commercial timber (Julin &amp; D’Amore 2003).</t>
  </si>
  <si>
    <t>ConsumpU</t>
  </si>
  <si>
    <t>Subsist</t>
  </si>
  <si>
    <t>PopCtrDist</t>
  </si>
  <si>
    <t>TidalProxS</t>
  </si>
  <si>
    <t>PopCtrDisS</t>
  </si>
  <si>
    <t>DeerShedPS</t>
  </si>
  <si>
    <t>SalmonShedPS</t>
  </si>
  <si>
    <t>Values Score for Subsistence &amp; Provisioning Services</t>
  </si>
  <si>
    <t>FishAccessS</t>
  </si>
  <si>
    <t>ElevS</t>
  </si>
  <si>
    <t>WeedSource</t>
  </si>
  <si>
    <t>NatVegCA</t>
  </si>
  <si>
    <t>Core1</t>
  </si>
  <si>
    <t>Core2</t>
  </si>
  <si>
    <t>RdBox</t>
  </si>
  <si>
    <t>DistRd</t>
  </si>
  <si>
    <t>CAimperv</t>
  </si>
  <si>
    <t>ToxicData</t>
  </si>
  <si>
    <t>Wetter</t>
  </si>
  <si>
    <t>WetterEx</t>
  </si>
  <si>
    <t>Drier</t>
  </si>
  <si>
    <t>DrierEx</t>
  </si>
  <si>
    <t>AltTiming</t>
  </si>
  <si>
    <t>Toxic</t>
  </si>
  <si>
    <t>SedLoad</t>
  </si>
  <si>
    <t>SoilDisturb</t>
  </si>
  <si>
    <t>EmSens1_C</t>
  </si>
  <si>
    <t>HerbDom1</t>
  </si>
  <si>
    <t>ShrubDom1</t>
  </si>
  <si>
    <t>RareAll</t>
  </si>
  <si>
    <t>BareGpct</t>
  </si>
  <si>
    <t>GirregCQ</t>
  </si>
  <si>
    <t>Under natural unimpacted conditions, many but not all wetlands will have extensive microtopography.</t>
  </si>
  <si>
    <t>Lack of vegetative cover suggests a wetland may be in poor condition as a result of human-related impacts, but could also be the result of natural limitations or events.</t>
  </si>
  <si>
    <t>(AVERAGE(RareAll,EmSens1_C,BareGpct) + AVERAGE(HerbDom1,WoodySens2_C,ShrubDom1,GirregCQ,StrataDiv))/ 2</t>
  </si>
  <si>
    <t>Wetlands whose existence or extent depends on beaver are more sensitive in the sense that they may not be sustained naturally over time if beaver populations and associated beaver dams decline.</t>
  </si>
  <si>
    <t>WettypeS</t>
  </si>
  <si>
    <t xml:space="preserve">Organic soils are particularly sensitive because slight changes in the water table often cause rapid decomposition and/or compaction (subsidence) of this substrate, resulting in major shifts in characteristic plants and animal species as well as biogeochemical processes. Coarse soils are most resistant to compaction, though they are less moisture-retentive and dry out quickly.  </t>
  </si>
  <si>
    <t>Longer wetland-upland edge relative to wetland area (i.e., convoluted edge) implies a wetland may be more vulnerable to invasive species, higher evapotranspiration, and other disturbances characteristic of adjoining uplands.</t>
  </si>
  <si>
    <t>Freeze_S</t>
  </si>
  <si>
    <t>IsoDry_S</t>
  </si>
  <si>
    <t>Vegetation takes longer to recover in wetlands located in regions with shorter growing seasons and lower temperatures, as implied by this indicator.  Ice-covered wetlands are also more likely to experience anoxic conditions beneath the ice in winter.</t>
  </si>
  <si>
    <t>Depth_S</t>
  </si>
  <si>
    <t>VwidthAbs_S</t>
  </si>
  <si>
    <t>OutDura_S</t>
  </si>
  <si>
    <t>Constric_S</t>
  </si>
  <si>
    <t>EmSens1_S</t>
  </si>
  <si>
    <t>HerbDom2</t>
  </si>
  <si>
    <t>ShrubPattS</t>
  </si>
  <si>
    <t>WoodySens2_S</t>
  </si>
  <si>
    <t>TreeDBHs</t>
  </si>
  <si>
    <t>NfixS</t>
  </si>
  <si>
    <t>Gcover_S</t>
  </si>
  <si>
    <t>SoilTex_S</t>
  </si>
  <si>
    <t>Beaver_S</t>
  </si>
  <si>
    <t>NatVegCUpct_S</t>
  </si>
  <si>
    <t>BuffSlope_S</t>
  </si>
  <si>
    <t>NatVegProx_S</t>
  </si>
  <si>
    <t>NatVegSize_S</t>
  </si>
  <si>
    <t>Size_S</t>
  </si>
  <si>
    <t>PondScape_S</t>
  </si>
  <si>
    <t>PondProx_S</t>
  </si>
  <si>
    <t>LakeProx_S</t>
  </si>
  <si>
    <t>TidalProx_S</t>
  </si>
  <si>
    <t>UpEdge_S</t>
  </si>
  <si>
    <t>Erodib_S</t>
  </si>
  <si>
    <t>In Southeast Alaska, landslides diversify the locally exposed soils, moisture regimes, vegetation successional stages, and species. Beaver attracted to the young vegetation often create wetlands nearby (Geertsema &amp; Pojar 2007).</t>
  </si>
  <si>
    <t>SlidePD</t>
  </si>
  <si>
    <t>Salmon parr density is greater in streams in karst terrain, probably due to higher water alkalinity which supports greater aquatic production (Bryant et al. 1998).</t>
  </si>
  <si>
    <t xml:space="preserve">Dense vegetation offers frictional resistance to runoff, promoting sedimentation of suspended particles and reducing erosion. This promotes phosphorus retention because phosphorus is typically adsorbed to soil particles. </t>
  </si>
  <si>
    <t>Phosphorus Retention (PR)</t>
  </si>
  <si>
    <t>Native Plant Habitat (PH)</t>
  </si>
  <si>
    <t>Subsistence &amp; Provisioning Services (Subsis)</t>
  </si>
  <si>
    <t>Core1PU</t>
  </si>
  <si>
    <t>Core2PU</t>
  </si>
  <si>
    <t>MAX(MitigaSite,ConsInvest,SciUse)</t>
  </si>
  <si>
    <t>Granite7</t>
  </si>
  <si>
    <t>AVERAGE(NutrIn,SedIn,AltTime, Glacier, ToxData)</t>
  </si>
  <si>
    <t>WBFscore10</t>
  </si>
  <si>
    <t>SBMscore10</t>
  </si>
  <si>
    <t>(AVERAGE(Size,Vwidth))*((AVERAGE(Nfix, Inclus, UpEdge, Hardwd,TidalProx, Elev)))</t>
  </si>
  <si>
    <t>yes, and most recently created, deglaciated, or uplifted 3-20 years ago</t>
  </si>
  <si>
    <t>yes, and most recently created, deglaciated, or uplifted within last 3 years</t>
  </si>
  <si>
    <t>Glacier11</t>
  </si>
  <si>
    <t>Granite10</t>
  </si>
  <si>
    <t>Wetlands fed by groundwater tend to remain saturated for longer in the summer, thus increasing their chances of supporting streamflow downslope.</t>
  </si>
  <si>
    <t>This is the primary indicator of a wetland's potential for supporting summer flow in connected downslope streams.</t>
  </si>
  <si>
    <t>North-facing slopes are likely to remain frozen for longer periods, thus limiting the soil's capacity to store or infiltrate runoff.</t>
  </si>
  <si>
    <t>The desirability of warming surface water in receiving water bodies is likely to be less where they are south-facing and thus are already exposed longer each day to warming sunlight.</t>
  </si>
  <si>
    <t>The desirability of warming surface water in receiving water bodies is likely to be less where much of the contributing area is clearcut or paved, thus already creating warmer inputs to streams.</t>
  </si>
  <si>
    <t>Streams facilitate transport of sediment and adsorbed phosphorus, so an inflowing stream provides more opportunity for a wetland to perform this function.</t>
  </si>
  <si>
    <t>Streams facilitate transport of nitrate from upland sources into wetlands, so an inflowing stream provides more opportunity for a wetland to perform this function.</t>
  </si>
  <si>
    <t>Fish are especially valued in food webs when the same wetland's structure also strongly supports important consumers such as waterbirds (e.g., loons, grebes, cormorants, kingfisher) and mammals.</t>
  </si>
  <si>
    <t>In karst areas, nutrients are more available to algae and thus to the invertebrates that graze algae and presumably also the resident fish (Baichtel &amp; Swanston 1996, Bryant et al. 1998).</t>
  </si>
  <si>
    <t>AVERAGE(AltTime, Glacier,ToxData)</t>
  </si>
  <si>
    <t>more than 1 such feature or species is present in the AA</t>
  </si>
  <si>
    <t>only one such species or feature is present in the AA</t>
  </si>
  <si>
    <t>Function Score for Water Warming</t>
  </si>
  <si>
    <t>Value Score for Water Warming</t>
  </si>
  <si>
    <t>Streamwater Cooling (WC)</t>
  </si>
  <si>
    <t>Streamwater Warming (WW)</t>
  </si>
  <si>
    <t>Stream Flow Support (SFS)</t>
  </si>
  <si>
    <t>AVERAGE(NatVegPctCU,BuffLU, ImpervCA)</t>
  </si>
  <si>
    <t>Geog11</t>
  </si>
  <si>
    <t>If accessible and otherwise suitable for fish, wetlands closer to the coast are more likely to support both wintering and spawning anadromous fish, and help smolts survive the transition to harsher salinity of the ocean (Linley 2001). Nomad coho return upstream, sometimes to a non-natal stream, to overwinter before migrating to the ocean as smolts (Koski 2009]. Aquatic productivity also tends to be higher due to the milder temperatures and higher fertility, which is enhanced by nutrients from returning spawners if the wetland is fish-accessible.</t>
  </si>
  <si>
    <t>Although anadromous fish (especially chinook) readily swim up turbid glacially-fed rivers and streams, there are limits to how long they can survive such conditions. More importantly, the reduction in water clarity limits the productivity of some invertebrate foods depended on by young fish (Koenings et al. 1989).</t>
  </si>
  <si>
    <t>Surface Water Storage (WS)</t>
  </si>
  <si>
    <t>SoilTex</t>
  </si>
  <si>
    <t>Groundw</t>
  </si>
  <si>
    <t>Subsurface</t>
  </si>
  <si>
    <t>AVERAGE(SoilTex, Groundw)</t>
  </si>
  <si>
    <t>Groundwater in many areas of Southeast Alaska is phosphorus-rich, especially when associated with iron-rich bedrock. This increases the opportunity of the receiving wetlands to process the P, thus increasing the importance (value) of their role in the local ecosystem.</t>
  </si>
  <si>
    <t>Glacier3</t>
  </si>
  <si>
    <t>Total available nitrogen in soil increases with increasing density of nitrogen-fixers such as red alder (Sanborn et al. 2002, Cortini &amp; Comeau 2008). This provides wetlands with increased opportunity to process the N, thus increasing their role and value in the local ecosystem.</t>
  </si>
  <si>
    <t>Many studies have highlighted the importance of subsurface (hyporheic) flow, or groundwater discharge, to denitrification rates in both riverine (Clilverd et al. 2008) and non-riverine (e.g., Kroeger &amp; Charette 2008) wetlands. Groundwater in Southeast Alaska is often iron-rich, and addition or removal of nitrate can significantly affect the ecological mobility of iron and perhaps some other metals in wetland soils (Shrestha et al. 2011).</t>
  </si>
  <si>
    <t xml:space="preserve">Microbes responsible for most of the nitrate removal in wetlands thrive best at warmer soil or sediment temperatures.  In this region, coastal wetlands have warmer average winter temperatures than most inland wetlands. </t>
  </si>
  <si>
    <t>Upland soils are normally aerobic, whereas wetland soils are often anaerobic. Maximum denitrification occurs at the interface of aerobic and anaerobic conditions. Thus, proportionally longer (i.e., convoluted) edges should provide the most opportunity for removal of nitrate via denitrification.</t>
  </si>
  <si>
    <t>Constructed (and some restored) wetlands typically have lower soil organic matter (Shaffer &amp; Ernst 1999), and that deficit limits denitrification that otherwise removes nitrate. The same appears true of areas where glaciers have only recently receded (Hobbie &amp; Macko 1998). Thus, new wetlands would be expected to release the most nitrate to downstream waters. However, the proportion of incoming nitrate that is exported in some cases is greater in soils that are more fertile, i.e., nearing nitrate saturation, with a C:N ratio lower than 25 (e.g., Gundersen et al. 2006).</t>
  </si>
  <si>
    <t>Soil compaction seals up pores in the soil that serve as habitat space for denitrifying bacteria, as well as causing a larger proportion of the precipitation to leave as runoff rather than infiltrate into subsurface areas where denitrification is greatest. Soil erosion often results in loss of carbon-rich upper soil layers that are important to denitrification.</t>
  </si>
  <si>
    <t xml:space="preserve">Other factors being equal, wetlands in developed watersheds (with little remaining natural cover) tend to receive higher loads of nitrate. Their nitrate removal role could thus be considered to be more essential and valuable for protecting waters further downstream. Even if the only watershed disturbance is logging, a typical post-logging shift from coniferous or mixed vegetation to deciduous vegetation can contribute 54% more nitrate to streams and alters the seasonal timing of the inputs and light availability (Roberts &amp; Bilby 2009). </t>
  </si>
  <si>
    <t xml:space="preserve">Increased slope in a watershed or buffer strip has been linked to increased delivery of sediment and sometimes nitrate to downgradient streams and wetlands, e.g., Trimble &amp; Sartz (1957), Dillaha et al. (1988, 1989), Phillips (1989), Nieswand et al. (1990). However, an Ontario study found the slope of the contributing area had relatively little effect on concentrations of nitrate and carbon in a downslope riparian area. Soil carbon was more responsible for increasing nitrate removal, and soil carbon was actually greater on steeper slopes in that study area (Hazlett et al. 2008). </t>
  </si>
  <si>
    <t>Nitrate is a potentially serious contaminant of drinking water due to health effects on infants. Thus, when wetlands remove it before it contaminates groundwater, the wetlands are performing an especially valued service.</t>
  </si>
  <si>
    <t>Road traffic associated with population centers can result in increased nitrogen deposition in wetlands, increasing the opportunity for removal by mosses in particular. N retention efficiency increases exponentially with N deposition (especially when deposition is 0.25 to 0.50 g of N per year (Bragazza et al. 2004).</t>
  </si>
  <si>
    <t xml:space="preserve">Many studies have found salmon spawners increase nutrients in streams (Hood et al. 2007) and streamside wetlands. This provides wetlands with increased opportunity to process the N, thus increasing their role and value in the local ecosystem. However, other studies found that salmon spawners did not increase nitrate in either absolute or relative amounts once that the annual spawning period had ceased (Chaloner et al. 2007). </t>
  </si>
  <si>
    <t xml:space="preserve">Wetlands that are in the lower part of their watershed (including most that are small relative to the size of their contributing area) are likely to receive proportionally more nitrate, thus increasing the value of their capacity to process nitrate. </t>
  </si>
  <si>
    <t>See the above. This indicator is highly correlated to it but is not identical.</t>
  </si>
  <si>
    <t xml:space="preserve">The need for (and value of) nitrate removal capacity (which is potentially provided by wetlands) is greater when upland runoff is rapid and erosive, with the potential to contribute much sediment and nitrate from other sources, as occurs when much of the contributing area contains impervious surface. </t>
  </si>
  <si>
    <t>The need for (and value of) nitrate removal that potentially could be provided by wetlands is greater when upland nitrate loads are not being retained by features closer to the nitrate source. Vegetated buffers are more effective in protecting the quality of wetlands when most water enters the wetland as shallow subsurface lateral flow or discharging groundwater, rather than channel flow or surface runoff (Dillaha et al. 1989, Dosskey et al. 2001, Wigington et al. 2003, Mayer et al. 2005). Buffers in rural New York were found to be ineffective when crossed by small unmapped drainageways (e.g., roadside ditches) that were not buffered but were connected to pollution sources (Madden et al. 2007).</t>
  </si>
  <si>
    <t xml:space="preserve">Nitrate is a potentially serious contaminant of drinking water due to health effects on infants. Thus, when wetlands remove it before it contaminates drinking waters, the wetlands are performing an especially valued service. </t>
  </si>
  <si>
    <t xml:space="preserve">Flatter wetlands are more likely than steep ones to slow runoff, facilitating more deposition of organic matter that is associated with it. However, a Pennsylvania study found that slope wetlands tended to have moderate to high rates of organic matter accretion compared with other wetland geomorphic types (Wardrop &amp; Brooks 1998). Also, methane emissions may be less from sloping wetlands, due to greater aeration of their soils (Tauchnitz et al. 2008). </t>
  </si>
  <si>
    <t>NOTE: No indicators addressing VALUES of this function are currently proposed because its value is diffused throughout the entire planet.</t>
  </si>
  <si>
    <t xml:space="preserve">yes, and most recently created, deglaciated, or uplifted 20 - 100 years ago </t>
  </si>
  <si>
    <t>Denitrification rates are often limited by the amount of available carbon. Organic soils have the most carbon, and coarse soils usually have the least. Denitrification enzyme activity, on a per gram basis, is typically greater in organic soils than mineral soils (Van Hoewyk et al. 2000). However, the acidic nature of many organic soils can limit denitrification, the major process for nitrate removal. Soils having less than 65% silt and clay have very limited capacity to remove nitrate via denitrification, a finding based on a study in southwest Alaska (Pinay et al. 2003). Emissions of nitrous oxide (a detrimental greenhouse gas) are most likely to occur in soils that are poor in organic matter but rich in nitrogen (e.g., the carbon-nitrogen ratio is less than 25, Hunt et al. 2007). The 16 inch threshold represents a frequent transition zone in some soil types from aerobic to anaerobic conditions; in other soils the transition occurs at about 10 inches.</t>
  </si>
  <si>
    <t>Nitrogen added to a wetland by N-fixing plants can increase the wetland's overall plant productivity, potentially making more organic matter available for export. Presence of alder in conifer woodlands also can speed the decomposition of organic material from the conifers (Fyles &amp; Fyles 1993) perhaps making it more useful for supporting aquatic life.</t>
  </si>
  <si>
    <t>More extensive ground cover may imply more organic matter is available for export. Excessive litter buildup implies a lack of significant exporting forces, e.g., currents.</t>
  </si>
  <si>
    <t>Maritime influence reduces the duration of ice cover that potentially impedes export. However, in some situations ice may facilitate export of organic matter.</t>
  </si>
  <si>
    <t>Other factors being equal, wetlands closer to the coast tend to be more fertile and have a longer growing season. Both of these factors potentially support higher invertebrate numbers and diversity. However, many subalpine wetlands also support high insect biomass.</t>
  </si>
  <si>
    <t>In karst areas, nutrients are more available to algae and thus to the invertebrates that graze algae. Karst areas are chemically well-buffered against acidic conditions that otherwise make nutrients unavailable. The higher availability of calcium carbonate supports the presence of snails, mollusks, and some other invertebrates that require that and so are absent from wetlands in most of the rest of Southeast Alaska (Baichtel &amp; Swanston 1996, Bryant et al. 1998).</t>
  </si>
  <si>
    <t>Life histories of most invertebrates are closely linked to specific thermal and light (seasonality) conditions as those interact with specific hydrologic patterns. Abnormal patterns of inundation to which invertebrate communities are not adapted may reduce populations of many intolerant invertebrate species, thus diminishing local biodiversity.</t>
  </si>
  <si>
    <t>Aquatic invertebrate communities (both benthic and planktonic) are harmed by excessive sedimentation and turbidity from sediment runoff. Sediment from timber-harvest activity (clearings and roads) can intensify the turbidity effects of spawning-salmon disturbance on macroinvertebrates (Campbell et al. 2011). The deposition of fine sediment can limit populations of grazing invertebrates even when algal foods become more available following timber harvest (Kiffney &amp; Bull 2000). Sediment from glaciers, while increasing the fertility of Alaskan waters, limits production by reducing light penetration (Lloyd et al. 1987).</t>
  </si>
  <si>
    <t xml:space="preserve">Aquatic invertebrates are especially valued in food webs when the same wetland's structure also strongly supports important consumers such as fish, bats, and birds (Baxter et al. 2005). For example, in Southeastern Alaska in 1996-1997, the riparian forests bordering salmon streams supported, on average, higher densities but not diversity of songbirds compared to non-salmon streams. The presence of salmon in the fall increased the abundance of terrestrial and aquatic invertebrates and possibly enhanced food resources to riparian birds in the spring [Gende &amp; Wilson 2001, Christie &amp; Reimchen 2008). </t>
  </si>
  <si>
    <t>Less canopy cover increases soil warming in spring (Hennon et al. 2010) which could accelerate denitrification, a major process for removing nitrate. However, tree roots can extend the subsurface zone of denitrification by oxidizing deeper subsurface areas. Trees also take up and temporarily retain nitrate, as well as adding carbon to the soil, which promotes denitrification.</t>
  </si>
  <si>
    <t xml:space="preserve">Dense vegetation offers frictional resistance to runoff, promoting deposition of organic nitrogen and resisting erosion. Vegetation takes up nitrate at least seasonally and plant roots can promote denitrification by providing a carbon source and oxidizing otherwise anoxic subsurface soils.  However, shade from plants reduces soil temperature which slows the denitrification rate (Hogg &amp; Lieffers 1991), and emissions of harmful nitrous oxide can be greater in wetlands with denser vegetation (SoeviI et al. 2006). </t>
  </si>
  <si>
    <t>These features cumulatively decelerate runoff, thus allowing for more biological processing and deposition of nitrate-containing suspended sediments, although usually only to a minor degree. The presence of soil cracks implies a potential downward extension of the aerobic zone, interspersing it with anaerobic areas, which should lead to greater denitrification. Studies of wastewater treatment wetlands have shown greater nitrate removal where pockets of deeper water are interspersed with shallower areas (i.e., diverse microtopography).</t>
  </si>
  <si>
    <t>Upland soils are normally aerobic, whereas wetland soils are often anaerobic. Maximum denitrification occurs at the interface of aerobic and anaerobic conditions. Thus, if inclusions of aerobic non-wetland soils are numerous and interspersed throughout a wetland, the extent of denitrification overall should be greater.</t>
  </si>
  <si>
    <t xml:space="preserve">Flatter wetlands are more likely than steep ones to slow runoff, facilitating more deposition of suspended matter and the nitrate that is associated with it, and also supporting anaerobic conditions that lead to more nitrate removal via denitrification. Steeper gradients in a wetland imply greater potential for outflow and transport downslope, and more aerobic conditions. </t>
  </si>
  <si>
    <t>In Southeast Alaska, the numbers and diversity of waterbirds using non-tidal wetlands might be greater at inland locations (at least at low elevations) than along the outer coast (Johnson et al. 2008). Rivers in these particular large watersheds originate in Canada and tend to draw large migrating flocks. Several other mainland watersheds have extensive habitat, but the geographic influence may be less strong.</t>
  </si>
  <si>
    <t>Subsistence activities of many rural residents are focused on lower-elevation areas, partly due to the milder climate and more abundant wild resources there (Ellana &amp; Wheeler 1989).</t>
  </si>
  <si>
    <t xml:space="preserve">Infiltration, and thus deposition of sediment suspended in runoff, is potentially greater in areas where water and soils do not remain frozen for long periods. In this region, coastal wetlands experience shorter durations of freeze over than inland wetlands. </t>
  </si>
  <si>
    <t>Wetlands on slopes (Cole et al. 1997) may be the least sensitive to pollutants because they typically have the shortest water residence times, but they are most susceptible to erosional loss. Slope wetlands in some regions tend to be less sensitive to invasion by non-native plants (Magee &amp; Kentula 2005), especially when shaded by a forest canopy.  However, they are sometimes highly sensitive to alteration of local water tables (Fitzgerald et al. 2003). Negative consequences of drought are greatest in peatlands, where large stores of organic matter in soils can be volatilized.  Being groundwater dependent, fens are also sensitive to water table changes.  Mosses and woody vegetation (shrub and forested wetlands) require many years to fully re-establish if removed or killed, i.e., resilience is less than for herbaceous vegetation. As compared with wooded wetlands, moss wetlands and seasonal marshes receive more off-road vehicle traffic with consequent degradation of soil and vegetation (Loomis &amp; Lieberman 2006). Floodplain wetlands and marshes tend to be most resilient partly because of relatively high nutrient levels.</t>
  </si>
  <si>
    <t>Storage by wetlands is obviously more valuable when properties located downslope might otherwise be flooded. The need for (and value of) storage potentially provided by wetlands is greater when floodable property downslope is not being adequately protected by other water storage or detention features.</t>
  </si>
  <si>
    <t>See above. This indicator is highly correlated to it but is not identical.</t>
  </si>
  <si>
    <t>The need for (and value of) storage potentially provided by wetlands is greater when upland runoff is rapid, as occurs when much of the contributing area contains impervious surface (Laenen 1980, Waite et al. 2006). In contributing areas with extensive impervious surface, the proportion of stream flow due to surface runoff can be as much as five times that seen in forested catchments (Arnold &amp; Gibbons 1996). The increase in surface runoff due to urbanization is especially greater in the Pacific Northwest due the naturally high infiltration capacity of the soils and the low intensity of the rainfall, which makes surface runoff a rare phenomenon in undeveloped watersheds (Booth &amp; Jackson 1997). Increased surface runoff causes a shortening of the lag time between precipitation and stream flow response (Hirsch et al. 1990). The effect is higher peak flows but of shorter duration than those in forested catchments receiving comparable rainfall (Leopold 1968).</t>
  </si>
  <si>
    <t>The need for (and value of) storage potentially provided by wetlands is greater when upland runoff is not being decelerated by other upland land cover and soils. Tillage of soils in the contributing area can decrease the water available to a wetland because more water infiltrates in the upland before reaching the wetland (Detenbeck et al. 2002).</t>
  </si>
  <si>
    <t>New wetlands that are the result of retreating glaciers are exposed to significant amounts of sediment runoff from adjacent unvegetated areas (Milner 1997). This provides more opportunity to trap that sediment, and thus increases the value of those wetlands if the goal is to protect waters further downstream from adverse effects of sedimentation or turbidity.</t>
  </si>
  <si>
    <t>Type of Cover in Buffer</t>
  </si>
  <si>
    <t>Flatter wetlands are more likely than steep ones to slow runoff, facilitating more deposition of suspended matter and the phosphorus that is associated with it. Ground cover becomes more important to sediment stabilization in wetlands on slopes.</t>
  </si>
  <si>
    <t>Narrow outlets limit water outflow from a wetland and its downstream or downslope movement, thus causing water to back up into the wetland, which allows more time for sediments to be deposited and phosphorus to be processed. The types of outlets described here are ones that typically are more constricted than natural channels, which usually have adjusted over time to local runoff and thus are wider relative to volume of flow received. A restricting outlet in wetlands can reduce export of phosphorus (Amatya et al. 2003).</t>
  </si>
  <si>
    <t xml:space="preserve">Infiltration, which enhances deposition of sediment-bound P, is potentially greater in areas where water and soils do not remain frozen for long periods. In this region, coastal wetlands experience shorter durations of freeze over than inland wetlands. </t>
  </si>
  <si>
    <t>Sediment deposition, and thus (by correlation) phosphorus retention, can be predicted partly by the ratio of the volume of a storage basin to the volume of runoff entering the basin (Heinemann 1981). This indicator is a rough correlate of that ratio.</t>
  </si>
  <si>
    <t>Spawning salmon bring marine nutrients, including phosphorus, into wetlands (e.g., Hocking &amp; Reimchen 2009). Concentrations of soluble reactive phosphorus increased by more than an order of magnitude in streams during the spawning period (Hood et al. 2009). This provides wetlands with increased opportunity to process the P, thus increasing their role in the local ecosystem.</t>
  </si>
  <si>
    <t>Basic pH or Karst</t>
  </si>
  <si>
    <t>AVERAGE(woodydbh, Snags, downwood, girreg, cliff)</t>
  </si>
  <si>
    <t xml:space="preserve">Flowers from forbs provide the most opportunities for a diverse array of pollinator species, but some graminoids (e.g., native bunchgrasses) are used as well. </t>
  </si>
  <si>
    <t>Although some non-native plants attract pollinators, many of those plants tend to be invasive, reducing the overall diversity of plant species available for pollination at different times of the season. A broad seasonal distribution of available pollen and nectar sources is critical to pollinators.</t>
  </si>
  <si>
    <t xml:space="preserve">Granitic bedrock is more erosion-resistant and thus soils associated with it, where not strongly influenced more by overlying glacial deposits, are poorer in nutrients and thus less capable of supporting high plant productivity. With less productivity, less carbon is available for export (MacKenzie &amp; Shaw 2000, Banner et al. 2005). </t>
  </si>
  <si>
    <t>Granitic bedrock is more erosion-resistant and thus soils associated with it, where not strongly influenced more by overlying glacial deposits, are poorer in nutrients (MacKenzie &amp; Shaw 2000, Banner et al. 2005). This is anticipated to constrain the abundance and richness of plants.</t>
  </si>
  <si>
    <t>AVERAGE [Struc,Productivity,AVERAGE(Hydropd,Connec,Stressors,LScape]</t>
  </si>
  <si>
    <t>Moss (especially Sphagnum) indicates acidic conditions that generally support fewer plant species. Acidifying Sphagnum mosses, which inhibit the expansion of diverse communities of vascular plants, tend to decline above a pH of 5.5 (Vitt 2006). By acidifying the soil, Sphagnum moss slows down decomposition and thus the availability of nutrients for other plants (Malmer et al. 2003). Although plant richness is usually less in moss wetlands compared to others, the species that occur are often specialized and regionally uncommon.</t>
  </si>
  <si>
    <t>Red alder often occurs in mildly disturbed settings, and through its ability to increase soil fertility by fixing nitrogen, can increase the diversity and abundance of understory plants (Deal 1997). However, as alder stands age, they form a closed canopy which can block light and reduce understory plant richness.</t>
  </si>
  <si>
    <t>Different plant species occur under different moisture regimes, which correlate with different elevations (Samoni et al. 2010), so a greater diversity of elevations (i.e., complex microtopography) often supports a wider variety of plants. Adding small ridges and furrows to constructed depressional wetlands was found in one study to increase their percent cover of obligate wetland species (Alsfeld et al. 2009). In Southeast Alaska, wetlands with more varied topography tended to have greater plant species richness because this created different flood frequencies within the wetland (Pollack et al. 1998).</t>
  </si>
  <si>
    <t>Coarse soils tend to be less productive and in some cases this results in reduced species richness of wetland plants. Wetland soils with higher organic content often support greater plant species richness (e.g., Alsfeld et al. 2009) but only if not too acidic (e.g., fens are not). However, when organic soils are acidic (e.g., bogs) they often support species uncommon in wetlands elsewhere.</t>
  </si>
  <si>
    <t>Although not all invasive upland plants are capable of establishing sustained populations in wetlands, many can. When they do they reduce plant diversity.</t>
  </si>
  <si>
    <t>Describing habitat at a landscape scale, as this indicator does, provides a complementary context for defining habitat suitability and productivity for anadromous fish. It represents the extent of potentially suitable salmon habitat in the same watershed as the AA, and the diversity of salmon species present.</t>
  </si>
  <si>
    <t>neither of the above</t>
  </si>
  <si>
    <t>Groundwater discharging into wetlands can warm surface runoff during winter because groundwater in most cases is warmer than surface water during that time. However, during the summer the effect is the opposite.</t>
  </si>
  <si>
    <t>Elev2a</t>
  </si>
  <si>
    <t>In Southeast Alaska, warm water might be especially important for amphibians.</t>
  </si>
  <si>
    <t>Soil temperatures are warmer for longer on south-facing slopes, and this is essential for denitrification which removes soluble N (Kim et al. 2007). However, those soils should not be dried out to less than 70% saturation by those warmer conditions (Hefting et al. 2006).</t>
  </si>
  <si>
    <t>UniPatch8</t>
  </si>
  <si>
    <t>Leaves of nitrogen-fixing plants such as alder have been shown to support higher densities and richness of aquatic and terrestrial invertebrates (Wipfli 2007, Wipfli &amp; Musselwhite 2004, Hernandez et al. 2005, LeSage et al. 2005). From that, it can be inferred that fish production should be higher in alder wetlands as well, where food is limiting fish survival.</t>
  </si>
  <si>
    <t>Groundwater provides a relatively steady input of nutrients that supports algal production and the invertebrate foods important to resident fish. It also provides relatively warm temperatures that can maintain ice-free conditions for longer, and helps sustain water levels and low flows, thus increasing annual production. However, the "flocs" created by the presence of iron oxidizing bacteria in some instances causes groundwater to be deficient in oxygen that is critical to resident fish, especially when this occurs under winter ice cover.</t>
  </si>
  <si>
    <t xml:space="preserve">Streams adjoined by natural vegetation provide shade that helps maintain water temperature, as well as supporting richer and healthier communities of fish as well as invertebrates. Often, only very tolerant fish species are present in streams in heavily urbanized areas (Yoder et al. 1999) and invasive species may enjoy a competitive advantage over native species under urban conditions (Boet et al. 1999). </t>
  </si>
  <si>
    <t>If accessible and otherwise suitable for fish, wetlands closer to the coast are more likely to support fish year-round. Aquatic productivity also tends to be higher due to the milder temperatures and higher fertility.</t>
  </si>
  <si>
    <t>Granitic bedrock is more erosion-resistant and thus their associated soils are poorer in nutrients (Banner et al. 2005), implying lower productivity and thus less nutrients available for supporting aquatic food chains.</t>
  </si>
  <si>
    <t>If accessible and otherwise suitable for fish, wetlands lower in a river basin are more likely to support resident fish. Aquatic productivity tends to be higher due to the associated milder temperatures, less acidic conditions (Eilers et al. 1993), and higher fertility.</t>
  </si>
  <si>
    <t xml:space="preserve">Obviously, a wetland containing toxic substances has much less capacity to support anadromous fish. Resident fish are especially prone to bioaccumulation of locally-sourced metals (e.g., Deniseger et al. 1990). </t>
  </si>
  <si>
    <t xml:space="preserve">The type as well as the amount of upland cover near the wetland is important to mammals and nesting songbirds. For most species, impervious surfaces are unusable. Habitat gaps caused by placement of roads, driveways, or homes – as well as by natural features such as rockslides and wide tidal channels -- can impact movements of mammals and birds (Trombulak &amp; Frissell 2000, Ortega &amp; Capen 2002). This is especially true when the gaps are wider than about 100 feet (Rich et al. 1994, Rail et al. 1997, St. Clair et al. 1998, Belisle &amp; Desrochers 2002, Laurance et al. 2004, Tremblay &amp; St. Clair 2010), and definitely when wider than 200 ft (Creegan &amp; Osborne 2005, Bosschieter &amp; Goedhart 2005, Awade &amp; Metzger 2008, Lees &amp; Peres 2009). Species that prefer low vegetation may be particularly reluctant to cross forest clearings. The presence of small clusters of trees scattered within very wide forest gaps may be sufficient to enhance willingness of some forest bird species to cross those gaps (Robertson &amp; Radford 2009). </t>
  </si>
  <si>
    <t>See above. Corridors can be important to small mammals moving between wetlands.</t>
  </si>
  <si>
    <t>Wetlands with a large perimeter-to-area ratio (i.e., convoluted edges) or upland inclusions allow animals to move more conveniently between uplands and wetlands, using resources in each. In particular, small mammals avoid wetter (usually more central) parts of wetlands in favor of drier edges (Mazerolle et al. 2001).  In British Columbia, activity levels of bats were more than 40 times greater in riparian than in upland areas, due to greater abundance of emerging aquatic insects, and were significantly greater where stand complexity and extent of forest edges was greater; bat activity levels were not correlated with forest stand age (Grindal et al. Brigham 1999, Grindal et al. 1999).</t>
  </si>
  <si>
    <t>Although they are often stable, channels that are steeper are somewhat more likely to erode and contribute sediment to connected downstream wetlands. Wetlands that receive suspended sediment from those streams are more likely to retain it because of the large differential in current velocities, which promotes deposition in the wetland.</t>
  </si>
  <si>
    <t>Other factors being equal, wetlands in developed watersheds (with little remaining natural cover) tend to receive higher loads of sediment. Their sediment-trapping role could thus be considered to be more essential and valuable for protecting waters further downstream.</t>
  </si>
  <si>
    <t>Because of their physical structure and setting, some upland soils are intrinsically more erodible than others having the same vegetation cover and exposed to the same precipitation intensity. Wetlands located below such erodible soils have more opportunity to trap the eroded sediment and thus can be considered more valuable. In Southeast Alaska, there is a 7% increase in landslide risk when slope exceeds 72% and soil depths are less than 1.25 m (Johnson et al. 2007). High hazard areas include slopes &gt;30% with silty soils (Schroeder &amp; Swanston 1987, Swanston 1997). Old-growth forests experiencing widespread decline of yellow-cedar have a 3.8-fold increase in the frequency of landslides. [Johnson &amp; Wilcock 2002]</t>
  </si>
  <si>
    <t>Sediment deposition can be predicted largely by the ratio of the volume of a storage basin to the volume of runoff entering the basin (Heinemann 1981). This indicator addresses the latter, and thus describes opportunity to perform the function.</t>
  </si>
  <si>
    <t>Toxic substances are commonly adsorbed to suspended sediments. Thus, if they are known to be present above, in, or below the wetland, the filtering and detoxification services of the particular wetland are more valuable.</t>
  </si>
  <si>
    <t>Mark ALL that are true.  The AA is located:</t>
  </si>
  <si>
    <r>
      <t xml:space="preserve">beyond 2 miles, or no recent observation of these species by a qualified observer under conditions similar to what now occur, or no data.  </t>
    </r>
    <r>
      <rPr>
        <b/>
        <u/>
        <sz val="10"/>
        <rFont val="Arial Narrow"/>
        <family val="2"/>
      </rPr>
      <t>However</t>
    </r>
    <r>
      <rPr>
        <sz val="10"/>
        <rFont val="Arial Narrow"/>
        <family val="2"/>
      </rPr>
      <t xml:space="preserve">: at least one of the following have been confirmed </t>
    </r>
    <r>
      <rPr>
        <b/>
        <sz val="10"/>
        <rFont val="Arial Narrow"/>
        <family val="2"/>
      </rPr>
      <t>nesting</t>
    </r>
    <r>
      <rPr>
        <sz val="10"/>
        <rFont val="Arial Narrow"/>
        <family val="2"/>
      </rPr>
      <t xml:space="preserve"> in the AA: Greater Yellowlegs, Wilson's Snipe, American Bittern, Sora, Sandhill Crane, any duck species.</t>
    </r>
  </si>
  <si>
    <t xml:space="preserve">beyond 2 miles, or no recent observation of these species by a qualified observer under conditions similar to what now occur, or no data. </t>
  </si>
  <si>
    <r>
      <t xml:space="preserve">beyond 2 miles, or no recent observation of these species by a qualified observer under conditions similar to what now occur. </t>
    </r>
    <r>
      <rPr>
        <b/>
        <u/>
        <sz val="10"/>
        <rFont val="Arial Narrow"/>
        <family val="2"/>
      </rPr>
      <t>However</t>
    </r>
    <r>
      <rPr>
        <sz val="10"/>
        <rFont val="Arial Narrow"/>
        <family val="2"/>
      </rPr>
      <t>: at least one of the following have been confirmed nesting in the AA: Short-eared Owl, Alder Flycatcher, Warbling Vireo, Red-eyed Vireo, Northern Waterthrush, Common Yellowthroat, Red-winged Blackbird.</t>
    </r>
  </si>
  <si>
    <t>none of above, or no data</t>
  </si>
  <si>
    <t>Individuals belonging to species that are on the margins of their geographic range at this location tend to be more sensitive to some types of environmental disturbances.</t>
  </si>
  <si>
    <t>Wetlands at lower elevations are more likely to have temperatures favorable to amphibians in this region.  However, some observers suggest that amphibians at higher elevation areas may be more isolated from fungal infections that have caused population declines in some areas.</t>
  </si>
  <si>
    <t>Infiltration, which enhances deposition of sediment-bound P, is potentially greater in areas where water and soils do not remain frozen for long periods. Wetlands situated relatively low in a regional basin are more likely to meet that condition.</t>
  </si>
  <si>
    <t>Phosphorus availability is higher in newly deglaciated terrain compared to older terrain of the same geologic material (Walbridge &amp; Navaratnam 2006) so wetlands are provided with greater opportunity for uptake and retention of P. However, vegetation capable of taking up that phosphorus may be better developed in older terrain.</t>
  </si>
  <si>
    <t xml:space="preserve">Streams adjoined by natural vegetation provide shade that helps maintain water temperature, as well as contributing terrestrial insects (Wipfli 1997) and supporting richer and healthier aquatic invertebrate communities.  All of these factors help support anadromous fish. Within 90 years after clear-cut logging without a 100-ft wide stream-side buffer, LWD could be reduced by 70% and recovery to prelogging levels would take more than 250 years.  However, overall intensity of land use and forest fragmentation in a stream’s watershed sometimes has a greater influence on stream fish abundance than does buffer width (e.g., Shandas &amp; Alberti 2009, Stephenson &amp; Morin 2009). The effects of buffer width or proportion of forest in the watershed can also be overshadowed by differences in stream substrate type and flow duration (Roy et al. 2005). </t>
  </si>
  <si>
    <t>Of the wetland types listed, riparian and marsh wetlands are typically most important to anadromous fish because they have the most water and are the most accessible. When accessible, other wetland types are used but invertebrate foods may be less abundant due to acidic conditions. A survey of 42 sites on 34 streams in Southeast Alaska found greater abundance of anadromous fish in streams with broad floodplains than in streams of similar gradient flowing through peatland (Bryant et al. 1991).</t>
  </si>
  <si>
    <t>Of the wetland types listed, riparian and marsh wetlands are typically most important because they have the most water and are the most accessible to resident fish. When accessible, other wetland types are used but invertebrate foods may be less abundant in those due to acidic conditions. A survey of 42 sites on 34 streams in Southeast Alaska found greater abundance of Dolly Varden in streams with broad floodplains than in streams flowing through peatland (Bryant et al. 1991).</t>
  </si>
  <si>
    <t>Many invertebrate groups (e.g., snails, isopods, lumbricid worms) cannot tolerate acidic conditions of bogs, and invertebrate richness generally tends to be greater in persistently inundated fens than in less persistently inundated marshes with more mineral soils (Holmquist et al. 2011).  However, marshes along lakes and rivers tend to have water longer into the growing season than other marshes and can support high abundance and diversity of invertebrates. One study reported that bogs and fens did not differ significantly with regard to invertebrate faunas. Dragonflies seemed to respond to the habitat's form and structure more than to its acidity or nutrient levels (Cannings &amp; Cannings 1994)</t>
  </si>
  <si>
    <t xml:space="preserve">Wetlands that are more geographically isolated from each other are likely to have lower plant species richness than those close together (Nekola 1999). Although urbanization typically reduces the diversity of plants in the forest understory, plant community composition in a Wisconsin study was better explained by the amount of surrounding forest than by environmental factors within the studied forests (Rogers et al. 2009). In Ontario, forested wetlands with the most plant species were those with the largest areas and the largest proportion of upland forest within ~ 800 ft of the wetlands (Houlahan et al. 2006). </t>
  </si>
  <si>
    <t>By altering the composition and reducing the density of vegetation, deer have been shown to impact native plant communities. The adverse impacts are especially apparent on islands and in areas where deer in the Pacific Northwest reach densities greater than about 1 per 25 acres (Thiemann et al. 2009, Martin et al. 2010). Studies of plant diversity among 10 islands ranging from 4.5 to 395 ha in Haida Gwaii, northern BC, indicated the absence of many forest-interior plants on islands smaller than 25 ha, but below that threshold, smaller islands supported more species due to being more isolated and thus lacking in resident deer (Gaston et al. 2006).</t>
  </si>
  <si>
    <t>South-facing slopes tend to be warmer and have a slightly longer growing season. This may provide opportunity for a greater variety of plant species to colonize substrates that are ice-free for longer during the year. It also results in better soil drainage, which allows more species to grow under less acidic conditions.</t>
  </si>
  <si>
    <t>OwnerSS</t>
  </si>
  <si>
    <t>Salmonid Watershed</t>
  </si>
  <si>
    <t>Amphibian Use</t>
  </si>
  <si>
    <t>Unbrowsed Vegetation</t>
  </si>
  <si>
    <t>Upland cover with perennial vegetation is very important to many songbirds and mammals that occur in wetlands or along a wetland's upland edge. Some landbirds in Southeast Alaska may need buffers of over 1000 ft. (Kissling &amp; Garton 2008). Wetlands that contain or are close to natural land cover, and not separated from that by roads that interfere with movements across the landscape, are more likely to support forest-dwelling species. The probability that a forest-dwelling bird will fly in the open between two patches of forest decreases rapidly as the distance separating those patches increases (Desrochers &amp; Hannon 1997, St. Clair et al. 1998). Forest bird species usually prefer to detour under forest cover even if the forested route is longer, but if the detour is too long, they will prefer a shortcut across openland. However, when possible most forest bird species avoid venturing farther than about 100 ft from a forest edge (St. Clair et al. 1998).</t>
  </si>
  <si>
    <t>Human presence can attract crows and ravens, which prey on nests. Dogs and house cats which prey on wetland songbirds and mammals also tend to be more prevalent in areas frequently visited by humans.</t>
  </si>
  <si>
    <t xml:space="preserve">High nest predation occurs on the edges of residential areas because jays and ravens are more abundant there, as well as in clearcut openings, edges, and interior forest, where squirrels are a common nest predator throughout Southeast Alaska [Desanto &amp; Wilson 2001]. Human settlements are accompanied by an increase in refuse, whether it be illegally dumped trash, recklessly contained household garbage, or well-intended compost piles. These serve as a food for ravens that prey extensively on native songbirds, frogs, and other wildlife (Chace &amp; Walsh 2006). Crow populations have been shown to increase up to at least 0.5 mile from new urban areas (Oneal &amp; Rotenberry 2009). </t>
  </si>
  <si>
    <t>Roads that completely encircle a wetland limit the access to the wetland by upland mammals, and may isolate small mammal populations within the wetlands. To sustain most forest-dwelling bird species, linear clearings should cause no gap in the forest canopy wider than about 100 feet (Belisle &amp; Desrochers 2002, Tremblay &amp; St. Clair 2010). Roads also tend to concentrate nest predators.</t>
  </si>
  <si>
    <t>Traffic poses a hazard to songbirds and mammals that attempt to cross roads (Forman et al. 2002, Clevenger et al. 2003, Massey et al. 2008, Minor &amp; Urban 2010, Tremblay &amp; St. Clair 2010, and see reviews by Fahrig &amp; Rytwinski 2009, Benitez-Lopez et al. 2010). Roadsides also may channel the movements of predators. Noise from heavy traffic interferes with bird reproduction because some birds cannot hear singing of prospective mates (Wood &amp; Yezerinac 2006, Slabbekoorn &amp; Ripmeester 2008, Barber et al. 2010) and road noise can restrict habitat use by bats (Schaub et al. 2008). However, one study found no relationship between bald eagle nest productivity and distance to roads (Anthony 2001).</t>
  </si>
  <si>
    <t>Humans visiting wetlands commonly bring dogs, which potentially harass waterbirds, and human presence can attract crows and ravens, which prey on nests. Even the simple presence of people on foot and without dogs will cause many waterbirds to take flight. Repeated intrusions that drain the energy of waterbirds are especially damaging during the period when adult birds are searching for food to feed their young.</t>
  </si>
  <si>
    <t>Larger wetlands are used disproportionately by some species of nesting waterbirds. Smaller identical wetlands of equal cumulative area probably support lower numbers and cumulative richness of such waterbirds, unless they are close together in a complex.</t>
  </si>
  <si>
    <t>See above. Corridors can be important to ducks that must walk overland with their young to find other wetlands in which to feed or molt.</t>
  </si>
  <si>
    <t>Species - Area</t>
  </si>
  <si>
    <t>Roads and/or traffic are a significant barrier to dispersing amphibians (Mader 1984, Fahrig et al. 1995, and see review by Fahrig &amp; Rytwinski 2009).  In Ontario (Eigenbrod 2008a) and Virginia (Marsh 2007), “accessible habitat” -- defined as the habitat available to pond-dwelling amphibians without individuals needing to cross a major road -- was a better predictor of amphibian species richness than simply the amount of habitat within some distance of breeding ponds (Eigenbrod 2008b).  Narrow roads gated to exclude traffic were crossed more often than roads with traffic by terrestrial salamanders in Virginia (Marsh 2007).  Remarkably, even some narrow logging roads that had long been abandoned continued to impair movements and densities of salamanders in North Carolina; the road effect appeared to extend about 115 ft into the adjoining woods on both sides of the road (Semlitsch et al. 2007). However, in Southeast Alaska, roads have perhaps been built disproportionately on the most fertile soils, and in the long term, the effect of intrinsically more productive soils may in some cases overshadow the harmful effects of the roads themselves.</t>
  </si>
  <si>
    <t>Amphibians require upland habitat as well as aquatic habitat. Uplands that are dominated by natural vegetation usually provide the most suitable microclimates and habitat structure. Unvegetated or artificially vegetated surfaces can inhibit movements of some species to productive upland habitats.  However, in Southeast Alaska, features that potentially restrict movements of some species (e.g., roads, clearcuts) have perhaps been located disproportionately on the most fertile soils, and in the long term, the positive effect of intrinsically more productive soils may in some cases overshadow the harmful effects of the features themselves.</t>
  </si>
  <si>
    <t>The type of non-natural land cover that surrounds a wetland can influence dispersal success of amphibians.  Unvegetated lands are usually the least suitable.  Clearcuts may be better but perhaps still not as suitable as natural cover on soils of similar productivity.</t>
  </si>
  <si>
    <t>Wetlands that are closer to natural land cover and not separated by roads that interfere with movements across the landscape, are more likely to support a large diversity of songbird and mammal species. Forest gaps deter red squirrel movement (Bakker &amp; Van Vuren 2004) and hinder movements of many birds. Nests in wetland forest edges, where both jays and squirrels occur frequently, were found to be depredated more often than those in wetland openings or forest interior, where predators were less common [Desanto &amp; Wilson 2001].  However, in Southeast Alaska, features that potentially restrict movements of some species (e.g., roads, clearcuts) have perhaps been located disproportionately on the most fertile soils, and in the long term, the positive effect of intrinsically more productive soils may in some cases overshadow the harmful effects of the features themselves.</t>
  </si>
  <si>
    <t>Subsistence Focal Areas</t>
  </si>
  <si>
    <t>Deer Winter Habitat Capability</t>
  </si>
  <si>
    <r>
      <t xml:space="preserve">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
    </r>
    <r>
      <rPr>
        <b/>
        <sz val="10"/>
        <rFont val="Arial Narrow"/>
        <family val="2"/>
      </rPr>
      <t>This statement is:</t>
    </r>
  </si>
  <si>
    <t>Although hardly representative of the needs of all wetland-dependent songbirds and mammals, the presence of suitable habitat for deer is an important component of this function. High densities of deer are needed to support healthy wolf populations in Southeast Alaska, particularly on islands (Darimont &amp; Paquet 2002). However, very high deer densities reduce habitat for ground- and understory-nesting birds.</t>
  </si>
  <si>
    <t xml:space="preserve">Because climate is milder at lower elevations, nesting season is longer and more species are able to nest. Also, deciduous forest, which supports many species not found in other habitat types more common in Southeast Alaska, is most prevalent in lowland valleys where disturbance from floods and landslides fosters its establishment. Wintering deer tend to use low-elevation (&lt;800 ft) forests (Doerr et al. 2005). </t>
  </si>
  <si>
    <t>Competition/ Light</t>
  </si>
  <si>
    <t xml:space="preserve">Wetland Local Uniqueness </t>
  </si>
  <si>
    <t>If a wetland contains a vegetation forrm that is locally uncommon, recolonization by that vegetation form, if altered, is likely to be slower due to relative lack of propagules and/or favorable geomorphic conditions.</t>
  </si>
  <si>
    <t>AVERAGE [AVERAGE[VwidthAbs, Size, (AVERAGE(EmSens, ShrubPattS, WoodySens2, Gcover, UpEdge)), MAX(AmpSiteS, WBNsiteS, WBFsiteS, SBMsiteS, PlantSiteS) ]</t>
  </si>
  <si>
    <t>The AA is all or part of a mitigation site used explicitly to offset impacts elsewhere.  Enter: yes= 1, no= 0.  If no information, change to blank.</t>
  </si>
  <si>
    <t>The AA is part of or contiguous to a wetland on which public or private organizational funds were spent to preserve, create, restore, enhance, the wetland (excluding mitigation wetlands). Enter: yes= 1, no= 0.  If no information, change to blank.</t>
  </si>
  <si>
    <t xml:space="preserve">In Southeast Alaska, songbird richness is highest in riparian and wetland habitats along major transmontane rivers (Johnson et al. 2008). Where there are glacier-free passes through the Coast Ranges, accompanied by convergence of subarctic, alpine, boreal forest, north coast forest, and marine systems, the diversity of animal species is exceptionally high (Carlson et al. 2007). In contrast, isolation from the mainland and from larger islands appears to be the primary factor determining patterns of species richness of mammals on smaller islands of Southeast Alaska, with lower richness on smaller more isolated islands, but greater contribution of those islands to regional richness due to presence of endemic populations (Conroy et al. 1999). On small and isolated islands, recolonization of vegetation patches which have lost individuals of various mammal species, due to humans or natural processes, is likely to occur slowly if at all because of the severe barrier posed by marine waters (Russell et al. 2006, Trevino et al. 2007). The availability of temporary “refuges” from humans or predators is far more constrained on islands. Among some of the outer islands, the probability of detecting deer declines with increasing island distance to mainland (not by area or inter-landmass distance), suggesting limited recolonization by deer from source populations [Darimont et al. 2004]. </t>
  </si>
  <si>
    <t>By altering the composition and reducing the density of vegetation, high densities of deer can diminish richness and abundance of nesting songbirds. The adverse impacts are especially apparent on islands and in areas where deer reach densities greater than about 1 per 25 acres (Thiemann et al. 2009, Martin et al. 2010).</t>
  </si>
  <si>
    <t>Unbrowsed</t>
  </si>
  <si>
    <t>AVERAGE (Beaver, Slide, NatVegCA, BuffLUpd, PondScape, PondProx)</t>
  </si>
  <si>
    <t>Riparian buffers (in contrast to vegetation and other factors located far from streams) can be responsible for up to 70% of the reduction in nutrient loads to streams (Diebel et al. 2009, Roberts &amp; Prince 2010). However, many factors other than buffers control a wetland’s water quality. These include underlying soils and geology, groundwater discharge or recharge rates, topography, plants and animals within a wetland, and proximity to the ocean (Feller 2005).</t>
  </si>
  <si>
    <t>Hydro Regime</t>
  </si>
  <si>
    <t>Most breeding waterbirds are naturally drawn to more productive wetlands, which tend to be marshes along rivers and lakes. However, a few waterbird species that nest in Southeast Alaska (e.g., Greater Yellowlegs) seem to prefer open bogs and fens.</t>
  </si>
  <si>
    <t xml:space="preserve">Most waterbirds favor emergent herbaceous vegetation rather than woody vegetation, partly because it provides food as well as cover. </t>
  </si>
  <si>
    <t xml:space="preserve">In herbaceous wetlands, the type of adjoining upland cover is very important to many nesting waterbird species. Most upland-nesting waterfowl nest within about 1000 ft of wetlands. Maintaining mostly non-woody but natural vegetation in such areas makes it difficult for predators to find nests. </t>
  </si>
  <si>
    <t>AVERAGE(Imperv,NatVegPctCU,CUbuffLUtype)</t>
  </si>
  <si>
    <t>Pollen Onsite</t>
  </si>
  <si>
    <t>Human access to wild foods is greater when close to population centers. However, so is access to store-bought alternatives, and Kruger (2005) reported no strong relationship between proximity or population size and the degree of subsistence dependency.</t>
  </si>
  <si>
    <t>Deer are a major subsistence food. Wetlands associated with watersheds that have the greatest potential to support deer throughout the year, not just in summer, are scored higher.</t>
  </si>
  <si>
    <t>Anadromous fish are a major subsistence food. If fish cannot access a wetland, its value for subsistence is more limited.</t>
  </si>
  <si>
    <t>Toxics13</t>
  </si>
  <si>
    <t xml:space="preserve">Many songbirds and mammals occur only in larger tracts of natural land cover. Fragmentation of wooded riparian areas by residential development or clearcuts can, over the long term, reduce the diversity of songbirds nesting in the remaining patches (e.g., Smith &amp; Wachob 2006). Breeding wetland birds sometimes do persist in small disturbed wetlands as long as much larger undisturbed wetlands nearby remain productive (e.g., Vermaat et al. 2008). Ideally, no clearing should result in a forest being fragmented into an isolate smaller than about 100 acres or narrower than 150 feet, and definitely not smaller than 2 acres or narrower than 100 feet (Donnelly &amp; Marzluff 2004). In the Seattle metro area, Pacific (Winter) Wren occurred mostly in areas with less than 20% surrounding urban cover and forest patch size of more than 3 acres (Donnelly 2004, Donnelly &amp; Marzluff 2006). Theoretical and limited empirical data suggest that 30% or more forest cover across a large area is the threshold value above which landscapes might provide sufficient habitat and connectivity for many forest species, allowing those species' populations to survive even in small remaining patches (Andren 1994). Minimum patch sizes required for breeding by those forest songbirds (e.g., Brown Creeper) which may be the most sensitive to forest fragmentation in the Pacific Northwest may be about 25 acres (Donnelly &amp; Marzluff 2004, Poulin et al. 2008). However, a study in British Columbia found patch size had little to do with the abundance or diversity of birds in patches of old growth forest (Schieck et al. 1995). </t>
  </si>
  <si>
    <t xml:space="preserve">To meet all their life history requirements, most amphibians require uplands in close proximity to, or interspersed within, suitable wetlands.  Uplands that are dominated by natural vegetation usually provide the most suitable microclimates and habitat structure.  When radiotracked frogs on Vancouver Island were released inside clusters of trees amidst otherwise unsuitable habitat (clearcuts), the proportion of frogs abandoning the tree cluster was greater the smaller the cluster.  Frogs were less likely to leave tree patches intersected by a running stream or where neighborhood stream density was high.  Scattered tree patches of 2.0 to 3.7 acres, preferably in stream locations, were the minimum needed to allow successful overland passage of one frog species (Chan-McLeod &amp; Moy 2007).  However, as noted by Cushman (2006), “The suggestion that forest cover in the [buffer] landscape benefits amphibians may not apply to all species that are fully aquatic or that depend on nonforested upland habitat.”  Also, in Oregon Pearl et al. (2005) found only one of five amphibian species to be correlated with surrounding forest cover, and another one of the amphibians (Pacific treefrog) was negatively correlated with it. </t>
  </si>
  <si>
    <t>in other part of the CA</t>
  </si>
  <si>
    <r>
      <rPr>
        <b/>
        <sz val="10"/>
        <rFont val="Arial Narrow"/>
        <family val="2"/>
      </rPr>
      <t xml:space="preserve">Input </t>
    </r>
    <r>
      <rPr>
        <sz val="10"/>
        <rFont val="Arial Narrow"/>
        <family val="2"/>
      </rPr>
      <t>Water Temperature</t>
    </r>
  </si>
  <si>
    <t>Organic, from surface to within 4 inches of surface only.  Exclude live roots unless from moss.</t>
  </si>
  <si>
    <t>Organic, from surface to greater than 16 inch depth. Exclude live roots unless from moss.</t>
  </si>
  <si>
    <t>Organic, from surface to within 16 inches of surface only. Exclude live roots unless from moss.</t>
  </si>
  <si>
    <t>Geograph14</t>
  </si>
  <si>
    <t>mostly (&gt;50%) bare ground or ground covered only with thatch.</t>
  </si>
  <si>
    <t>owned by non-profit conservation organization or lease holder who allows public access.</t>
  </si>
  <si>
    <t>other private ownership, including Tribes.</t>
  </si>
  <si>
    <t>OF1</t>
  </si>
  <si>
    <t>OF2</t>
  </si>
  <si>
    <t>OF3</t>
  </si>
  <si>
    <t>OF4</t>
  </si>
  <si>
    <t>OF5</t>
  </si>
  <si>
    <t>OF6</t>
  </si>
  <si>
    <t>OF7</t>
  </si>
  <si>
    <t>OF8</t>
  </si>
  <si>
    <t>OF9</t>
  </si>
  <si>
    <t>OF10</t>
  </si>
  <si>
    <t>OF11</t>
  </si>
  <si>
    <t>OF12</t>
  </si>
  <si>
    <t>OF13</t>
  </si>
  <si>
    <t>OF14</t>
  </si>
  <si>
    <t>OF15</t>
  </si>
  <si>
    <t>OF16</t>
  </si>
  <si>
    <t>OF17</t>
  </si>
  <si>
    <t>OF18</t>
  </si>
  <si>
    <t>OF19</t>
  </si>
  <si>
    <t>OF20</t>
  </si>
  <si>
    <t>OF22</t>
  </si>
  <si>
    <t>OF26</t>
  </si>
  <si>
    <t>OF27</t>
  </si>
  <si>
    <t>OF28</t>
  </si>
  <si>
    <t>OF29</t>
  </si>
  <si>
    <t>OF30</t>
  </si>
  <si>
    <t>OF31</t>
  </si>
  <si>
    <t>OF32</t>
  </si>
  <si>
    <t>OF33</t>
  </si>
  <si>
    <t>OF34</t>
  </si>
  <si>
    <t>OF35</t>
  </si>
  <si>
    <t>OF36</t>
  </si>
  <si>
    <t>OF37</t>
  </si>
  <si>
    <t>OF38</t>
  </si>
  <si>
    <t>OF39</t>
  </si>
  <si>
    <t>OF40</t>
  </si>
  <si>
    <t>OF41</t>
  </si>
  <si>
    <t>OF42</t>
  </si>
  <si>
    <t>OF43</t>
  </si>
  <si>
    <t>5-50% of the upland edge</t>
  </si>
  <si>
    <t>bare pervious surface, e.g., recent (5 yrs ago) clearcut, dirt or gravel road, plowed fields, landslide.</t>
  </si>
  <si>
    <t>Refer to the Glaciers map in the online WESPAK-SE Wetlands Module.  Select the first applicable choice:</t>
  </si>
  <si>
    <r>
      <t xml:space="preserve">Refer to the </t>
    </r>
    <r>
      <rPr>
        <b/>
        <sz val="10"/>
        <rFont val="Arial Narrow"/>
        <family val="2"/>
      </rPr>
      <t>Drinking Water Protection Areas</t>
    </r>
    <r>
      <rPr>
        <sz val="10"/>
        <rFont val="Arial Narrow"/>
        <family val="2"/>
      </rPr>
      <t xml:space="preserve"> layer of the online WESPAK-SE Wetlands Module. Mark all that are true for the AA:</t>
    </r>
  </si>
  <si>
    <t>OF21</t>
  </si>
  <si>
    <t>OF23</t>
  </si>
  <si>
    <t>OF44</t>
  </si>
  <si>
    <t>OF45</t>
  </si>
  <si>
    <t>OF46</t>
  </si>
  <si>
    <t>Impervious areas do not contribute many terrestrial insects to aquatic food chains, may reduce aquatic productivity due to high turbidity and sedimentation of spawning areas, and can raise stream temperatures to levels harmful to anadromous fish.</t>
  </si>
  <si>
    <t>Fringe Wetland</t>
  </si>
  <si>
    <t>Lacustrine Wetland</t>
  </si>
  <si>
    <t xml:space="preserve">Sites that remain continually moist (saturated) but not flooded may be more likely to retain phosphorus (Aldous et al. 2007). </t>
  </si>
  <si>
    <t>&gt;6 ft deep.  True for many fringe wetlands.</t>
  </si>
  <si>
    <t>Wetlands that are never inundated cannot support anadromous fish directly.</t>
  </si>
  <si>
    <t>SatPct9</t>
  </si>
  <si>
    <t>SatPct8</t>
  </si>
  <si>
    <t>SatPct11</t>
  </si>
  <si>
    <t>SatPct12</t>
  </si>
  <si>
    <t>Most waterbirds favor herbaceous vegetation rather than woody vegetation, because it provides food as well as cover.</t>
  </si>
  <si>
    <t>SatPct14</t>
  </si>
  <si>
    <t>SatPct13</t>
  </si>
  <si>
    <t>SatPct15</t>
  </si>
  <si>
    <t>Wetlands that are only saturated (no surface water) are more susceptible to year-to-year differences in precipitation, runoff, and flow.  Some also are more vulnerable to invasion by non-native upland plants (Magee &amp; Kentula 2005).  In contrast, persistently-inundated wetlands tend to be deeper and have more "buffer" against annual variation in available water.</t>
  </si>
  <si>
    <t>SatPct7</t>
  </si>
  <si>
    <t>When water remains entirely belowground, water temperatures in summer remain cooler than if exposed aboveground.</t>
  </si>
  <si>
    <t>When water remains entirely aboveground, water temperatures in summer become warmer than if all water is belowground, i.e., saturated-only condition.</t>
  </si>
  <si>
    <t>Denitrification processes occur when anaerobic conditions occur, which are more likely when surface water is present and blocks gas exchange. Shallow inundation tends to decrease emissions of nitrous oxide (Zaman et al. 2007, Song et al. 2008) .</t>
  </si>
  <si>
    <t>Used as a classifier. Wetlands that are never inundated cannot support resident fish.</t>
  </si>
  <si>
    <t>SatPct10</t>
  </si>
  <si>
    <t>The initial sparseness of vegetation in new wetlands suggests that overall carbon stores are less than in some of the more mature wetlands with greater plant cover, diversity, and structural complexity. Aboveground production and soil organic matter have been shown to be less in lands newly restored to wetland conditions than in long-established wetlands (Fennessy et al. 2008).  However, many pioneering plants in new wetlands (especially on fertile soils) grow rapidly and thus are fixing large amounts of carbon per plant per unit time.  In recovering windfall areas mosses established a dense carpet on windthrow mounds within the first few decades after the disturbance and quickly sequestered carbon. They were found to comprise as much as 25% of understory plant biomass and as much as 50% of understory productivity (den Ouden &amp; Alaback 1996).  And although most wetlands become more enriched in nutrients as they age, leading to increased biological production and carbon sequestration, in Alaska many wetlands become more dilute and acidic with time as vegetation and soils mature (Engstrom et al. 2001) and this can inhibit further growth and consequently carbon sequestration.</t>
  </si>
  <si>
    <t>Leaves of nitrogen-fixing plants such as alder have been shown to support higher densities and richness of aquatic and terrestrial invertebrates (Wipfli et al. 2007, Wipfli &amp; Musselwhite 2004, Hernandez et al. 2005, LeSage et al. 2005). From that, it can be inferred that fish production should be higher as well, where food is limiting fish survival.  However, the model is constructed such that if canopy cover is &gt;95%, this indicator is dropped from the anadromous fish model.</t>
  </si>
  <si>
    <t>Fish can negatively impact the density and perhaps diversity of invertebrates in a stream or wetland (Hornung &amp; Foote 2006). Disturbance of stream bottom sediments by spawning salmon can temporarily change the composition and abundance of the stream invertebrate community in a localized area (Moore &amp; Schindler 2008, Monaghan &amp; Miner 2009). The effects of substrate disturbance from spawning salmon disturbance on macroinvertebrates increases with increasing extent of a watershed that has recently been logged (Campbell et al. 2011). Nonetheless, salmon carcasses can temporarily fertilize headwater streams over distances of up to 250 m downstream (Claeson et al. 2006).</t>
  </si>
  <si>
    <t>Leaves of nitrogen-fixing plants such as alder have been shown to support higher densities and richness of aquatic and terrestrial invertebrates (Wipfli et al. 2007, Wipfli &amp; Musselwhite 2004, Hernandez et al. 2005, LeSage et al. 2005).</t>
  </si>
  <si>
    <t>Waterbirds prefer landscapes where multiple wetlands are present in close proximity, so that if birds are disturbed in one area, they can fly to alternate sites that serve as refuge and which may provide different but complementary water regimes and foods.  Although they will fly much farther than 2 miles to reach other wetlands and water bodies (Haig et al. 1998), 2 miles is used as a practical distance for assessing such features in aerial images.</t>
  </si>
  <si>
    <t xml:space="preserve">Macroinvertebrate and fish community composition is impacted beginning at about 5% impervious surface, a number that varies depending on the proportion of agricultural land as well (Waite et al. 2008). Comparing data from multiple regions, Utz et al. (2009) reported that aquatic invertebrates sensitive to impervious cover were generally lost when impervious cover was in the range of 3% (most sensitive taxa) to 23%. </t>
  </si>
  <si>
    <t>Literature Cited</t>
  </si>
  <si>
    <t>Arnold, C. L. and C. J. Gibbons. 1996. Impervious surface coverage: The emergence of a key environmental indicator. Journal of the American Planning Association 62:243-258.</t>
  </si>
  <si>
    <t>Booth, D. B. and C. R. Jackson. 1997. Urbanization of aquatic systems: Degradation thresholds, stormwater detection, and the limits of mitigation. JAWRA Journal of the American Water Resources Association 33:1077-1090.</t>
  </si>
  <si>
    <t>Carter, V., M. S. Bedinger, R. P. Novitski, and W. Wilen. 1979. Water resources and wetlands. Pages 344–376 in P. E. Greeson, J. R. Clark, and J. E. Clark, editors. Wetland Functions and Values: The State of Our Understanding. American Water Resources Association, Minneapolis, MN.</t>
  </si>
  <si>
    <t>Detenbeck, N., C. Elonen, D. Taylor, A. Cotter, F. Puglisi, and W. Sanville. 2002. Effects of agricultural activities and best management practices on water quality of seasonal prairie pothole wetlands. Wetlands Ecology and Management 10:335-354.</t>
  </si>
  <si>
    <t>Hood, G. A. and S. E. Bayley. 2009. A comparison of riparian plant community response to herbivory by beavers (Castor canadensis) and ungulates in Canada's boreal mixed-wood forest. Forest Ecology and Management 258:1979-1989.</t>
  </si>
  <si>
    <t>Laenen, A. 1980. Storm Runoff as Related to Urbanization in the Portland, Oregon-Vancouver, Washington Area: U.S. Geological Survey Water Resources Investigations 80-689. Geological Survey, Portland, OR.</t>
  </si>
  <si>
    <t>Leopold, L. B. 1968. Hydrology for Urban Land Planning—A Guidebook on the Hydrologic Effects of Urban Land Use. United States Department of the Interior, U.S. Geological Survey, Circular 554, Washington, DC.</t>
  </si>
  <si>
    <t>Milner, A. M. and I. T. Gloyne-Phillips. 2005. The role of riparian vegetation and woody debris in the development of macroinvertebrate assemblages in streams. River Research and Applications 21:403-420.</t>
  </si>
  <si>
    <t>Quinton, W. L. and N. T. Roulet. 1998. Spring and summer runoff hydrology of a subarctic patterned wetland. Arctic and Alpine Research 30:285-294.</t>
  </si>
  <si>
    <t>Roulet, N. T. and M. K. Woo. 1988. Run-off generation in a low arctic drainage-basin. Journal of Hydrology 101:213-226.</t>
  </si>
  <si>
    <t>Spence, C., X. J. Guan, and R. Phillips. 2011. The hydrological functions of a boreal wetland. Wetlands 31:75-85.</t>
  </si>
  <si>
    <t>Waite, T. A. and L. G. Campbell. 2006. Controlling the false discovery rate and increasing statistical power in ecological studies. Ecoscience 13:439-442.</t>
  </si>
  <si>
    <t>Emili, L. A. and J. S. Price. 2006. Hydrological processes controlling ground and surface water flow from a hypermaritime forest–peatland complex, Diana Lake Provincial Park, British Columbia, Canada. Hydrological Processes 20:2819-2837.</t>
  </si>
  <si>
    <t>Fleming, S. W. and G. K. Clarke. 2005. Attenuation of high-frequency interannual streamflow variability by watershed glacial cover. Journal of Hydraulic Engineering 131:615-618.</t>
  </si>
  <si>
    <t>Fountain, A. G. and W. V. Tangborn. 1985. The effect of glaciers on streamflow variations. Water Resources Research 21:579-586.</t>
  </si>
  <si>
    <t>Quinton, W. L. and D. M. Gray. 2003. Subsurface drainage from organic soils in permafrost terrain: the major factors to be represented in a runoff model in W. Haeberli and D. Brandova, editors. Eighth International Conference on Permafrost. Glaciology and Geomorphodynamics Group, Geography Department, University of Zurich Switzerland Davos, Switzerland.</t>
  </si>
  <si>
    <t>Siegel, D. I. 1988. The Recharge‐Discharge Function of Wetlands Near Juneau, Alaska: Part II. Geochemical Investigations. Ground Water 26:580-586.</t>
  </si>
  <si>
    <t>Wiley, M. J., P. Seelbach, K. Wehrly, and J. S. Martin. 2003. Regional ecological normalization using linear models: a meta-method for scaling stream assessment indicators. Pages 201–223 in T. P. Simon, editor. Biological Response Signatures: Indicator Patterns Using Aquatic Communities. CRC Press, Boca Raton, FL.</t>
  </si>
  <si>
    <t>Brosofske, K. D., J. Chen, R. J. Naiman, and J. F. Franklin. 1997. Harvesting effects on microclimatic gradients from small streams to uplands in western Washington. Ecological Applications 7:1188-1200.</t>
  </si>
  <si>
    <t>Gomi, T., R. D. Moore, and A. S. Dhakal. 2006. Headwater stream temperature response to clear-cut harvesting with different riparian treatments, coastal British Columbia, Canada. Water Resources Research 42:WO8437.</t>
  </si>
  <si>
    <t>Meleason, M. A. and J. M. Quinn. 2004. Influence of riparian buffer width on air temperature at Whangapoua Forest, Coromandel Peninsula, New Zealand. Forest Ecology and Management 191:365-371.</t>
  </si>
  <si>
    <t>Mellina, E., R. D. Moore, S. G. Hinch, J. S. Macdonald, and G. Pearson. 2002. Stream temperature responses to clearcut logging in British Columbia: the moderating influences of groundwater and headwater lakes. Canadian Journal of Fisheries and Aquatic Sciences 59:1886-1900.</t>
  </si>
  <si>
    <t>Nelitz, M. A., E. A. MacIsaac, and R. M. Peterman. 2007. A science-based approach for identifying temperature-sensitive streams for rainbow trout. North American Journal of Fisheries Management 27:405-424.</t>
  </si>
  <si>
    <t>Reinelt, L. E. and R. R. Horner. 1990. Characterization of the Hydrology and Water Quality of Palustrine Wetlands Affected by Urban Stormwater. King County Resource Planning Section, Seattle, WA.</t>
  </si>
  <si>
    <t>Sridhar, V., A. L. Sansone, J. LaMarche, T. Dubin, and D. P. Lettenmaier. 2004. Prediction of stream temperature in forested watersheds. Journal of the American Water Resources Association 40:197-213.</t>
  </si>
  <si>
    <t>Stephenson, J. M. and A. Morin. 2009. Covariation of stream community structure and biomass of algae, invertebrates and fish with forest cover at multiple spatial scales. Freshwater Biology 54:2139-2154.</t>
  </si>
  <si>
    <t>Rayne, S., G. Henderson, P. Gill, and K. Forest. 2008. Riparian forest harvesting effects on maximum water temperatures in wetland-sourced headwater streams from the Nicola River watershed, British Columbia, Canada. Water Resources Management 22:565-578.</t>
  </si>
  <si>
    <t>Alberti, M., D. Booth, K. Hill, B. Coburn, C. Avolio, S. Coe, and D. Spirandelli. 2007. The impact of urban patterns on aquatic ecosystems: An empirical analysis in Puget lowland sub-basins. Landscape and Urban Planning 80:345-361.</t>
  </si>
  <si>
    <t>Amatya, D. M., R. W. Skaggs, J. W. Gilliam, and J. H. Hughes. 2003. Effects of orifice-weir outlet on hydrology and water quality of a drained forested watershed. Southern Journal of Applied Forestry 27:130-142.</t>
  </si>
  <si>
    <t>Dillaha, T. A., J. H. Sherrard, D. Lee, S. Mostaghimi, and V. O. Shanholtz. 1988. Evaluation of vegetative filter strips as a best management practice for feed lots. Journal Water Pollution Control Federation 60:1231-1238.</t>
  </si>
  <si>
    <t>Dillaha, T. A., R. B. Reneau, S. Mostaghimi, and D. Lee. 1989. Vegetative filter strips for agricultural nonpoint source pollution-control. Transactions of the  ASAE 32:513-519.</t>
  </si>
  <si>
    <t>Evans, R. D. and F. H. Rigler. 1983. A test of lead-210 dating for the measurement of whole lake soft sediment accumulation. Canadian Journal of Fisheries and Aquatic Sciences 40:506-515.</t>
  </si>
  <si>
    <t>Gomi, T. and R. C. Sidle. 2003. Bed load transport in managed steep-gradient headwater streams of southeastern Alaska. Water Resources Research 39:1336-1350.</t>
  </si>
  <si>
    <t>Gomi, T., R. C. Sidle, and J. S. Richardson. 2002. Understanding Processes and Downstream Linkages of Headwater Systems: Headwaters differ from downstream reaches by their close coupling to hillslope processes, more temporal and spatial variation, and their need for different means of protection from land use. Bioscience 52:905-916.</t>
  </si>
  <si>
    <t>Heinemann, H. G. 1981. A new sediment trap efficency curve for small reservoirs Water Resources Bulletin 17:825-830.</t>
  </si>
  <si>
    <t>Hogan, D. M. and M. R. Walbridge. 2007. Urbanization and nutrient retention in freshwater riparian wetlands. Ecological Applications 17:1142-1155.</t>
  </si>
  <si>
    <t>Johnson, A. C. and P. Wilcock. 2002. Association between cedar decline and hillslope stability in mountainous regions of southeast Alaska. Geomorphology 46:129-142.</t>
  </si>
  <si>
    <t>Johnson, A. C., R. T. Edwards, and R. Erhardt. 2007. Ground-water response to forest harvest: Implications for hillslope stability. Journal of the American Water Resources Association 43:134-147.</t>
  </si>
  <si>
    <t>Knutson, P., J. Ford, M. Inskeep, and J. Oyler. 1981. National survey of planted salt marshes (Vegetative stabilization and wave stress). Wetlands 1:129-157.</t>
  </si>
  <si>
    <t>McBride, M. and D. B. Booth. 2005. Urban impacts on physical stream condition: Effects of spatial scale, connectivity, and longitudinal trends. Journal of the American Water Resources Association 41:565-580.</t>
  </si>
  <si>
    <t>Milner, A. M. 1997. Glacial recession and freshwater ecosystems in coastal Alaska. Pages 303-330 in A. M. Milner and M. W. Oswood, editors. Freshwaters of Alaska: Ecological Synthesis. Springer-Verlag, New York, NY.</t>
  </si>
  <si>
    <t>Morris, A. W., A. J. Bale, and R. J. M. Howland. 1981. Nutrient distributions in an estuary - evidence of chemical precipitation of dissolved silicate and phosphate. Estuarine Coastal and Shelf Science 12:205-216.</t>
  </si>
  <si>
    <t>Nieswand, G. H., R. M. Hordon, T. B. Shelton, B. B. Chavooshian, and S. Blarr. 1990. Buffer strips to protect water-supply reservoirs - A model and recommendations. Water Resources Bulletin 26:959-966.</t>
  </si>
  <si>
    <t>Nolan, K. M. and D. C. Marron. 1985. Contrast in stream-channel response to major storms in two mountainous areas of California. Geology 13:135-138.</t>
  </si>
  <si>
    <t>Phillips, J. D. 1989. An evaluation of the factors determining the effectiveness of water quality buffer zones. Journal of Hydrology 107:133-145.</t>
  </si>
  <si>
    <t>Polyakov, V., A. Fares, and M. H. Ryder. 2005. Precision riparian buffers for the control of nonpoint source pollutant loading into surface water: A review. Environmental Reviews 13:129-144.</t>
  </si>
  <si>
    <t>Schroeder, W. L. and D. N. Swanston. 1987. Application of geotechnical data to resource planning in southeast Alaska. General Technical Report PNW-GTR-198. U.S. Department of Agriculture, Forest Service, Pacific Northwest Research Station, Portland, OR.</t>
  </si>
  <si>
    <t>Swanston, C. W. and D. D. Myrold. 1997. Incorporation of nitrogen from decomposing red alder leaves into plants and soil of a recent clearcut in Oregon. Canadian Journal of Forest Research 27:1496-1502.</t>
  </si>
  <si>
    <t>Trimble, G. R., Jr. and R. S. Sartz. 1957. How far from a stream should a logging road be located? Journal of Forestry 55:339-341.</t>
  </si>
  <si>
    <t>White, W. J., L. A. Morris, D. B. Warnell, A. P. Pinho, C. R. Jackson, and L. T. West. 2007. Sediment retention by forested filter strips in the Piedmont of Georgia. Journal of Soil and Water Conservation 62:453-463.</t>
  </si>
  <si>
    <t>Wigington, P. J., T. J. Moser, and D. R. Lindeman. 2005. Stream network expansion: a riparian water quality factor. Hydrological Processes 19:1715-1721.</t>
  </si>
  <si>
    <t>Zhang, X., X. Liu, M. Zhang, R. A. Dahlgren, and M. Eitzel. 2010. A review of vegetated buffers and a meta-analysis of their mitigation efficacy in reducing nonpoint source pollution. Journal of Environmental Quality 39:76-84.</t>
  </si>
  <si>
    <t>Aldous, A., P. McCormick, C. Ferguson, S. Graham, and C. Craft. 2005. Hydrologic regime controls soil phosphorus fluxes in restoration and undisturbed wetlands. Restoration Ecology 13:341-347.</t>
  </si>
  <si>
    <t>Aldous, A. R., C. B. Craft, C. J. Stevens, M. J. Barry, and L. B. Bach. 2007. Soil phosphorus release from a restoration wetland, Upper Klamath Lake, Oregon. Wetlands 27:1025-1035.</t>
  </si>
  <si>
    <t>Burley, K. L., E. E. Prepas, and P. A. Chambers. 2001. Phosphorus release from sediments in hardwater eutrophic lakes: the effects of redox-sensitive and -insensitive chemical treatments. Freshwater Biology 46:1061-1074.</t>
  </si>
  <si>
    <t>Diebel, M. W., J. T. Maxted, D. M. Robertson, S. Han, Z. Vander, and M. Jake. 2009. Landscape planning for agricultural nonpoint source pollution reduction III: assessing phosphorus and sediment reduction potential. Environmental Management 43:69-83.</t>
  </si>
  <si>
    <t>Feller, M. 2005. Forest harvesting and streamwater inorganic chemistry in western North America: a review. Journal of the American Water Resources Association 41:785-811.</t>
  </si>
  <si>
    <t>Hocking, M. D. and T. E. Reimchen. 2009. Salmon species, density and watershed size predict magnitude of marine enrichment in riparian food webs. Oikos 118:1307-1318.</t>
  </si>
  <si>
    <t>Hoffmann, C. C., C. Kjaergaard, J. Uusi-Kamppa, H. C. B. Hansen, and B. Kronvang. 2009. Phosphorus retention in riparian buffers: Review of their efficiency. Journal of Environmental Quality 38:1942-1955.</t>
  </si>
  <si>
    <t>Knox, A. K., R. A. Dahgren, K. W. Tate, and E. R. Atwill. 2008. Efficacy of natural wetlands to retain nutrient, sediment and microbial pollutants. Journal of Environmental Quality 37:1837-1846.</t>
  </si>
  <si>
    <t>Koenings, J. P., J. A. Edmundson, and D. L. Barto. 1989. Glacial silt--help or hindrance to lake productivity. Published Report #93. Alaska Department of Fish and Game, Juneau, AK.</t>
  </si>
  <si>
    <t>Prepas, E. E., B. Pinel-Alloul, D. Planas, G. Méthot, S. Paquet, and S. Reedyk. 2001. Forest harvest impacts on water quality and aquatic biota on the Boreal Plain: Introduction to the TROLS lake program. Canadian Journal of Fisheries and Aquatic Sciences 58:421-436.</t>
  </si>
  <si>
    <t>Prescott, C. E., L. Vesterdal, J. Pratt, K. H. Venner, L. M. de Montigny, and J. A. Trofymow. 2000. Nutrient concentrations and nitrogen mineralization in forest floors of single species conifer plantations in coastal British Columbia. Canadian Journal of Forest Research 30:1341-1352.</t>
  </si>
  <si>
    <t>Roberts, M. L. and R. E. Bilby. 2009. Urbanization alters litterfall rates and nutrient inputs to small Puget lowland streams. Journal of the North American Benthological Society 28:941-954.</t>
  </si>
  <si>
    <t>Roberts, A. and S. Prince. 2010. Effects of urban and non-urban land cover on nitrogen and phosphorus runoff to Chesapeake Bay. Ecological Indicators 10:459-474.</t>
  </si>
  <si>
    <t>Snyder, D. T. and J. L. Morace. 1997. Nitrogen and Phosphorus Loading from Drained Wetlands Adjacent to Upper Klamath and Agency Lakes, Oregon. US Geological Survey Water Resources Investigations Report 97-4059. US Geological Survey, Fort Collins, CO.</t>
  </si>
  <si>
    <t>Wang, G. P., J. S. Liu, H. Y. Zhao, J. D. Wang, and J. B. Yu. 2007. Phosphorus sorption by freeze-thaw treated wetland soils derived from a winter-cold zone (Sanjiang Plain, Northeast China). Geoderma 138:153-161.</t>
  </si>
  <si>
    <t>Banner, A., P. LePage, J. Moran, and A. de Groot. 2005. Pattern, Process, and Productivity in Hypermaritime Forests of Coastal British Columbia– a synthesis of 7-year results. B.C. Ministry of Forests, Resources Branch, Victoria, B.C.</t>
  </si>
  <si>
    <t>Bayley, S. E. and R. L. Mewhort. 2004. Plant community structure and junctional differences between marshes and fens in the southern boreal region of Alberta, Canada. Wetlands 24:277-294.</t>
  </si>
  <si>
    <t>Bedford, B. L., M. R. Walbridge, and A. Aldous. 1999. Patterns in nutrient availability and plant diversity of temperate North American wetlands. Ecology 80:2151-2169.</t>
  </si>
  <si>
    <t>Berendse, F., N. Van Breemen, H. Rydin, A. Buttler, M. Heijmans, M. Hoosbeek, J. A. H. Lee, E. Mitchell, T. Saarinen, H. Vasander, and B. Wallén. 2001. Raised atmospheric CO2 levels and increased N deposition cause shifts in plant species composition and production in Sphagnum bogs. Global Change Biology 7.</t>
  </si>
  <si>
    <t>Blevins, L., C. Prescott, and A. Van Niejenhuis. 2006. The roles of nitrogen and phosphorus in increasing productivity of western hemlock and western redcedar plantations on northern Vancouver Island. Forest Ecology and Management 234:116-122.</t>
  </si>
  <si>
    <t>Bragazza, L., T. Tahvanainen, L. Kutnar, H. Rydin, J. Limpens, M. Hájek, P. Grosvernier, T. Hájek, P. Hajkova, I. Hansen, P. Iacumin, and R. Gerdol. 2004. Nutritional constraints in ombrotrophic Sphagnum plants under increasing atmospheric nitrogen deposition in Europe. New Phytologist 163.</t>
  </si>
  <si>
    <t>Brooks, R. P., M. M. Brinson, K. J. Havens, C. S. Hershner, R. D. Rheinhardt, D. H. Wardrop, D. F. Whigham, A. D. Jacobs, and J. M. Rubbo. 2011. Proposed hydrogeomorphic classification for wetlands of the mid-Atlantic region, USA. Wetlands 31:207-219.</t>
  </si>
  <si>
    <t>Chaloner, D. T., G. A. Lamberti, A. D. Cak, N. L. Blair, and R. T. Edwards. 2007. Inter-annual variation in responses of water chemistry and epilithon to Pacific salmon spawners in an Alaskan stream. Freshwater Biology 52:478-490.</t>
  </si>
  <si>
    <t>Clilverd, H. M., J. B. Jones, and K. Kielland. 2008. Nitrogen retention in the hyporheic zone of a glacial river in interior Alaska. Biogeochemistry 88:31–46.</t>
  </si>
  <si>
    <t>Cortini, F. and P. G. Comeau. 2008. Effects of red alder and paper birch competition on juvenile growth of three conifer species in southwestern British Columbia. Forest Ecology and Management 256:1795-1803.</t>
  </si>
  <si>
    <t>D’Amore, D. V., P. E. Hennon, P. G. Schaberg, and G. J. Hawley. 2009. Adaptation to exploit nitrate in surface soils predisposes yellow-cedar to climate-induced decline while enhancing the survival of western redcedar: A new hypothesis. Forest Ecology and Management 258:2261-2268.</t>
  </si>
  <si>
    <t>D’Amore, A., V. Hemingway, and K. Wasson. 2010. Do a threatened native amphibian and its invasive congener differ in response to human alteration of the landscape? Biological Invasions 12:145-154.</t>
  </si>
  <si>
    <t>Dosskey, M. G. 2001. Toward quantifying water pollution abatement in response to installing buffers on crop land. Environmental Management 28:577-598.</t>
  </si>
  <si>
    <t>Fellman, J. B. and D. V. D'Amore. 2007. Nitrogen and phosphorus mineralization in three wetland types in Southeast Alaska, USA. Wetlands 27:44-53.</t>
  </si>
  <si>
    <t>Gunderson, L. H., S. R. Carpenter, C. Folke, P. Olsson, and G. D. Peterson. 2006. Water RATs (resilience, adaptability, and transformability) in lake and wetland social-ecological systems. Ecology and Society 11:16.</t>
  </si>
  <si>
    <t>Hazlett, P., K. Broad, A. Gordon, P. Sibley, J. Buttle, and D. Larmer. 2008. The importance of catchment slope to soil water N and C concentrations in riparian zones: implications for riparian buffer width. Canadian Journal of Forest Research-Revue Canadienne De Recherche Forestiere 38:16-30.</t>
  </si>
  <si>
    <t>Hefting, M., B. Beltman, D. Karssenberg, K. Rebel, M. van Riessen, and M. Spijker. 2006. Water quality dynamics and hydrology in nitrate loaded riparian zones in the Netherlands. Environmental Pollution 139:143-156.</t>
  </si>
  <si>
    <t>Heijmans, M. M. P. D., H. Klees, W. de Visser, and F. Berendse. 2002. Response of a Sphagnum bog plant community to elevated CO2 and N supply. Plant Ecology 162:123-134.</t>
  </si>
  <si>
    <t>Hennon, P. E., D. V. D'Amore, D. T. Witter, and M. B. Lamb. 2010. Influence of forest canopy and snow on microclimate in a declining yellow-cedar forest of Southeast Alaska. Northwest Science 84:73-87.</t>
  </si>
  <si>
    <t>Hobbie, E. A., S. A. Macko, and H. H. Shugart. 1998. Patterns in N dynamics and N isotopes during primary succession in Glacier Bay, Alaska. Chemical Geology 152:3–11.</t>
  </si>
  <si>
    <t>Hogg, E. H. and V. J. Lieffers. 1991. The impact of Calamagrostis-Canadensis on soil thermal regimes after logging in northern Alberta. Canadian Journal of Forest Research-Revue Canadienne De Recherche Forestiere 21:387-394.</t>
  </si>
  <si>
    <t>Hood, W. G. 2007. Large woody debris influences vegetation zonation in an oligohaline tidal marsh. Estuaries and Coasts 30:441-450.</t>
  </si>
  <si>
    <t>Hunt, P. G., T. A. Matheny, and K. S. Ro. 2007. Nitrous oxide accumulation in soils from riparian buffers of a coastal plain watershed-carbon/nitrogen ratio control. Journal of Environmental Quality 36:1368-1376.</t>
  </si>
  <si>
    <t>Kim, I. J., S. L. Hutchinson, J. M. S. Hutchinson, and C. B. Young. 2007. Riparian ecosystem management model: sensitivity to soil, vegetation, and weather input parameters. Journal of the American Water Resources Association 43:1171-1182.</t>
  </si>
  <si>
    <t>Kroeger, K. D. and M. A. Charette. 2008. Nitrogen biogeochemistry of submarine groundwater discharge. Limnology and Oceanography 53:1025-1079.</t>
  </si>
  <si>
    <t>Lertzman, K. P., G. D. Sutherland, A. Inselberg, and S. C. Saunders. 1996. Canopy gaps and the landscape mosaic in a coastal temperate rain forest. Ecology 77:1254-1270.</t>
  </si>
  <si>
    <t>Li, Y. and D. H. Vitt. 1997. Patterns of retention and utilization of aerially deposited nitrogen in boreal peatlands. Ecoscience. Sainte-Foy 4:106-116.</t>
  </si>
  <si>
    <t>Madden, S. S., G. R. Robinson, and J. G. Arnason. 2007. Spatial variation in stream water quality in relation to riparian buffer dimensions in a rural watershed of eastern New York state. Northeastern Naturalist 14:605-618.</t>
  </si>
  <si>
    <t>Mayer, P. M., S. K. Reynolds, M. D. McCutchen, and T. J. Canfield. 2006. Riparian Buffer Width, Vegetative Cover, and Nitrogen Removal Effectiveness: A Review of Current Science and Regulations. EPA/600/R-05/118. U.S. Environmental Protection Agency, Cincinnati, OH.</t>
  </si>
  <si>
    <t>Mayer, P. M., S. K. Reynolds, Jr., M. D. McCutchen, and T. J. Canfield. 2007. Meta-analysis of nitrogen removal in riparian buffers. Journal of Environmental Quality 36:1172-1180.</t>
  </si>
  <si>
    <t>McDonald, M. A., B. J. Hawkins, C. E. Prescott, and J. Kimmins, P. 1994. Growth and foliar nutrition of western red cedar fertilized with sewage-sludge, pulp sludge, fish silage and wood ash on northern Vancouver Island. Canadian Journal of Forest Research-Revue Canadienne De Recherche Forestiere 24:297-301.</t>
  </si>
  <si>
    <t>Pinay, G., T. O'Keefe, R. Edwards, and R. J. Naiman. 2003. Potential denitrification activity in the landscape of a western Alaska drainage basin. Ecosystems 6:336-343.</t>
  </si>
  <si>
    <t>Sanborn, P. T., C. M. Preston, and R. Brockley. 2002. N-2-fixation by Sitka alder in a young lodgepole pine stand in central interior British Columbia, Canada. Forest Ecology and Management 167:223-231.</t>
  </si>
  <si>
    <t>Shaffer, P. W. and T. L. Ernst. 1999. Distribution of soil organic matter in freshwater emergent/open water wetlands in the Portland, Oregon metropolitan area. Wetlands 19:505-516.</t>
  </si>
  <si>
    <t>Shrestha, R. R., A. J. Berland, M. A. Schnorbus, and A. T. Werner. 2011. Climate Change Impacts on Hydro-Climatic Regimes in the Peace and Columbia Watersheds, British Columbia, Canada. Pacific Climate Impacts Consortium. University of Victoria, Victoria, BC.</t>
  </si>
  <si>
    <t>Song, K., D. Liu, Z. Wang, B. Zhang, C. Jin, F. Li, and H. Liu. 2008. Land use change in Sanjiang Plain and its driving forces analysis since 1954. ACTA Georaphica Sinica-Chinese Edition 63:93.</t>
  </si>
  <si>
    <t>Van Hoewyk, D., P. M. Groffman, E. Kiviat, G. Mihocko, and G. Stevens. 2000. Soil nitrogen dynamics in organic and mineral soil calcareous wetlands in eastern New York. Soil Science Society of America Journal 64: 2168–2173.</t>
  </si>
  <si>
    <t>Wigington, P. J., S. M. Griffith, J. A. Field, J. E. Baham, W. R. Horwath, J. Owen, J. H. Davis, S. C. Rain, and J. J. Steiner. 2003. Nitrate removal effectiveness of a riparian buffer along a small agricultural stream in western Oregon. Journal of Environmental Quality 32:162-170.</t>
  </si>
  <si>
    <t>Zaman, M., M. L. Nguyen, F. Matheson, J. D. Blennerhassett, and B. F. Quin. 2007. Can soil amendments (zeolite or lime) shift the balance between nitrous oxide and dinitrogen emissions from pasture and wetland soils receiving urine or urea-N? Australian Journal of Soil Research 45:543-553.</t>
  </si>
  <si>
    <t>Altor, A. and W. Mitsch. 2008. Pulsing hydrology, methane emissions and carbon dioxide fluxes in created marshes: A 2-year ecosystem study. Wetlands 28:423-438.</t>
  </si>
  <si>
    <t>Augustin, J., W. Merbach, and J. Rogasik. 1998. Factors influencing nitrous oxide and methane emissions from minerotrophic fens in northeast Germany. Biology and Fertility of Soils 28:1-4.</t>
  </si>
  <si>
    <t>Belyea, L. R. and N. Malmer. 2004. Carbon sequestration in peatland: patterns and mechanisms of response to climate change. Global Change Biology 10:1043-1052.</t>
  </si>
  <si>
    <t>Berrittella, C. and J. van Huissteden. 2011. Uncertainties in modelling CH4 emissions from northern wetlands in glacial climates: The role of vegetation parameters. Climate of the Past 7:1075-1087.</t>
  </si>
  <si>
    <t>Blanco-Canqui, H. and R. Lal. 2004. Mechanisms of Carbon Sequestration in Soil Aggregates. Critical Reviews in Plant Sciences 23:481-504.</t>
  </si>
  <si>
    <t>Blodau, C., B. Mayer, S. Peiffer, and T. R. Moore. 2007. Support for an anaerobic sulfur cycle in two Canadian peatland soils. Journal of Geophysical Research: Biogeosciences 112:G02004.</t>
  </si>
  <si>
    <t>Bormann, B. T. and R. C. Sidle. 1990. Changes in productivity and distribution of nutrients in a chronosequence at Glacier Bay National Park, Alaska. Journal of Ecology 78:561-578.</t>
  </si>
  <si>
    <t>Boss, T. R. 1983. Vegetation ecology and net primary productivity of selected freshwater wetlands in Oregon. Ph.D. dissertation. Oregon State University, Corvallis, OR.</t>
  </si>
  <si>
    <t>Bridgham, S. D. and C. J. Richardson. 2003. Endogenous versus exogenous nutrient control over decomposition and mineralization in North Carolina peatlands. Biogeochemistry 65:151-178.</t>
  </si>
  <si>
    <t>Chapin, F. S., L. R. Walker, C. L. Fastie, and L. C. Sharman. 1994. Mechanisms of primary succession following deglaciation at Glacier Bay, Alaska. Ecological Monographs 64:149-175.</t>
  </si>
  <si>
    <t>Cheng, W., K. Yagi, H. Akiyama, S. Nishimura, S. Sudo, T. Fumoto, T. Hasegawa, A. E. Hartley, and J. P. Megonigal. 2007. An empirical model of soil chemical properties that regulate methane production in Japanese rice paddy soils. Journal of Environmental Quality 36:1920-1925.</t>
  </si>
  <si>
    <t>Collins, M. E. and R. J. Kuehl. 2001. Organic matter accumulation and organic soils in wetland soils genesis, hydrology, landscapes, and classification. Pages 137- 159 in J. L. Richardson and M. J. Vepraskas, editors. Wetland Soils: Genesis, Hydrology, Landscape, and Classification. Lewis Publishers, Boca Raton, FL.</t>
  </si>
  <si>
    <t>Crow, S. E. and R. K. Wieder. 2005. Sources of Co-2 emission from a northern peatland: Root respiration, exudation, and decomposition. Ecology 86:1825-1834.</t>
  </si>
  <si>
    <t>D'Amore, D. V., J. B. Fellman, R. T. Edwards, and E. Hood. 2010. Controls on dissolved organic matter concentrations in soils and streams from a forested wetland and sloping bog in southeast Alaska. Ecohydrology 3:249-261.</t>
  </si>
  <si>
    <t>den Ouden, J. and P. Alaback. 1996. Successional trends and biomass of mosses on windthrow mounds in the temperate rainforests of Southeast Alaska. Vegetatio 124:115-128.</t>
  </si>
  <si>
    <t>Edwards, G. C., G. M. Dias, G. W. Thurtell, G. E. Kidd, N. T. Roulet, C. A. Kelly, J. W. M. Rudd, A. Moore, and L. Halfpenny-Mitchell. 2001. Methane fluxes from a wetland using the flux-gradient technique; the measurement of methane flux from a natural wetland pond and adjacent vegetated wetlands using a TDL-based flux-gradient technique. Water, Air and Soil Pollution: Focus 1:447-454.</t>
  </si>
  <si>
    <t xml:space="preserve">Engstrom, D. R., L. K. Kirkman, and R. J. MitchelL. 2001. The natural history of the fire forest. Pages 5–17 in J. R. Wilson, editor. The Fire Forest: Longleaf Pine-Wiregrass Ecosystem. Georgia Wildlife Federation, Covington, GA </t>
  </si>
  <si>
    <t>Fennessy, M. S., A. Rokosch, and J. J. Mack. 2008. Patterns of plant decomposition and nutrient cycling in natural and created wetlands. Wetlands 28:300-310.</t>
  </si>
  <si>
    <t>Gauci, V., D. J. G. Gowing, E. R. C. Hornibrook, J. M. Davis, and N. B. Dise. 2010. Woody stem methane emission in mature wetland alder trees. Atmospheric Environment 44:2157-2160.</t>
  </si>
  <si>
    <t>Glatzel, S., N. Basiliko, and T. Moore. 2004. Carbon dioxide and methane production potentials of peats from natural, harvested, and restored sites, eastern Quebec, Canada. Wetlands 24:261-267.</t>
  </si>
  <si>
    <t>Glenn, A. J., L. B. Flanagan, K. H. Syed, and P. J. Carlson. 2006. Comparison of net ecosystem CO2 exchange in two peatlands in western Canada with contrasting dominant vegetation, Sphagnum and Carex. Agricultural and Forest Meteorology 140:115-135.</t>
  </si>
  <si>
    <t>Green, S. M. and A. J. Baird. 2012. A mesocosm study of the role of the sedge Eriophorum angustifolium in the efflux of methane-including that due to episodic ebullition-from peatlands. Plant and Soil 351:207-218.</t>
  </si>
  <si>
    <t>Gunnarsson, U. 2005. Global patterns of Sphagnum productivity. Journal of Bryology 27:269-279.</t>
  </si>
  <si>
    <t>Hanley, T. A., R. L. Deal, and E. H. Orlikowska. 2006. Relations between red alder composition and understory vegetation in young mixed forests of southeast Alaska. Canadian Journal of Forest Research 36:738-748.</t>
  </si>
  <si>
    <t>Helfield, J. M. and R. J. Naiman. 2002. Salmon and alder as nitrogen sources to riparian forests in a boreal Alaskan watershed. Oeocologia 133:573–558.</t>
  </si>
  <si>
    <t>Helfield, J. M. and R. J. Naiman. 2001. Effects of salmon-derived nitrogen on riparian forest growth and implications for stream productivity. Ecology 82:2403–2409.</t>
  </si>
  <si>
    <t>Hines, M. E., K. N. Duddleston, and J. P. Chanton. 2006. Uncoupling of the pathway of methanogenesis in northern wetlands: connection to vegetation, and implications for variability and predictability. American Geophysical Union URL:http://www.agu.org.</t>
  </si>
  <si>
    <t>Hines, M. E., K. N. Duddleston, J. N. Rooney-Varga, D. Fields, and J. P. Chanton. 2008. Uncoupling of acetate degradation from methane formation in Alaskan wetlands: Connections to vegetation distribution. Global Biogeochemical Cycles 22:GB2017.</t>
  </si>
  <si>
    <t>Hood, E. and L. Berner. 2009. Effects of changing glacial coverage on the physical and biogeochemical properties of coastal streams in southeastern Alaska. Journal of Geophysical Research 114:G03001.</t>
  </si>
  <si>
    <t>Hossler, K. and V. Bouchard. 2010. Soil development and establishment of carbon-based properties in created freshwater marshes. Ecological Applications 20:539-553.</t>
  </si>
  <si>
    <t>Keller, J. K., J. R. White, S. D. Bridgham, and J. Pastor. 2004. Climate change effects on carbon and nitrogen mineralization in peatlands through changes in soil quality. Global Change Biology 10:1053-1064.</t>
  </si>
  <si>
    <t>Kelly, C. A., J. W. M. Rudd, R. A. Bodaly, N. P. Roulet, V. L. St. Louis, A. Heyes, T. R. Moore, S. Schiff, R. Aravena, K. J. Scott, B. Dyck, R. Harris, B. Warner, and G. Edwards. 1997. Increases in fluxes of greenhouse gases and methyl mercury following flooding of an experimental reservoir. Environmental Science and Technology 31:1334-1344.</t>
  </si>
  <si>
    <t>Klinger, L. F. and D. J. Erickson III. 1997. Geophysiological coupling of marine and terrestrial ecosystems. Journal of Geophysical Research 102:25359-25325.</t>
  </si>
  <si>
    <t>Law, C. 2008. Predicting and monitoring the effects of large-scale ocean iron fertilization on marine trace gas emissions. Marine Ecology Progress Series 364.</t>
  </si>
  <si>
    <t>Li, C., J. B. Cui, S. Ge, and C. Trettin. 2004. Modeling impacts of management on carbon sequestration and trace gas emissions in forested wetland ecosystems. Journal of Environmental Management 33:S176–S186.</t>
  </si>
  <si>
    <t>Liblik, L. K., T. R. Moore, J. L. Bubier, and S. D. Robinson. 1997. Methane emissions from wetlands in the zone of discontinuous permafrost: Fort Simpson, Northwest Territories, Canada. Global Biogeochemical Cycles 11:485-494.</t>
  </si>
  <si>
    <t>MacKenzie, W. and J. Shaw. 2000. Wetland classification and habitats at risk in British Columbia.  Volume Two. Pages 537-547 in L. M. Darling, editor. Proceedings of a Conference on the Biology and Management of Species and Habitats at Risk, Kamloops, B.C.,15 - 19 Feb.,1999. B.C. Ministry of Environment, Lands and Parks, Victoria, B.C. and University College of the Cariboo, Kamloops, B.C. .</t>
  </si>
  <si>
    <t>Magenheimer, J. F., T. R. Moore, G. L. Chmura, and R. J. Daoust. 1996. Methane and carbon dioxide flux from a macrotidal salt marsh, Bay of Fundy, New Brunswick. Estuaries 19:139-145.</t>
  </si>
  <si>
    <t>Marsh, A. S., J. A. Arnone, B. T. Bormann, and J. C. Gordon. 2000. The role of Equisetum in nutrient cycling in an Alaskan shrub wetland. Journal of Ecology 88:999-1011.</t>
  </si>
  <si>
    <t>Mead, D. J. and C. M. Preston. 1992. Nitrogen-fixation in Sitka alder by N-15 isotope-dilution after 8 growing seasons in lodgepole pine site. Canadian Journal of Forest Research-Revue Canadienne De Recherche Forestiere 22:1192-1194.</t>
  </si>
  <si>
    <t>Mitsch, W. J., L. Zhang, C. J. Anderson, A. E. Altor, and M. E. Hernandez. 2005. Creating riverine wetlands: Ecological succession, nutrient retention, and pulsing effects. Ecological Engineering 25:510-527.</t>
  </si>
  <si>
    <t>Moosavi, N. H. and M. Chehrazi. 1994. Post emergence control of winter wild oat (Avena ludoviciana DUR) and littleseed cannarygrass (Phalaris minor Retz.) in wheat (Triticum aestivum L. "Arvand"). The Scientific Journal of Agriculture 17.</t>
  </si>
  <si>
    <t>Moosavi, S. C., P. M. Crill, E. R. Pullman, D. W. Funk, and K. M. Peterson. 1996. Controls on CH4 flux from an Alaskan boreal wetland. Global Biogeochemical Cycles 10:287-296.</t>
  </si>
  <si>
    <t>Pelletier, L., T. R. Moore, N. T. Roulet, M. Garneau, and V. Beaulieu-Audy. 2007. Methane fluxes from three peatlands in the La Grande Riviere watershed, James Bay lowland, Canada. Journal of Geophysical Research-Biogeosciences 112:G01018.</t>
  </si>
  <si>
    <t>Price, J. S., A. L. Heathwaite, and A. J. Baird. 2003. Hydrological processes in abandoned and restored peatlands: An overview of management approaches. Wetlands Ecology and Management 11:65-83.</t>
  </si>
  <si>
    <t>Rose, C. and W. G. Crumpton. 2006. Spatial patterns in dissolved oxygen and methane concentrations in a prairie pothole wetland in Iowa, USA. Wetlands 26:1020-1025.</t>
  </si>
  <si>
    <t>Rumburg, C. B. and W. A. Sawyer. 1965. Response of wet-meadow vegetation to length and depth of surface water from wild-flood irrigation. Agronomy Journal 57:245–247.</t>
  </si>
  <si>
    <t>Ryan, M. G. and B. E. Law. 2005. Interpreting, measuring, and modeling soil respiration. Biogeochemistry 73:3-27.</t>
  </si>
  <si>
    <t>Smemo, K. A. and J. B. Yavitt. 2006. A multi-year perspective on methane cycling in a shallow peat fen in central New York State, USA. Wetlands 26:20-29.</t>
  </si>
  <si>
    <t>Smialek, J., V. Bouchard, B. Lippmann, M. Quigley, T. Granata, J. Martin, and L. Brown. 2006. Effect of a woody (Salix nigra) and an herbaceous (Juncus effusus) macrophyte species on methane dynamics and denitrification. Wetlands 26:509-517.</t>
  </si>
  <si>
    <t>Smith, L. K., W. M. Lewis, J. P. Chanton, G. Cronin, and S. K. Hamilton. 2000. Methane emissions from the Orinoco River floodplain, Venezuela. Biogeochemistry 51:113-140.</t>
  </si>
  <si>
    <t>Strack, M., M. F. Waller, and J. M. Waddington. 2006. Sedge succession and peatland methane dynamics: A potential feedback to climate change. Ecosystems 9:278-287.</t>
  </si>
  <si>
    <t>Tauchnitz, N., R. Brumme, S. Bernsdorf, and R. Meissner. 2008. Nitrous oxide and methane fluxes of a pristine slope mire in the German National Park Harz Mountains. Plant and Soil 303:131-138.</t>
  </si>
  <si>
    <t>Thormann, M. N. and S. E. Bayley. 1997. Response of aboveground net primary plant production to nitrogen and phosphorus fertilization in peatlands in southern boreal Alberta, Canada. Wetlands 17:502-512.</t>
  </si>
  <si>
    <t>Tranvik, L. J., J. A. Downing, J. B. Cotner, S. A. Loiselle, R. G. Striegl, T. J. Ballatore, P. Dillon, K. Finlay, K. Fortino, L. B. Knoll, P. L. Kortelainen, T. Kutser, S. Larsen, I. Laurion, D. M. Leech, S. L. McCallister, D. M. McKnight, J. M. Melack, E. Overholt, J. A. Porter, Y. Prairie, W. H. Renwick, F. Roland, B. S. Sherman, D. W. Schindler, S. Sobek, A. Tremblay, M. J. Vanni, A. M. Verschoor, E. von Wachenfeldt, and G. A. Weyhenmeyer. 2009. Lakes and reservoirs as regulators of carbon cycling and climate. Limnology and Oceanography 54:2298-2314.</t>
  </si>
  <si>
    <t>Tuittila, E. S., V. M. Komulainen, H. Vasander, H. Nykanen, P. J. Martikainen, and J. Laine. 2000. Methane dynamics of a restored cut-away peatland. Global Change Biology 6:569-581.</t>
  </si>
  <si>
    <t>Updegraff, K., J. Pastor, S. D. Bridgham, and C. A. Johnston. 1995. Environmental and substrate controls over carbon and nitrogen mineralization in northern wetlands. Ecological Applications 5:151-163.</t>
  </si>
  <si>
    <t>Valentine, D. W., E. A. Holland, and D. S. Schimel. 1994. Ecosystem and physiological controls over methane production in northern wetlands. Journal of Geophysical Research-Atmospheres 99:1563-1571.</t>
  </si>
  <si>
    <t>Waddington, J. M. and M. R. Turetsky. 2008. Peatland ecohydrology: Water-vegetation-carbon interactions in a changing climate. Geophysical Research Abstracts 10:EGU2008-A-08409.</t>
  </si>
  <si>
    <t>Wardrop, D. H. and R. P. Brooks. 1998. The occurrence and impact of sedimentation in central Pennsylvania wetlands. Environmental Monitoring and Assessment 51:119-130.</t>
  </si>
  <si>
    <t>Westermann, P. and B. K. Ahring. 1987. Dynamics of methane production, sulfate reduction, and denitrification in a permanently waterlogged alder swamp. Applied and Environmental Microbiology 53:2554-2559.</t>
  </si>
  <si>
    <t>White, H. K., C. M. Reddy, and T. I. Eclinton. 2008. Radiocarbon-based assessment of fossil fuel-derived contaminant associations in sediments. Environmental Science &amp; Technology 42:5428-5434.</t>
  </si>
  <si>
    <t>Willey, Z. and B. Chameides. 2008. Harnessing Farms and Forests in the Low-Carbon Economy. How to Create, Measure, and Verify Greenhouse Gas Offsets. Duke University Press, Durham, NC, USA/London, UK.</t>
  </si>
  <si>
    <t>Williams, C. J. and J. B. Yavitt. 2010. Temperate wetland methanogenesis: The importance of vegetation type and root ethanol production. Soil Science Society of America Journal 74:317-325.</t>
  </si>
  <si>
    <t>Yu, J., W. Sun, J. Liu, J. Wang, J. Yang, and F. X. Meixner. 2007. Enhanced net formations of nitrous oxide and methane underneath the frozen soil in Sanjiang wetland, northeastern China. Journal of Geophysical Research: Atmospheres 112.</t>
  </si>
  <si>
    <t>Alsfeld, A. J., J. L. Bowman, and A. Deller-Jacobs. 2009. Effects of woody debris, microtopography, and organic matter amendments on the biotic community of constructed depressional wetlands. Biological Conservation 142:247-255.</t>
  </si>
  <si>
    <t>Devito, K. J., P. J. Dillon, and B. D. Lazerte. 1989. Phosphorus and nitrogen retention in five Precambrian shield wetlands. Biogeochemistry 8:185–204.</t>
  </si>
  <si>
    <t>Fellman, J. B., E. Hood, D. V. D'Amore, R. T. Edwards, and D. White. 2009. Seasonal changes in the chemical quality and biodegradability of dissolved organic matter exported from soils to streams in coastal temperate rainforest watersheds. Biogeochemistry 95:277-293.</t>
  </si>
  <si>
    <t>Fitzgerald, D. F., J. S. Price, and J. J. Gibson. 2003. Hillslope-swamp interactions and flow pathways in a hyper-maritime rainforest, British Columbia. Hydrological Processes 17:3005-3022.</t>
  </si>
  <si>
    <t>Hood, E., J. Fellman, R. G. M. Spencer, P. J. Hernes, R. Edwards, D. D’Amore, and D. Scott. 2009. Glaciers as a source of ancient and labile organic matter to the marine environment. Nature 462:1044-1047.</t>
  </si>
  <si>
    <t>Julin, K. R. and D. V. D'Amore. 2003. Tree growth on forested wetlands of southeastern Alaska following clearcutting. Western Journal of Applied Forestry 18:30-34.</t>
  </si>
  <si>
    <t>Beecher, H. A., B. A. Caldwell, and S. B. DeMond. 2002. Evaluation of depth and velocity preferences of juvenile coho salmon in Washington streams. North American Journal of Fisheries Management 22:3.</t>
  </si>
  <si>
    <t>Bjornn, T. C., S. C. Kirking, and W. R. Meehan. 1991. Relation of cover alterations to the summer standing crop of young salmonids in small southeast Alaska streams. Transactions of the American Fisheries Society 120:562-570.</t>
  </si>
  <si>
    <t>Booth, D. B., D. Hartley, and R. Jackson. 2002. Forest cover, impervious-surface area, and the mitigation of storm water impacts. Journal of American Water Resources Association 38:835-845.</t>
  </si>
  <si>
    <t>Brown, T. G. and G. F. Hartman. 1988. Contribution of seasonally flooded lands and minor tributaries to the production of coho salmon in Carnation Creek, British Columbia. Transactions of the American Fisheries Society 117:546-551.</t>
  </si>
  <si>
    <t>Bryant, M. D., P. E. Porter, and S. J. Paustian. 1990. Evaluation of a stream channel-type system for southeast Alaska. PNW-GTR-267., U.S. Forest Service, Forestry Sciences Laboratory, Juneau, AK.</t>
  </si>
  <si>
    <t>Bryant, M. D., D. N. Swanston, R. C. Wissmar, and B. E. Wright. 1998. Coho salmon populations in the karst landscape of north Prince of Wales Island, southeast Alaska. Transactions of the American Fisheries Society 127:425-433.</t>
  </si>
  <si>
    <t>Collen, P. and R. J. Gibson. 2001. The general ecology of beavers (Castor spp.), as related to their influence on stream ecosystems and riparian habitats, and the subsequent effects on fish – a review. Reviews in Fish Biology and Fisheries 10:439–461.</t>
  </si>
  <si>
    <t>Colosimo, M. F. and P. R. Wilcock. 2007. Alluvial sedimentation and erosion in an urbanizing watershed, Gwynns Falls, Maryland. Journal of the American Water Resources Association 43:499–521.</t>
  </si>
  <si>
    <t>Colvin, R. W. 2005. Fish and amphibian use of intermittent streams within the Upper Willamette Basin, Oregon. Oregon State University, Corvallis, OR.</t>
  </si>
  <si>
    <t>Cookson, N. and M. S. Schorr. 2009. Correlations of watershed housing density with environmental conditions and fish assemblages in a Tennessee Ridge and Valley stream. Journal of Freshwater Ecology 24:553-561.</t>
  </si>
  <si>
    <t>Cunningham, K. M., M. F. Canino, I. B. Spies, and L. Hauser. 2009. Genetic isolation by distance and localized fjord population structure in Pacific cod (Gadus macrocephalus): limited effective dispersal in the northeastern Pacific Ocean. Canadian Journal of Fisheries and Aquatic Sciences 66:153-166.</t>
  </si>
  <si>
    <t>Delgado, J., N. Arroyo, J. Arevalo, and J. Fernandez-Palacios. 2007. Edge effects of roads on temperature, light, canopy cover, and canopy height in laurel and pine forests (Tenerife, Canary Islands). Landscape Urban Planning 81:328-340.</t>
  </si>
  <si>
    <t>Fausch, K. D. and T. G. Northcote. 1992. Large woody debris and salmonid habitat in a small coastal British Columbia stream. Canadian Journal of Fisheries and Aquatic Sciences 49: 682-693.</t>
  </si>
  <si>
    <t>Freeman, M. C., C. M. Pringle, and C. R. Jackson. 2007. Hydrologic connectivity and the contribution of stream headwaters to ecological integrity at regional scales. Journal of the American Water Resources Association 43:5-14.</t>
  </si>
  <si>
    <t>Fukushima, M. and W. W. Smoker. 1997. Determinants of stream life, spawning efficiency, and spawning habitat in pink salmon in the Auke Lake system, Alaska. Canadian Journal of Fisheries and Aquatic Sciences 54:96-104.</t>
  </si>
  <si>
    <t>Hall, J. L. and R. C. Wissmar. 2004. Habitat factors affecting Sockeye salmon redd site selection in off-channel ponds of a river floodplain. Transactions of the American Fisheries Society 133:1480-1496.</t>
  </si>
  <si>
    <t>Hansen, A. J., R. L. Knight, J. M. Marzluff, S. Powell, K. Brown, P. H. Gude, and K. Jones. 2005. Effects of exurban development on biodiversity: patterns, mechanisms, and research needs. Ecological Applications 15:1893-1905.</t>
  </si>
  <si>
    <t>Henning, J. A., R. E. Gresswell, and I. A. Fleming. 2006. Juvenile salmonid use of freshwater emergent wetlands in the floodplain and its implications for conservation management. North American Journal of Fisheries Management 26:367-376.</t>
  </si>
  <si>
    <t>Henning, J. A., R. E. Gresswell, and I. A. Fleming. 2007. Use of seasonal freshwater wetlands by fishes in a temperate river floodplain. Journal of Fish Biology 71:476-492.</t>
  </si>
  <si>
    <t>Hepinstall, J. A., M. Alberti, and J. M. Marzluff. 2008. Predicting land cover change and avian community responses in rapidly urbanizing environments. Landscape Ecology 23:1257-1276.</t>
  </si>
  <si>
    <t>Hernandez, O., R. W. Merritt, and M. S. Wipfli. 2005. Benthic invertebrate community structure is influenced by forest succession after clearcut logging in southeastern Alaska. Hydrobiologia 533:45-59.</t>
  </si>
  <si>
    <t>Hetrick, N. J., M. A. Brusven, T. C. Bjornn, R. M. Keith, and W. R. Meehan. 1998a. Effects of canopy removal on invertebrates and diet of juvenile coho salmon in a small stream in southeast Alaska. Transactions of the American Fisheries Society 127:876-888.</t>
  </si>
  <si>
    <t>Hetrick, N. J., M. A. Brusven, W. R. Meehan, and T. C. Bjornn. 1998b. Changes in solar input, water temperature, periphyton accumulation, and allochthonous input and storage after canopy removal along two small salmon streams in southeast Alaska. Transactions of the American Fisheries Society 127:859-875.</t>
  </si>
  <si>
    <t>Konrad, C. P., D. B. Booth, and S. J. Burges. 2005. Effects of urban development in the Puget Lowland, Washington, on interannual streamflow patterns: Consequences for channel form and streambed disturbance. Water Resources Research 41.</t>
  </si>
  <si>
    <t>Koski, K. V. 2009. The fate of coho salmon nomads: the story of an estuarine-rearing strategy promoting resilience. Ecology and Society 14.</t>
  </si>
  <si>
    <t>LeSage, C. M., R. W. Merritt, and M. S. Wipfli. 2005. Headwater riparian invertebrate communities associated with red alder and conifer wood and leaf litter in southeastern Alaska. Northwest Science 79:218-232.</t>
  </si>
  <si>
    <t>Linley, T. 2001. Influence of short-term estuarine rearing on the ocean survival and size at return of coho salmon in southeastern Alaska. North American Journal of Aquaculture 63:306-311.</t>
  </si>
  <si>
    <t>May, C. W., R. R. Horner, J. R. Karr, B. W. Mar, and E. B. Welch. 1997. The Cumulative Effects of Urbanization on Small Streams in the Puget Sound Lowland Ecoregion. University of Washington, Seattle, WA.</t>
  </si>
  <si>
    <t>McIntyre, J. K., D. H. Baldwin, J. P. Meador, and N. L. Scholz. 2008. Chemosensory deprivation in juvenile coho salmon exposed to dissolved copper under varying water chemistry conditions. Environmental Science &amp; Technology 42:1352-1358.</t>
  </si>
  <si>
    <t>Meyer, J. L., D. L. Strayer, J. B. Wallace, S. L. Eggert, G. S. Helfman, and N. E. Leonard. 2007. The Contribution of Headwater Streams to Biodiversity in River Networks1. JAWRA Journal of the American Water Resources Association 43:86-103.</t>
  </si>
  <si>
    <t>Milner, A. M. and G. S. York. 2001. Factors influencing fish productivity in a newly formed watershed in Kenai Fjords National Park, Alaska. Archiv Fur Hydrobiologie 151:627-647.</t>
  </si>
  <si>
    <t>Miltner, R. J., D. White, and C. Yoder. 2004. The biotic integrity of streams in urban and suburbanizing landscapes. Landscape and Urban Planning 69:87-100.</t>
  </si>
  <si>
    <t>Morgan II, R. P., K. M. Kline, and S. F. Cushman. 2007. Relationships among nutrients, chloride and biological indices in urban Maryland streams. Urban Ecosystems 10:153-166.</t>
  </si>
  <si>
    <t>Murphy, M. L., J. Heifetz, J. F. Thedinga, S. W. Johnson, and K. V. Koski. 1989. Habitat utilization by juvenile pacific salmon (Onchorynchus) in the glacial Taku River, Southeast Alaska. Canadian Journal of Fisheries and Aquatic Sciences 46:1677-1685.</t>
  </si>
  <si>
    <t>Nicholson, P. S., M. S. Whittingham, G. C. Farrington, W. W. Smeltzer, and J. Thomas. 1992. Solid State Ionics, 91, Proceedings of the 8th International Conference on Solid State Ionics, Lake Louise, Alberta, Canada, October 20-26, 1991. 2. Preface. Pages R8-R8 in Solid State Ionics.</t>
  </si>
  <si>
    <t>Roy, A. H., C. L. Faust, M. C. Freeman, and J. L. Meyer. 2005. Reach-scale effects of riparian forest cover on urban stream ecosystems. Canadian Journal of Fisheries and Aquatic Sciences 62:2312-2329.</t>
  </si>
  <si>
    <t>Schuster, P. F. 2005. Water and sediment quality in the Yukon River Basin, Alaska, during water year 2003. No. USGS-OFR-2005-1397. US Geological Survey, Boulder, CO.</t>
  </si>
  <si>
    <t>Shandas, V. and M. Alberti. 2009. Exploring the role of vegetation fragmentation on aquatic conditions: Linking upland with riparian areas in Puget Sound lowland streams. Landscape and Urban Planning 90:66-75.</t>
  </si>
  <si>
    <t>Shields, C. A., L. E. Band, N. Law, P. M. Groffman, S. S. Kaushal, K. Savvas, G. T. Fisher, and K. T. Belt. 2008. Streamflow distribution of non–point source nitrogen export from urban-rural catchments in the Chesapeake Bay watershed. Water Resources Research 44:W09416.</t>
  </si>
  <si>
    <t>Steiner, J. J., G. R. Giannico, S. M. Griffith, M. E. Mellbye, J. L. Li, K. S. Boyer, S. H. Schoenholtz, G. W. Whittaker, G. W. Mueller-Warrant, and G. M. Banowetz. 2005. Grass seed fields, seasonal winter drainages, and native fish habitat in the south Willamette Valley. Pages 79-81 in W. C. Y. III, editor. Seed Production Research at Oregon State University, USDA-ARS Cooperating 2004. Department of Crop and Soil Science, Oregon State University, Corvallis, OR.</t>
  </si>
  <si>
    <t>Walsh, C. J. and J. Kunapo. 2009. The importance of upland flow paths in determining urban effects on stream ecosystems. Journal of the North American Benthological Society 28:977-990.</t>
  </si>
  <si>
    <t>Welsh Jr, H. H. and G. R. Hodgson. 2008. Amphibians as metrics of critical biological thresholds in forested headwater streams of the Pacific Northwest, U.S.A. Freshwater Biology 53:1470-1488.</t>
  </si>
  <si>
    <t>Wigington, P. J., J. L. Ebersole, M. E. Colvin, S. G. Leibowitz, B. Miller, B. Hansen, H. R. Lavigne, D. White, J. P. Baker, M. R. Church, J. R. Brooks, M. A. Cairns, and J. E. Compton. 2006. Coho salmon dependence on intermittent streams. Frontiers in Ecology and the Environment 4:513-518.</t>
  </si>
  <si>
    <t>Wipfli, M. S. and J. Musslewhite. 2004. Density of red alder (Alnus rubra) in headwaters influences invertebrate and detritus subsidies to downstream fish habitats in Alaska. Hydrobiologia 520:153-163.</t>
  </si>
  <si>
    <t>Wipfli, M. S. 1997. Terrestrial invertebrates as salmonid prey and nitrogen sources in streams: contrasting old-growth and young-growth riparian forests in southeastern Alaska, USA. Canadian Journal of Fisheries and Aquatic Sciences 54:1259-1269.</t>
  </si>
  <si>
    <t>Wipfli, M. S., J. S. Richardson, and R. J. Naiman. 2007. Ecological linkages between headwaters and downstream ecosystems: Transport of organic matter, invertebrates, and wood down headwater channels. Journal of the American Water Resources Association 43:72-85.</t>
  </si>
  <si>
    <t>Bryant, M. D., P. E. Porter, and S. J. Paustian. 1991. Evaluation of a stream channel-type system for southeast Alaska. PNW-GTR-267., U.S. Forest Service, Forestry Sciences Laboratory, Juneau, AK.</t>
  </si>
  <si>
    <t>Baichtal, J. F. and D. N. Swanston. 1996. Karst landscapes and associated resources: a resource assessment. General Technical Report PNW-GTR-383. US Department of Agriculture, Forest Service, Pacific Northwest Research Station, Portland, OR.</t>
  </si>
  <si>
    <t>Bramblett, R. G., M. D. Bryant, B. E. Wright, and R. G. White. 2002. Seasonal use of small tributary and main-stem habitats by juvenile steelhead, coho salmon, and Dolly Varden in a southeastern Alaska drainage basin. Transactions of the American Fisheries Society 131:498-506.</t>
  </si>
  <si>
    <t>Deniseger, J., L. J. Erickson, A. Austin, M. Roch, and M. J. R. Clark. 1990. The effects of decreasing heavy metal concentrations on the biota of Buttle Lake, Vancouver Island, British Columbia. Water Resources Bulletin 24:403-416.</t>
  </si>
  <si>
    <t>Eilers, J. M., D. H. Landers, A. D. Newell, M. E. Mitch, M. Morrison, and J. Ford. 1993. Major Ion Chemistry of Lakes on the Kenai Peninsula, Alaska. Canadian Journal of Fisheries and Aquatic Sciences 50:816-826.</t>
  </si>
  <si>
    <t xml:space="preserve">Wipfli, M. S., J. S. Richardson, and R. J. Naiman. 2007. Ecological linkages between headwaters and downstream ecosystems: Transport of organic matter, invertebrates, and wood down headwater channels. Journal of the American Water Resources Association 43:72-85. </t>
  </si>
  <si>
    <t>Yoder, C. O., R. J. Miltner, and D. White. 1999. Assessing the Status of Aquatic Life Designated Uses in Urban and Suburban Watersheds. . Pages 16-28 in A. Everson et al., editor. Proceedings of National Conference on Retrofit Opportunities for Water Resource Protection in Urban Environments. Chicago, IL February 9-12, 1998. Technology Transfer and Support Division, National Risk Management Research Laboratory, Office of Research and Development, U.S. Environmental Protection Agency, Cincinnati, Ohio.</t>
  </si>
  <si>
    <t xml:space="preserve">Baichtal, J. F. and D. N. Swanston. 1996. Karst landscapes and associated resources: a resource assessment. General Technical Report PNW-GTR-383. US Department of Agriculture, Forest Service, Pacific Northwest Research Station, Portland, OR. </t>
  </si>
  <si>
    <t>Baxter, C. V., K. D. Fausch, and W. Carl Saunders. 2005. Tangled webs: reciprocal flows of invertebrate prey link streams and riparian zones. Freshwater Biology 50:201-220.</t>
  </si>
  <si>
    <t>Campbell, E. Y., M. E. Benbow, S. D. Tiegs, J. P. Hudson, G. A. Lamberti, and R. W. Merritt. 2011. Timber harvest intensifies spawning-salmon disturbance of macroinvertebrates in southeastern Alaskan streams. Journal of the North American Benthological Society 30:49-59.</t>
  </si>
  <si>
    <t>Cannings, S. G. and R. A. Cannings. 1994. The Odonata of the northern Cordilleran peatlands of North America. Memoirs of the Entomological Society of Canada 169:89-110.</t>
  </si>
  <si>
    <t>Christie, K. S. and T. E. Reimchen. 2008. Presence of salmon increases passerine density on Pacific Northwest streams. The Auk 125:51-59.</t>
  </si>
  <si>
    <t>Claeson, S. M., J. L. Li, J. E. Compton, and P. A. Bisson. 2006. Response of nutrients, biofilm, and benthic insects to salmon carcass addition. Canadian Journal of Fisheries and Aquatic Sciences 63:1230-1241.</t>
  </si>
  <si>
    <t>Corcoran, R. M., J. R. Lovvorn, and P. J. Heglund. 2009. Long-term change in limnology and invertebrates in Alaskan boreal wetlands. Hydrobiologia 620:77–89.</t>
  </si>
  <si>
    <t>Fischer, J. R., M. C. Quist, S. L. Wigen, A. J. Schaefer, T. W. Stewart, and T. M. Isenhart. 2010. Assemblage and population-level responses of stream fish to riparian buffers at multiple spatial scales. Transactions of the American Fisheries Society 139:185-200.</t>
  </si>
  <si>
    <t>Frimpong, E. A., T. M. Sutton, K. J. Lim, P. J. Hrodey, B. A. Engel, T. P. Simon, J. G. Lee, and D. C. LeMaster. 2005. Determination of optimal riparian forest buffer dimensions for stream biota-landscape association models using multi metric and multi variate responses. Canadian Journal of Fisheries and Aquatic Sciences 62:1-6.</t>
  </si>
  <si>
    <t>Gende, S. M. and M. F. Willson. 2001. Passerine densities in riparian forests of southeast Alaska: potential effects of anadromous spawning salmon. The Condor 103:624-629.</t>
  </si>
  <si>
    <t>Gregory, S. V., F. J. Swanson, W. A. McKee, and K. W. Cummins. 1991. An ecosystem perspective of riparian zones: Focus on links between land and water. Bioscience 41:540-550.</t>
  </si>
  <si>
    <t>Holmquist, J., J. Jones, J. Schmidt-Gengenbach, L. Pierotti, and J. Love. 2011. Terrestrial and Aquatic Macroinvertebrate Assemblages as a Function of Wetland Type across a Mountain Landscape. Institute of Arctic and Alpine Research, University of Colorado, Boulder, CO.</t>
  </si>
  <si>
    <t>Hoover, S. E. R., L. G. W. Shannon, and J. D. Ackerman. 2007. The effect of riparian condition on invertebrate drift in mountain streams. Aquatic Sciences 69:544-553.</t>
  </si>
  <si>
    <t>Hornung, J. and A. L. Foote. 2006. Aquatic invertebrate responses to fish presence and vegetation complexity in Western Boreal wetlands, with implications for Waterbird productivity. Wetlands 26:1-12.</t>
  </si>
  <si>
    <t>Horwitz, R. J., T. E. Johnson, P. F. Overbeck, T. K. O'Donnell, W. C. Hession, and B. W. Sweeney. 2008. Effects of riparian vegetation and watershed urbanization on fishes in streams of the mid-Atlantic piedmont (USA). Journal of the American Water Resources Association 44:724-741.</t>
  </si>
  <si>
    <t>Kiffney, P. M. and J. P. Bull. 2000. Factors controlling periphyton accrual during summer in headwater streams of southwestern British Columbia, Canada. Journal of Freshwater Ecology 15:339-351.</t>
  </si>
  <si>
    <t>Kiffney, P. M., J. S. Richardson, and J. P. Bull. 2003. Responses of periphyton and insects to experimental manipulation of riparian buffer width along forest streams. Journal of Applied Ecology 40:1060-1076.</t>
  </si>
  <si>
    <t>Knutson, K. L., V. Naef, and Washington (State) Department of Fish and Wildlife. 1997. Management Recommendations for Washington's Priority Habitats: Riparian. Washington Department of Fish and Wildlife, Olympia, WA.</t>
  </si>
  <si>
    <t>Koenings, J. P., J. A. Edmundson, and D. L. Barto. 1989. Glacial Silt - Help or Hindrance to Lake Productivity. Published Report #93. Alaska Department of Fish and Game, Juneau, AK.</t>
  </si>
  <si>
    <t>Lloyd, D. S., J. P. Koenings, and J. D. Laperriere. 1987. Effects of turbidity in fresh waters of Alaska. North American Journal of Fisheries Management 7:18-33.</t>
  </si>
  <si>
    <t>McDade, M. H., F. J. Swanson, W. A. McKee, J. F. Franklin, and J. Van Sickle. 1990. Source  distances for coarse woody debris entering small streams in western Oregon and Washington USA. Canadian Journal of Forest Research 20:326-330.</t>
  </si>
  <si>
    <t>Meleason, M. A., S. V. Gregory, and J. P. Bolte. 2003. Implications of riparian management strategies on wood in streams of the Pacific Northwest. Ecological Applications 13:1212-1221.</t>
  </si>
  <si>
    <t>Moldenke, A. R. and C. V. Linden. 2007. Effects of clearcutting and riparian buffers on the yield of adult aquatic macroinvertebrates from headwater streams. Forest Science 53:308-319.</t>
  </si>
  <si>
    <t>Monaghan, K. A. and A. M. Miner. 2009. Effect of anadromous salmon redd construction on macroinvertebrate communities in a recently formed stream in coastal Alaska. Journal of the North American Benthological Society 28:153-166.</t>
  </si>
  <si>
    <t>Moore, J. W. and D. E. Schindler. 2008. Biotic disturbance and benthic community dynamics in salmon-bearing streams. Journal of Animal Ecology 77:275-284.</t>
  </si>
  <si>
    <t>Murphy, M. 1995. Forestry Impacts on Freshwater Habitat of Anadromous Salmonids in the Pacific Northwest and Alaska – Requirements for Protection and Restoration. NOAA Coastal Ocean Program Decision Analysis Series No. 7. U.S. Department of Commerce, National Oceanic and Atmospheric Administration Coastal Ocean Office, NOAA Coastal Ocean Office, Silver Springs, MD.</t>
  </si>
  <si>
    <t>Naiman, R. J., R. E. Bilby, and P. A. Bisson. 2000. Riparian ecology and management in the Pacific Coastal Rain Forest. Bioscience 50:996-1011.</t>
  </si>
  <si>
    <t>Ober, H. K. and J. P. Hayes. 2008. Influence of forest riparian vegetation on abundance and biomass of nocturnal flying insects. Forest Ecology and Management 256:1124-1132.</t>
  </si>
  <si>
    <t>Richards, C., L. B. Johnson, and G. E. Host. 1996. Landscape-scale influences on stream habitats and biota. Canadian Journal of Fisheries and Aquatic Sciences 53:295-311.</t>
  </si>
  <si>
    <t>Richardson, J. S., R. E. Bilby, and C. A. Bondar. 2005. Organic matter dynamics in small streams of the Pacific Northwest. Journal of the American Water Resources Association 41:921-934.</t>
  </si>
  <si>
    <t>Robison, E. G. and R. L. Beschta. 1990. Identifying trees in riparian areas that can provide coarse woody debris to streams. Forest Science 36:790-801.</t>
  </si>
  <si>
    <t>Roth, B. M., I. C. Kaplan, G. G. Sass, P. T. Johnson, A. E. Marburg, A. C. Yannarell, T. D. Havlicek, T. V. Willis, M. G. Turner, and S. R. Carpenter. 2007. Linking terrestrial and aquatic ecosystems: The role of woody habitat in lake food webs. Ecological Modelling 203:439-452.</t>
  </si>
  <si>
    <t>Utz, R. M., R. H. Hilderbrand, and D. M. Boward. 2009. Identifying regional differences in threshold responses of aquatic invertebrates to land cover gradients. Ecological Indicators 9:556-567.</t>
  </si>
  <si>
    <t>Sickle, J. V. and S. V. Gregory. 1990. Modeling inputs of large woody debris to streams from falling trees. Canadian Journal of Forest Research 20:1593-1601.</t>
  </si>
  <si>
    <t>Waite, I. R., S. Sobieszczyk, K. D. Carpenter, A. J. Arnsberg, H. M. Johnson, C. A. Hughes, M. J. Sarantou, and F. A. Rinella. 2008. Effects of Urbanization on Stream Eco-Systems in the Willamette River Basin and Surrounding Area,Oregon and Washington: U.S. Geological Survey Scientific Investigations Report 2006–5101–D., U.S. Geological Survey, Portland, OR.</t>
  </si>
  <si>
    <t>Wenger, S. and L. Fowler. 2000. Protecting stream and river corridors : creating effective local riparian buffer ordinances. Carl Vinson Institute of Government, the University of Georgia, Athens, GA.</t>
  </si>
  <si>
    <t>Wipfli, M. S., J. S. Richardson, and R. J. Naiman. 2007. Ecological linkages between headwaters and downstream ecosystems: transport of organic matter, invertebrates, and wood down headwater channels. Journal of the American Water Resources Association 43:72-85.</t>
  </si>
  <si>
    <t>Ball, B. A., J. S. Kominoski, H. E. Adams, S. E. Jones, E. S. Kane, T. D. Loecke, W. M. Mahaney, J. P. Martina, C. M. Prather, T. M. P. Robinson, and C. T. Solomon. 2010. Direct and terrestrial vegetation-mediated effects of environmental change on aquatic ecosystem processes. Bioscience 60:590-601.</t>
  </si>
  <si>
    <t>Carstensen, R., M. Willson, and R. Armstrong. 2003. Habitat Use of Amphibians in Northern Southeast Alaska. Discovery Southeast, Juneau, AK.</t>
  </si>
  <si>
    <t>Chan-McLeod, A. C. A. and A. Moy. 2007. Evaluating residual tree patches as stepping stones and short-term refugia for red-legged frogs. Journal of Wildlife Management 71:1836-1844.</t>
  </si>
  <si>
    <t>Cushman, S. A. 2006. Effects of habitat loss and fragmentation on amphibians: a review and prospectus. Biological Conservation 128:231-240.</t>
  </si>
  <si>
    <t>Eigenbrod, F., S. J. Hecnar, and L. Fahrig. 2008a. Accessible habitat: an improved measure of the effects of habitat loss and roads on wildlife populations. Landscape Ecology:159-168.</t>
  </si>
  <si>
    <t>Eigenbrod, F., S. J. Hecnar, and L. Fahrig. 2008b. The relative effects of road traffic and forest cover on anuran populations. Biological Conservation 141:35-46.</t>
  </si>
  <si>
    <t>Hawkins, C. P., M. L. Murphy, N. H. Anderson, and M. A. Wilzbach. 1983. Density of fish and salamanders in relation to riparian canopy and physical habitat in streams of the northwestern United-States. Canadian Journal of Fisheries and Aquatic Sciences 40:1173-1185.</t>
  </si>
  <si>
    <t>Knutson, M. G., W. B. Richardson, D. M. Reineke, B. R. Gray, J. R. Parmelee, and S. E. Weick. 2004. Agricultural ponds support amphibian populations. Ecological Applications 14:669-684.</t>
  </si>
  <si>
    <t>Marsh, D. M. 2007. Edge effects of gated and ungated roads on terrestrial salamanders. Journal of Wildlife Management 71:389-394.</t>
  </si>
  <si>
    <t>Pearl, C., M. Adams, N. Leuthold, and R. Bury. 2005. Amphibian occurrence and aquatic invaders in a changing landscape: implications for wetland mitigation in the willamette valley, Oregon, USA. Wetlands 25:76-88.</t>
  </si>
  <si>
    <t>Schmutzer, A. C., M. J. Gray, E. C. Burton, and D. L. Miller. 2008. . Impacts of cattle on amphibian larvae and the aquatic environment. Freshwater Biology 53:2613-2625.</t>
  </si>
  <si>
    <t>Semlitsch, R. D., T. J. Ryan, K. Ramed, M. Chatfield, B. Drehman, N. Pekarek, M. Spath, and A. Watland. 2007. Salamander abundance along road edges and within abandoned logging roads in Appalachian forests. Conservation Biology 21:159-167.</t>
  </si>
  <si>
    <t>Burger, J. 1981. The effect of human activity on birds at a coastal bay. Biological Conservation 21:231-241.</t>
  </si>
  <si>
    <t>Epners, C. A., S. E. Bayley, J. E. Thompson, and W. M. Tonn. 2010. Influence of fish assemblage and shallow lake productivity on waterfowl communities in the Boreal Transition Zone of western Canada. Freshwater Biology 55:2265-2280.</t>
  </si>
  <si>
    <t>Haig, S. M., D. W. Mehlman, and L. W. Oring. 1998. Avian movements and wetland connectivity in landscape conservation. Conservation Biology 12:749-758.</t>
  </si>
  <si>
    <t>Hood, G. A. and S. E. Bayley. 2008. Beaver (Castor canadensis) mitigate the effects of climate on the area of open water in boreal wetlands in western Canada. Biological Conservation 141:556-567.</t>
  </si>
  <si>
    <t>Klein, M. L., S. R. Humphrey, and H. F. Percival. 1995. Effects of ecotourism on distribution of waterbirds in a wildlife refuge. Conservation Biology 9:1454-1465.</t>
  </si>
  <si>
    <t>Lovvorn, J. R. and J. R. Baldwin. 1996. Intertidal and farmland habitats of ducks in the Puget Sound region: A landscape perspective. Biological Conservation 77:97-114.</t>
  </si>
  <si>
    <t>Savard, J.-P. L., W. S. Boyd, and G. E. J. Smith. 1994. Waterfowl–wetland relationships in the Aspen Parkland of British Columbia: comparison of analytical methods. Hydrobiologia 279/280:309-325.</t>
  </si>
  <si>
    <t>Taft, O. W. and S. M. Haig. 2005. The value of agricultural wetlands as invertebrate resources for wintering shorebirds. Agriculture, Ecosystems &amp; Environment 110:249-256.</t>
  </si>
  <si>
    <t>Taft, O. W. and S. M. Haig. 2003. Historical wetlands in Oregon's Willamette Valley: Implication for restoration of winter waterbird habitat. Wetlands 23:51-64.</t>
  </si>
  <si>
    <t>Thormann, M. N. and S. E. Bayley. 1997. Aboveground plant production and nutrient content of the vegetation in six peatlands in Alberta, Canada. Plant Ecology 131:1-16.</t>
  </si>
  <si>
    <t>Andren, H. 1994. Effects of habitat fragmentation on birds and mammals in landscapes with different proportions of suitable habitat – a review. Oikos 71:355-366.</t>
  </si>
  <si>
    <t>Anthony, R. G. 2001. Low productivity of bald eagles on Prince of Wales Island, Southeast Alaska. Journal of Raptor Research 35:1-8.</t>
  </si>
  <si>
    <t>Awade, M. and J. P. Metzger. 2008. Using gap-crossing capacity to evaluate functional connectivity of two Atlantic rainforest birds and their response to fragmentation. Austral Ecology 33:863 - 871.</t>
  </si>
  <si>
    <t>Aznar, J. C. and A. Desrochers. 2008. Building for the future: Abandoned beaver ponds promote bird diversity. Ecoscience 15:250-257.</t>
  </si>
  <si>
    <t>Bakker, V. and K. Hastings. 2002. Den trees used by northern flying squirrels (Glaucomys sabrinus) in southeastern Alaska. Canadian Journal of Zoology-Revue Canadienne De Zoologie 80:1623-1633.</t>
  </si>
  <si>
    <t>Barber, J. R., K. R. Crooks, and K. M. Fristrup. 2010. The costs of chronic noise exposure for terrestrial organisms. Trends in Ecology &amp; Evolution 25:180-189.</t>
  </si>
  <si>
    <t>Belisle, M. and A. Desrochers. 2002. Gap-crossing decisions by forest birds: an empirical basis for parameterizing spatially-explicit, individual-based models. Landscape Ecology 17:219-231.</t>
  </si>
  <si>
    <t>Benitez-Lopez, A., R. Alkemade, and P. A. Verweij. 2010. The impacts of roads and other infrastructure on mammal and bird populations: A meta-analysis. Biological Conservation 143:1307-1316.</t>
  </si>
  <si>
    <t xml:space="preserve">Carlson, M. L. and M. Shephard. 2007. Is the spread of non-native plants in Alaska accelerating? Pages 111-127 in T. B. Harrington and S. H. Reichard, editors. Meeting the Challenge: Invasive Plants in Pacific Northwest Ecosystems. Technical Report PNW-GTR-694. U.S. Department of Agriculture, Forest Service, Pacific Northwest Research Station, Portland, OR </t>
  </si>
  <si>
    <t>Chace, J. F. and J. J. Walsh. 2006. Urban effects on native avifauna: a review. Landscape and Urban Planning 74:46-69.</t>
  </si>
  <si>
    <t>Chang, K.-T., D. L. Verbyla, and J. J. Yeo. 1995. Spatial analysis of habitat selection by Sitka black-tailed deer in southeast Alaska, USA. Environmental Management 19:579-589.</t>
  </si>
  <si>
    <t>Clevenger, A. P., B. Chruszczc, and K. E. Gunson. 2003. Spatial patterns and factors influencing small vertebrate fauna road-kill aggregations. Biological Conservation 109:15-26.</t>
  </si>
  <si>
    <t>Conroy, C. J., J. R. Demboski, and J. A. Cook. 1999. Mammalian biogeography of the Alexander Archipelago of Alaska: a north temperate nested fauna. Journal of Biogeography 26:343-352.</t>
  </si>
  <si>
    <t>Creegan, H. P. and P. E. Osborne. 2005. Gap-crossing decisions of woodland songbirds in Scotland: an experimental approach. Journal of Applied Ecology 42:678-687.</t>
  </si>
  <si>
    <t>Darimont, C. T., M. H. H. Price, N. N. Winchester, J. Gordon‐Walker, and P. C. Paquet. 2004. Predators in natural fragments: foraging ecology of wolves in British Columbia's central and north coast archipelago. Journal of Biogeography 31:1867-1877.</t>
  </si>
  <si>
    <t>Darimont, C. T., P. C. Paquet, T. E. Reimchen, and V. Crichton. 2005. Range expansion by moose into coastal temperate rainforests of British Columbia, Canada. Diversity and Distributions 11:235-239.</t>
  </si>
  <si>
    <t>DeGayner, E. J., M. G. Kramer, J. G. Doerr, and M. J. Robertsen. 2005. Windstorm disturbance effects on forest structure and black bear dens in southeast Alaska. Ecological Applications 15:1306-1316.</t>
  </si>
  <si>
    <t>Dellasala, D. A., J. C. Hagar, K. A. Engel, W. C. McComb, R. L. Fairbanks, and E. G. Campbell. 1996. Effects of silvicultural modifications of temperate rainforest on breeding and wintering bird communities, Prince of Wales Island, southeast Alaska. Condor:706-721.</t>
  </si>
  <si>
    <t>De Santo, T. L. and M. F. Willson. 2001. Predator abundance and predation of artificial nests in natural and anthropogenic coniferous forest edges in southeast Alaska. Journal of Field Ornithology 72:136-149.</t>
  </si>
  <si>
    <t>Desrochers, A. and S. J. Hannon. 1997. Gap crossing decisions by forest songbirds during the post-fledging period. Conservation Biology 11:1204-1210.</t>
  </si>
  <si>
    <t>Donnelly, R. and J. M. Marzluff. 2004. Importance of reserve size and landscape context to urban bird conservation. Conservation Biology 18:733-745.</t>
  </si>
  <si>
    <t>Donnelly, R. and J. Marzluff. 2006. Relative importance of habitat quantity, structure, and spatial pattern to birds in urbanizing environments. Urban Ecosystems 9:99-117.</t>
  </si>
  <si>
    <t>Drever, M. C. and K. Martin. 2010. Response of woodpeckers to changes in forest health and harvest: Implications for conservation of avian biodiversity. Forest Ecology and Management 259:958-966.</t>
  </si>
  <si>
    <t xml:space="preserve">Fahrig, L. and T. Rytwinski. 2009. Effects of roads on animal abundance: an empirical review and synthesis. Ecology and Society 14:21. http://www.ecologyandsociety.org/vol14/iss21/art21/ </t>
  </si>
  <si>
    <t>Flaherty, E., M. Ben-David, and W. Smith. 2010. Diet and food availability: implications for foraging and dispersal of Prince of Wales northern flying squirrels across managed landscapes. Journal of Mammalogy 91:79-91.</t>
  </si>
  <si>
    <t>Forman, R. T. T., B. Reineking, and A. M. Hersperger. 2002. Road traffic and nearby grassland bird patterns in a suburbanizing landscape. Environmental Management 29:782-800.</t>
  </si>
  <si>
    <t>Grindal, S. D., J. L. Morissette, and R. M. Brigham. 1999. Concentration of bat activity in riparian habitats over an elevational gradient. Canadian Journal of Zoology 77:972-977.</t>
  </si>
  <si>
    <t>Grindal, S. D. and R. M. Brigham. 1999. Impacts of forest harvesting on habitat use by foraging insectivorous bats at different spatial scales. Ecoscience 6:25-34.</t>
  </si>
  <si>
    <t>Grover, A. M. and G. A. Baldassarre. 1995. Bird species richness within beaver ponds in south-central New York. Wetlands 15:108-118.</t>
  </si>
  <si>
    <t>Johnson, J. A., B. A. Andres, and J. A. Bissonette. 2008. Birds of the major mainland rivers of southeast Alaska.  Gen. Tech. Rep. PNW-GTR-739., U.S. Department of Agriculture, Forest Service, Pacific Northwest Research Station., Portland, OR.</t>
  </si>
  <si>
    <t>Kissling, M. L. and E. O. Garton. 2008. Forested buffer strips and breeding bird communities in southeast Alaska. Journal of Wildlife Management 72:674-681.</t>
  </si>
  <si>
    <t>Laurance, S., P. Stouffer, and W. Laurance. 2004. Effects of road clearings on movement patterns of understory rainforest birds in Central Amazonia. Conservation Biology 18:1099-1109.</t>
  </si>
  <si>
    <t>Lees, A. C. and C. A. Peres. 2009. Gap-crossing movements predict species occupancy in Amazonian Forest Fragments. Oikos 118:280-290.</t>
  </si>
  <si>
    <t>Martin, J. L., S. A. Stockton, S. Allombert, and A. J. Gaston. 2010. Top-down and bottom-up consequences of unchecked ungulate browsing on plant and animal diversity in temperate forests: lessons from a deer introduction. Biological Invasions 12:353-371.</t>
  </si>
  <si>
    <t>Massey, B., R. Bowen, C. Griffin, and K. McGarigal. 2008. A classification-tree analysis of nesting habitat in an island population of Northern Harriers. Condor 110:177-183.</t>
  </si>
  <si>
    <t>Mazerolle, M. J., B. Drolet, and A. Desrochers. 2001. Small-mammal responses to peat mining of southeastern Canadian bogs. Canadian Journal of Zoology 79:296-302.</t>
  </si>
  <si>
    <t>Minor, E. and D. Urban. 2010. Forest bird communities across a gradient of urban development. Urban Ecosystems 13:51-71.</t>
  </si>
  <si>
    <t>Oneal, A. S. and J. T. Rotenberry. 2009. Scale-dependent habitat relations of birds in riparian corridors in an urbanizing landscape. Landscape and Urban Planning 92:264-275.</t>
  </si>
  <si>
    <t>Ortega, Y. K. and D. E. Capen. 2002. Roads as edges: effects on birds in forested landscapes. Forest Science 48:381-390.</t>
  </si>
  <si>
    <t>Ott, R. A. and G. P. Juday. 2002. Canopy gap characteristics and their implications for management in the temperate rainforests of southeast Alaska. Forest Ecology and Management 159:271-291.</t>
  </si>
  <si>
    <t>Pennington, D. N. 2008. Riparian Bird Communities Along an Urban Gradient: Effects of Local Vegetation, Landscape Biophysical Heterogeneity, and Spatial Scale. Ph. D. Dissertation. University of Minnesota, Twin Cities, MN.</t>
  </si>
  <si>
    <t>Poulin, J.-F., M.-A. Villard, M. Edman, P. J. Goulet, and A.-M. Eriksson. 2008. Thresholds in nesting habitat requirements of an old forest specialist, the Brown Creeper (Certhia americana), as conservation targets. Biological Conservation 141:1129-1137.</t>
  </si>
  <si>
    <t>Rail, J. F., M. Darveau, A. Desrochers, and J. Huot. 1997. Territorial responses of boreal forest birds to habitat gaps. Condor 99:976-980.</t>
  </si>
  <si>
    <t>Robertson, O. J. and J. Q. Radford. 2009. Gap-crossing decisions of forest birds in a fragmented landscape. Austral Ecology 34:435-446.</t>
  </si>
  <si>
    <t>Rodewald, P. G. and S. N. Matthews. 2005. Landbird use of riparian and upland forest stopover habitats in an urban landscape. The Condor 107:259-268.</t>
  </si>
  <si>
    <t>Schaub, A., J. Ostwald, and B. M. Siemers. 2008. Foraging bats avoid noise. Journal of Experimental Biology 211:3174-3180.</t>
  </si>
  <si>
    <t>Schieck, J., K. Lertzman, B. Nyberg, and R. Page. 1995. Effects of patch size on birds in old-growth montane forests. Conservation Biology 9:1072-1084.</t>
  </si>
  <si>
    <t>Shirley, S. M. 2005. Habitat use by riparian and upland birds in oldgrowth coastal British Columbia rainforest. Wilson Bulletin 117:245-257.</t>
  </si>
  <si>
    <t>Shirley, S. 2004. The influence of habitat diversity and structure on bird use of riparian buffer strips in coastal forests of British Columbia, Canada. Canadian Journal of Forest Research-Revue Canadienne De Recherche Forestiere 34:1499-1510.</t>
  </si>
  <si>
    <t>Slabbekoorn, H. and E. A. P. Ripmeester. 2008. Birdsong and anthropogenic noise: implications and applications for conservation. Molecular Ecology 17:72-83.</t>
  </si>
  <si>
    <t>Smith, C. M. and D. G. Wachob. 2006. Trends associated with residential development in riparian breeding bird habitat along the Snake River in Jackson Hole, WY, USA: Implications for conservation planning. Biological Conservation 128:431-446.</t>
  </si>
  <si>
    <t>Sperry, D. M., M. Kissling, and T. L. George. 2008. Avian nest survival in coastal forested buffer strips on Prince of Wales Island, Alaska. Condor 110:740-746.</t>
  </si>
  <si>
    <t>Thiemann, J. A., C. R. Webster, M. A. Jenkins, P. M. Hurley, J. H. Rock, and P. S. White. 2009. Herbaceous-layer impoverishment in a post-agricultural southern Appalachian landscape. American Midland Naturalist 162:148-168.</t>
  </si>
  <si>
    <t>Tremblay, M. A. and C. C. St. Clair. 2009. Factors affecting the permeability of transportation and riparian corridors to the movements of songbirds in an urban landscape. Journal of Applied Ecology 46:1314-1322.</t>
  </si>
  <si>
    <t>Tremblay, M. A. and C. C. St Clair. 2011. Permeability of a heterogeneous urban landscape to the movements of forest songbirds. Journal of Applied Ecology 48:679-688.</t>
  </si>
  <si>
    <t>Trevino, H. S., A. M. Skibiel, T. J. Karels, and F. S. Dobson. 2007. Threats to avifauna on oceanic islands. Conservation Biology 21:125–132.</t>
  </si>
  <si>
    <t>Trombulak, S. C. and C. A. Frissell. 2000. Review of ecological effects of roads on terrestrial and aquatic communities. Conservation Biology 14:18-30.</t>
  </si>
  <si>
    <t>Vermaat, J. E., N. Vigneau, and N. Omtzigt. 2008. Viability of meta-populations of wetland birds in a fragmented landscape: testing the key-patch approach. Biodiversity and Conservation 17:2263-2273.</t>
  </si>
  <si>
    <t>Whitaker, D. M., A. L. Carroll, and W. A. Montevecchi. 2000. Elevated numbers of flying insects and insectivorous birds in riparian buffer strips. Canadian Journal of Zoology 78:740-747.</t>
  </si>
  <si>
    <t>Willson, M. F. and T. A. Comet. 1996a. Bird communities of northern forests: Patterns of diversity and abundance. Condor 98:337-349.</t>
  </si>
  <si>
    <t>Willson, M. F. and T. A. Comet. 1996b. Bird communities of northern forests: ecological correlates of diversity and abundance in the understory. Condor:350-362.</t>
  </si>
  <si>
    <t>Willson, M. F. and S. M. Gende. 2000. Nesting success of forest birds in southeast Alaska and adjacent Canada. Condor 102:314-324.</t>
  </si>
  <si>
    <t>Wood, W. E. and S. M. Yezerinac. 2006. Song sparrow (Melospiza melodia) song varies with urban noise. Auk 123:650-659.</t>
  </si>
  <si>
    <t>Zmihorski, M. 2010. The effect of windthrow and its management on breeding bird communities in a managed forest. Biodiversity and Conservation 19:1871-1882.</t>
  </si>
  <si>
    <t>Armbruster, W. S. and D. A. Guinn. 1989. The solitary bee fauna (Hymenoptera: Apoidea) of interior and arctic Alaska: flower associations, habitat use, and phenology. Journal of the Kansas Entomological Society:468-483.</t>
  </si>
  <si>
    <t>Savage, J., T. A. Wheeler, A. M. A. Moores, and A. G. Taillefer. 2011. Effects of habitat size, vegetation cover, and surrounding land use on Diptera diversity in temperate Nearctic bogs. Wetlands 31:125-134.</t>
  </si>
  <si>
    <t>Most waterbirds require some unflooded shoreline for nesting, while also needing large areas of water and emergent vegetation for feeding.</t>
  </si>
  <si>
    <t>Excessive sediment limits aquatic productivity and thus potentially the rearing areas of anadromous fish. It also is directly stressful to fish and can smother spawning areas.  However, in some cases moderate turbidity can provide cover from aerial predators.</t>
  </si>
  <si>
    <t>Comparing data from multiple regions, Utz et al. (2009) reported that once urbanization in a watershed reached 60%, all taxa remaining responded either neutrally or positively with respect to continued urbanization. Most were harmed at much lower levels. The importance of streamside vegetation, especially trees, for sustaining the health of aquatic systems has been documented in the Pacific Northwest (e.g., Gregory et al. 1991, Naiman et al. 2000, Richardson et al. 2005, Wipfli et al. 2007). The positive effect is partly because wood falling into streams increases channel complexity which benefits aquatic invertebrates and fish; that may not apply to wood falling into wetlands.  Trees also help maintain stream temperature and streams adjoined by natural vegetation support richer and healthier aquatic invertebrate communities (Richards et al. 1996). However, the effects of buffers and/or tree canopy closure on aquatic life in perennial streams vary, with some studies showing little effect on native fish (Roy et al. 2005, Fischer et al. 2010) and others a positive effect especially when buffer width was at least 100 ft (Frimpong et al. 2005, Horwitz et al. 2008). A 30-ft wide buffer along perennial streams in British Columbia was found to be insufficient to protect stream invertebrate communities from adverse effects of clear-cut logging, although the terrestrial insects the buffer provided were noted as a potentially important food source for fish using the streams (Hoover et al. 2007). Another study of BC perennial streams found uncut riparian buffers of at least 30 ft were needed to limit changes from clear-cut logging to aquatic life in headwater forested watersheds; those changes included increase abundance of aquatic invertebrates and algae (Kiffney et al. 2003). Increased sunlight from vegetation removal can increase stream and wetland productivity and thus the density of some invertebrate groups, where nutrients and elevation (stream temperature) are not severely limiting (Moldenke &amp; Linden 2007).</t>
  </si>
  <si>
    <t xml:space="preserve">If accessible and otherwise suitable for fish, wetlands lower in a river basin are more likely to support both wintering and spawning anadromous fish. Aquatic productivity also tends to be higher due to associated milder temperatures, more persistent flow, and higher fertility that occurs at lower elevations. However, there is a slightly greater risk of summertime oxygen deficits in wetlands at lower elevations, and those can stress young salmonids. </t>
  </si>
  <si>
    <t>Function Score for Amphibian Habitat</t>
  </si>
  <si>
    <t>Although Dolly Varden and other resident fish use turbid glacially-fed rivers and streams, this does not comprise optimal habitat. The reduction in water clarity by glacial outwash limits the productivity of some invertebrate foods that fish depend on (Koenings et al. 1989).</t>
  </si>
  <si>
    <t>AVERAGE(InletOutlet,GroundW, NewWetland,Wettype, Karst, Granite, Nfix,Lake)</t>
  </si>
  <si>
    <r>
      <t xml:space="preserve">little or no (&lt;5%) </t>
    </r>
    <r>
      <rPr>
        <i/>
        <sz val="10"/>
        <rFont val="Arial Narrow"/>
        <family val="2"/>
      </rPr>
      <t xml:space="preserve">bare ground </t>
    </r>
    <r>
      <rPr>
        <sz val="10"/>
        <rFont val="Arial Narrow"/>
        <family val="2"/>
      </rPr>
      <t xml:space="preserve">is visible between erect stems or under canopy </t>
    </r>
    <r>
      <rPr>
        <u/>
        <sz val="10"/>
        <rFont val="Arial Narrow"/>
        <family val="2"/>
      </rPr>
      <t>and</t>
    </r>
    <r>
      <rPr>
        <sz val="10"/>
        <rFont val="Arial Narrow"/>
        <family val="2"/>
      </rPr>
      <t xml:space="preserve"> ground surface is extensively blanketed by moss, lichens, graminoids with great stem densities, or plants with ground-hugging foliage.  </t>
    </r>
  </si>
  <si>
    <t>some (but &lt;5%) of the upland edge</t>
  </si>
  <si>
    <t>Function Score for Resident Fish Habitat</t>
  </si>
  <si>
    <t>Values Score for Resident Fish Habitat</t>
  </si>
  <si>
    <t xml:space="preserve"> </t>
  </si>
  <si>
    <t>Uplift Meadow</t>
  </si>
  <si>
    <t>Allombert, S., S. Stockton, and J.-L. Martin. 2005. A natural experiment on the impact of overabundant deer on forest invertebrates. Conservation Biology 19:1917-1929.</t>
  </si>
  <si>
    <t>Anderson, P. D. and M. A. Meleason. 2009. Discerning responses of down wood and understory vegetation abundance to riparian buffer width and thinning treatments: an equivalence-inequivalence approach. Canadian Journal of Forest Research 39:2470-2485.</t>
  </si>
  <si>
    <t>Baldwin, L. K. and G. E. Bradfield. 2005. Bryophyte community differences between edge and interior environments in temperate rain-forest fragments of coastal British Columbia. Canadian Journal of Forest Research-Revue Canadienne De Recherche Forestiere 35:580-592.</t>
  </si>
  <si>
    <t>Baldwin, L. K. and G. E. Bradfield. 2007. Bryophyte responses to fragmentation in temperate coastal rainforests: a functional group approach. Biological Conservation 136:408-422.</t>
  </si>
  <si>
    <t>Bayley, S. E. and J. K. Guimond. 2008. Effects of river connectivity on marsh vegetation community structure and species richness in montane floodplain wetlands in Jasper National Park, Alberta, Canada. Ecoscience 15:377-388.</t>
  </si>
  <si>
    <t>Bayley, S. E. and J. K. Guimond. 2009. Above ground biomass and nutrient limitations in relation to river connectivity in montane floodplain marshes. Wetlands 29:1243-1254.</t>
  </si>
  <si>
    <t>Bedford, B. L. and K. S. Godwin. 2003. Fens of the United States: distribution, characteristics, and scientific connection versus legal isolation. Wetlands 23:608-629.</t>
  </si>
  <si>
    <t>Bliss, S. A. and P. H. Zedler. 1997. The germination process in vernal pools: sensitivity to environmental conditions and effects on community structure. Oecologia 113:67-73.</t>
  </si>
  <si>
    <t>Boudreault, C., Y. Bergeron, P. Drapeau, and L. M. Loopez. 2008. Edge effects on epiphytic lichens in remnant stands of managed landscapes in the eastern boreal forest of Canada. Forest Ecology and Management 255:1461-1471.</t>
  </si>
  <si>
    <t>Cadenasso, M. L. and S. T. A. Pickett. 2001. Effect of edge structure on the flux of species into forest interiors. Conservation Biology 15:91-97.</t>
  </si>
  <si>
    <t>Deal, R. L. 1997. Understory plant diversity in riparian alder-conifer stands after logging in southeast Alaska. US Dept. of Agriculture, Forest Service, Pacific Northwest Research Station, Portland, OR.</t>
  </si>
  <si>
    <t>DeGasperi, C. L., H. B. Berge, K. R. Whiting, J. J. Burkey, J. L. Cassin, and R. R. Fuerstenberg. 2009. LIinking hydrologic alteration to biological impairment in urbanizing streams of the Puget Lowland, Washington, USA. Journal of the American Water Resources Association 45:512-533.</t>
  </si>
  <si>
    <t>Ehrenfeld, J. G., B. Ravit, and K. Elgersma. 2005. Feedback in the plant-soil system. Annual Review of Environment and Resources 30:75-115.</t>
  </si>
  <si>
    <t>Gaston, A. J., S. A. Stockton, and J. L. Smith. 2006. Species-area relationships and the impact of deer-browse in the complex phytogeography of the Haida Gwaii archipelago (Queen Charlotte Islands), British Columbia. Ecoscience 13:511-522.</t>
  </si>
  <si>
    <t>Geertsema, M. and J. J. Pojar. 2007. Influence of landslides on biophysical diversity — a perspective from British Columbia. Geomorphology 89:55-69.</t>
  </si>
  <si>
    <t>Gignac, L. D. and M. R. T. Dale. 2007. Effects of size, shape, and edge on vegetation in remnants of the upland boreal mixed-wood forest in agro-environments of Alberta, Canada. Canadian Journal of Botany 85:273-284.</t>
  </si>
  <si>
    <t>Hanley, T. A. and W. W. Brady. 1997. Understory species composition and production in old-growth western hemlock-Sitka spruce forests of southeastern Alaska. Canadian Journal of Botany 75:574-580.</t>
  </si>
  <si>
    <t>Heithecker, T. D. and C. B. Halpern. 2007. Edge-related gradients in microclimate in forest aggregates following structural retention harvests in western Washington. Forest Ecology and Management 248:163-173.</t>
  </si>
  <si>
    <t>Houlahan, J. E., P. A. Keddy, K. Makkay, and C. S. Findlay. 2006. The effects of adjacent land use on wetland species richness and community composition. Wetlands 26:79-96.</t>
  </si>
  <si>
    <t>Hylander, K., B. G. Jonsson, and C. Nilsson. 2002. Evaluating buffer strips along boreal streams using bryophytes as indicators. Ecological Applications 12:797-806.</t>
  </si>
  <si>
    <t xml:space="preserve">MacKenzie, W. and J. Shaw. 2000. Wetland classification and habitats at risk in British Columbia.  Volume Two. Pages 537-547 in L. M. Darling, editor. Proceedings of a Conference on the Biology and Management of Species and Habitats at Risk, Kamloops, B.C.,15 - 19 Feb.,1999. B.C. Ministry of Environment, Lands and Parks, Victoria, B.C. and University College of the Cariboo, Kamloops, B.C. </t>
  </si>
  <si>
    <t>Magee, T. K. and M. E. Kentula. 2005. Response of wetland plant species to hydrologic conditions. Wetlands Ecology and Management 13:163-181.</t>
  </si>
  <si>
    <t>Malmer, N., C. Albinsson, B. M. Svensson, and B. Wallén. 2003. Interferences between Sphagnum and vascular plants: effects on plant community structure and peat formation. Oikos 100:469-482.</t>
  </si>
  <si>
    <t>McClellan, M. H., T. Brock, and J. F. Baichtal. 2003. Calcareous fens in southeast Alaska. US Department of Agriculture, Forest Service, Pacific Northwest Research Station, Portland, OR.</t>
  </si>
  <si>
    <t>Moore, T. R. 1989. Growth and net production of Sphagnum at five fen sites, subarctic eastern Canada. Canadian Journal of Botany 67:1203–1207.</t>
  </si>
  <si>
    <t>NatureServe. 2008. International Ecological Classification Standard: Terrestrial Ecological Classifications. Herbaceous Wetland Ecological Systems of Alaska. NatureServe Central Databases, Arlington, VA. U.S.A.</t>
  </si>
  <si>
    <t>Nekola, J. C. and P. S. White. 1999. Distance decay of similarity in biogeography and ecology. Journal of Biogeography 26:867–878.</t>
  </si>
  <si>
    <t>Pollock, M. M., R. J. Naiman, and T. A. Hanley. 1998. Plant species richness in riparian wetlands - a test of biodiversity theory. Ecology 79:94-105.</t>
  </si>
  <si>
    <t>Radies, D., D. Coxson, C. Johnson, and K. Konwicki. 2009. Predicting canopy macrolichen diversity and abundance within old-growth inland temperate rainforests. Forest Ecology and Management 259:86-97.</t>
  </si>
  <si>
    <t>Rogers, D. A., T. P. Rooney, T. J. Hawbaker, V. C. Radeloff, and D. M. Waller. 2009. Paying the extinction debt in southern Wisconsin forest understories. Conservation Biology 23:1497-1506.</t>
  </si>
  <si>
    <t>Rooney, R. C. and S. E. Bayley. 2011. Relative influence of local- and landscape-level habitat quality on aquatic plant diversity in shallow open-water wetlands in Alberta's boreal zone: direct and indirect effects. Landscape Ecology 26:1023-1034.</t>
  </si>
  <si>
    <t>Šamonil, P., K. Král, and L. Hort. 2010. The role of tree uprooting in soil formation: A critical literature review. Geoderma 157:65-79.</t>
  </si>
  <si>
    <t>Wright, J. P., C. G. Jones, and A. S. Flecker. 2002. An ecosystem engineer, the beaver, increases species richness at the landscape scale. Oecologia 132:96-101.</t>
  </si>
  <si>
    <t>Bahuguna, D., S. J. Mitchell, and Y. Miquelajauregui. 2010. Windthrow and recruitment of large woody debris in riparian stands. Forest Ecology and Management 259:2048-2055.</t>
  </si>
  <si>
    <t>Cole, C., R. Brooks, and D. Wardrop. 1997. Wetland hydrology as a function of hydrogeomorphic (HGM) subclass. Wetlands 17:456-467.</t>
  </si>
  <si>
    <t>Engelhardt, K. A. M. and J. A. Kadlec. 2001. Species traits, species richness and the resilience of wetlands after disturbance. Journal of Aquatic Plant Management 39:36-39.</t>
  </si>
  <si>
    <t>Hennings, L. A. and W. D. Edge. 2003. Riparian bird community structure in Portland, Oregon: habitat, urbanization, and spatial scale patterns. The Condor 105:288-302.</t>
  </si>
  <si>
    <t>Leibowitz, S. G. 2003. Isolated wetlands and their functions: An ecological perspective. Wetlands 23:517-531.</t>
  </si>
  <si>
    <t>Martin, D. J. and R. A. Grotefendt. 2007. Stand mortality in buffer strips and the supply of woody debris to streams in Southeast Alaska. Canadian Journal of Forest Research 37:36-49.</t>
  </si>
  <si>
    <t>Martin, D. B. and W. Hartman. 1987. The effect of cultivation on sediment composition and deposition in prairie pothole wetlands. Water Air Soil Pollution 34:45-53.</t>
  </si>
  <si>
    <t>Oberts, G. L. 1977. Water Quality Effects of Potential Urban Best Management Practices: A Literature Review. Technical Bulletin No. 97. Wisconsin Department of Natural Resources, Madison, WI.</t>
  </si>
  <si>
    <t>Stohlgren, T. J., G. W. Chong, L. D. Schell, K. A. Rimar, Y. Otsuki, M. Lee, M. A. Kalkhan, and C. A. Villa. 2002. Assessing vulnerability to invasion by nonnative plant species at multiple spatial scales. Environmental Management 29:566-577.</t>
  </si>
  <si>
    <t>Werner, K. J. and J. B. Zedler. 2002. How sedge meadow soils, microtopography, and vegetation respond to sedimentation. Wetlands 22:451-466.</t>
  </si>
  <si>
    <t>Whigham, D. F. and T. E. Jordan. 2003. Isolated wetlands and water quality. Wetlands 23:541-549.</t>
  </si>
  <si>
    <t>Whited, P. M. 2001. Sedimentation of depressional wetlands in agricultural settings. Wetland Restoration, Enhancement, and Management http://www.sedlab.olemiss.edu/projects/rodrigue/restoration_technote/IVB.pdf.</t>
  </si>
  <si>
    <t>Wigand, C., R. A. McKinney, M. A. Charpentier, M. M. Chintala, and G. B. Thursby. 2003. Relationships of nitrogen loadings, residential development, and physical characteristics with plant structure in New England salt marshes. Estuaries 26:1494-1504.</t>
  </si>
  <si>
    <t>Loamy: includes loam, sandy loam</t>
  </si>
  <si>
    <t>AVERAGE (Interspers, Fluc, SeasWpct, Inflo, Groundw, NewWet, Elev, Depth)</t>
  </si>
  <si>
    <t>Forb Cover</t>
  </si>
  <si>
    <r>
      <t xml:space="preserve">The AA is on an island known to </t>
    </r>
    <r>
      <rPr>
        <b/>
        <sz val="10"/>
        <rFont val="Arial Narrow"/>
        <family val="2"/>
      </rPr>
      <t>lack</t>
    </r>
    <r>
      <rPr>
        <sz val="10"/>
        <rFont val="Arial Narrow"/>
        <family val="2"/>
      </rPr>
      <t xml:space="preserve"> deer, elk, and moose.  Enter 1 if yes, 0 if no.</t>
    </r>
  </si>
  <si>
    <t xml:space="preserve">Where groundwater is anaerobic (as it often is) it can stimulate methane emissions, as can its usually circumneutral acidity (Updegraff et al. 1995). As a result less carbon may be sequestered in some groundwater-fed wetlands (Smemo &amp;Yavitt 2006).  However, in many prairie wetlands groundwater also increases the levels of iron, calcium, and sulfate in surface water (Heagle et al. 2007) which can result in less methane emission. Lakes and wetlands with large groundwater inputs may have less organic matter in their sediments (Squires et al. 2006), thus generating less methane. </t>
  </si>
  <si>
    <t>DecidPct5</t>
  </si>
  <si>
    <t>Soil Texture</t>
  </si>
  <si>
    <t xml:space="preserve">Infiltration, and thus deposition of sediment suspended in runoff, is potentially greater in areas where water and soils do not remain frozen for long periods. </t>
  </si>
  <si>
    <t>Slope from Disturbed Lands</t>
  </si>
  <si>
    <t>IF(AllSat=1),"", AVERAGE(Fluctua,SeasPct)</t>
  </si>
  <si>
    <t>IF((AllSat=1),AVERAGE(IntercepDry,Adsorb,FreezeDura), IF((NoOut=1),1, ELSE:  (3*AVERAGE(Adsorption, Desorption) + 2*Connectivity+ (AVERAGE(InterceptWet, interceptDry) + FreezeDuration) / 7</t>
  </si>
  <si>
    <t>(2*MAX(HistAccum, PhysAccum) + Productiv +3*MethLimit) /6</t>
  </si>
  <si>
    <t>AVERAGE (OutDura,Gradient, IsoWet)</t>
  </si>
  <si>
    <t>Roulet, N. T., P. M. Crill, N. T. Comer, A. Dove, and R. A. Boubonniere.  1997. CO2 and CH4 flux between a boreal beaver pond and the atmosphere. Journal of Geophysical Research 102(D24): 29313-29.</t>
  </si>
  <si>
    <t xml:space="preserve">Soils with a thick organic layer have the most carbon available for export. However, moderately coarse soils (silts, loams) are better-aerated, less acidic, and thus can have greater plant productivity. Very coarse soils, unless flooded regularly by rivers, tend to be nutrient-poor thus limiting plant productivity. However, their presence may indicate periodic exposure to water currents capable of exporting carbon, and coarse soils sometimes support greater plant productivity because greater inflitration can reduce the frequency of anoxic conditions that stifle productivity of some rooted plants. </t>
  </si>
  <si>
    <r>
      <t xml:space="preserve">&gt;90% of the land.  </t>
    </r>
    <r>
      <rPr>
        <b/>
        <sz val="10"/>
        <rFont val="Arial Narrow"/>
        <family val="2"/>
      </rPr>
      <t>SKIP to OF8.</t>
    </r>
  </si>
  <si>
    <t>Precipitation, Mean Annual</t>
  </si>
  <si>
    <t>Temperature, Mean Annual</t>
  </si>
  <si>
    <t>Stained Surface Water</t>
  </si>
  <si>
    <t>Non-vegetated Aquatic Cover</t>
  </si>
  <si>
    <t>Floodplain Wetland</t>
  </si>
  <si>
    <t>&gt;95% of wetland or &gt;95% of  its upland edge (if any)</t>
  </si>
  <si>
    <t>5-95% of wetland or 5-95% of its upland edge (if any)</t>
  </si>
  <si>
    <t>&lt;5% of wetland and &lt;5% of its upland edge (if any)</t>
  </si>
  <si>
    <t>When most of wetland's wetter condition began</t>
  </si>
  <si>
    <t xml:space="preserve">  Score the following 2 rows only if the wetter conditions began within past 10 years, and only for the part of the wetland that got wetter.</t>
  </si>
  <si>
    <t>&gt;20% of the wetland</t>
  </si>
  <si>
    <t>5-20% of the wetland</t>
  </si>
  <si>
    <t>&lt;5% of the wetland</t>
  </si>
  <si>
    <t>Spatial extent of wetland's resulting drier condition</t>
  </si>
  <si>
    <t>When most of wetland's drier condition began</t>
  </si>
  <si>
    <t xml:space="preserve">  Score the following 2 rows only if the drier conditions began within past 10 years, and only for the part of the wetland that got drier.</t>
  </si>
  <si>
    <t xml:space="preserve">Spatial extent within the wetland of timing shift </t>
  </si>
  <si>
    <t xml:space="preserve">&gt;95% of wetland </t>
  </si>
  <si>
    <t xml:space="preserve">5-95% of wetland </t>
  </si>
  <si>
    <t xml:space="preserve">&lt;5% of wetland </t>
  </si>
  <si>
    <t xml:space="preserve">  Score the following 2 rows only if the altered inputs began within past 10 years, and only for the part of the wetland that experiences those.</t>
  </si>
  <si>
    <t>Duration of sediment inputs to the wetland</t>
  </si>
  <si>
    <t>Recentness of significant soil alteration in wetland</t>
  </si>
  <si>
    <t>Sedge Cover</t>
  </si>
  <si>
    <t>Floating Algae &amp; Duckweed</t>
  </si>
  <si>
    <t>Isolated Island</t>
  </si>
  <si>
    <t>Tidal Marsh or Tidal Swamp.  Do not continue.  Use other spreadsheet.</t>
  </si>
  <si>
    <t xml:space="preserve">&lt;0.5 ft </t>
  </si>
  <si>
    <t>0.5 - 1 ft</t>
  </si>
  <si>
    <t>1-3 ft</t>
  </si>
  <si>
    <t xml:space="preserve">&gt; 3 ft </t>
  </si>
  <si>
    <t>Forested Peatland</t>
  </si>
  <si>
    <t>Open Peatland</t>
  </si>
  <si>
    <t>Fen/ Marsh</t>
  </si>
  <si>
    <t>5-30% of the AA.</t>
  </si>
  <si>
    <t>30-70% of the AA.</t>
  </si>
  <si>
    <t>70-95% of the AA.</t>
  </si>
  <si>
    <t>&gt;95% of the AA.</t>
  </si>
  <si>
    <t xml:space="preserve">1-25% </t>
  </si>
  <si>
    <t xml:space="preserve">25-50% </t>
  </si>
  <si>
    <t xml:space="preserve">50-95% </t>
  </si>
  <si>
    <t xml:space="preserve">&gt;95% </t>
  </si>
  <si>
    <t>Neither of above.  Multiple depth classes; none occupy more than 50% of the AA.</t>
  </si>
  <si>
    <t>Flat Shoreline Extent</t>
  </si>
  <si>
    <t>25-50% of the AA never contains surface water.</t>
  </si>
  <si>
    <t>25-50% of the AA</t>
  </si>
  <si>
    <t>50-95% of the AA</t>
  </si>
  <si>
    <t>&gt;95% of the AA</t>
  </si>
  <si>
    <t>Open Ponded Water - Extent</t>
  </si>
  <si>
    <t>Annual Water Fluctuation Range</t>
  </si>
  <si>
    <t>Open Water - Extent</t>
  </si>
  <si>
    <t>Width of AA's Vegetated Zone</t>
  </si>
  <si>
    <r>
      <t>The length of the AA's shoreline (along its ponded open water) that is bordered by areas that are</t>
    </r>
    <r>
      <rPr>
        <b/>
        <sz val="10"/>
        <rFont val="Arial Narrow"/>
        <family val="2"/>
      </rPr>
      <t xml:space="preserve"> nearly flat</t>
    </r>
    <r>
      <rPr>
        <sz val="10"/>
        <rFont val="Arial Narrow"/>
        <family val="2"/>
      </rPr>
      <t xml:space="preserve"> (a slope less than about 5%) is:</t>
    </r>
  </si>
  <si>
    <t>Emergent Vegetation - Distribution</t>
  </si>
  <si>
    <t>&lt;5% of the water is shaded</t>
  </si>
  <si>
    <t>50-75% of the water is shaded</t>
  </si>
  <si>
    <t>&gt;75% of the water is shaded</t>
  </si>
  <si>
    <t>25-50% of the water is shaded</t>
  </si>
  <si>
    <t>5-25% of the water is shaded</t>
  </si>
  <si>
    <r>
      <t xml:space="preserve">The percentage of the AA that has </t>
    </r>
    <r>
      <rPr>
        <b/>
        <sz val="10"/>
        <rFont val="Arial Narrow"/>
        <family val="2"/>
      </rPr>
      <t>surface</t>
    </r>
    <r>
      <rPr>
        <sz val="10"/>
        <rFont val="Arial Narrow"/>
        <family val="2"/>
      </rPr>
      <t xml:space="preserve"> water (either ponded or flowing, either open or obscured by vegetation) during </t>
    </r>
    <r>
      <rPr>
        <b/>
        <sz val="10"/>
        <rFont val="Arial Narrow"/>
        <family val="2"/>
      </rPr>
      <t xml:space="preserve">all </t>
    </r>
    <r>
      <rPr>
        <sz val="10"/>
        <rFont val="Arial Narrow"/>
        <family val="2"/>
      </rPr>
      <t>of the growing season during most years is:</t>
    </r>
  </si>
  <si>
    <t>Ice (not just snow) covers nearly all of the AA's water surface for more than 4 continuous weeks during most years, potentially altering the air-water exchange.  If true, enter "1" in next column.  If untrue, enter "0".</t>
  </si>
  <si>
    <r>
      <t xml:space="preserve">&lt;1% or &lt;0.01 acre, whichever is less.  </t>
    </r>
    <r>
      <rPr>
        <b/>
        <sz val="10"/>
        <rFont val="Arial Narrow"/>
        <family val="2"/>
      </rPr>
      <t>SKIP to F9.</t>
    </r>
  </si>
  <si>
    <t>The maximum annual fluctuation in surface water within the AA is:</t>
  </si>
  <si>
    <t>bare or nearly bare pervious surface or managed vegetation, e.g., lawn, mostly-unvegetated clearcut, landslide, unpaved road, dike.</t>
  </si>
  <si>
    <t>impervious surface, e.g., paved road, parking lot, building, exposed rock.</t>
  </si>
  <si>
    <r>
      <t xml:space="preserve">Mark all the classes of woody plants within the AA, but only IF they comprise </t>
    </r>
    <r>
      <rPr>
        <b/>
        <sz val="10"/>
        <rFont val="Arial Narrow"/>
        <family val="2"/>
      </rPr>
      <t>more than 5%</t>
    </r>
    <r>
      <rPr>
        <sz val="10"/>
        <rFont val="Arial Narrow"/>
        <family val="2"/>
      </rPr>
      <t xml:space="preserve"> of the woody canopy </t>
    </r>
    <r>
      <rPr>
        <u/>
        <sz val="10"/>
        <rFont val="Arial Narrow"/>
        <family val="2"/>
      </rPr>
      <t>within</t>
    </r>
    <r>
      <rPr>
        <sz val="10"/>
        <rFont val="Arial Narrow"/>
        <family val="2"/>
      </rPr>
      <t xml:space="preserve"> the AA.  Do not count trees that adjoin but are not within the AA.</t>
    </r>
  </si>
  <si>
    <t>Several ( &gt;5 if AA is &gt;10 acres, or &gt;2 for smaller AAs)</t>
  </si>
  <si>
    <t>41-42 degrees F</t>
  </si>
  <si>
    <t>43-44 degrees F</t>
  </si>
  <si>
    <t>&lt;38 degrees F</t>
  </si>
  <si>
    <t>&lt;67 inches</t>
  </si>
  <si>
    <t>&gt; 44 degrees F</t>
  </si>
  <si>
    <t>88-112 inches</t>
  </si>
  <si>
    <t>113-139 inches</t>
  </si>
  <si>
    <t>140-165 inches</t>
  </si>
  <si>
    <t>&gt;165 inches</t>
  </si>
  <si>
    <t>Invasive &amp; Non-native Cover</t>
  </si>
  <si>
    <t>no information available</t>
  </si>
  <si>
    <t>38-40 degrees F</t>
  </si>
  <si>
    <t>67-87 inches</t>
  </si>
  <si>
    <t xml:space="preserve">The longer growing season in nearshore wetlands may make them more productive, consequently supporting greater abundance of wetland songbirds and mammals. Forests located very close to shorelines are used extensively by mink, otter, bald eagle, goshawk, and many other species. Wintering deer tend to use forests within 1000 ft of marine shoreline (Doerr et al. 2005) partly due to reduced snow cover there. Nest success was also found to be greater near the coast than inland in Southeast Alaska (Willson &amp; Gende 2000). However, shoreline forests are more susceptible to wind damage. Consequently they often contain smaller trees, higher tree densities, less variation in tree diameters, and less evidence of large, old trees with heart rot than forests in more sheltered locations. Songbird diversity would consequently be expected to be less. Predation on some birds may also be higher along the immediate shoreline (e.g., Sperry et al. 2008). Also, bears select sheltered landscapes over storm-prone landscapes for winter dens, so tend to avoid denning near wind-exposed shorelines [DeGayner et al. 2005].  </t>
  </si>
  <si>
    <t>Waters, N.D.L.  1992.  Habitat associations, phenology, and biogeography of amphibians in the Stikine River Basin and Southeast Alaska. Report to the US Fish &amp; Wildlife Service, California Cooperative Fishery Research Unit, Humboldt State University, Arcata, CA.</t>
  </si>
  <si>
    <t>Frogs, snakes, and aquatic salamanders frequently use multiple wetlands in close proximity, such that wetlands located within landscapes with a high proportion of wetland cover are more likely to cumulatively meet the needs of these species.  Ponded (rather than flowing) waters are particularly preferred (Waters 1992).</t>
  </si>
  <si>
    <t>Excessive suspended sediment can interfere with the respiration and reproduction of larval amphibians (Knutson et al. 2004) and is commonly associated with glacially-fed rivers and streams. The cold water temperatures associated with glacial meltwater also may limit amphibians. (Waters 1992)</t>
  </si>
  <si>
    <t>Because amphibians do not physiologically regulate their body temperatures and many are at the northern limit of their range in Southeast Alaska, it can be assumed that they favor warmer microhabitats overall, and there is some evidence for this (Waters 1992). Wetlands fed by water from south-facing slopes would be expected to be warmer, but this and the possible effect on amphibians has not been widely tested.</t>
  </si>
  <si>
    <t>Amphibians in Southeast Alaska occur in waters spanning a wide acidity range.  A survey of 21 ponds near Juneau found wood frog at pH of 4.5 to 5.5, spotted frog at 6.9 to 9.8, western toad at 5.3 to 9.8, and rough-skinned newt at 5.1 to 6.7 (Carstensen et al. 2003). No bog ponds had amphibians.  Western toad occurred disproportionately in ponds with less acidity.  Water levels in floodplain wetlands are often too dynamic to support amphibian breeding (Waters 1992).</t>
  </si>
  <si>
    <r>
      <t xml:space="preserve">Most of the vegetated part of the AA (wetland </t>
    </r>
    <r>
      <rPr>
        <u/>
        <sz val="10"/>
        <rFont val="Arial Narrow"/>
        <family val="2"/>
      </rPr>
      <t>A</t>
    </r>
    <r>
      <rPr>
        <sz val="10"/>
        <rFont val="Arial Narrow"/>
        <family val="2"/>
      </rPr>
      <t xml:space="preserve">ssessment </t>
    </r>
    <r>
      <rPr>
        <u/>
        <sz val="10"/>
        <rFont val="Arial Narrow"/>
        <family val="2"/>
      </rPr>
      <t>A</t>
    </r>
    <r>
      <rPr>
        <sz val="10"/>
        <rFont val="Arial Narrow"/>
        <family val="2"/>
      </rPr>
      <t>rea) is a (select ONE):</t>
    </r>
  </si>
  <si>
    <t>At a regional scale, areas closer to tidal water are more likely to have milder winter climates, and thus have soils that remain unfrozen longer, allowing them to store or infiltrate more runoff.  However, they may also be more prone to occurrence of rain-on-snow events which sometimes cause the largest floods.</t>
  </si>
  <si>
    <t>Wetlands higher in a regional basin are likely to have proportionately smaller contributing areas, thus making these wetlands more able to contain the runoff that reaches them.  However, they are likely to be frozen for longer periods.</t>
  </si>
  <si>
    <t xml:space="preserve">Flowing Water - Extent </t>
  </si>
  <si>
    <r>
      <rPr>
        <b/>
        <sz val="10"/>
        <rFont val="Arial Narrow"/>
        <family val="2"/>
      </rPr>
      <t>likely</t>
    </r>
    <r>
      <rPr>
        <sz val="10"/>
        <rFont val="Arial Narrow"/>
        <family val="2"/>
      </rPr>
      <t xml:space="preserve">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t>
    </r>
  </si>
  <si>
    <t>Use of the AA by beaver during the past 5 years is (select most applicable ONE):</t>
  </si>
  <si>
    <r>
      <rPr>
        <b/>
        <sz val="10"/>
        <rFont val="Arial Narrow"/>
        <family val="2"/>
      </rPr>
      <t xml:space="preserve">evident </t>
    </r>
    <r>
      <rPr>
        <sz val="10"/>
        <rFont val="Arial Narrow"/>
        <family val="2"/>
      </rPr>
      <t>from direct observation or presence of gnawed limbs, dams, tracks, dens, lodges, or extensive stands of water-killed trees (snags).</t>
    </r>
  </si>
  <si>
    <t>scattered in small clumps, islands, or patches throughout the surface water area.</t>
  </si>
  <si>
    <t>Karst landforms tend to have more naturally-formed crevices and tunnels that could provide cover for amphibians during their terrestrial phases.  Karst also tends to support higher aquatic productivity.  In contrast, granitic bedrock is more erosion-resistant and thus soils associated with it, where not strongly influenced more by overlying glacial deposits, are poorer in nutrients (MacKenzie &amp; Shaw 2000, Banner et al. 2005) and thus less capable of supporting high aquatic productivity.</t>
  </si>
  <si>
    <t>1-25% of the AA, and mainly in a single large pool or pond, with or without fish access.</t>
  </si>
  <si>
    <t>When present, surface water in most of the AA usually consists of (select one):</t>
  </si>
  <si>
    <t>One depth class that comprises 50-90% of the AA's inundated area.</t>
  </si>
  <si>
    <t>One depth class that comprises &gt;90% of the AA’s inundated area (use the classes in the question above).</t>
  </si>
  <si>
    <t>Several ( &gt;2/acre) and a pond or lake of at least 1 acre is within 1 mile.</t>
  </si>
  <si>
    <t>Several ( &gt;2/acre) but above not true.</t>
  </si>
  <si>
    <t>Indicators</t>
  </si>
  <si>
    <t>Cedar</t>
  </si>
  <si>
    <t>Bogs have the deepest peat layers and usually fix carbon more readily than more fertile wetlands (fens) (Glenn et al. 2006). Although forested wetlands tend to be less productive than forested uplands, they still can produce at a level nearly double the USDA Forest Service minimum standard for commercial timberland [Julin &amp; D’Amore 2003). Also, methane emissions tend to be greater from fens, marshes, and other wetlands with water table near the ground surface for long periods (Liblik et al. 1997), as compared with peatlands. However, diurnal fluctuations in water tables resulting from tree evapotranspiration may cause greater release of methane from peat soils of forested wetlands.  Methane emissions may be especially large from wetlands with emergent sedges (a common feature of fens) because they facilitate translocation of methane from sediments to the air (Hines et al. 2008).</t>
  </si>
  <si>
    <t>Most feeding waterbirds are naturally drawn to more productive wetlands, which tend to be marshes, especially those along rivers and lakes (Thormann &amp; Bayley 1997, Epners et al. 2010).</t>
  </si>
  <si>
    <t>Accelerated Inputs of Contaminants and/or Salts</t>
  </si>
  <si>
    <t>Accelerated Inputs of Nutrients</t>
  </si>
  <si>
    <t>Type of loading</t>
  </si>
  <si>
    <t>high density of unmaintained septic, some types of industrial sources</t>
  </si>
  <si>
    <t>moderate density septic, cropland, secondary wastewater treatment plant</t>
  </si>
  <si>
    <t>livestock, pets, low density residential</t>
  </si>
  <si>
    <r>
      <t xml:space="preserve">* </t>
    </r>
    <r>
      <rPr>
        <b/>
        <sz val="10"/>
        <rFont val="Arial Narrow"/>
        <family val="2"/>
      </rPr>
      <t>high</t>
    </r>
    <r>
      <rPr>
        <sz val="10"/>
        <rFont val="Arial Narrow"/>
        <family val="2"/>
      </rPr>
      <t xml:space="preserve">-intensity= extensive off-road vehicle use, plowing, grading, excavation, erosion with or without veg removal; </t>
    </r>
    <r>
      <rPr>
        <b/>
        <sz val="10"/>
        <rFont val="Arial Narrow"/>
        <family val="2"/>
      </rPr>
      <t xml:space="preserve"> low</t>
    </r>
    <r>
      <rPr>
        <sz val="10"/>
        <rFont val="Arial Narrow"/>
        <family val="2"/>
      </rPr>
      <t>-intensity= veg removal only with little or no apparent erosion or disturbance of soil or sediment</t>
    </r>
  </si>
  <si>
    <t>Refer to the Precipitation layer in the online WESPAK-SE Wetlands Module. The mean annual precipitation in the vicinity of the AA was modeled as (rounded to the nearest whole number):</t>
  </si>
  <si>
    <t>Refer to the Temperature layer in the online WESPAK-SE Wetlands Module. The mean annual temperature in the vicinity of the AA was modeled as (rounded to the nearest whole number):</t>
  </si>
  <si>
    <t>Warmer parts of the region imply a longer period of time during which the ground remains unfrozen and vegetation can potentially remove water via evapotranspiration.</t>
  </si>
  <si>
    <t>Critially low stream flows are most likely to occur in the driest parts of the region.</t>
  </si>
  <si>
    <t>The need to cool surface waters is likely to be greatest at locations that are the region's warmest.</t>
  </si>
  <si>
    <t>The benefits of warming surface waters on biological productivity are likely to be greatest at locations in the region where climate is warmest.</t>
  </si>
  <si>
    <t>Because actual data on nitrate loads are lacking for many wetland watersheds, this approximation based on a host of N-generating activities is included as well.</t>
  </si>
  <si>
    <t xml:space="preserve">Microbes responsible for most of the nitrate removal in wetlands thrive best at warmer soil or sediment temperatures. </t>
  </si>
  <si>
    <t>Plants are more productive at warmer soil or sediment temperatures, and this supports higher productivity of aquatic insects and ultimately resident fish. Risk of winterkill by long-duration ice cover also may be less in warmer parts of the region.</t>
  </si>
  <si>
    <t>Warmth10</t>
  </si>
  <si>
    <t>Plants are more productive at warmer soil or sediment temperatures, and this supports higher productivity of aquatic insects.</t>
  </si>
  <si>
    <t>warmth8</t>
  </si>
  <si>
    <t>Amphibians do not physiologically regulate their body temperature.  Thus their populations are likely to be more productive (and have greater survival) in warmer parts of the region.</t>
  </si>
  <si>
    <t>Warmer mean annual temperature implies higher aquatic productivity and a longer period during which surface waters remain ice-free and thus usable by waterbirds.</t>
  </si>
  <si>
    <t>Places with a warmer mean annual temperature may provide opportunity for a greater variety of plant species to colonize substrates that are ice-free for longer during the year.</t>
  </si>
  <si>
    <t>Wetlands in regions with colder temperatures and shorter growing seasons take more time to recover from disturbances, and thus may be considered to be more sensitive.</t>
  </si>
  <si>
    <t>AVERAGE(Freeze, Elev,GDD,TidalProx)</t>
  </si>
  <si>
    <t>AVERAGE (OutDura, Depth) X AVERAGE(Warmth, Elev,TidalProx,IceDura,Lake)</t>
  </si>
  <si>
    <t>AVERAGE(Ice, TidalProx, Warmth,Elev)</t>
  </si>
  <si>
    <t>AVERAGE (TidalProx, GDD, Aspect)</t>
  </si>
  <si>
    <t>AVERAGE(TidalProx,GDD, ShedPos)</t>
  </si>
  <si>
    <t>Doerr, S. H., C. T. Llewellyn, P. Douglas, C. P. Morley, K. A. Manwaring, and C. Haskins. 2005. Extraction of compounds associated with water repellency in sandy soils of different origin. Australian Journal of Soil Research 43:225.</t>
  </si>
  <si>
    <t>Natural Cover in Buffer</t>
  </si>
  <si>
    <t>yes, and such conditions or classifications intersect the AA.</t>
  </si>
  <si>
    <t>yes, but the conditions or classifications do not reach or intersect the AA.</t>
  </si>
  <si>
    <t>e) fish presence and potential fish access are unknown and undeterminable.</t>
  </si>
  <si>
    <t>Distance to Nearest Maintained Road</t>
  </si>
  <si>
    <t>North-facing wetlands are likely to be more shaded and thus cooler and more capable of contributing cool water to downslope water bodies.</t>
  </si>
  <si>
    <t>There is more opportunity for suspended sediments to be trapped by a wetland (and thus more value to this function) if the wetland contains surface water which facilitates transport of suspended sediment. into the wetland.</t>
  </si>
  <si>
    <t>SatPct2</t>
  </si>
  <si>
    <t>SatPct3</t>
  </si>
  <si>
    <t>AVERAGE(SatPct, Persis, DomDepth, Fluctu)</t>
  </si>
  <si>
    <t>SatPct4</t>
  </si>
  <si>
    <t>“New” inundation can increase the amount of carbon exported as methane and sometimes, as CO2 (Kelly et al. 1997, Petrone et al. 2005, Blodau et al. 2007, Tuittila et al. 2000, Price et al. 2003). For example, new inundation resulting from beaver activity has been shown to increase methane emissions (Roulet et. al 1997).</t>
  </si>
  <si>
    <t xml:space="preserve">Tillage and regrading accelerate the decay of soil organic matter rather than supporting sequestration. Farming of drained hydric soils is a particular concern, because such soils typically have substantial organic matter that converts to greenhouse gases when tilled and planted annually. However, tillage of compacted soils can reduce methane emissions (Willey &amp; Chameides 2007). Despite associated soil disturbance, selective logging in forested wetlands in some cases may eventually increase carbon sequestration if the tree stands and other components of the forest ecosystem become more productive after thinning (Li et al. 2004). </t>
  </si>
  <si>
    <t>Stressor Subscore=</t>
  </si>
  <si>
    <t>AVERAGE(SatPct, Depth, DepthEven, PermWPct,Interspers, IsoDry,ThruFlo)</t>
  </si>
  <si>
    <t>The larvae of many wetland invertebrates require surface water, so the absence or scarcity of that limits aquatic invertebrate richness.</t>
  </si>
  <si>
    <t>Visib12</t>
  </si>
  <si>
    <t>PopCtr12</t>
  </si>
  <si>
    <t>Warmth12</t>
  </si>
  <si>
    <t>AVERAGE (Width, Size, SatPct)</t>
  </si>
  <si>
    <t>SatPct_S</t>
  </si>
  <si>
    <t>AVERAGE [ OutDura X AVERAGE(SatPct, ShedPos, CUratio, Freeze, IsoDry, Depth, Constric), AVERAGE(BuffSlope, Erodib, SoilTex, Beaver) ]</t>
  </si>
  <si>
    <r>
      <t xml:space="preserve">Assuming access permission was granted, select </t>
    </r>
    <r>
      <rPr>
        <b/>
        <sz val="10"/>
        <rFont val="Arial Narrow"/>
        <family val="2"/>
      </rPr>
      <t xml:space="preserve">ALL </t>
    </r>
    <r>
      <rPr>
        <sz val="10"/>
        <rFont val="Arial Narrow"/>
        <family val="2"/>
      </rPr>
      <t>statements that are true of the AA as it currently exists:</t>
    </r>
  </si>
  <si>
    <t>The frequency of most recreational visits declines with increasing distance from roads.</t>
  </si>
  <si>
    <t>DistRdPU</t>
  </si>
  <si>
    <t>AVERAGE(Ownership,Visibility,RdDist, Core1PU,Core2PU,ElevPU, PopCtrDisPU, TidalProxPU)</t>
  </si>
  <si>
    <r>
      <t xml:space="preserve">From the </t>
    </r>
    <r>
      <rPr>
        <b/>
        <sz val="10"/>
        <rFont val="Arial Narrow"/>
        <family val="2"/>
      </rPr>
      <t xml:space="preserve">center </t>
    </r>
    <r>
      <rPr>
        <sz val="10"/>
        <rFont val="Arial Narrow"/>
        <family val="2"/>
      </rPr>
      <t>of the AA, the distance to the nearest maintained public road (dirt or paved) is:</t>
    </r>
  </si>
  <si>
    <t>RecUse</t>
  </si>
  <si>
    <t>Enrich</t>
  </si>
  <si>
    <t>Subindices</t>
  </si>
  <si>
    <t>Hydrologic Stressors</t>
  </si>
  <si>
    <t>Water Quality Stressors</t>
  </si>
  <si>
    <t>Fragmentation Stressors</t>
  </si>
  <si>
    <t>Disturbance Stressors</t>
  </si>
  <si>
    <t>VisibWet</t>
  </si>
  <si>
    <t>BuffDisturbTyp</t>
  </si>
  <si>
    <t>AVERAGE(NatVegCA,RdBox, WeedSource)</t>
  </si>
  <si>
    <t>AVERAGE(Toxic, ToxicData, Enrich, SedLoad,SoilDisturb, CAimperv, BuffDisturbTyp)</t>
  </si>
  <si>
    <t>AVERAGE(DistRd, Wetter,WetterEx,Drier,DrierEx,AltTiming)</t>
  </si>
  <si>
    <t>(MAX(HydroStress, WQstress,FragStress,DisturbStress)) + AVERAGE(HydroStress, WQstress,FragStress,DisturbStress))/2</t>
  </si>
  <si>
    <t>AVERAGE(RecUse, Core1,Core2,DistRd, VisibWet, PopCtrDist, Owner)</t>
  </si>
  <si>
    <t>OpenPonded7</t>
  </si>
  <si>
    <t>Interspers2</t>
  </si>
  <si>
    <t>PondedPct6</t>
  </si>
  <si>
    <t>People are naturally drawn to coastal shorelines.  Due to the milder coastal climate, people can visit wetlands for longer periods throughout the year, although wetlands covered with ice or snow also can receive considerable wintertime use.</t>
  </si>
  <si>
    <t>Lack of physical barriers, provision of trails, and interpretive signs encourage greater public use of areas. However, some apparent barriers (e.g., deep water, dense brush) may be barriers only to summer recreation; frozen wetlands may enjoy considerable wintertime use.</t>
  </si>
  <si>
    <r>
      <t xml:space="preserve">Refer to the map in the online WESPAK-SE Wetlands Module: </t>
    </r>
    <r>
      <rPr>
        <b/>
        <sz val="10"/>
        <rFont val="Arial Narrow"/>
        <family val="2"/>
      </rPr>
      <t xml:space="preserve">Habitat Layers </t>
    </r>
    <r>
      <rPr>
        <sz val="10"/>
        <rFont val="Arial Narrow"/>
        <family val="2"/>
      </rPr>
      <t>&gt;</t>
    </r>
    <r>
      <rPr>
        <b/>
        <sz val="10"/>
        <rFont val="Arial Narrow"/>
        <family val="2"/>
      </rPr>
      <t xml:space="preserve"> Deer Winter Habitat Suitability Value</t>
    </r>
    <r>
      <rPr>
        <sz val="10"/>
        <rFont val="Arial Narrow"/>
        <family val="2"/>
      </rPr>
      <t xml:space="preserve">.  Enter 3 if Very High;  2 if High; 1 if Moderate;  0= Lower or all other.  </t>
    </r>
  </si>
  <si>
    <r>
      <t xml:space="preserve">See list in last column.  Then if necessary refer to the map in the online WESPAK-SE Wetlands Module: Habitat Layers &gt; </t>
    </r>
    <r>
      <rPr>
        <b/>
        <sz val="10"/>
        <rFont val="Arial Narrow"/>
        <family val="2"/>
      </rPr>
      <t>Important Bird Areas</t>
    </r>
    <r>
      <rPr>
        <sz val="10"/>
        <rFont val="Arial Narrow"/>
        <family val="2"/>
      </rPr>
      <t xml:space="preserve"> (IBAs). The AA is within or contains part of an IBA.  Enter 1= yes, 0= no. </t>
    </r>
  </si>
  <si>
    <t>From floodplain maps, topographic maps, aerial imagery, and/or contacts with FEMA and public works departments, determine IF:  downslope from the AA and within 2 miles, structures are within a mapped 100-year floodplain or flood damage to structures has been documented, and BOTH the following are true:
(a) The downslope flood damages were (or would be) caused mainly by rising river levels associated with precipitation and snow or glacier melt, not by high tides, hillslope runoff, or sudden icefalls AND
(b) Between the AA and the downslope damage area, peak flow in a connecting channel (if any) is NOT regulated by dams.
If true, enter “1” in next column.  If false, enter “0”.</t>
  </si>
  <si>
    <r>
      <t xml:space="preserve">Refer to the map in the online WESPAK-SE Wetlands Module: </t>
    </r>
    <r>
      <rPr>
        <b/>
        <sz val="10"/>
        <rFont val="Arial Narrow"/>
        <family val="2"/>
      </rPr>
      <t>Habitat Layers &gt; Anadromous Waters Catalog</t>
    </r>
    <r>
      <rPr>
        <sz val="10"/>
        <rFont val="Arial Narrow"/>
        <family val="2"/>
      </rPr>
      <t>, and preferably verify by contacting a local ADFG biologist.  Mark just the first choice that is true.  The AA:</t>
    </r>
  </si>
  <si>
    <r>
      <t xml:space="preserve">The AA (a) is in a </t>
    </r>
    <r>
      <rPr>
        <b/>
        <sz val="10"/>
        <rFont val="Arial Narrow"/>
        <family val="2"/>
      </rPr>
      <t>karst</t>
    </r>
    <r>
      <rPr>
        <sz val="10"/>
        <rFont val="Arial Narrow"/>
        <family val="2"/>
      </rPr>
      <t xml:space="preserve">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t>
    </r>
  </si>
  <si>
    <t xml:space="preserve">The AA contains (a) more than1 acre of a mature (&gt;24" dbh) living stand of cedar or (b) is in an area documented as Yellow Cedar Decline (see layer in online WESPAK-SE Wetlands Module). </t>
  </si>
  <si>
    <t>OF24</t>
  </si>
  <si>
    <t>OF25</t>
  </si>
  <si>
    <t>OF47</t>
  </si>
  <si>
    <t>OF48</t>
  </si>
  <si>
    <t>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t>
  </si>
  <si>
    <t>Salmon are a major subsistence food. Watersheds that potentially or actually support the highest densities of spawning salmon or the most spawning salmon species were scored higher.</t>
  </si>
  <si>
    <t>Larger stands are increasingly scarce and are a major contributor to regional biodiversity.</t>
  </si>
  <si>
    <t>CedarPD</t>
  </si>
  <si>
    <t>Cedar14</t>
  </si>
  <si>
    <t>Unbrow</t>
  </si>
  <si>
    <t>Mature cedar provides important winter cover for many mammals, and those stands as well as areas of cedar decline provide abundant snags for nesting songbirds.</t>
  </si>
  <si>
    <t>AVERAGE (Gcover, Cedar, Unbrow, Girreg, Cliffs, SnagsD, WoodDown)</t>
  </si>
  <si>
    <t>&lt;150 ft</t>
  </si>
  <si>
    <t>150-300 ft</t>
  </si>
  <si>
    <t>300-800 ft</t>
  </si>
  <si>
    <t>2000 ft - 1 mile</t>
  </si>
  <si>
    <t>800-2000 ft</t>
  </si>
  <si>
    <t>The longer the hydrologic path length, the greater the friction provided and thus the most effective a wetland potentially is at slowing or desynchonizing the downslope movement of runoff.</t>
  </si>
  <si>
    <t>More plant species occur in drier parts of wetlands than in parts that remain flooded for long duration.  However, long duration flooding adds some aquatic species not otherwise found in wetlands.</t>
  </si>
  <si>
    <t>Longer flow paths within a wetland allow more time and opportunity for suspended sediments to be deposited.</t>
  </si>
  <si>
    <t>Phosphorus retention often correlates with detention time, which in turn correlates with flow path length within a wetland.</t>
  </si>
  <si>
    <t xml:space="preserve">Floodplain wetlands are notably effective for removing N via denitrification (Clilverd et al. 2008) and that process is limited by available carbon more than it is in bogs (Pinay et al. 2003). Bogs are typically nitrogen-poor (Heilman 1966) and thus are able to rapidly take up much of the nitrate that reaches them (D’Amore et al. 2010). Their acidic conditions inhibit generation of nitrous oxide, but also may inhibit nitrification and the removal of nitrate via denitrification (Pinay et al. 2003). Denitrification is more prominent in fens and marshes than in acidic bogs. Bogs tend to cycle nitrogen internally and remove added N (Li &amp; Vitt 1997, Bayley &amp; Mewhort 2004), although due to acidic conditions and other factors, mosses in some wetlands have less capacity to take up apparently available N than do vascular plants (Heijmans et al. 2002, Berendse et al. 2001). Forested wetlands, especially those with an alder component or on slopes, may have less capacity to remove N via denitrification and may actually add nitrate via N fixation (Fellman &amp; D’Amore 2007). However, in forested wetlands in BC, the volume of hemlocks increased tenfold 10 years after fertilization with N, especially when combined with addition of P. And western red cedar stand volume more than doubled 15 years after N fertilization, although there was no additional effect of P fertilization (Blevins et al. 2006). Hemlock and cedar stands were similarly found to be N-limited by McDonald et al. (1994) and Lertzmann et al. (1996). Marshes tend to retain or remove nitrogen (Bedford et al. 1999). </t>
  </si>
  <si>
    <t>N removal often correlates with detention time, which in turn correlates with flow path length within a wetland.</t>
  </si>
  <si>
    <t>Longer flow paths allow for more interaction between runoff and wetland vegetation, which potentially leads to removal and export of more decomposed organic matter.</t>
  </si>
  <si>
    <t>Elevation in Multi-scale Watersheds</t>
  </si>
  <si>
    <t>&lt;1% of its CA  (including but not limited to most wetlands flooded annually by a major river, many in karst landscapes, and most that have multiple tributaries).</t>
  </si>
  <si>
    <t>Infiltration, and thus deposition of sediment suspended in runoff, is potentially greater in areas where water and soils do not remain frozen for long periods.  Wetlands situated relatively low in a regional basis are more likely to meet that condition.</t>
  </si>
  <si>
    <t>Plant matter decomposes most slowly under colder conditions such as occur at higher elevations.</t>
  </si>
  <si>
    <t>Hardwood forest, which supports many plant species not found in other habitat types more common in Southeast Alaska, is most prevalent in lowland valleys where disturbance from floods and landslides fosters its establishment. Lowlands also have milder climate and richer soils, and the opportunity is greater for introduction of plant propagules from higher elevations.  However, invasive plants that reduce overall richness are also more common.</t>
  </si>
  <si>
    <t>Due to the milder climate at lower elevations, people can visit wetlands for longer periods throughout the year, and year-round road access is generally better.</t>
  </si>
  <si>
    <r>
      <t xml:space="preserve">Perkins, T. E. and M. V. Wilson. 2005. The impacts of </t>
    </r>
    <r>
      <rPr>
        <i/>
        <sz val="10"/>
        <rFont val="Arial Narrow"/>
        <family val="2"/>
      </rPr>
      <t xml:space="preserve">Phalaris arundinacea </t>
    </r>
    <r>
      <rPr>
        <sz val="10"/>
        <rFont val="Arial Narrow"/>
        <family val="2"/>
      </rPr>
      <t>(reed canarygrass) invasion on wetland plant richness in the Oregon Coast Range, USA depend on beavers. Biological Conservation 124:291-295.</t>
    </r>
  </si>
  <si>
    <t>Being higher in elevation, growing season may be shorter in higher-elevation wetlands, which means longer recovery times from impacts.  Being at the upper end also means fewer opportunities for waterborne plant propagules to recolonize following any impacts.</t>
  </si>
  <si>
    <t xml:space="preserve">The water regimes of wetlands whose catchments are small relative to wetland size are often more precarious and sensitive to landscape alterations (Fitzgerald et al. 2003). </t>
  </si>
  <si>
    <t>OpenPonded7a</t>
  </si>
  <si>
    <t>If no surface water, then Groundwater factors only.  If surface water, then the average of Groundwater factors and Solar Heat factors (OpenPonded,Shade,Depth,ISOdry)</t>
  </si>
  <si>
    <t>FlowDist2</t>
  </si>
  <si>
    <t>(IF((AllSat=1), DryIntercept, IF((NoOutlet=1),1, (2*AVERAGE(Entrain, LiveStore2) + AVERAGE(DryIntercept, WetIntercept, Frozen))/3)))</t>
  </si>
  <si>
    <t>IF(AllSat=1),"", AVERAGE(OutDura,FlowDist,Depth, IsoWet, WatEdgeSlope)</t>
  </si>
  <si>
    <t>FlowDist3</t>
  </si>
  <si>
    <t>Interspers3</t>
  </si>
  <si>
    <t>Algae3</t>
  </si>
  <si>
    <t>Nsource4</t>
  </si>
  <si>
    <t>Warmth</t>
  </si>
  <si>
    <t xml:space="preserve">Interception and/or Erosion Resistance </t>
  </si>
  <si>
    <t>AVERAGE(OutDur,Gradient,Constric)</t>
  </si>
  <si>
    <t>Redox</t>
  </si>
  <si>
    <t>(AVERAGE(SatPct, Persis, SeasPct) + AVERAGE(Fluctu, UpEdgeShape, Inclusions,Girreg))/2</t>
  </si>
  <si>
    <t>AVERAGE(SoilTex,WetType, NewWetland,AqPlantCov, SoilDisturb)</t>
  </si>
  <si>
    <t>WetPctCA4</t>
  </si>
  <si>
    <t>Sediment deposition can be predicted partly by the ratio of the volume of a storage basin to the volume of runoff entering the basin (Heinemann 1981). This indicator is a rough correlate of that ratio.</t>
  </si>
  <si>
    <t>FloDist4</t>
  </si>
  <si>
    <t>Warmth4</t>
  </si>
  <si>
    <t>Wetter5</t>
  </si>
  <si>
    <t>SoilDisturb5</t>
  </si>
  <si>
    <t>Warmth5</t>
  </si>
  <si>
    <t>Sedge5</t>
  </si>
  <si>
    <t>AVERAGE(MossCov, Sedge,SeasPct, Fluctu, Groundw,TreeForm,Wetter, PermWpct)</t>
  </si>
  <si>
    <t>Warmth6</t>
  </si>
  <si>
    <t>FloDist6</t>
  </si>
  <si>
    <t>Wettype6</t>
  </si>
  <si>
    <t>Decid6</t>
  </si>
  <si>
    <t>Interspers6</t>
  </si>
  <si>
    <t>AVERAGE(GroundW, TidalProx, Elev, Wettype, Karst, Nfix)</t>
  </si>
  <si>
    <t>Beaver9</t>
  </si>
  <si>
    <t xml:space="preserve">AVERAGE(Depth,SatPct, MAX(SeasWPct, PermWPct),Lake, Interspers,ThruFlo) </t>
  </si>
  <si>
    <t>Stained water is direct evidence that dissolved organic matter is present.</t>
  </si>
  <si>
    <t>Stained6</t>
  </si>
  <si>
    <t>MAX [SalmoShed,AVERAGE(WbirdFeed,SBMscore),AVERAGE(Fishing, Core, PopCtr, DistRd), Subsist ]</t>
  </si>
  <si>
    <t>Subsist9</t>
  </si>
  <si>
    <t>Core9</t>
  </si>
  <si>
    <t>DistRd10</t>
  </si>
  <si>
    <t>in the Stikine, Alsek, Taiya-Chilkat-Skagway, or Taku deltas or floodplains.</t>
  </si>
  <si>
    <t>in another mainland area or on an island larger than 20 square miles.</t>
  </si>
  <si>
    <t>Core10</t>
  </si>
  <si>
    <t>MAX(Waterbird Feeding score, Subsist,AVERAGE(Fishing,PopDist, DistRd,Core)))</t>
  </si>
  <si>
    <t>DepthDiv8</t>
  </si>
  <si>
    <t>HerbDiv8</t>
  </si>
  <si>
    <t>AVERAGE(Fluctu, SatPct, PermWpct, ISOwet, GroundW)</t>
  </si>
  <si>
    <t>Karst11</t>
  </si>
  <si>
    <t>AVERAGE(Ice, TidalProx, Warmth, Elev)</t>
  </si>
  <si>
    <r>
      <t>Burger, J. and M. Gochfeld. 1991. Human activity influence and diurnal and nocturnal foraging of sanderlings (</t>
    </r>
    <r>
      <rPr>
        <i/>
        <sz val="10"/>
        <rFont val="Arial Narrow"/>
        <family val="2"/>
      </rPr>
      <t>Calidris alba</t>
    </r>
    <r>
      <rPr>
        <sz val="10"/>
        <rFont val="Arial Narrow"/>
        <family val="2"/>
      </rPr>
      <t>). Condor 93:259-265.</t>
    </r>
  </si>
  <si>
    <t>Algae12</t>
  </si>
  <si>
    <t>AVERAGE(ISOwet, SatPct, MAX(SeasWpct, PermWpct), Depth, DepthEven)</t>
  </si>
  <si>
    <t>AVERAGE(Wettype,Fringe, Lake, Algae, Gradient, Fish)</t>
  </si>
  <si>
    <t>5-25% of the vegetated AA or (if a fringe wetland) 5-25% of the water edge  -- whichever is greater.</t>
  </si>
  <si>
    <t xml:space="preserve">25-50% of the vegetated AA or the water edge, whichever is greater. </t>
  </si>
  <si>
    <t>50-95% of the vegetated AA or the water edge, whichever is greater.</t>
  </si>
  <si>
    <t>&gt;95% of the vegetated part of the AA or the water edge, whichever is greater.</t>
  </si>
  <si>
    <r>
      <t>Hood, G. A. and S. E. Bayley. 2008. Beaver (</t>
    </r>
    <r>
      <rPr>
        <i/>
        <sz val="10"/>
        <rFont val="Arial Narrow"/>
        <family val="2"/>
      </rPr>
      <t>Castor canadensis</t>
    </r>
    <r>
      <rPr>
        <sz val="10"/>
        <rFont val="Arial Narrow"/>
        <family val="2"/>
      </rPr>
      <t>) mitigate the effects of climate on the area of open water in boreal wetlands in western Canada. Biological Conservation 141:556-567.</t>
    </r>
  </si>
  <si>
    <t>AVERAGE(Convenience, Invest, RecPot)</t>
  </si>
  <si>
    <t>Recent evidence was found within the AA of the following potentially-sustainable consumptive uses.  Select all that apply.</t>
  </si>
  <si>
    <t>Maintained roads, parking areas, or foot-trails are within 30 ft of the AA, or the AA can be accessed part of the year by boats arriving via contiguous waters.</t>
  </si>
  <si>
    <t xml:space="preserve">Within or near the AA, there is an interpretive center, trails with interpretive signs or brochures, and/or regular guided interpretive tours. </t>
  </si>
  <si>
    <t>Most of the AA is (select one):</t>
  </si>
  <si>
    <t>Within 100 ft upslope of the wetland-upland edge closest to the AA, the upland land cover that is NOT unmanaged vegetation or water is mostly (mark ONE):</t>
  </si>
  <si>
    <t>100-1000 sq. ft. within the AA.</t>
  </si>
  <si>
    <t>none, or &lt;100 sq. ft within the AA.</t>
  </si>
  <si>
    <t>1000 – 10,000 sq. ft. within the AA.</t>
  </si>
  <si>
    <t>&gt;10,000 sq. ft within the AA.</t>
  </si>
  <si>
    <t>25-50% of the vegetated AA</t>
  </si>
  <si>
    <t>50-95% of the vegetated AA</t>
  </si>
  <si>
    <t>&gt;95% of the vegetated part of the AA</t>
  </si>
  <si>
    <t>The gradient along most of the flow path within the AA is:</t>
  </si>
  <si>
    <t>Neither of above is true, although some groundwater may discharge to or flow through the AA, or groundwater influx is unknown.</t>
  </si>
  <si>
    <t>&lt;5% and inhabited building is within 300 ft of the AA</t>
  </si>
  <si>
    <t>5-50% and no inhabited building is within 300 ft of the AA</t>
  </si>
  <si>
    <t>5-50% and inhabited building is within 300 ft of the AA</t>
  </si>
  <si>
    <t>&lt;5% and no inhabited building is within 300 ft of the AA</t>
  </si>
  <si>
    <t>BMP - Soils</t>
  </si>
  <si>
    <t>BMP - Wildlife Protection</t>
  </si>
  <si>
    <t>BMPsoilsPU</t>
  </si>
  <si>
    <t>BMPwildPU</t>
  </si>
  <si>
    <t>Boardwalks, paved trails, fences or other infrastructure and/or well-enforced regulations appear to effectively prevent visitors from walking on unfrozen soils within nearly all of the AA.  Enter "1" if true.</t>
  </si>
  <si>
    <t>BMP11</t>
  </si>
  <si>
    <t xml:space="preserve">AVERAGE(NatVegPct, BuffLU, NatVegProx, NatCov2mi, ScapeLU, NatVegSize, RoadCirc) </t>
  </si>
  <si>
    <t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t>
  </si>
  <si>
    <t>BMP12</t>
  </si>
  <si>
    <t>AVERAGE(Corea, Coreb, BMP, _Tox)</t>
  </si>
  <si>
    <t>AVERAGE(NatVegTractSize, BuffLUtype, BuffNatPct,RdDis)</t>
  </si>
  <si>
    <t>AVERAGE(Core1,Core2, BMP, Toxics)</t>
  </si>
  <si>
    <t>BMP13</t>
  </si>
  <si>
    <t>BMPsoils20</t>
  </si>
  <si>
    <t>AVERAGE(Freeze, Elev, Warmth,TidalProx, Aspect)</t>
  </si>
  <si>
    <t>RareWclass11</t>
  </si>
  <si>
    <t>on an island smaller than 20 sq. mi. and separated completely from other lands by a gap wider than 150 feet created by tidal or marine waters.</t>
  </si>
  <si>
    <t>Amphibians may be rarer on islands, especially small marine islands.  Rarity makes any resource more valuable.</t>
  </si>
  <si>
    <t>A wetland'can potentially contribute the most to regional amphiibian diversity if it belongs to a class that is relatively rare at a watershed/HUC scale (as measured here) as well as at a local (2 mile) scale measured by the above indicator.</t>
  </si>
  <si>
    <t>RareWclass12</t>
  </si>
  <si>
    <t>RareWclass13</t>
  </si>
  <si>
    <t>_IBA13</t>
  </si>
  <si>
    <t>Rare13</t>
  </si>
  <si>
    <t>A wetland'can potentially contribute the most to regional waterbird diversity if it belongs to a class that is relatively rare at a watershed/HUC scale (as measured here) as well as at a local (2 mile) scale measured by the above indicator.</t>
  </si>
  <si>
    <t>A wetland'can potentially contribute the most to regional diversity of wetland songbirds, raptors, and mammals if it belongs to a class that is relatively rare at a watershed/HUC scale (as measured here) as well as at a local (2 mile) scale measured by the above indicator.</t>
  </si>
  <si>
    <t>RareWclass14</t>
  </si>
  <si>
    <t>A wetland'can potentially contribute the most to regional diversity of pollinators if it belongs to a class that is relatively rare at a watershed/HUC scale (as measured here) as well as at a local (2 mile) scale measured by the above indicator.</t>
  </si>
  <si>
    <t>RareWclass0</t>
  </si>
  <si>
    <t>RareHerb</t>
  </si>
  <si>
    <t>RareWclassPD</t>
  </si>
  <si>
    <t>A wetland'can potentially contribute the most to regional diversity of plants if it belongs to a class that is relatively rare at a watershed/HUC scale (as measured here) as well as at a local (2 mile) scale measured by the above indicator.</t>
  </si>
  <si>
    <t>Glean20</t>
  </si>
  <si>
    <t>Recolonization of disturbed wetlands is expected to be slower if the disturbed wetland belongs to a class that is relatively rare in its watershed/HUC.</t>
  </si>
  <si>
    <t>RareWclass_S</t>
  </si>
  <si>
    <t xml:space="preserve">Larger wetlands are used disproportionately by some species of nesting wetland-dependent songbirds. Smaller identical wetlands of equal cumulative area probably support lower numbers and cumulative richness of songbirds and mammals, unless they are close together and connected with corridors of undeveloped land.  However, for predicting bird diversity, some evidence from peatlands (Calmer and Desrochers 2000) suggests that wetland size may be less important than microhabitat heterogeneity (which is represented by other WESPAK indicators). </t>
  </si>
  <si>
    <t>Calmé, S. and A. Desrochers. 2000. Biogeographic aspects of the distribution of bird species breeding in Québec’s peatlands. Journal of Biogeography 27: 725–732.</t>
  </si>
  <si>
    <r>
      <t>Bosschieter, L. and P. W. Goedhart. 2005. Gap crossing decisions by reed warblers (</t>
    </r>
    <r>
      <rPr>
        <i/>
        <sz val="10"/>
        <rFont val="Arial Narrow"/>
        <family val="2"/>
      </rPr>
      <t>Acrocephalus scirpaceus</t>
    </r>
    <r>
      <rPr>
        <sz val="10"/>
        <rFont val="Arial Narrow"/>
        <family val="2"/>
      </rPr>
      <t>) in agricultural landscapes. Landscape Ecology 20:455–468.</t>
    </r>
  </si>
  <si>
    <t>Bakker, V. J. and D. H. Van Vuren. 2004. Gap‐crossing decisions by the red squirrel, a forest‐dependent small mammal. Conservation Biology 18:689-697.</t>
  </si>
  <si>
    <r>
      <t xml:space="preserve">Darimont, C. T. and P. C. Paquet. 2002. Gray wolves, </t>
    </r>
    <r>
      <rPr>
        <i/>
        <sz val="10"/>
        <rFont val="Arial Narrow"/>
        <family val="2"/>
      </rPr>
      <t>Canis lupus,</t>
    </r>
    <r>
      <rPr>
        <sz val="10"/>
        <rFont val="Arial Narrow"/>
        <family val="2"/>
      </rPr>
      <t xml:space="preserve"> of British Columbia's Central and North Coast: Distribution and conservation assessment. Canadian Field Naturalist 116:416-422.</t>
    </r>
  </si>
  <si>
    <r>
      <t>Flaherty, E. A., W. P. Smith, S. Pyare, and M. Ben-David. 2008. Experimental trials of the Northern flying squirrel (</t>
    </r>
    <r>
      <rPr>
        <i/>
        <sz val="10"/>
        <rFont val="Arial Narrow"/>
        <family val="2"/>
      </rPr>
      <t>Glaucomys sabrinus</t>
    </r>
    <r>
      <rPr>
        <sz val="10"/>
        <rFont val="Arial Narrow"/>
        <family val="2"/>
      </rPr>
      <t>) traversing managed rainforest landscapes: perceptual range and fine-scale movements. Canadian Journal of Zoology-Revue Canadienne De Zoologie 86:1050-1058.</t>
    </r>
  </si>
  <si>
    <t>IF((AllSat=1),Gwater, ELSE: AVERAGE(Gwater, Shade,OpenPonded,Depth,ISOdry,SatPct)))</t>
  </si>
  <si>
    <t>1-25% of the AA, and mostly in a single large pool, pond, and/or channel.</t>
  </si>
  <si>
    <t>InTemp7</t>
  </si>
  <si>
    <t>Constricted</t>
  </si>
  <si>
    <t>Woody12</t>
  </si>
  <si>
    <t>Woody13</t>
  </si>
  <si>
    <r>
      <t xml:space="preserve">% with </t>
    </r>
    <r>
      <rPr>
        <b/>
        <sz val="10"/>
        <rFont val="Arial Narrow"/>
        <family val="2"/>
      </rPr>
      <t>Persistent</t>
    </r>
    <r>
      <rPr>
        <sz val="10"/>
        <rFont val="Arial Narrow"/>
        <family val="2"/>
      </rPr>
      <t xml:space="preserve"> Surface Water</t>
    </r>
  </si>
  <si>
    <r>
      <t xml:space="preserve">% Flooded </t>
    </r>
    <r>
      <rPr>
        <b/>
        <sz val="10"/>
        <rFont val="Arial Narrow"/>
        <family val="2"/>
      </rPr>
      <t xml:space="preserve">Only </t>
    </r>
    <r>
      <rPr>
        <sz val="10"/>
        <rFont val="Arial Narrow"/>
        <family val="2"/>
      </rPr>
      <t>Seasonally</t>
    </r>
  </si>
  <si>
    <t>50-99% of the AA never contains surface water.</t>
  </si>
  <si>
    <t>AVERAGE(Lake, LakeProx, Fringe,Beaver, PondPctScape,PondProx)]</t>
  </si>
  <si>
    <t>BuffCovTyp4</t>
  </si>
  <si>
    <t>Impervious surfaces in a buffer can result in more transport of nitrate and other substances into a wetland.  However, bare (but pervious) surfaces such as lawns are sometimes a greater source of nutrient runoff.</t>
  </si>
  <si>
    <r>
      <t xml:space="preserve">The AA contains (or is part of) an island within a lake, pond, or river, and is isolated from the shore by </t>
    </r>
    <r>
      <rPr>
        <b/>
        <sz val="10"/>
        <rFont val="Arial Narrow"/>
        <family val="2"/>
      </rPr>
      <t>water depths &gt;3 ft</t>
    </r>
    <r>
      <rPr>
        <sz val="10"/>
        <rFont val="Arial Narrow"/>
        <family val="2"/>
      </rPr>
      <t xml:space="preserve"> on all sides during an average June.  The island may be solid, or it may be a floating vegetation mat suitable for nesting waterbirds.</t>
    </r>
  </si>
  <si>
    <t>Island13</t>
  </si>
  <si>
    <t>AVERAGE(Wettype,Gradient, TidalProx, Elev, Acidity,ShoreSlope, Fish, Island)</t>
  </si>
  <si>
    <t>PondPct4</t>
  </si>
  <si>
    <t>Infiltration, and thus deposition of sediment suspended in runoff, is potentially greater in areas where water and soils do not remain frozen for long periods. Wetlands tend to be ice-covered for shorter duration, thus reducing the erosion of sediment from their shorelines as a result of ice scour. Mean annual temperature is one indicator of the likelihood of this condition.</t>
  </si>
  <si>
    <t>Soil or sediment texture, and especially clay content of soil, is one of the most important predictors of phosphorus retention. Excessive organic matter buildup in soils can inhibit plant germination and growth by acidifying the soil, which restricts nutrient availability and thus plant capacity to take up and retain phosphorus (Prescott et al. 2000). However, phosphorus can also form complexes with soil organic matter and thus be retained.  Southeast Alaska soils have little clay with cation exchange capacity.  Young volcanics pyroclasts (ash, not bedrock) may have more iron, which assists phosphorus retention.</t>
  </si>
  <si>
    <t>The effectiveness for storing runoff or delaying the downslope movement of surface water for long or short periods.</t>
  </si>
  <si>
    <t>WS</t>
  </si>
  <si>
    <t>WC</t>
  </si>
  <si>
    <t>Sediment Retention and Stabilization</t>
  </si>
  <si>
    <t>The effectiveness for intercepting and filtering suspended inorganic sediments, thus allowing their deposition, as well as reducing energy of waves and currents, resisting excessive erosion, and stabilizing underlying sediments or soil.</t>
  </si>
  <si>
    <t>SR</t>
  </si>
  <si>
    <t>Phosphorus Retention</t>
  </si>
  <si>
    <t>The effectiveness for retaining phosphorus for long periods (&gt;1 growing season) as a result of chemical adsorption, or from translocation by plants to belowground zones with less potential for physically or chemically  remobilizing phosphorus into the water column.</t>
  </si>
  <si>
    <t>PR</t>
  </si>
  <si>
    <t>NR</t>
  </si>
  <si>
    <t>Carbon Sequestration</t>
  </si>
  <si>
    <t xml:space="preserve">The effectiveness for retaining both incoming particulate and dissolved carbon, and through the photosynthetic process converting carbon dioxide gas to organic matter (particulate or dissolved), and then retaining that organic matter on a net annual basis for long periods while emitting little or no methane (a potent “greenhouse gas”).  </t>
  </si>
  <si>
    <t>CS</t>
  </si>
  <si>
    <t>OE</t>
  </si>
  <si>
    <t>FR</t>
  </si>
  <si>
    <t>Invertebrate Habitat</t>
  </si>
  <si>
    <t>INV</t>
  </si>
  <si>
    <t>AM</t>
  </si>
  <si>
    <t>WB</t>
  </si>
  <si>
    <t>SBM</t>
  </si>
  <si>
    <t>POL</t>
  </si>
  <si>
    <t>PH</t>
  </si>
  <si>
    <t xml:space="preserve">A wetland's lack of intrinsic resistance and resilience to human and natural stressors (higher score = more sensitive).
</t>
  </si>
  <si>
    <t>Sen</t>
  </si>
  <si>
    <t>STR</t>
  </si>
  <si>
    <t>The degree to which a wetland is, or has recently been altered by, or exposed to risk from, factors capable of reducing one or more of its functions and which are primarily human-related.</t>
  </si>
  <si>
    <t>The effectiveness for maintaining or reducing temperature of downslope waters.</t>
  </si>
  <si>
    <t>The effectiveness for contributing water to streams during the driest part of a growing season.</t>
  </si>
  <si>
    <t>SFS</t>
  </si>
  <si>
    <t>The effectiveness for increasing the temperature of downslope waters.</t>
  </si>
  <si>
    <t xml:space="preserve">The effectiveness for retaining particulate nitrate and converting soluble nitrate and ammonium to nitrogen gas, primarily through the microbial process of denitrification, while generating little or no nitrous oxide (a potent greenhouse gas).  </t>
  </si>
  <si>
    <t xml:space="preserve">The effectiveness for producing and subsequently exporting organic matter, either particulate or dissolved, along with associated compounds and elements such as iron.
</t>
  </si>
  <si>
    <t>The capacity to support or contribute to an abundance or diversity of native frogs, toads, and salamanders.</t>
  </si>
  <si>
    <t xml:space="preserve">The capacity to support or contribute to an abundance or diversity of invertebrate animals which spend all or part of their life cycle underwater or in moist soil.  Includes dragonflies, midges, clams, snails, water beetles, shrimp, aquatic worms, and others.
</t>
  </si>
  <si>
    <t>The capacity to support or contribute to an abundance or diversity of waterbirds that migrate or winter but do not breed in the region.</t>
  </si>
  <si>
    <t>WBF</t>
  </si>
  <si>
    <t>The capacity to support or contribute to an abundance or diversity of waterbirds that nest in the region.</t>
  </si>
  <si>
    <t>The capacity to support or contribute to an abundance or diversity of native songbird, raptor, and mammal species and functional groups, especially those that are most dependent on wetlands or water.</t>
  </si>
  <si>
    <t>The capacity to support or contribute to a diversity of native, hydrophytic, vascular plant species, communities, and/or functional groups.</t>
  </si>
  <si>
    <t>PU</t>
  </si>
  <si>
    <t>Subsistence</t>
  </si>
  <si>
    <t>Subsis</t>
  </si>
  <si>
    <t>The effectiveness for supporting the production and taking of fish, wildlife or other wild resources for non-commercial (customary and traditional) use.</t>
  </si>
  <si>
    <t>Woody vegetation 3 to 20 ft tall that is not under the drip line of trees is:</t>
  </si>
  <si>
    <t>Plants are most productive at warmer soil or sediment temperatures, and their foliage that contributes organic matter to downslope food chains decomposes most rapidly under warmer conditions (Fissore et al. 2009). Those conditions are described by increasing mean annual temperature. As soil temperatures increase, so does the concentration of DOC in forested wetland soils and streams, and in that form carbon is readily exported (D’Amore et al. 2010). The production of Sphagnum moss, a dominant species in Southeast Alaska bogs and slope wetlands, is greater in warmer areas (Gunnarsson 2005).</t>
  </si>
  <si>
    <t>Fissore, C., Giardina, C. P., Kolka, R. K., and Trettin, C. C. 2009. Soil organic carbon quality in forested mineral wetlands at different mean annual temperature. Soil Biology and Biochemistry 41(3):458-466.</t>
  </si>
  <si>
    <t>Fyles, J. W. and I. H. Fyles. 1993. Interaction of Douglas-fir with red alder and salal foliage litter during decomposition. Canadian Journal of Forest Research 23:358-361.</t>
  </si>
  <si>
    <t>Pacific, V. J., K. G. Jensco, and B. L. McGlynn. 2010. Variable flushing mechanisms and landscape structure control stream DOC export during snowmelt in a set of nested catchments. Biogeochemistry 99:193-211.</t>
  </si>
  <si>
    <t>no, or no information but very unlikely that AA is intersected by highly erodible lands or landslides</t>
  </si>
  <si>
    <t>&lt;1 acre, or larger but with average width &lt;150 ft</t>
  </si>
  <si>
    <t>none of the above</t>
  </si>
  <si>
    <t>150-300 ft, with or without interrupting features</t>
  </si>
  <si>
    <t>300-1000 ft, with or without interrupting features</t>
  </si>
  <si>
    <t>Wildlife Access</t>
  </si>
  <si>
    <r>
      <t xml:space="preserve">The minimum distance from the AA </t>
    </r>
    <r>
      <rPr>
        <b/>
        <sz val="10"/>
        <rFont val="Arial Narrow"/>
        <family val="2"/>
      </rPr>
      <t>edge</t>
    </r>
    <r>
      <rPr>
        <sz val="10"/>
        <rFont val="Arial Narrow"/>
        <family val="2"/>
      </rPr>
      <t xml:space="preserve"> to the edge of the closest patch or corridor of </t>
    </r>
    <r>
      <rPr>
        <b/>
        <i/>
        <sz val="10"/>
        <rFont val="Arial Narrow"/>
        <family val="2"/>
      </rPr>
      <t xml:space="preserve">natural </t>
    </r>
    <r>
      <rPr>
        <sz val="10"/>
        <rFont val="Arial Narrow"/>
        <family val="2"/>
      </rPr>
      <t xml:space="preserve">(but not necessarily native-- see definition on right) land cover </t>
    </r>
    <r>
      <rPr>
        <b/>
        <sz val="10"/>
        <rFont val="Arial Narrow"/>
        <family val="2"/>
      </rPr>
      <t>larger than 100 acres</t>
    </r>
    <r>
      <rPr>
        <sz val="10"/>
        <rFont val="Arial Narrow"/>
        <family val="2"/>
      </rPr>
      <t>, is:</t>
    </r>
  </si>
  <si>
    <r>
      <t>No upstream glacier feeds</t>
    </r>
    <r>
      <rPr>
        <b/>
        <sz val="10"/>
        <rFont val="Arial Narrow"/>
        <family val="2"/>
      </rPr>
      <t xml:space="preserve"> surface</t>
    </r>
    <r>
      <rPr>
        <sz val="10"/>
        <rFont val="Arial Narrow"/>
        <family val="2"/>
      </rPr>
      <t xml:space="preserve"> water to the AA, not even seasonally.</t>
    </r>
  </si>
  <si>
    <t>other (E, SE, W, NW), or no detectable uphill slope or input channel (flat)</t>
  </si>
  <si>
    <t xml:space="preserve">outside the AA only, and 0.5 to 2 miles away and at nearly the same elevation. </t>
  </si>
  <si>
    <t>Coarse: includes sand, loamy sand, gravel, cobble, stones, boulders, fluvents, fluvaquents, riverwash.</t>
  </si>
  <si>
    <t>Fines: includes silt, glacial flour, clay, clay loam, silty clay, silty clay loam, sandy clay, sandy clay loam.</t>
  </si>
  <si>
    <r>
      <t xml:space="preserve">less than 1%, or &lt;0.01 acre (whichever is less).  </t>
    </r>
    <r>
      <rPr>
        <b/>
        <sz val="10"/>
        <rFont val="Arial Narrow"/>
        <family val="2"/>
      </rPr>
      <t>SKIP to F7.</t>
    </r>
  </si>
  <si>
    <t>Based on lack of shade upstream or source characteristics, the inflow is likely to be warmer than the AA's surface water during part of most years.  Enter 1= yes, 0= no.</t>
  </si>
  <si>
    <t>Internal Flow Distance (Path Length)</t>
  </si>
  <si>
    <t>1-25% of the vegetated AA</t>
  </si>
  <si>
    <t xml:space="preserve">5-25%.  </t>
  </si>
  <si>
    <r>
      <t xml:space="preserve">(a) Woody cover </t>
    </r>
    <r>
      <rPr>
        <b/>
        <sz val="10"/>
        <rFont val="Arial Narrow"/>
        <family val="2"/>
      </rPr>
      <t>OR</t>
    </r>
    <r>
      <rPr>
        <sz val="10"/>
        <rFont val="Arial Narrow"/>
        <family val="2"/>
      </rPr>
      <t xml:space="preserve"> herbaceous/moss comprise</t>
    </r>
    <r>
      <rPr>
        <b/>
        <sz val="10"/>
        <rFont val="Arial Narrow"/>
        <family val="2"/>
      </rPr>
      <t xml:space="preserve"> &gt;70% </t>
    </r>
    <r>
      <rPr>
        <sz val="10"/>
        <rFont val="Arial Narrow"/>
        <family val="2"/>
      </rPr>
      <t>of the vegetated AA, AND (b) There are several patches of the other scattered within it. (e.g., forested AAs with patches -- not limited to corridors -- of skunk cabbage, or muskeg with scattered shrubs).</t>
    </r>
  </si>
  <si>
    <t>(a) Woody over OR herbaceous/moss comprise &gt;70% of the vegetated AA, AND (b) The other is absent or is mostly in a single area or distinct zone with almost no intermixing of woody and unshaded herbaceous/moss vegetation.</t>
  </si>
  <si>
    <r>
      <t xml:space="preserve">(a) Woody cover and herbaceous/moss cover EACH comprise </t>
    </r>
    <r>
      <rPr>
        <b/>
        <sz val="10"/>
        <rFont val="Arial Narrow"/>
        <family val="2"/>
      </rPr>
      <t>30-70%</t>
    </r>
    <r>
      <rPr>
        <sz val="10"/>
        <rFont val="Arial Narrow"/>
        <family val="2"/>
      </rPr>
      <t xml:space="preserve"> of the </t>
    </r>
    <r>
      <rPr>
        <b/>
        <sz val="10"/>
        <rFont val="Arial Narrow"/>
        <family val="2"/>
      </rPr>
      <t xml:space="preserve">vegetated part </t>
    </r>
    <r>
      <rPr>
        <sz val="10"/>
        <rFont val="Arial Narrow"/>
        <family val="2"/>
      </rPr>
      <t xml:space="preserve">of the AA, AND (b) There are </t>
    </r>
    <r>
      <rPr>
        <u/>
        <sz val="10"/>
        <rFont val="Arial Narrow"/>
        <family val="2"/>
      </rPr>
      <t>many</t>
    </r>
    <r>
      <rPr>
        <sz val="10"/>
        <rFont val="Arial Narrow"/>
        <family val="2"/>
      </rPr>
      <t xml:space="preserve"> patches of woody vegetation scattered widely within herbaceous/moss vegetation, or many patches of herbaceous vegetation scattered widely within woody vegetation.</t>
    </r>
  </si>
  <si>
    <r>
      <t xml:space="preserve">(a) Woody cover and herbaceous/moss EACH comprise 30-70% of the vegetated AA, AND (b) There are </t>
    </r>
    <r>
      <rPr>
        <u/>
        <sz val="10"/>
        <rFont val="Arial Narrow"/>
        <family val="2"/>
      </rPr>
      <t>few</t>
    </r>
    <r>
      <rPr>
        <sz val="10"/>
        <rFont val="Arial Narrow"/>
        <family val="2"/>
      </rPr>
      <t xml:space="preserve"> patches ("islands") of woody vegetation scattered widely within herbaceous vegetation, or few patches of herbaceous/moss vegetation ("gaps") scattered widely within woody vegetation.</t>
    </r>
  </si>
  <si>
    <t>Not applicable.  Surface water (either open or obscured by emergent plants) covers all of the AA all the time.</t>
  </si>
  <si>
    <t>The maximum percent of the AA that is visible from the best vantage point on public roads, public parking lots, public buildings, or well-defined public trails that intersect, adjoin, or are within 300 ft of the wetland (select one) is:</t>
  </si>
  <si>
    <t>During certain times of their life cycle, a significant proportion of dispersing populations of frogs and salamanders can be crushed by vehicles.  See below.</t>
  </si>
  <si>
    <t xml:space="preserve">Because of the barriers to recolonization by mainland bird populations, island bird populations may be slower to recover from disturbances. </t>
  </si>
  <si>
    <t>AVERAGE (SatPct, PermWpct, PondPctScape, PondProx, Beaver, Interspers)</t>
  </si>
  <si>
    <t>Many wetland birds (e.g., herons) feed extensively on fish.  If fish can easily access large parts of a wetland, use by these birds will be greater.  This is particularly true when anadromous fish use a wetland, because of their sometimes large spawning concentrations, and because they introduce ocean-derived nutrients that can fertilize riparian vegetation.</t>
  </si>
  <si>
    <t>Human enjoyment of waterbirds (birding, hunting) is facilitated where wetlands are largely visible from major access points.  This increases the value of any level of feeding waterbird function.</t>
  </si>
  <si>
    <t>If they attract waterbirds, wetlands closer to settled areas may also attract greater bird-centered use by humans (e.g., birdwatching, hunting) thus increasing their value.</t>
  </si>
  <si>
    <r>
      <t>Walking is physically possible</t>
    </r>
    <r>
      <rPr>
        <u/>
        <sz val="10"/>
        <rFont val="Arial Narrow"/>
        <family val="2"/>
      </rPr>
      <t xml:space="preserve"> in</t>
    </r>
    <r>
      <rPr>
        <sz val="10"/>
        <rFont val="Arial Narrow"/>
        <family val="2"/>
      </rPr>
      <t xml:space="preserve"> (not just near) &gt;5% of the AA during most of year, e.g., free of deep water and dense shrub thickets.</t>
    </r>
  </si>
  <si>
    <t xml:space="preserve">Wetlands already dominated by non-native invasive species are likely to be more resistant to further impacts, at least to their remaining plant communities (Werner et al. 2002, Wigand et al. 2003, Stohlgren et al. 2002), </t>
  </si>
  <si>
    <t>The proportion of the AA's contributing area (measured to no more than 1000 ft upslope) that is comprised of buildings, roads, parking lots, other pavement, exposed bedrock, debris flows, and other mostly-bare (but unfrozen) surface is about :</t>
  </si>
  <si>
    <t>Determine which two native shrub species (3 to 20 ft tall) comprise the greatest portion of the native shrub cover.  Then choose one:</t>
  </si>
  <si>
    <t>Select first applicable choice.  In the AA:</t>
  </si>
  <si>
    <r>
      <t>The average percent slope of the land, measured from the AA's wetland-upland edge and extending uphill to the most extensive and/or closest</t>
    </r>
    <r>
      <rPr>
        <b/>
        <sz val="10"/>
        <rFont val="Arial Narrow"/>
        <family val="2"/>
      </rPr>
      <t xml:space="preserve"> disturbance feature within 100 ft, </t>
    </r>
    <r>
      <rPr>
        <sz val="10"/>
        <rFont val="Arial Narrow"/>
        <family val="2"/>
      </rPr>
      <t>is:</t>
    </r>
  </si>
  <si>
    <t>Cliffs, Banks, Beaver, Muskrat</t>
  </si>
  <si>
    <t>AVERAGE(TreeDBHs,TreeCover)</t>
  </si>
  <si>
    <t>FloDist1</t>
  </si>
  <si>
    <t>Warmth7</t>
  </si>
  <si>
    <t>OutDur  X [AVERAGE(ShadeIn, Fringe,Glacier,Elev,Aspect,Imperv, Warmth) + AnadFish] /2</t>
  </si>
  <si>
    <t>Where a wetland comprises a large proportion of its catchment, nutrient loading is more likely to occur at rates and levels that can be processed effectively.</t>
  </si>
  <si>
    <r>
      <t xml:space="preserve">Grünfeld, S. and H. Brix. 1999. Methanogenesis and methane emissions: effects of water table, substrate type and presence of </t>
    </r>
    <r>
      <rPr>
        <i/>
        <sz val="10"/>
        <rFont val="Arial Narrow"/>
        <family val="2"/>
      </rPr>
      <t>Phragmites australis.</t>
    </r>
    <r>
      <rPr>
        <sz val="10"/>
        <rFont val="Arial Narrow"/>
        <family val="2"/>
      </rPr>
      <t xml:space="preserve"> Aquatic Botany 64.1 (1999): 63-75.</t>
    </r>
  </si>
  <si>
    <t xml:space="preserve">The presence of peat or muck implies the presence (at least historically) of a microclimate favorable to long-term retention of particulate carbon. Peat is also a poor substrate for methanogenesis (White et al. 2008) but that is also true of well-oxygenated coarse soils (Grunfeld &amp; Brix 1999). However, in very coarse soils the annual productivity of plants is often less than in clay/ loam soils because, unless the coarse soils are flooded regularly by rivers, they tend to be nutrient-poor (Boss 1983).  Moderately coarse soils (silts, loams), especially those with a large component of soil aggregates in the 2-8 mm range (Hossler &amp; Bouchard 2000), tend to have neutral pH and support greater plant productivity and thus more soil organic carbon. </t>
  </si>
  <si>
    <t>Soil organic matter is slow to accumulate in constructed wetlands (Alsfeld et al. 2009), so less is likely to be available for export. The most heavily glaciated watersheds are the source of the oldest and most available DOM (Dissolved Organic Matter). These glacial watersheds have extreme runoff rates, in part because they are subject to some of the highest rates of glacier volume loss (Hood et al. 2009).</t>
  </si>
  <si>
    <t>Number of anglers -- an indicator of fish value --would usually be expected to increase with increasing proximity to population centers.</t>
  </si>
  <si>
    <t>Number of anglers -- an indicator of fish value --would usually be expected to increase with increasing proximity to roads which facilitate access to wetlands with fish.</t>
  </si>
  <si>
    <t>Number of anglers -- an indicator of fish value -- would usually be expected to increase when more parts of a wetland are physically accessible.</t>
  </si>
  <si>
    <t>Fewer resident fish thrive in nutrient-poor acidic ponds. However, as pond size increases and ponds begin to resemble lakes, alkalinity often increases and consequently the ability to support a wider array of aquatic animals. Even where surrounded by bog vegetation and acidic soils with high DOC (Dissolved Organic Carbon) concentrations, many of these lakes are not acidic, especially when located low in a watershed (Eilers et al. 1993). If acidic ponded water is absent, the model ignores this indicator, but if present, the function score is reduced slightly.</t>
  </si>
  <si>
    <t>Bunn, S. and A. Arthington. 2002. Basic principles and ecological consequences of altered flow regimes for aquatic biodiversity. Environmental Management 30:492–507.</t>
  </si>
  <si>
    <t>Brown, J. 2007. Groundwater and Biodiversity Conservation.in A. Wyers, A. Aldous, and L. Bach, editors. A Methods Guide for Integrating Groundwater Needs of Ecosystems and Species into Conservation Plans in the Pacific Northwest. The Nature Conservancy, Portland, OR.</t>
  </si>
  <si>
    <t>Populations of some amphibians (e.g., four-toed salamander) seem to thrive best in fishless wetlands;  predatory fish (especially, exotic species) can cause extirpations of native species (Pearl et al. 2005).</t>
  </si>
  <si>
    <t>Excessive human traffic and free-roaming pets can harm native amphibians directly (collecting and predation) and indirectly (habitat alteration), so measures to reduce such impacts are given credit.</t>
  </si>
  <si>
    <t xml:space="preserve">Herbaceous rather than woody vegetation is the most attractive nesting cover for most species of waterbirds (Bolenbaugh et al. 2011), partly because it provides food as well as cover.  Trees near water edges discourage use of those areas by some waterbird species, probably because it potentially conceals or provides a perch for predators such as eagles and falcons (Shepherd &amp; Lank 2004, Sprague et al. 2008). </t>
  </si>
  <si>
    <t>Bolenbaugh, J. R., D. G. Krementz, and S. E. Lehnen. 2011. Secretive marsh bird species co-occurrences and habitat associations across the Midwest, USA. Journal of Fish and Wildlife Management 2:49-60.</t>
  </si>
  <si>
    <t>Shepherd, P. C. F. and D. B. Lank. 2004. Marine and agricultural habitat preferences of dunlin wintering in British Columbia. Journal of Wildlife Management 68:61-73.</t>
  </si>
  <si>
    <r>
      <t>Sprague, A. J., D. J. Hamilton, and A. W. Diamond. 2008. Site safety and food affect movements of Semipalmated Sandpipers (</t>
    </r>
    <r>
      <rPr>
        <i/>
        <sz val="10"/>
        <rFont val="Arial Narrow"/>
        <family val="2"/>
      </rPr>
      <t>Calidris pusilla</t>
    </r>
    <r>
      <rPr>
        <sz val="10"/>
        <rFont val="Arial Narrow"/>
        <family val="2"/>
      </rPr>
      <t>) migrating through the upper Bay of Fundy. Avian Conservation and Ecology 3:1-22.</t>
    </r>
  </si>
  <si>
    <t>Frequent traffic by people and free-roaming pets can stress some waterbirds, so measures to reduce such impacts are given credit.</t>
  </si>
  <si>
    <t>Lokemoen, J. T. and R. O. Woodward. 1992. Nesting waterfowl and water birds on natural islands in the Dakotas and Montana. Wildlife Society Bulletin 20:163-171.</t>
  </si>
  <si>
    <t>Such wetlands may be considered more valuable because of their disproportionate contribution to waterbird biodiversity at a regional scale.</t>
  </si>
  <si>
    <t>Wetland value is considered greater if it is part of an area recognized officially as being of outstanding importance to waterbirds.  Such areas have been chosen through a systematic selection process by biologists and birders in Alaska and elsewhere.</t>
  </si>
  <si>
    <t xml:space="preserve">Non-native plants that can reduce native plant richness tend to be more prevalent closer to population centers because many have been introduced intentionally or unintentionally by humans. </t>
  </si>
  <si>
    <t>Dominance by deciduous cover allows more light to penetrate to the ground.  In many instances this results in greater richness of understory plant species.</t>
  </si>
  <si>
    <t>Bella, E. M. 2011. Invasion prediction on Alaska trails: Distribution, habitat, and trail use. Invasive Plant Science and Management 4(3): 296-305.</t>
  </si>
  <si>
    <t>Trampling of native vegetation by recreationists can decrease seed germination and increase vulnerability to invasion by more tolerant invasive plants and ultimately reduce native plant richness.  These and other Best Management Practices (BMPs) potentially reduce such damage.</t>
  </si>
  <si>
    <t>Such use of native plants imbues them with additional perceived value.</t>
  </si>
  <si>
    <t>Such features and practices minimize damage to plants and wildlife and thus help sustain the natural features that attract people to wetlands.</t>
  </si>
  <si>
    <t xml:space="preserve">Wetlands are likely to be more resilient (less sensitive, thus lower weighting factor) if they are contiguous with or close to other natural cover, especially if it is extensive,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</si>
  <si>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UniqVegF</t>
  </si>
  <si>
    <t>Wetlands existing in landscapes that have many other wetlands not too distant from the particular wetland are more likely to be resilient if impacted because recolonizing organisms and propagules have less distance to travel.</t>
  </si>
  <si>
    <t>Large water bodies often support high richness of wetland plants and animals, such that if a wetland is distant from a lake, recolonization of the wetland following impacts is likely to be slower.</t>
  </si>
  <si>
    <t xml:space="preserve">Lichens and mosses have been affected by edge-induced microclimate changes extending at least 50 ft into forested areas (Hylander et al. 2002, Boudreault et al. 2008) and as far as ~150 ft from the forest edge (Baldwin &amp; Bradfield 2005). In Oregon, selective thinning of forests that adjoined riparian buffers did not affect the herbaceous or shrub cover in the buffers when they were wider than ~50 ft (Anderson &amp; Meleason 2009). Thinning can increase the distance seeds disperse into the forest and the number that disperse successfully (Cadenasso et al. 2001). One study found that where more than 50% of the basal area was cut, a significantly different plant community structure resulted. Partial cutting did not significantly change abundance for most of the important forage species for deer [Deal 2001]. </t>
  </si>
  <si>
    <t>Seeds of non-native plants commonly are carried by humans and their pets. Non-native plants can decrease plant species richness of the wetland.  In the Kenai Peninsula,significantly fewer nonnative species were found beyond a 500-m distance from a trailhead.  High-use trails, especially those in open-canopied areas, exhibited the greatest numbers of nonnative species at the farthest distances from the trailhead and contained a greater number of less common nonnative species (Bella 2011).</t>
  </si>
  <si>
    <t xml:space="preserve">The total proportion of the land that is natural land cover, as well as its proximity, can affect songbird and mammal richness in wetlands. In Ohio, migrant songbirds had the strongest positive correlation with natural land cover near streams when it was measured within ~820 ft of streams, rather than in areas closer or farther. Some migrant songbirds were much less likely to occur where there were many buildings within that distance of streams (Pennington 2008). However, one study found that migrant bird abundance was statistically unrelated to either percent urbanized land or percent forest cover within 0.6 mile (Rodewald &amp; Mathews 2005). Clearcutting may have facilitated range expansion by moose into some coastal watersheds of Southeast Alaska, and this could alter predator-prey dynamics and transmission of disease to native deer [Darimont et al. 2005]. High nest predation was found in clearcut openings and edges where squirrels were a common nest predator throughout. [Desanto &amp; Wilson 2001]. Younger forests that develop after clearcutting often contain mixed alder-conifer stands which provide significantly higher understory biomass than in pure conifer forests. </t>
  </si>
  <si>
    <t xml:space="preserve">Large habitat patches support more plant species. Depending on their shape, forest patches sized about 10 acres or larger may provide habitat capable of sustaining a diverse array of bryophyte functional groups in temperate rainforest landscapes. (Baldwin &amp; Bradfield 2007). A leveling off of the plant species-area accumulation curve in Alberta forests appeared at a forest patch size of about 27 acres (Gignac &amp; Dale 2007). Blocks of forest smaller than about 9 acres may be less capable of supporting the expected array of mosses in British Columbia (Baldwin &amp; Bradfield 2007), although a study in Washington found that forest patches as small as 2.5 acres, if not narrow, may be large enough to have a microclimate supportive of most plants and animals (Heithecker &amp; Halperin 2007). </t>
  </si>
  <si>
    <r>
      <t xml:space="preserve">Measured along the maintained road or boat landing that is nearest the AA, the distance to the nearest </t>
    </r>
    <r>
      <rPr>
        <b/>
        <sz val="10"/>
        <rFont val="Arial Narrow"/>
        <family val="2"/>
      </rPr>
      <t xml:space="preserve">population center </t>
    </r>
    <r>
      <rPr>
        <sz val="10"/>
        <rFont val="Arial Narrow"/>
        <family val="2"/>
      </rPr>
      <t>is:</t>
    </r>
  </si>
  <si>
    <t>Distance to Lake</t>
  </si>
  <si>
    <t>The AA contains an uncommon or imperiled wetland indicator plant that is (a) listed in Table C-6 of the Manual, or (b) is a native species that is not listed as occurring in Southeast Alaska in the PlantList worksheet, has been detected within the AA under conditions similar to what now occur, by a qualified observer, and:</t>
  </si>
  <si>
    <t xml:space="preserve">Toxicity Documented Upstream </t>
  </si>
  <si>
    <t>sampling (not just absence of map symbols) indicates no problems</t>
  </si>
  <si>
    <t xml:space="preserve">Toxicity Documented Downstream </t>
  </si>
  <si>
    <t>within 1 mile downslope, and connected to the AA by a channel</t>
  </si>
  <si>
    <t>within 1 mile downslope, but not connected to the AA by a channel</t>
  </si>
  <si>
    <t>Lake9</t>
  </si>
  <si>
    <r>
      <t xml:space="preserve">The Impaired Waters (DEC) and Contaminated Sites (Active) maps show such a problem within the AA or in waters </t>
    </r>
    <r>
      <rPr>
        <b/>
        <sz val="10"/>
        <rFont val="Arial Narrow"/>
        <family val="2"/>
      </rPr>
      <t>downslope from</t>
    </r>
    <r>
      <rPr>
        <sz val="10"/>
        <rFont val="Arial Narrow"/>
        <family val="2"/>
      </rPr>
      <t xml:space="preserve"> the AA. Or, other sampling has identified such a problem downslope. Select the </t>
    </r>
    <r>
      <rPr>
        <b/>
        <sz val="10"/>
        <rFont val="Arial Narrow"/>
        <family val="2"/>
      </rPr>
      <t xml:space="preserve">first </t>
    </r>
    <r>
      <rPr>
        <sz val="10"/>
        <rFont val="Arial Narrow"/>
        <family val="2"/>
      </rPr>
      <t>true statement. These conditions are present:</t>
    </r>
  </si>
  <si>
    <t>insufficient data (no map symbols &amp; no sampling, or &gt;1 mile downslope)</t>
  </si>
  <si>
    <t>A wetland exposed to toxic substances has less or no capacity to sustain anadromous fish. Fish are especially sensitive to heavy metals such as copper (McIntyre et al. 2008, Scannell 2009).</t>
  </si>
  <si>
    <t>Scannell, P.W. 2009. Effects of copper on aquatic species: a review of the literature. Tech. Rept. No. 09-04. Alaska Dept. of Fish &amp; Game, Juneau, AK.</t>
  </si>
  <si>
    <r>
      <t>Sedges (</t>
    </r>
    <r>
      <rPr>
        <i/>
        <sz val="10"/>
        <rFont val="Arial Narrow"/>
        <family val="2"/>
      </rPr>
      <t>Carex</t>
    </r>
    <r>
      <rPr>
        <sz val="10"/>
        <rFont val="Arial Narrow"/>
        <family val="2"/>
      </rPr>
      <t xml:space="preserve"> spp.) and/or cottongrass (</t>
    </r>
    <r>
      <rPr>
        <i/>
        <sz val="10"/>
        <rFont val="Arial Narrow"/>
        <family val="2"/>
      </rPr>
      <t>Eriophorum angustifolium)</t>
    </r>
    <r>
      <rPr>
        <sz val="10"/>
        <rFont val="Arial Narrow"/>
        <family val="2"/>
      </rPr>
      <t xml:space="preserve"> occupy:</t>
    </r>
  </si>
  <si>
    <t>Contaminants in food webs are detrimental in the long term.  This indicator denotes potential or actual exposure.</t>
  </si>
  <si>
    <t>ToxUp2</t>
  </si>
  <si>
    <t>MAX(ToxData, ToxUp, AVERAGE(Inflo,SatPct,FlowIn,Glacier, AVERAGE(ImpervPctSS,ErodibleSS,SedIn,CAnatPct, BuffSlope,Elev,CApct,TransportSS,MaxFluc,NewWeta)</t>
  </si>
  <si>
    <t>1-25% of the AA, and mostly in narrow channels and/or small scattered pools.</t>
  </si>
  <si>
    <t>Sampling (not just absence of map symbols) indicates no problems.</t>
  </si>
  <si>
    <r>
      <t xml:space="preserve">in waters within 1 mile that flow </t>
    </r>
    <r>
      <rPr>
        <b/>
        <sz val="10"/>
        <rFont val="Arial Narrow"/>
        <family val="2"/>
      </rPr>
      <t>into</t>
    </r>
    <r>
      <rPr>
        <sz val="10"/>
        <rFont val="Arial Narrow"/>
        <family val="2"/>
      </rPr>
      <t xml:space="preserve"> the AA.</t>
    </r>
  </si>
  <si>
    <t>insufficient data (no map symbols &amp; no sampling, or &gt;1 mile upstream).</t>
  </si>
  <si>
    <t>The AA borders a body of ponded open water whose size (not counting the AA's wetland) exceeds 20 acres during most of the growing season.  Enter "1" if true, "0" if false.</t>
  </si>
  <si>
    <r>
      <t xml:space="preserve">The percentage of the ponded water that is </t>
    </r>
    <r>
      <rPr>
        <b/>
        <sz val="10"/>
        <rFont val="Arial Narrow"/>
        <family val="2"/>
      </rPr>
      <t>open</t>
    </r>
    <r>
      <rPr>
        <sz val="10"/>
        <rFont val="Arial Narrow"/>
        <family val="2"/>
      </rPr>
      <t xml:space="preserve"> (lacking emergent vegetation during most of the growing season, and unhidden by a forest or shrub canopy) is:</t>
    </r>
  </si>
  <si>
    <t>Within the AA, inclusions of upland that individually are &gt;100 sq. ft. are:</t>
  </si>
  <si>
    <t>Little or none, or all water is shallower than 2 ft most of the year.</t>
  </si>
  <si>
    <t>The capacity to support rearing or spawning habitat of fish species that migrate from marine waters into freshwater streams to spawn, e.g., coho and sockeye salmon.</t>
  </si>
  <si>
    <t>The capacity to support an abundance and diversity of native fish (both resident and visiting species) that are not anadromous, e.g., Dolly Varden, cutthroat trout.</t>
  </si>
  <si>
    <t>Intermediate (1 - 10% of vegetated part of the AA).</t>
  </si>
  <si>
    <t>Many (e.g., wetland-upland "mosaic", &gt;10% of the vegetated AA).</t>
  </si>
  <si>
    <t>Intermediate, e.g., 500 - 2500 cu. ft of instream wood per 1000 ft of channel.</t>
  </si>
  <si>
    <t>Extensive:  &gt;8 pieces of wood per stream reach (reach= 10x channel width), or &gt;2700 cu.ft of instream wood per 1000 ft of channel, or &gt;10% of bank length is incised.</t>
  </si>
  <si>
    <r>
      <t xml:space="preserve">Refer to the map in the online WESPAK-SE Wetlands Module: Geology&gt; </t>
    </r>
    <r>
      <rPr>
        <b/>
        <sz val="10"/>
        <rFont val="Arial Narrow"/>
        <family val="2"/>
      </rPr>
      <t>Granitic Geology</t>
    </r>
    <r>
      <rPr>
        <sz val="10"/>
        <rFont val="Arial Narrow"/>
        <family val="2"/>
      </rPr>
      <t>. The AA is underlain primarily by granitic formations or glacial till that is known to be granitic, as indicated by maps or preferably from direct observation.  Enter 1= yes, 0= no.</t>
    </r>
  </si>
  <si>
    <t>AVERAGE[Fish, MAX(AltTime, SedCA,SoilDisturb)]</t>
  </si>
  <si>
    <t xml:space="preserve">IF((AllSaturatedOnly=1),0,
IF((Wettype=Forested Peatland),0,ELSE:
AVERAGE(Produc, AVERAGE(Hydro, Struc, Climate, Lscape,Stressors)))
</t>
  </si>
  <si>
    <t>IF((AllWater=1),0, ELSE: (AVERAGE(PermWpct,AVERAGE(StrucA,StrucB,Produc,Lscape,Wscape,Stress))</t>
  </si>
  <si>
    <t>The gradient of the tributary with the largest inflow, averaged up to 300 ft from the AA (excluding any portion of the distance where water travels through a pipe) is:</t>
  </si>
  <si>
    <t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t>
  </si>
  <si>
    <t xml:space="preserve">Few or none (minimal microtopography; &lt;1% of that area) </t>
  </si>
  <si>
    <r>
      <t xml:space="preserve">The AA contains or adjoins a </t>
    </r>
    <r>
      <rPr>
        <b/>
        <sz val="10"/>
        <rFont val="Arial Narrow"/>
        <family val="2"/>
      </rPr>
      <t xml:space="preserve">public </t>
    </r>
    <r>
      <rPr>
        <sz val="10"/>
        <rFont val="Arial Narrow"/>
        <family val="2"/>
      </rPr>
      <t>boat dock or ramp, or is within 0.5 mile of a ferry terminal, airstrip, public lodge, campsite, snowmobile park, or picnic area.</t>
    </r>
  </si>
  <si>
    <t>AVERAGE[Beaver, AVERAGE(Wettype,Shade, WoodAbove, ABpct,AqCov) ]</t>
  </si>
  <si>
    <t>AVERAGE[Beaver, AVERAGE(Wettype, WoodAbove, AqPlantCov, Shade, IsoWet)]</t>
  </si>
  <si>
    <t>IF(AllSat=1),"", IF(NoPonded=1),"",AVERAGE (Width, MAX(Thruflo,AqPlantCov, Interspers))</t>
  </si>
  <si>
    <r>
      <t xml:space="preserve">In the online WESPAK-SE Wetlands Module, see </t>
    </r>
    <r>
      <rPr>
        <b/>
        <sz val="10"/>
        <rFont val="Arial Narrow"/>
        <family val="2"/>
      </rPr>
      <t xml:space="preserve">Impaired Waters (DEC) </t>
    </r>
    <r>
      <rPr>
        <sz val="10"/>
        <rFont val="Arial Narrow"/>
        <family val="2"/>
      </rPr>
      <t xml:space="preserve">and </t>
    </r>
    <r>
      <rPr>
        <b/>
        <sz val="10"/>
        <rFont val="Arial Narrow"/>
        <family val="2"/>
      </rPr>
      <t>Contaminated Sites (Active)</t>
    </r>
    <r>
      <rPr>
        <sz val="10"/>
        <rFont val="Arial Narrow"/>
        <family val="2"/>
      </rPr>
      <t xml:space="preserve">.  Do those maps show a problem within the AA or in waters flowing </t>
    </r>
    <r>
      <rPr>
        <b/>
        <u/>
        <sz val="10"/>
        <rFont val="Arial Narrow"/>
        <family val="2"/>
      </rPr>
      <t>into</t>
    </r>
    <r>
      <rPr>
        <sz val="10"/>
        <rFont val="Arial Narrow"/>
        <family val="2"/>
      </rPr>
      <t xml:space="preserve"> it, and the problem is that </t>
    </r>
    <r>
      <rPr>
        <b/>
        <sz val="10"/>
        <rFont val="Arial Narrow"/>
        <family val="2"/>
      </rPr>
      <t>metals, hydrocarbons</t>
    </r>
    <r>
      <rPr>
        <sz val="10"/>
        <rFont val="Arial Narrow"/>
        <family val="2"/>
      </rPr>
      <t xml:space="preserve">, or other substances in the sediment, water, or tissues are at levels known to be harmful to aquatic life or humans?  Or, other sampling has identified such a problem? Select the </t>
    </r>
    <r>
      <rPr>
        <b/>
        <sz val="10"/>
        <rFont val="Arial Narrow"/>
        <family val="2"/>
      </rPr>
      <t>first</t>
    </r>
    <r>
      <rPr>
        <sz val="10"/>
        <rFont val="Arial Narrow"/>
        <family val="2"/>
      </rPr>
      <t xml:space="preserve"> true statement. These conditions are present:</t>
    </r>
  </si>
  <si>
    <r>
      <rPr>
        <b/>
        <sz val="10"/>
        <rFont val="Arial Narrow"/>
        <family val="2"/>
      </rPr>
      <t xml:space="preserve">Exposed </t>
    </r>
    <r>
      <rPr>
        <sz val="10"/>
        <rFont val="Arial Narrow"/>
        <family val="2"/>
      </rPr>
      <t>Shrub Canopy</t>
    </r>
  </si>
  <si>
    <t>Northward (N, NE).  north-facing CA.</t>
  </si>
  <si>
    <t>Southward (S, SW).  south-facing CA.</t>
  </si>
  <si>
    <r>
      <t xml:space="preserve">On a topographic map, draw the approximate bounds of this AA's </t>
    </r>
    <r>
      <rPr>
        <b/>
        <sz val="10"/>
        <rFont val="Arial Narrow"/>
        <family val="2"/>
      </rPr>
      <t>contributing area  (</t>
    </r>
    <r>
      <rPr>
        <i/>
        <sz val="10"/>
        <rFont val="Arial Narrow"/>
        <family val="2"/>
      </rPr>
      <t>see Manual</t>
    </r>
    <r>
      <rPr>
        <b/>
        <sz val="10"/>
        <rFont val="Arial Narrow"/>
        <family val="2"/>
      </rPr>
      <t>)</t>
    </r>
    <r>
      <rPr>
        <sz val="10"/>
        <rFont val="Arial Narrow"/>
        <family val="2"/>
      </rPr>
      <t>.  Relative to the extent of this contributing area (CA), the AA comprises:</t>
    </r>
  </si>
  <si>
    <t>Most songbirds prefer to nest in drier parts of wetlands because ground cover and vegetation height, which provide essential structure, tend to be greater there.</t>
  </si>
  <si>
    <t>At some time of the year, mats of algae and/or duckweed cover most of the AA's otherwise-unshaded water surface or blanket the underwater substrate.  If true, enter "1" in next column.  If untrue or uncertain, enter "0".</t>
  </si>
  <si>
    <t xml:space="preserve">Groundwater influx is sometimes indicated by an orange stain, indicating the presence of iron oxidizing bacteria (Dickman &amp; Rygiel 1998). Especially in riverine wetlands, groundwater (hyporheic flow) that discharges into wetlands is extremely important to salmonids because of its cooler temperature. However, in some instances this "iron floc" decreases the oxygen required by fish and smothers fish spawning gravels.  </t>
  </si>
  <si>
    <t xml:space="preserve">   an impounding dam, dike, levee, weir, berm, road fill, or tidegate -- within or downgradient from the wetland, or raising of outlet culvert elevation.</t>
  </si>
  <si>
    <t xml:space="preserve">   excavation within the wetland, e.g., artificial pond, dead-end ditch</t>
  </si>
  <si>
    <t xml:space="preserve">   excavation or reflooding of upland soils that adjoined the wetland, thus expanding the area of the wetland</t>
  </si>
  <si>
    <t xml:space="preserve">   plugging of ditches or drain tile that otherwise would drain the wetland (as part of intentional restoration, or due to lack of maintenance, sedimentation, etc.)</t>
  </si>
  <si>
    <t xml:space="preserve">   vegetation removal (e.g., logging) within the wetland</t>
  </si>
  <si>
    <t xml:space="preserve">   compaction (e.g., ruts) and/or subsidence of the wetland's substrate as a result of machinery, livestock, or off road vehicles</t>
  </si>
  <si>
    <t xml:space="preserve">   subsidies from stormwater, wastewater effluent, or septic system leakage</t>
  </si>
  <si>
    <t xml:space="preserve">   pavement, ditches, or drain tile in the CA that incidentally increase the transport of water into the wetland</t>
  </si>
  <si>
    <t xml:space="preserve">   removal of timber in the CA or along the wetland's tributaries</t>
  </si>
  <si>
    <t xml:space="preserve">   removal of a water control structure or blockage in tributary upstream from the wetland</t>
  </si>
  <si>
    <t xml:space="preserve">   ditches or drain tile in the wetland or along its edge that accelerate outflow from the wetland</t>
  </si>
  <si>
    <t xml:space="preserve">   lowering or enlargement of a surface water exit point (e.g., culvert) or modification of a water level control structure, resulting in quicker drainage</t>
  </si>
  <si>
    <t xml:space="preserve">   accelerated downcutting or channelization of an adjacent or internal channel (incised below the historical water table level)</t>
  </si>
  <si>
    <t xml:space="preserve">   placement of fill material</t>
  </si>
  <si>
    <t xml:space="preserve">   withdrawals (e.g., pumping) of natural surface or ground water directly out of the wetland (not its tributaries)</t>
  </si>
  <si>
    <t xml:space="preserve">   a dam, dike, levee, weir, berm, or tidegate that interferes with natural inflow to the wetland</t>
  </si>
  <si>
    <t xml:space="preserve">   relocation of natural tributaries whose water would otherwise reach the wetland</t>
  </si>
  <si>
    <t xml:space="preserve">   instream water withdrawals from tributaries whose water would otherwise reach the wetland</t>
  </si>
  <si>
    <t xml:space="preserve">   groundwater withdrawals that divert water that would otherwise reach the wetland</t>
  </si>
  <si>
    <t xml:space="preserve">   snow storage areas that drain directly to the wetland</t>
  </si>
  <si>
    <t xml:space="preserve">   increased pavement and other impervious surface in the CA</t>
  </si>
  <si>
    <t xml:space="preserve">   straightening, ditching, dredging, and/or lining of tributary channels in the CA</t>
  </si>
  <si>
    <t xml:space="preserve">   stormwater or wastewater effluent (including failing septic systems), landfills, industrial facilities</t>
  </si>
  <si>
    <t xml:space="preserve">   metals &amp; chemical wastes from mining, shooting ranges, snow storage areas, oil/ gas extraction, other sources (see: http://map.dec.state.ak.us/apps/ )</t>
  </si>
  <si>
    <t xml:space="preserve">   oil or chemical spills (not just chronic inputs) from nearby roads</t>
  </si>
  <si>
    <t xml:space="preserve">   spraying of pesticides, as applied to lawns, croplands, roadsides, or other areas in the CA</t>
  </si>
  <si>
    <t xml:space="preserve">   stormwater or wastewater effluent (including failing septic systems), landfills</t>
  </si>
  <si>
    <t xml:space="preserve">   fertilizers applied to lawns, ag lands, or other areas in the CA</t>
  </si>
  <si>
    <t xml:space="preserve">   livestock, dogs  </t>
  </si>
  <si>
    <t xml:space="preserve">   artificial drainage of upslope lands</t>
  </si>
  <si>
    <t xml:space="preserve">   erosion from plowed fields, fill, timber harvest, dirt roads, vegetation clearing, fires</t>
  </si>
  <si>
    <t xml:space="preserve">   erosion from construction, in-channel machinery in the CA </t>
  </si>
  <si>
    <t xml:space="preserve">   erosion from off-road vehicles in the CA</t>
  </si>
  <si>
    <t xml:space="preserve">   erosion from livestock or foot traffic in the CA</t>
  </si>
  <si>
    <t xml:space="preserve">   stormwater or wastewater effluent</t>
  </si>
  <si>
    <t xml:space="preserve">   sediment from road sanding, gravel mining, other mining, oil/ gas extraction</t>
  </si>
  <si>
    <t xml:space="preserve">   accelerated channel downcutting or headcutting of tributaries due to altered land use</t>
  </si>
  <si>
    <t xml:space="preserve">   other human-related disturbances within the CA</t>
  </si>
  <si>
    <t xml:space="preserve">   compaction from machinery, off-road vehicles, or mountain bikes, especially during wetter periods</t>
  </si>
  <si>
    <t xml:space="preserve">   leveling or other grading not to the natural contour</t>
  </si>
  <si>
    <t xml:space="preserve">   tillage, plowing (but excluding disking for enhancement of native plants)</t>
  </si>
  <si>
    <t xml:space="preserve">   fill or riprap, excluding small amounts of upland soils containing organic amendments (compost, etc.) or small amounts of topsoil imported from another wetland</t>
  </si>
  <si>
    <t xml:space="preserve">   excavation</t>
  </si>
  <si>
    <t xml:space="preserve">   ditch cleaning or dredging in or adjacent to the wetland</t>
  </si>
  <si>
    <t xml:space="preserve">   boat traffic in or adjacent to the wetland and sufficient to cause shore erosion or stir bottom sediments</t>
  </si>
  <si>
    <t xml:space="preserve">   artificial water level or flow manipulations sufficient to cause erosion or stir bottom sediments</t>
  </si>
  <si>
    <t xml:space="preserve"> #</t>
  </si>
  <si>
    <t>there are no recent observations of these in the AA by a qualified observer under conditions similar to what now occur, or no data.</t>
  </si>
  <si>
    <r>
      <t xml:space="preserve">Plants, animals, or water in the AA have been monitored for &gt;2 years, </t>
    </r>
    <r>
      <rPr>
        <b/>
        <sz val="10"/>
        <rFont val="Arial Narrow"/>
        <family val="2"/>
      </rPr>
      <t>unrelated to any regulatory requirements, and data are available to the public</t>
    </r>
    <r>
      <rPr>
        <sz val="10"/>
        <rFont val="Arial Narrow"/>
        <family val="2"/>
      </rPr>
      <t>.  Or the AA is part of an area that has been designated by an agency or institution as a benchmark, reference, or status-trends monitoring area.  Enter: yes= 1, no= 0.  If no information, change to blank.</t>
    </r>
  </si>
  <si>
    <t>Rationales</t>
  </si>
  <si>
    <t>Wetland     Sensitivity</t>
  </si>
  <si>
    <t xml:space="preserve">Hirsch, R. M., J. F. Walker, J. C. Day, and R. Kollio. 1990. The influence of man on hydrologic systems. Pages 329–359 in M. G. Wolaman and H. C. Riggs, editors. Surface Water Hydrology. Geological Society of America, Boulder, CO. </t>
  </si>
  <si>
    <t>Live Store</t>
  </si>
  <si>
    <r>
      <t xml:space="preserve">During most of the growing season, surface water depth in </t>
    </r>
    <r>
      <rPr>
        <b/>
        <sz val="10"/>
        <rFont val="Arial Narrow"/>
        <family val="2"/>
      </rPr>
      <t>most</t>
    </r>
    <r>
      <rPr>
        <sz val="10"/>
        <rFont val="Arial Narrow"/>
        <family val="2"/>
      </rPr>
      <t xml:space="preserve"> of the area where it is present is: [</t>
    </r>
    <r>
      <rPr>
        <i/>
        <sz val="10"/>
        <rFont val="Arial Narrow"/>
        <family val="2"/>
      </rPr>
      <t>Note: This is not asking for the maximum depth.</t>
    </r>
    <r>
      <rPr>
        <sz val="10"/>
        <rFont val="Arial Narrow"/>
        <family val="2"/>
      </rPr>
      <t>]</t>
    </r>
  </si>
  <si>
    <t>WW</t>
  </si>
  <si>
    <r>
      <t xml:space="preserve">% Saturated </t>
    </r>
    <r>
      <rPr>
        <b/>
        <sz val="10"/>
        <rFont val="Arial Narrow"/>
        <family val="2"/>
      </rPr>
      <t>Only</t>
    </r>
  </si>
  <si>
    <t>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t>
  </si>
  <si>
    <r>
      <t xml:space="preserve">The </t>
    </r>
    <r>
      <rPr>
        <b/>
        <sz val="10"/>
        <rFont val="Arial Narrow"/>
        <family val="2"/>
      </rPr>
      <t>most persistent</t>
    </r>
    <r>
      <rPr>
        <sz val="10"/>
        <rFont val="Arial Narrow"/>
        <family val="2"/>
      </rPr>
      <t xml:space="preserve"> </t>
    </r>
    <r>
      <rPr>
        <u/>
        <sz val="10"/>
        <rFont val="Arial Narrow"/>
        <family val="2"/>
      </rPr>
      <t>surface</t>
    </r>
    <r>
      <rPr>
        <sz val="10"/>
        <rFont val="Arial Narrow"/>
        <family val="2"/>
      </rPr>
      <t xml:space="preserve"> water connection (outlet channel or pipe, ditch, or overbank water exchange) between the </t>
    </r>
    <r>
      <rPr>
        <b/>
        <sz val="10"/>
        <rFont val="Arial Narrow"/>
        <family val="2"/>
      </rPr>
      <t xml:space="preserve">AA </t>
    </r>
    <r>
      <rPr>
        <sz val="10"/>
        <rFont val="Arial Narrow"/>
        <family val="2"/>
      </rPr>
      <t>and the closest off-site downslope water body is:</t>
    </r>
  </si>
  <si>
    <r>
      <t xml:space="preserve">&lt;2%, </t>
    </r>
    <r>
      <rPr>
        <b/>
        <sz val="10"/>
        <rFont val="Arial Narrow"/>
        <family val="2"/>
      </rPr>
      <t>or,</t>
    </r>
    <r>
      <rPr>
        <sz val="10"/>
        <rFont val="Arial Narrow"/>
        <family val="2"/>
      </rPr>
      <t xml:space="preserve"> no slope is ever apparent (i.e., flat).  Includes most depressional sites and ponds.</t>
    </r>
  </si>
  <si>
    <r>
      <t>The number of large snags (</t>
    </r>
    <r>
      <rPr>
        <b/>
        <sz val="10"/>
        <rFont val="Arial Narrow"/>
        <family val="2"/>
      </rPr>
      <t>diameter &gt;8"</t>
    </r>
    <r>
      <rPr>
        <sz val="10"/>
        <rFont val="Arial Narrow"/>
        <family val="2"/>
      </rPr>
      <t>) in the AA plus the area within 100 ft uphill of the closest upland to the wetland edge is:</t>
    </r>
  </si>
  <si>
    <t>1-25% of the shrub plus ground cover, in the AA or along its water edge (whichever has more).</t>
  </si>
  <si>
    <t>25-50% of the shrub plus ground cover, in the AA or along its water edge (whichever has more).</t>
  </si>
  <si>
    <t>50-75% of the shrub plus ground cover, in the AA or along its water edge (whichever has more).</t>
  </si>
  <si>
    <t>&gt;75% of the shrub plus ground cover, in the AA or along its water edge (whichever has more).</t>
  </si>
  <si>
    <r>
      <t xml:space="preserve">Along the wetland-upland edge and extending 100 ft upslope, the percentage of the upland that contains </t>
    </r>
    <r>
      <rPr>
        <b/>
        <sz val="10"/>
        <rFont val="Arial Narrow"/>
        <family val="2"/>
      </rPr>
      <t xml:space="preserve">natural </t>
    </r>
    <r>
      <rPr>
        <sz val="10"/>
        <rFont val="Arial Narrow"/>
        <family val="2"/>
      </rPr>
      <t>(not necessarily native -- see column E) land cover taller than 6 inches is:</t>
    </r>
  </si>
  <si>
    <t>If any items were checked above, then for each row of the table below assign points that describe the combined maximum effect of those items in creating a drier water regime in the AA.  To estimate that, contrast it with the condition if checked items never occurred or were no longer present.  However, if you believe the checked items had no measurable effect on the timing of water conditions in any part of the AA, then leave the "0's" for the scores in the following rows.</t>
  </si>
  <si>
    <r>
      <t>The percentage of the AA visited by humans almost daily for several weeks during an average growing season probably comprises: [</t>
    </r>
    <r>
      <rPr>
        <i/>
        <sz val="10"/>
        <rFont val="Arial Narrow"/>
        <family val="2"/>
      </rPr>
      <t>Note: Do not include visitors on trails outside of the AA unless more than half the wetland is visible from the trails and they are within 100 ft of the wetland edge.  In that case add only the area occupied by the trail</t>
    </r>
    <r>
      <rPr>
        <sz val="10"/>
        <rFont val="Arial Narrow"/>
        <family val="2"/>
      </rPr>
      <t xml:space="preserve">]. </t>
    </r>
  </si>
  <si>
    <t>All Ponded Water - Extent</t>
  </si>
  <si>
    <r>
      <t xml:space="preserve">During most of the growing season, the percentage of the AA that has </t>
    </r>
    <r>
      <rPr>
        <b/>
        <sz val="10"/>
        <rFont val="Arial Narrow"/>
        <family val="2"/>
      </rPr>
      <t>ponded</t>
    </r>
    <r>
      <rPr>
        <sz val="10"/>
        <rFont val="Arial Narrow"/>
        <family val="2"/>
      </rPr>
      <t xml:space="preserve"> surface water (stagnant, or flows so slowly that fine sediment is not held in suspension) which is </t>
    </r>
    <r>
      <rPr>
        <b/>
        <sz val="10"/>
        <rFont val="Arial Narrow"/>
        <family val="2"/>
      </rPr>
      <t>either open or shaded by emergent vegetation</t>
    </r>
    <r>
      <rPr>
        <sz val="10"/>
        <rFont val="Arial Narrow"/>
        <family val="2"/>
      </rPr>
      <t xml:space="preserve"> is:</t>
    </r>
  </si>
  <si>
    <t>5-30% of the ponded water.</t>
  </si>
  <si>
    <t>30-70% of the ponded water.</t>
  </si>
  <si>
    <t>70-99% of the ponded water.</t>
  </si>
  <si>
    <t>Final Score=</t>
  </si>
  <si>
    <t>Dry Intercept</t>
  </si>
  <si>
    <t>Wet Intercept</t>
  </si>
  <si>
    <t xml:space="preserve">Historical Accum </t>
  </si>
  <si>
    <t>Methane Limit</t>
  </si>
  <si>
    <t>Physical Accum</t>
  </si>
  <si>
    <t>Frozen Duration</t>
  </si>
  <si>
    <t>Nutrient Availability</t>
  </si>
  <si>
    <t>Export Potential</t>
  </si>
  <si>
    <t>Low-impact commercial timber harvest (e.g., selective thinning)</t>
  </si>
  <si>
    <t>Commercial or subsistence-based harvesting of native plants or mushrooms</t>
  </si>
  <si>
    <t>Furbearer trapping</t>
  </si>
  <si>
    <r>
      <t>The percentage of the AA almost never visited by humans during an average growing season probably comprises: [</t>
    </r>
    <r>
      <rPr>
        <i/>
        <sz val="10"/>
        <rFont val="Arial Narrow"/>
        <family val="2"/>
      </rPr>
      <t xml:space="preserve">Note: Do not include visitors on trails outside of the AA unless more than half the wetland is visible from the trails and they are within 100 ft of the wetland edge.  In that case add </t>
    </r>
    <r>
      <rPr>
        <b/>
        <i/>
        <sz val="10"/>
        <rFont val="Arial Narrow"/>
        <family val="2"/>
      </rPr>
      <t>only</t>
    </r>
    <r>
      <rPr>
        <i/>
        <sz val="10"/>
        <rFont val="Arial Narrow"/>
        <family val="2"/>
      </rPr>
      <t xml:space="preserve"> the area occupied by the trail.</t>
    </r>
    <r>
      <rPr>
        <sz val="10"/>
        <rFont val="Arial Narrow"/>
        <family val="2"/>
      </rPr>
      <t>]</t>
    </r>
  </si>
  <si>
    <t>Vitt, D. H. 2006. Functional characteristics and indicators of boreal peatlands. Pages 9-24 in R. K. Wieder and D. H. Vitt, editors. Boreal peatland ecosystems. Springer, Berlin, Heidelberg, Germany.</t>
  </si>
  <si>
    <t>Wright, J. P., A. S. Flecker, and C. G. Jones. 2003. Local versus landscape controls on plant species richness in beaver meadows. Ecology 84:3162–3173.</t>
  </si>
  <si>
    <t>Final score=</t>
  </si>
  <si>
    <t>mostly passes through a pipe, culvert, narrowly breached dike, berm, beaver dam, or other partial obstruction (other than natural topography) that does not appear to drain the wetland artificially during most of the growing season.</t>
  </si>
  <si>
    <t>exported more quickly than usual due to ditches or pipes within the AA (or connected to its outlet or within 10 m of the AA's edge) which drain the wetland artificially, or water is pumped out of the AA.</t>
  </si>
  <si>
    <t>Groundwater: Strength of Evidence</t>
  </si>
  <si>
    <t>Freezing (Frozen Duration)</t>
  </si>
  <si>
    <t>AVERAGE(IceDur, Aspect, Depth,Soil)</t>
  </si>
  <si>
    <t>The acidic conditions indicated by staining support greater adsorption of P onto clay particles, and greater retention of P by iron and aluminum associated with that clay (Sutmm &amp; Morgan 1996).  Acidic conditions also slow the decomposition of plant material, thus increasing P storage in peat.</t>
  </si>
  <si>
    <t>Stain3</t>
  </si>
  <si>
    <t>Infiltration, which enhances deposition of sediment-bound P, is potentially greater in areas where water and soils do not remain frozen for long periods. However, cold temperatures slow the decomposition of plant material and increase the retention of P in accumulating peat.</t>
  </si>
  <si>
    <t>AVERAGE(SoilTex, Stain)</t>
  </si>
  <si>
    <t>In the AA or within 300 ft, there are (a) muskrat houses or beaver lodges, or (b) mineral licks, or (c) elevated terrestrial features such as cliffs, talus slopes, stream banks, or excavated pits (but not riprap) that extend at least 6 ft nearly vertically, are unvegetated, and potentially contain crevices or other substrate suitable for nesting or den areas.  Enter 1 (yes) or 0 (no).</t>
  </si>
  <si>
    <t>Temp7w</t>
  </si>
  <si>
    <t>Warmer input water temperatures provide more opportunity, and thus greater potential value, for water cooling.  But if input water is already warmed, further warming may be undesirable.</t>
  </si>
  <si>
    <t>[(AVERAGE(OutDur,InTemp) X AVERAGE(AmphScore,Fringe,Glacier,TideProx,Temp, Elev,Aspect,Imperv))]</t>
  </si>
  <si>
    <t>Intercept Dry</t>
  </si>
  <si>
    <t>Intercept Wet</t>
  </si>
  <si>
    <t>Adsorption</t>
  </si>
  <si>
    <t>Desorption</t>
  </si>
  <si>
    <t>AVERAGE(OutDur,Constric,Gradient, FlowDist,Lake)</t>
  </si>
  <si>
    <t>AVERAGE(Gradient, FlowDist, AVERAGE(Girreg, Gcover,CApctB))</t>
  </si>
  <si>
    <t>[MAX(Pload,AVERAGE((Inflo,StreamInGrad, Glacier, AVERAGE(BuffSlope,ErodScore,PosShed,NewWet,CApct,Transport, Anad, Groundw, ImpervCA,NatCApct))</t>
  </si>
  <si>
    <t>Organic</t>
  </si>
  <si>
    <t>IF((NoOutlet=1),1,IF((AllSat=1),(2*Connec + Intercep + FrozDur + Organic + Redox)/6, (3*Redox + 2*Connec + FrozDur + Organic + Intercep)/ 8)))</t>
  </si>
  <si>
    <t>AVERAGE(Aspect, TreeCanop,Freeze, Elev,Temperature,TidalProx, Groundw)]</t>
  </si>
  <si>
    <t>AVERAGE(MAX(Aquifer,Drink),Inflo,MAX(NSource,Nfix,Anad,CAnatPct, Imperv,PopDist),AVERAGE(ShedPos,BuffSlope,BuffCovTyp,Transport)</t>
  </si>
  <si>
    <t>Historical Accumulation</t>
  </si>
  <si>
    <t>Current Productivity:</t>
  </si>
  <si>
    <t>AVERAGE(Warmth, Freeze,TidalProx, Groundw)</t>
  </si>
  <si>
    <t>AVERAGE(Wettype,SeasWpct, Fluctu, Nfix, Karst, Granite)]</t>
  </si>
  <si>
    <t>AVERAGE(Frozen Duration, Plant Cover, Nutrient Availability) WHERE:</t>
  </si>
  <si>
    <t>IF((NewWetNot=1),AVERAGE(SoilTex,Stained), ELSE: NewWet</t>
  </si>
  <si>
    <t>AVERAGE [ABpct,AVERAGE(AqCov, HerbDiv,Gcover,WoodDown,Girreg) ]</t>
  </si>
  <si>
    <t>Boët P, Belliard J, Berrebi-dit-Thomas R, and T. E. H. :0. 1999. Multiple human impacts by the City of Paris on fish communities in the Seine River Basin, France. Hydrobiologia 410:59-68.</t>
  </si>
  <si>
    <t>IF((AllSaturatedOnly=1), 0, IF((TooSteep=1),0,
ELSE: 
(3*AVERAGE(AqPlantCov, Size, Wettype,Wscape) +2*AVERAGE(HydroRegime,Structure,Productivity) + AVERAGE(Stressors,Landscape))/6))</t>
  </si>
  <si>
    <t>Stressors (lack of)</t>
  </si>
  <si>
    <t>AVERAGE (CoreA, CoreB, PopCtr, RdBox, DisRd)</t>
  </si>
  <si>
    <t xml:space="preserve">Fens tend to have richer plant communities than bogs (Thormann &amp; Bayley 1997, Bedford &amp; Godwin 2003, McClellan et al. 2003). Floodplains in Southeast Alaska are exceptionally species-rich (Pollack et al. 1998). Peatlands are relatively species-poor, although the species they support tend to be specialized and in some areas may contribute disproportionately to local plant diversity (Moore 1989). </t>
  </si>
  <si>
    <t>[MIN (herbPd,WeedSource) + AVERAGE (wood, TreeCovPD, ShrubSun, Girreg, HerbDom)] / 2</t>
  </si>
  <si>
    <t>(3xAqFertil + 3xTerrFertil + 2xSpeciesArea + 2xLscape + Climate + Compet + Stressors)/ 13</t>
  </si>
  <si>
    <t>AVERAGE (Core1, Core2, BMPsoils, PopCtr, DistRd, AltTime, SedDisturb, Browsed)</t>
  </si>
  <si>
    <t>herbPct0</t>
  </si>
  <si>
    <t>Convenience</t>
  </si>
  <si>
    <t>Recreation Potential</t>
  </si>
  <si>
    <t>IF((NonSubsistence Designation=1), 0,
MAX(Subsist,
(AVERAGE(PopCtrDisS,TidalProxS,ElevS)) + 
(AVERAGE(ConsumpU,DeerShedPS,SalmonShedPS,FishAccessS)) /2)</t>
  </si>
  <si>
    <t>GeogS</t>
  </si>
  <si>
    <t>The extensive subsurface hydrologic connectivity in karst regions promotes the dispersal of dissolved organic carbon. Higher nutrients associated with groundwater or streams discharging into wetlands in karst regions also enhance the productivity of plant communities that produce the organic matter.</t>
  </si>
  <si>
    <t>Precipitation is a major factor in facilitating the transport of carbon, nutrients, and iron from headwater wetlands down to estuaries.</t>
  </si>
  <si>
    <t>Precip6</t>
  </si>
  <si>
    <t>AVERAGE [OutDura, Gradient, FloDist, Precip, AVERAGE(Constric, ThruFlo, Interspers, Width, PondedPct, Glacier, Elev)]</t>
  </si>
  <si>
    <r>
      <t xml:space="preserve">Draw a circle of </t>
    </r>
    <r>
      <rPr>
        <b/>
        <sz val="10"/>
        <rFont val="Arial Narrow"/>
        <family val="2"/>
      </rPr>
      <t>radius of 0.5 mile</t>
    </r>
    <r>
      <rPr>
        <sz val="10"/>
        <rFont val="Arial Narrow"/>
        <family val="2"/>
      </rPr>
      <t xml:space="preserve"> from the center of the AA.  If mammals and amphibians can move from the center of the AA to all other separate wetlands located within the circle without being forced to cross maintained roads (any width), lawns, bare ground, marine waters, and/or steep (&gt;30%) slopes, mark </t>
    </r>
    <r>
      <rPr>
        <b/>
        <sz val="10"/>
        <rFont val="Arial Narrow"/>
        <family val="2"/>
      </rPr>
      <t>1</t>
    </r>
    <r>
      <rPr>
        <sz val="10"/>
        <rFont val="Arial Narrow"/>
        <family val="2"/>
      </rPr>
      <t>= yes can move, or no other wetlands within that distance, or 0= no.</t>
    </r>
  </si>
  <si>
    <t>Wetland Class Scarcity in HUC6</t>
  </si>
  <si>
    <t>In its HUC8 (the watershed with a 12-digit code), the AA's elevation puts it in (enter one of the following): 3= upper one-third, 2= middle one-third, 1= lower one-third, 0= no data.</t>
  </si>
  <si>
    <t>In its HUC6 (the 8-digit* watershed) the AA's elevation puts it in (enter one of the following): 3= upper one-third, 2= middle one-third, 1= lower one-third, 0= no data.  [The 8-digit HUC is obtained by deleting the last 4 digits of the 12-digit HUC code]</t>
  </si>
  <si>
    <t>In its HUC7 (the 10-digit* watershed), the AA's elevation puts it in (enter one of the following): 3= upper one-third, 2= middle one-third, 1= lower one-third, 0= no data.  [The 10-digit HUC is obtained by deleting the last 2 digits of the 12-digit HUC code]</t>
  </si>
  <si>
    <t>(3*ExportPotential+ 2*CurrentProductivity + HistoricalAccumulation) /6</t>
  </si>
  <si>
    <r>
      <t xml:space="preserve">During most of the growing season, the largest patch of </t>
    </r>
    <r>
      <rPr>
        <b/>
        <sz val="10"/>
        <rFont val="Arial Narrow"/>
        <family val="2"/>
      </rPr>
      <t xml:space="preserve">open </t>
    </r>
    <r>
      <rPr>
        <sz val="10"/>
        <rFont val="Arial Narrow"/>
        <family val="2"/>
      </rPr>
      <t xml:space="preserve">water that is in or bordering the AA is </t>
    </r>
    <r>
      <rPr>
        <b/>
        <sz val="10"/>
        <rFont val="Arial Narrow"/>
        <family val="2"/>
      </rPr>
      <t>&gt;1 acre and mostly deeper than 1 ft.</t>
    </r>
    <r>
      <rPr>
        <sz val="10"/>
        <rFont val="Arial Narrow"/>
        <family val="2"/>
      </rPr>
      <t xml:space="preserve">  If true enter "1" and continue,  If false, enter "0" and </t>
    </r>
    <r>
      <rPr>
        <b/>
        <sz val="10"/>
        <rFont val="Arial Narrow"/>
        <family val="2"/>
      </rPr>
      <t>SKIP to F15.</t>
    </r>
  </si>
  <si>
    <r>
      <t xml:space="preserve">At mid-day during the warmest time when surface water is present, the area of water </t>
    </r>
    <r>
      <rPr>
        <u/>
        <sz val="10"/>
        <rFont val="Arial Narrow"/>
        <family val="2"/>
      </rPr>
      <t>within</t>
    </r>
    <r>
      <rPr>
        <sz val="10"/>
        <rFont val="Arial Narrow"/>
        <family val="2"/>
      </rPr>
      <t xml:space="preserve"> the AA that is shaded by vegetation, incised channels, streambanks, or other features also present</t>
    </r>
    <r>
      <rPr>
        <u/>
        <sz val="10"/>
        <rFont val="Arial Narrow"/>
        <family val="2"/>
      </rPr>
      <t xml:space="preserve"> within</t>
    </r>
    <r>
      <rPr>
        <sz val="10"/>
        <rFont val="Arial Narrow"/>
        <family val="2"/>
      </rPr>
      <t xml:space="preserve"> the AA is:</t>
    </r>
  </si>
  <si>
    <t xml:space="preserve">5-25% of the vegetated AA </t>
  </si>
  <si>
    <t xml:space="preserve">25-50% of the vegetated AA </t>
  </si>
  <si>
    <t xml:space="preserve">50-95% of the vegetated AA </t>
  </si>
  <si>
    <t>&gt;95% of the vegetated AA</t>
  </si>
  <si>
    <t>A glacier feeds streamflow or other surface water to the AA and it obviously reduces water clarity. If that is unknown, assume it to be true if a glacier within 1 mile feeds a tributary to this wetland, or if glaciers cover &gt;30% of the area that drains to this AA.</t>
  </si>
  <si>
    <t>A glacier feeds streamflow or other surface water to the AA, but there is little or no resultant reduction in water clarity.</t>
  </si>
  <si>
    <t>clumped along the margin of the surface water area, or mostly surrounds a channel or central area of open water, or such vegetation covers &lt;100 sq ft and &lt;1% of the AA.</t>
  </si>
  <si>
    <t>outside the AA only, but within 0.5 mile and at nearly the same elevation (+ or - 500 ft).</t>
  </si>
  <si>
    <r>
      <t xml:space="preserve">The percentage of the AA that </t>
    </r>
    <r>
      <rPr>
        <b/>
        <u/>
        <sz val="10"/>
        <rFont val="Arial Narrow"/>
        <family val="2"/>
      </rPr>
      <t xml:space="preserve">lacks </t>
    </r>
    <r>
      <rPr>
        <u/>
        <sz val="10"/>
        <rFont val="Arial Narrow"/>
        <family val="2"/>
      </rPr>
      <t>surface</t>
    </r>
    <r>
      <rPr>
        <sz val="10"/>
        <rFont val="Arial Narrow"/>
        <family val="2"/>
      </rPr>
      <t xml:space="preserve"> water during an average year (that is, except perhaps for a few hours after snowmelt or rainstorms), but which is still a wetland, is:</t>
    </r>
  </si>
  <si>
    <r>
      <t xml:space="preserve">less than 1%, or &lt;0.01 acre (about 20 ft on a side) never has surface water.  In other words, </t>
    </r>
    <r>
      <rPr>
        <b/>
        <sz val="10"/>
        <rFont val="Arial Narrow"/>
        <family val="2"/>
      </rPr>
      <t>all or nearly all of the AA is inundated permanently or at least seasonally.</t>
    </r>
  </si>
  <si>
    <t xml:space="preserve">1-25% of the AA never contains surface water.  </t>
  </si>
  <si>
    <r>
      <t xml:space="preserve">In </t>
    </r>
    <r>
      <rPr>
        <b/>
        <sz val="10"/>
        <rFont val="Arial Narrow"/>
        <family val="2"/>
      </rPr>
      <t xml:space="preserve">most </t>
    </r>
    <r>
      <rPr>
        <sz val="10"/>
        <rFont val="Arial Narrow"/>
        <family val="2"/>
      </rPr>
      <t>parts of the AA that lack persistent water, the texture of soil in the uppermost layer is:  [</t>
    </r>
    <r>
      <rPr>
        <i/>
        <sz val="10"/>
        <rFont val="Arial Narrow"/>
        <family val="2"/>
      </rPr>
      <t>To determine this, use a trowel to check in at least 3 widely spaced locations, and use the soil texture key in Appendix C of the Manual.  If organic, use shovel to dig down to 16" depth or until hitting mineral soil, whichever is first, then measure.]</t>
    </r>
  </si>
  <si>
    <t>The overland flow direction of most surface water (in streams or runoff) that enters the AA is:</t>
  </si>
  <si>
    <r>
      <t>At the driest time of year (or lowest water level), the width of vegetated area</t>
    </r>
    <r>
      <rPr>
        <u/>
        <sz val="10"/>
        <rFont val="Arial Narrow"/>
        <family val="2"/>
      </rPr>
      <t xml:space="preserve"> in the AA</t>
    </r>
    <r>
      <rPr>
        <sz val="10"/>
        <rFont val="Arial Narrow"/>
        <family val="2"/>
      </rPr>
      <t xml:space="preserve"> that separates adjoining uplands from </t>
    </r>
    <r>
      <rPr>
        <b/>
        <sz val="10"/>
        <rFont val="Arial Narrow"/>
        <family val="2"/>
      </rPr>
      <t xml:space="preserve">most of </t>
    </r>
    <r>
      <rPr>
        <sz val="10"/>
        <rFont val="Arial Narrow"/>
        <family val="2"/>
      </rPr>
      <t>the open water within or adjoining the AA is:</t>
    </r>
  </si>
  <si>
    <t>&lt;5% of the vegetated ground cover</t>
  </si>
  <si>
    <t>5-25% of the vegetated ground cover</t>
  </si>
  <si>
    <t>25-50% of the vegetated ground cover</t>
  </si>
  <si>
    <t>50-95% of the vegetated ground cover</t>
  </si>
  <si>
    <t>Fresh Water</t>
  </si>
  <si>
    <t>Wetland</t>
  </si>
  <si>
    <t>Muskeg</t>
  </si>
  <si>
    <t>Herbaceous</t>
  </si>
  <si>
    <t>Shrubland (Low)</t>
  </si>
  <si>
    <t>Shrubland (Tall)</t>
  </si>
  <si>
    <t>Deciduous/Mixed Forest</t>
  </si>
  <si>
    <t>Conifer Forest - Young or Small</t>
  </si>
  <si>
    <t>Conifer Forest - Medium</t>
  </si>
  <si>
    <t>Conifer Forest - Large</t>
  </si>
  <si>
    <t>Wetland Shrub Forest</t>
  </si>
  <si>
    <t>Distance to Locally Uncommon Cover Type</t>
  </si>
  <si>
    <t>If any of the above were marked "2", the distance from the AA edge to the closest one that was so marked is:</t>
  </si>
  <si>
    <t>150 - 500 ft</t>
  </si>
  <si>
    <t>500 - 1000 ft</t>
  </si>
  <si>
    <t>1-2 miles</t>
  </si>
  <si>
    <t>none of the above land cover classes were marked "2"</t>
  </si>
  <si>
    <t>Deciduous Trees</t>
  </si>
  <si>
    <r>
      <t xml:space="preserve">Within the vegetated part of the AA, just the </t>
    </r>
    <r>
      <rPr>
        <b/>
        <sz val="10"/>
        <rFont val="Arial Narrow"/>
        <family val="2"/>
      </rPr>
      <t>deciduous trees</t>
    </r>
    <r>
      <rPr>
        <sz val="10"/>
        <rFont val="Arial Narrow"/>
        <family val="2"/>
      </rPr>
      <t xml:space="preserve"> that are taller than 20 ft occupy:</t>
    </r>
  </si>
  <si>
    <r>
      <rPr>
        <u/>
        <sz val="10"/>
        <rFont val="Arial Narrow"/>
        <family val="2"/>
      </rPr>
      <t>Within</t>
    </r>
    <r>
      <rPr>
        <sz val="10"/>
        <rFont val="Arial Narrow"/>
        <family val="2"/>
      </rPr>
      <t xml:space="preserve"> the vegetated part of the AA, just the </t>
    </r>
    <r>
      <rPr>
        <b/>
        <sz val="10"/>
        <rFont val="Arial Narrow"/>
        <family val="2"/>
      </rPr>
      <t xml:space="preserve">trees </t>
    </r>
    <r>
      <rPr>
        <sz val="10"/>
        <rFont val="Arial Narrow"/>
        <family val="2"/>
      </rPr>
      <t>that are taller than 20 ft occupy:</t>
    </r>
  </si>
  <si>
    <t>Deciduous Shrubs</t>
  </si>
  <si>
    <t>&lt;1% of the AA's vegetated area, or largest patch occupies less than 400 sq. ft</t>
  </si>
  <si>
    <t>1-25% of the vegetated area</t>
  </si>
  <si>
    <t>25-50% of the vegetated area</t>
  </si>
  <si>
    <t>&gt;75% of the vegetated area</t>
  </si>
  <si>
    <t>50-75% of the vegetated area</t>
  </si>
  <si>
    <t>During major runoff events, in the places where surface water in a channel exits the AA or connected waters nearby, it:</t>
  </si>
  <si>
    <t>AVERAGE(Beaver, Geography, PondPctScape, PondProx,BigPondProx)</t>
  </si>
  <si>
    <t>AVERAGE(ISOwet, SatPct, Fluctu, MAX(SeasWpct, PermWpct), Depth, DepthEven)</t>
  </si>
  <si>
    <t>Fish13A</t>
  </si>
  <si>
    <t xml:space="preserve">Fish are fed upon by several waterbird species, so their presence is considered generally beneficial.  However, breeding density of some waterbirds can be twice as great in fishless lakes than in lakes with fish, after accounting for lake area, and some species occur almost exclusively in fishless lakes (Epners et al. 2010). </t>
  </si>
  <si>
    <t>AVERAGE(ABpct,WoodAbove, Interspers, Vwidth)</t>
  </si>
  <si>
    <t>AVERAGE(FishAcc, AVERAGE(RdDis, Toxic, GlacierFed, Core1, Core2, BMP)</t>
  </si>
  <si>
    <t>AVERAGE(WoodDown, ShrubSun,Gcover, Girreg, Inclus))</t>
  </si>
  <si>
    <t>IF(AllSat=1),"", IF(NoPonded=1),"", ELSE:  AVERAGE (Width, AVERAGE(Thruflo,AqPlantCov, Interspers))</t>
  </si>
  <si>
    <t>AVERAGE (WoodyPct, WoodyEdge, ShrubCanop, ShrubDiv, WoodPatt, TreeTypes)</t>
  </si>
  <si>
    <t>other</t>
  </si>
  <si>
    <t>Cover2miDiv</t>
  </si>
  <si>
    <t>AVERAGE(Cover2miDiv,PollenOnsite, NestSites)</t>
  </si>
  <si>
    <t xml:space="preserve"> Increased access to wetlands by anadromous fish can make other fish more vulnerable to competition or predation by anadromous fish.  For non-anadromous fish, access to other water bodies is helpful to escape temporary oxygen deficits (particularly under ice in winter) and to access additional food and spawning areas, but is not always essential. </t>
  </si>
  <si>
    <t>DecidTreePD</t>
  </si>
  <si>
    <t>AVERAGE (Nfix, DecidTree, Hardwd, SoilTex, Granite, Karst, Wettype, Moss)</t>
  </si>
  <si>
    <t>Woody-Herbaceous Interspersion</t>
  </si>
  <si>
    <t>&lt;1% of the vegetated AA</t>
  </si>
  <si>
    <t>TreeTypes14</t>
  </si>
  <si>
    <t>DecidTree14</t>
  </si>
  <si>
    <t>DecidTree5</t>
  </si>
  <si>
    <t>DecidTree8</t>
  </si>
  <si>
    <t>AVERAGE [WetType,AVERAGE(Depth, DecidTree, Hardwood, WoodDown,Nfixers, Karst, Granite, Glacier,TidalProx) ]</t>
  </si>
  <si>
    <t>DecidTree6</t>
  </si>
  <si>
    <t>AVERAGE (AqPlantCov, Decid, DecidTree, Gcover, Depth)</t>
  </si>
  <si>
    <t>Plant Cover &amp; Type</t>
  </si>
  <si>
    <t>no Level 3 cover type maps available for this area, but from aerial imagery it appears that the AA contains a cover type (list above) that is absent from 90% of the landscape outside of the AA and within 2 miles.  Enter "2" in the next column.</t>
  </si>
  <si>
    <t>no Level 3 cover type maps available for this area, but from aerial imagery it appears that the AA does NOT contain a cover type that is absent from 90% of the landscape outside of the AA and within 2 miles.  Enter "1" in the next column.</t>
  </si>
  <si>
    <t>Dependency of amphibians on a particular wetland increases if no other natural vegetation of comparable or greater extent is available in the vicinity.  In calculating the score, the maximum is assigned if the AA contains any of the first 5 classes, or wetland shrub forest, and any of them are uncommon in the surrounding landscape. Otherwise, the value score is 0.</t>
  </si>
  <si>
    <t>Greater proximity to a locally uncommon land cover class boosts the value of a wetland.</t>
  </si>
  <si>
    <t>DistRareTyp11</t>
  </si>
  <si>
    <t>MAX(Rare, _IBA, RareWclass)</t>
  </si>
  <si>
    <t>Dependency of wetland-dependent songbirds, raptors, and mammals on this wetland increases if little other natural vegetation of the same class is available in the vicinity, thus conferring greater value to this wetland.</t>
  </si>
  <si>
    <t>Dependency of pollinators on this wetland increases if little other natural vegetation of the same class is available in the vicinity, thus conferring greater value to this wetland.</t>
  </si>
  <si>
    <t>DistRareTypS</t>
  </si>
  <si>
    <t>AVERAGE[UniqVegF,DistRareTypS,RareWclass, Geog, AVERAGE(HerbDom, NatVegProx, NatVegSize, NatVegCUpct), AVERAGE(PondScape,PondProx,LakeProx) ]</t>
  </si>
  <si>
    <t>See above</t>
  </si>
  <si>
    <t>Dependency of invertebrate species on this wetland increases if little other natural vegetation of the same class is available in the vicinity, thus conferring greater value to this wetland.</t>
  </si>
  <si>
    <t>DistRareTyp8</t>
  </si>
  <si>
    <t>DistRareTyp14</t>
  </si>
  <si>
    <t>MAX[Rare14, _IBA14, AVERAGE (RareWclass,UniqPatch,DistRareTyp)]</t>
  </si>
  <si>
    <t>The diversity of pollinating flies (Diptera) in bogs increases with increasing proportional diversity of nearby land cover types (Savage et al. 2011).  Openlands are especially used by one large group of Alaskan bee species (Armbruster &amp; Guinn 1989).  For this indicator, the more classes present within 2 miles (regardless of their scarcity), the higher the score.</t>
  </si>
  <si>
    <t>AVERAGE(persist, gramin, herbpct, AVERAGE(gcover, herbsens, herbdiv, aspect))</t>
  </si>
  <si>
    <t xml:space="preserve">Dependency of wetland plants on this particular wetland increases if little other natural vegetation of the same class is available in the vicinity, thus conferring greater value to this wetland. </t>
  </si>
  <si>
    <t>DistRareTypPD</t>
  </si>
  <si>
    <t>MAX(RarePspp, (AVERAGE(UniqPatch,DistRareTyp,RareWclass, Cedar), AVERAGE(Glean,ScoreSBM,ScorePOLf,ScoreSubsis))))</t>
  </si>
  <si>
    <r>
      <t xml:space="preserve">A native amphibian (Wood Frog, Western Toad, Columbia Spotted Frog, Northwestern Salamander, Long-toed Salamander, Rough-skinned Newt) has been detected under conditions similar to what now occur, by a qualified observer, or as indicated in the online Wetlands Module: Habitat Layers &gt; Amphibian Sites.  </t>
    </r>
    <r>
      <rPr>
        <b/>
        <sz val="10"/>
        <rFont val="Arial Narrow"/>
        <family val="2"/>
      </rPr>
      <t>Mark just the first choice that is true.</t>
    </r>
  </si>
  <si>
    <r>
      <t xml:space="preserve">A waterbird species of conservation concern in Southeast Alaska (Common Loon, Red-throated Loon, Red-necked Grebe, Trumpeter Swan, Lesser Yellowlegs, Solitary Sandpiper) has been detected nesting semi-annually under conditions similar to what now occur, by a qualified observer.  </t>
    </r>
    <r>
      <rPr>
        <b/>
        <sz val="10"/>
        <rFont val="Arial Narrow"/>
        <family val="2"/>
      </rPr>
      <t xml:space="preserve">Mark just the first choice that is true: </t>
    </r>
  </si>
  <si>
    <r>
      <t xml:space="preserve">IF((NotNewWet=1), AVERAGE(SoilDisturb,MossCov, Wettype, SoilTex, AVERAGE(Warmth,DecidPct, DecidTree,Width), </t>
    </r>
    <r>
      <rPr>
        <b/>
        <sz val="10"/>
        <rFont val="Arial Narrow"/>
        <family val="2"/>
      </rPr>
      <t xml:space="preserve">ELSE: </t>
    </r>
    <r>
      <rPr>
        <sz val="10"/>
        <rFont val="Arial Narrow"/>
        <family val="2"/>
      </rPr>
      <t>NewWetland</t>
    </r>
  </si>
  <si>
    <r>
      <t xml:space="preserve">Woody vegetation in the 3 to 20 ft height class which is </t>
    </r>
    <r>
      <rPr>
        <b/>
        <sz val="10"/>
        <rFont val="Arial Narrow"/>
        <family val="2"/>
      </rPr>
      <t>deciduous</t>
    </r>
    <r>
      <rPr>
        <sz val="10"/>
        <rFont val="Arial Narrow"/>
        <family val="2"/>
      </rPr>
      <t xml:space="preserve"> (e.g., blueberry, menziesia, alder) comprises:</t>
    </r>
  </si>
  <si>
    <t>&lt;5% of the vegetated ground cover, or &lt;0.01 acre</t>
  </si>
  <si>
    <t>&gt;95% of the vegetated ground cover</t>
  </si>
  <si>
    <t>5-50% of the vegetated ground cover</t>
  </si>
  <si>
    <t>persistent (&gt;9 months/year); almost always shown on stream maps, or determine from your dry-season observation.</t>
  </si>
  <si>
    <t>seasonal (14 days to 9 months/year, not necessarily consecutive); sometimes shown on stream maps.</t>
  </si>
  <si>
    <t>temporary (&lt;14 days, not necessarily consecutive); seldom shown on stream maps.</t>
  </si>
  <si>
    <t>d) is fishless (i.e., not accessible to anadromous fish and is known or can be assumed to have no resident fish).  (Class 3, 4)</t>
  </si>
  <si>
    <r>
      <t xml:space="preserve">a) is known to support </t>
    </r>
    <r>
      <rPr>
        <b/>
        <sz val="10"/>
        <rFont val="Arial Narrow"/>
        <family val="2"/>
      </rPr>
      <t xml:space="preserve">anadromous fish </t>
    </r>
    <r>
      <rPr>
        <sz val="10"/>
        <rFont val="Arial Narrow"/>
        <family val="2"/>
      </rPr>
      <t>feeding and/or spawning</t>
    </r>
    <r>
      <rPr>
        <b/>
        <sz val="10"/>
        <rFont val="Arial Narrow"/>
        <family val="2"/>
      </rPr>
      <t xml:space="preserve"> </t>
    </r>
    <r>
      <rPr>
        <sz val="10"/>
        <rFont val="Arial Narrow"/>
        <family val="2"/>
      </rPr>
      <t>(some ADFG Class 1 streams).</t>
    </r>
  </si>
  <si>
    <r>
      <t xml:space="preserve">b) is probably accessible to anadromous and other fish (at least seasonally, at least for feeding, partially or entirely), but anadromous fish have not been </t>
    </r>
    <r>
      <rPr>
        <b/>
        <sz val="10"/>
        <rFont val="Arial Narrow"/>
        <family val="2"/>
      </rPr>
      <t>documented</t>
    </r>
    <r>
      <rPr>
        <sz val="10"/>
        <rFont val="Arial Narrow"/>
        <family val="2"/>
      </rPr>
      <t xml:space="preserve"> (some Class 1 streams).</t>
    </r>
  </si>
  <si>
    <t>c) is not accessible to anadromous fish, but other resident fish are known (or can be assumed) present (Class 2).</t>
  </si>
  <si>
    <t>The cover for fish, aquatic invertebrates, and/or amphibians that is provided by horizontally incised banks, water deeper than 2 ft, and/or partly-submerged accumulations of wood thicker than 4 inches (NOT by living vegetation) is:</t>
  </si>
  <si>
    <r>
      <t>The percentage of the AA that has</t>
    </r>
    <r>
      <rPr>
        <b/>
        <sz val="10"/>
        <rFont val="Arial Narrow"/>
        <family val="2"/>
      </rPr>
      <t xml:space="preserve"> flowing</t>
    </r>
    <r>
      <rPr>
        <sz val="10"/>
        <rFont val="Arial Narrow"/>
        <family val="2"/>
      </rPr>
      <t xml:space="preserve"> water (flowing with enough force to keep sediment in suspension, and &gt;1 inch deep and either open or shaded by emergent vegetation) </t>
    </r>
    <r>
      <rPr>
        <b/>
        <sz val="10"/>
        <rFont val="Arial Narrow"/>
        <family val="2"/>
      </rPr>
      <t xml:space="preserve">for &gt;2 continuous weeks at the wettest time </t>
    </r>
    <r>
      <rPr>
        <sz val="10"/>
        <rFont val="Arial Narrow"/>
        <family val="2"/>
      </rPr>
      <t>of a typical year is:</t>
    </r>
  </si>
  <si>
    <t>1-25% of the AA (topo maps show one or more channels).  Their wetted width does not expand &gt;2x their width at annual low flow, e.g., many strongly incised or headwater channels.</t>
  </si>
  <si>
    <t>1-25% of the AA, and in (or adjoining) one or more channels whose wetted width expands &gt;2x their width at annual low flow.  Typically not in headwaters.  SEAK Hydro Process maps may show "Flood Plain" channel.</t>
  </si>
  <si>
    <t>A wetland'can potentially contribute the most to regional waterbird diversity if it belongs to a class that is relatively rare at a watershed/HUC scale (as measured here) as well as at a local (2 mile) scale measured by the above indicator.  However, for waterbird functions, forested wetlands are excluded from calculations of scarcity due to their limited use by nesting waterbirds.</t>
  </si>
  <si>
    <r>
      <t xml:space="preserve">From your observations, note if the AA would be classified as predominantly Forest/Shrub, Moss/Emergent, or Water.  Then, find your 12-digit HUC in column M of the </t>
    </r>
    <r>
      <rPr>
        <b/>
        <sz val="10"/>
        <rFont val="Arial Narrow"/>
        <family val="2"/>
      </rPr>
      <t>ShedData worksheet</t>
    </r>
    <r>
      <rPr>
        <sz val="10"/>
        <rFont val="Arial Narrow"/>
        <family val="2"/>
      </rPr>
      <t xml:space="preserve">.  Select column N, O, or P of that worksheet (whichever represents the cover type you decided predominates in your AA) and enter its value in the cell to the right.  If your HUC is not listed in the ShedData table, change the cell on the right to </t>
    </r>
    <r>
      <rPr>
        <b/>
        <sz val="10"/>
        <rFont val="Arial Narrow"/>
        <family val="2"/>
      </rPr>
      <t>blank</t>
    </r>
    <r>
      <rPr>
        <sz val="10"/>
        <rFont val="Arial Narrow"/>
        <family val="2"/>
      </rPr>
      <t xml:space="preserve"> --&gt;</t>
    </r>
  </si>
  <si>
    <t>Select one:</t>
  </si>
  <si>
    <t>1-25% of the AA's perimeter abuts upland (including filled areas). The rest adjoins other wetlands or water that is mostly wider than the AA.</t>
  </si>
  <si>
    <t>25-50% of the AA's perimeter abuts upland. The rest adjoins other wetlands or water that is mostly wider than the AA.</t>
  </si>
  <si>
    <t>50-75% of the AA's perimeter abuts upland. The rest adjoins other wetlands or water that is mostly wider than the AA.</t>
  </si>
  <si>
    <t>More than 75% of the AA's perimeter abuts upland. Any remainder adjoins other wetlands or water that is mostly wider than the AA.</t>
  </si>
  <si>
    <t>The AA has no upland edge (or upland is &lt;1% of perimeter).  The AA is entirely surrounded by other wetland or water.</t>
  </si>
  <si>
    <t>Upland Edge Contact</t>
  </si>
  <si>
    <t>&lt;5% of the land (excluding ocean and bay)</t>
  </si>
  <si>
    <r>
      <t xml:space="preserve">Refer to the online Wetlands Module&gt; Land Classification Level 3.  In the list below, enter a "1" next to all land cover types that are mapped as being intersected by the AA, </t>
    </r>
    <r>
      <rPr>
        <b/>
        <u/>
        <sz val="10"/>
        <rFont val="Arial Narrow"/>
        <family val="2"/>
      </rPr>
      <t>or</t>
    </r>
    <r>
      <rPr>
        <sz val="10"/>
        <rFont val="Arial Narrow"/>
        <family val="2"/>
      </rPr>
      <t xml:space="preserve">  a "2" next to ones which (a) are present in the AA and (b) ALSO comprise </t>
    </r>
    <r>
      <rPr>
        <b/>
        <sz val="10"/>
        <rFont val="Arial Narrow"/>
        <family val="2"/>
      </rPr>
      <t xml:space="preserve">less than 10% </t>
    </r>
    <r>
      <rPr>
        <sz val="10"/>
        <rFont val="Arial Narrow"/>
        <family val="2"/>
      </rPr>
      <t>of the landscape outside of the AA but within 2 miles.</t>
    </r>
  </si>
  <si>
    <t>1 or 2</t>
  </si>
  <si>
    <t>3 to 6</t>
  </si>
  <si>
    <t>7 to 9</t>
  </si>
  <si>
    <t>10 to 12</t>
  </si>
  <si>
    <t>&gt;12</t>
  </si>
  <si>
    <t xml:space="preserve">Dependency of amphibians on a particular wetland (and thus its importance)  increases if no other natural vegetation of comparable or greater extent is available in the vicinity. </t>
  </si>
  <si>
    <t>PondNum11v</t>
  </si>
  <si>
    <t xml:space="preserve">Dependency of waterbirds on a particular wetland (and thus its importance)  increases if no other wetlands are available in the vicinity. </t>
  </si>
  <si>
    <t>PondNum12v</t>
  </si>
  <si>
    <t>MAX(MAX(Rare,IBAa), AVERAGE(RareWclass,PondNum,DuckHunt,PopCtr,Visib)))</t>
  </si>
  <si>
    <t>PondNum13v</t>
  </si>
  <si>
    <t>PondNum14v</t>
  </si>
  <si>
    <t>AVERAGE [PermWpct, SatPct, SeasPct, Fluctu,GroundW) ]</t>
  </si>
  <si>
    <r>
      <rPr>
        <b/>
        <u/>
        <sz val="10"/>
        <rFont val="Arial Narrow"/>
        <family val="2"/>
      </rPr>
      <t>Within</t>
    </r>
    <r>
      <rPr>
        <u/>
        <sz val="10"/>
        <rFont val="Arial Narrow"/>
        <family val="2"/>
      </rPr>
      <t xml:space="preserve"> </t>
    </r>
    <r>
      <rPr>
        <sz val="10"/>
        <rFont val="Arial Narrow"/>
        <family val="2"/>
      </rPr>
      <t xml:space="preserve">the entire vegetated part of the AA, the percentage occupied by </t>
    </r>
    <r>
      <rPr>
        <b/>
        <sz val="10"/>
        <rFont val="Arial Narrow"/>
        <family val="2"/>
      </rPr>
      <t xml:space="preserve">woody plants taller than 3 feet </t>
    </r>
    <r>
      <rPr>
        <sz val="10"/>
        <rFont val="Arial Narrow"/>
        <family val="2"/>
      </rPr>
      <t>(shrubs, trees) is:</t>
    </r>
  </si>
  <si>
    <t>Large variation in elevations within a wetland suggest greater potential for trapping and retaining snow and other precipitation, sufficiently long to allow infiltration or evaporation (Kadlec et al. 1981, Price et al. 1990).</t>
  </si>
  <si>
    <t>AVERAGE[Gradient, AVERAGE(Girreg,Gcover, WetPctCA2)]</t>
  </si>
  <si>
    <t>WetPctCA2</t>
  </si>
  <si>
    <t>AVERAGE(PondPct,Width, FloDist, Gcover, Thruflo, Interspers, WetPctCA)</t>
  </si>
  <si>
    <t xml:space="preserve">Wetland emissions of methane increase with warming temperatures (Moosavi et al. 1994, Sha et al. 2011).  Although plants responsible for much of the carbon sequestration in wetlands grow fastest at warmer soil or sediment temperatures, they also decompose faster. With colder temperatures (fewer degree days), the concentration of mobile DOC in forested wetland soils and streams decreases, suggesting more immobile carbon is sequestered onsite rather than being exported downslope in groundwater (D’Amore et al. 2010). </t>
  </si>
  <si>
    <t>Slowed Decomposition</t>
  </si>
  <si>
    <t>AVERAGE(Depth, AVERAGE(Freeze, Elev, Warmth, MossCov, WetType, Constric)</t>
  </si>
  <si>
    <t>MAX[(AVERAGE(UniqPatch,DistRareTyp, RareWclass, Geog)), (AVERAGE(WBFscore,SBMscore)]</t>
  </si>
  <si>
    <t>AVERAGE[(Woody,Interspers, AVERAGE(EmPct, Size, Vwidth, AqPlantCov, Snags)]</t>
  </si>
  <si>
    <t>OWpct14</t>
  </si>
  <si>
    <t>In calculations, if wetland is associated with a lake it counts positively; if not, this indicator is ignored in the calculations.</t>
  </si>
  <si>
    <t>LakePU</t>
  </si>
  <si>
    <t>AVERAGE(Interspers,ThruFlo,IsoWet)</t>
  </si>
  <si>
    <t>Ibird12v</t>
  </si>
  <si>
    <t>The capacity to support a diversity or abundance of pollinating insects, such as bees, wasps, flies, butterflies, moths, and beetles.</t>
  </si>
  <si>
    <t>Dist2RareCov0</t>
  </si>
  <si>
    <t>AVERAGE(wetuniq,RareWclass, Dist2RareCov,rareherb)</t>
  </si>
  <si>
    <t>AVERAGE(RecreaPoten, BMPsoils, BMPwildlife, LakePU)</t>
  </si>
  <si>
    <t>Prior designation of the wetland, by a natural resource or environmental protection agency, as some type of special protected area.  Also, the potential and actual use of a wetland for low-intensity outdoor recreation, education, or research.  The model assigns higher scores to greater visitor use. It does not account for some areas being valued more highly (e.g., as wilderness) because they have fewer visitors.</t>
  </si>
  <si>
    <r>
      <t xml:space="preserve">Within a </t>
    </r>
    <r>
      <rPr>
        <b/>
        <sz val="10"/>
        <rFont val="Arial Narrow"/>
        <family val="2"/>
      </rPr>
      <t>2-mile</t>
    </r>
    <r>
      <rPr>
        <sz val="10"/>
        <rFont val="Arial Narrow"/>
        <family val="2"/>
      </rPr>
      <t xml:space="preserve"> radius measured from the </t>
    </r>
    <r>
      <rPr>
        <b/>
        <sz val="10"/>
        <rFont val="Arial Narrow"/>
        <family val="2"/>
      </rPr>
      <t>center</t>
    </r>
    <r>
      <rPr>
        <sz val="10"/>
        <rFont val="Arial Narrow"/>
        <family val="2"/>
      </rPr>
      <t xml:space="preserve"> of the AA, the percent of the </t>
    </r>
    <r>
      <rPr>
        <b/>
        <sz val="10"/>
        <rFont val="Arial Narrow"/>
        <family val="2"/>
      </rPr>
      <t xml:space="preserve">land </t>
    </r>
    <r>
      <rPr>
        <sz val="10"/>
        <rFont val="Arial Narrow"/>
        <family val="2"/>
      </rPr>
      <t>that has natural land cover (see definition above) is:</t>
    </r>
  </si>
  <si>
    <r>
      <t xml:space="preserve">The distance from the AA </t>
    </r>
    <r>
      <rPr>
        <b/>
        <sz val="10"/>
        <rFont val="Arial Narrow"/>
        <family val="2"/>
      </rPr>
      <t>edge</t>
    </r>
    <r>
      <rPr>
        <sz val="10"/>
        <rFont val="Arial Narrow"/>
        <family val="2"/>
      </rPr>
      <t xml:space="preserve"> to the closest pond or lake that is </t>
    </r>
    <r>
      <rPr>
        <b/>
        <sz val="10"/>
        <rFont val="Arial Narrow"/>
        <family val="2"/>
      </rPr>
      <t xml:space="preserve">larger than 1 acre </t>
    </r>
    <r>
      <rPr>
        <sz val="10"/>
        <rFont val="Arial Narrow"/>
        <family val="2"/>
      </rPr>
      <t xml:space="preserve">and is </t>
    </r>
    <r>
      <rPr>
        <b/>
        <sz val="10"/>
        <rFont val="Arial Narrow"/>
        <family val="2"/>
      </rPr>
      <t xml:space="preserve">not </t>
    </r>
    <r>
      <rPr>
        <sz val="10"/>
        <rFont val="Arial Narrow"/>
        <family val="2"/>
      </rPr>
      <t>part of the same wetland, pond, or lake to which the AA is contiguous is:</t>
    </r>
  </si>
  <si>
    <r>
      <t xml:space="preserve">The distance from the AA edge to the closest (but separate) </t>
    </r>
    <r>
      <rPr>
        <b/>
        <sz val="10"/>
        <rFont val="Arial Narrow"/>
        <family val="2"/>
      </rPr>
      <t>lake</t>
    </r>
    <r>
      <rPr>
        <sz val="10"/>
        <rFont val="Arial Narrow"/>
        <family val="2"/>
      </rPr>
      <t xml:space="preserve"> (a non-tidal body of water that is ponded during most of the year and is </t>
    </r>
    <r>
      <rPr>
        <b/>
        <sz val="10"/>
        <rFont val="Arial Narrow"/>
        <family val="2"/>
      </rPr>
      <t>larger than 20 acres</t>
    </r>
    <r>
      <rPr>
        <sz val="10"/>
        <rFont val="Arial Narrow"/>
        <family val="2"/>
      </rPr>
      <t xml:space="preserve"> or about 1000 ft on a side) during most of a normal year is:</t>
    </r>
  </si>
  <si>
    <r>
      <t xml:space="preserve">From measurement of wetland polygon width or intersected stream length in the online WESPAK-SE Wetlands Module: </t>
    </r>
    <r>
      <rPr>
        <b/>
        <sz val="10"/>
        <rFont val="Arial Narrow"/>
        <family val="2"/>
      </rPr>
      <t xml:space="preserve"> </t>
    </r>
    <r>
      <rPr>
        <sz val="10"/>
        <rFont val="Arial Narrow"/>
        <family val="2"/>
      </rPr>
      <t>The straight-line horizontal distance from the wetland's inlet to outlet is:  [</t>
    </r>
    <r>
      <rPr>
        <i/>
        <sz val="10"/>
        <rFont val="Arial Narrow"/>
        <family val="2"/>
      </rPr>
      <t>Note: If inlet and/or outlet are lacking, see guidance in last column]</t>
    </r>
  </si>
  <si>
    <t>MAX(UniqPatch,DistRareTyp, AVERAGE(AnadFish,ResFish,Amphib,WbirdF,WbirdNest,SongbMam))</t>
  </si>
  <si>
    <t>AVERAGE(Aspect, Gradient, NewWet, Karst, Granite, TreeVar)</t>
  </si>
  <si>
    <t>AVERAGE [(AmPres,Wettype, AVERAGE(Hydro,AqStruc,TerrStruc,Produc,Climate,Lscape, Waterscape,Stress)]</t>
  </si>
  <si>
    <t>Weights</t>
  </si>
  <si>
    <t>Rounds, S. A. 2007. Temperature Effects of Weight Sources, Riparian Shading, and Dam Operations on the Willamette River, Oregon. Scientific Investigations Report 2007–5185. U.S. Department of the Interior, U.S. Geological Survey, Portland, OR.</t>
  </si>
  <si>
    <t>Data x Weights</t>
  </si>
  <si>
    <t>Condition Choices</t>
  </si>
  <si>
    <t>Siegel, D. I. and P. H. Glaser. 1987. Groundwater flow in a bog-fen complex, Lost River Peatland, northern Minnesota. The Journal of Ecology 75:743-754.</t>
  </si>
  <si>
    <t>Many or most fens are groundwater discharge areas (Siegel &amp; Glaser 1987), and such discharge is more seasonally stable and thus more likely to contribute water late in the season when streamflow otherwise can be low. Some bogs, especially those on slopes, discharge groundwater and thus potentially influence low flows in Southeast Alaska (Siegal 1988). Water tables in riparian wetlands typically fluctuate with river levels, and so are not likely to contribute much water during low flow conditions.</t>
  </si>
  <si>
    <t>Water         Warming</t>
  </si>
  <si>
    <t>Lacustrine wetlands are more likely than bogs or fens to be phosphorus-limited (Walbridge &amp; Navaratnam 2006), and thus should be more able to take up and retain phosphorus.</t>
  </si>
  <si>
    <t xml:space="preserve">IF((Access=0),0,
IF((AllSat=0),0, ELSE 
(AVERAGE(Access,OutDura)) X (AVERAGE(HydroRegime,Structure,Productivity,LScape,Stress))
</t>
  </si>
  <si>
    <t>Value               Indicators</t>
  </si>
  <si>
    <t>Value              Indicators</t>
  </si>
  <si>
    <t>Value                  Indicators</t>
  </si>
  <si>
    <t>Value                Indicators</t>
  </si>
  <si>
    <t>Function          Indicators</t>
  </si>
  <si>
    <t xml:space="preserve">                                                                                                                                                       Abiotic Resistance/ Sensitivity</t>
  </si>
  <si>
    <t>Determine which two native herbaceous (forb, graminoid, fern) species comprise the greatest portion of the herbaceous cover that is unshaded by a woody canopy. Then choose one:</t>
  </si>
  <si>
    <t xml:space="preserve">                                                                     Score for Stressors to Wetland</t>
  </si>
  <si>
    <t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t>
  </si>
  <si>
    <t>Woody Cover Extent</t>
  </si>
  <si>
    <t>x</t>
  </si>
  <si>
    <t>X</t>
  </si>
  <si>
    <t xml:space="preserve">One or more of these species -- Osprey, Peregrine Falcon, Northern (Queen Charlotte) Goshawk, Olive-sided Flycatcher, Rusty Blackbird -- has been detected nesting semi-annually in the AA or along the AA's upland edge (within 300 ft) under conditions similar to what now occur, by a qualified observer. Mark just the first choice that is true: </t>
  </si>
  <si>
    <t>Unvegetated Surface in the Contributing Area</t>
  </si>
  <si>
    <t>Relative Hydrologic Distance to Anadromous Stream</t>
  </si>
  <si>
    <t>OF49</t>
  </si>
  <si>
    <t xml:space="preserve">Refer to map in the Manual (Appendix A, Fig. A-1). This AA's watershed is rated:  3=Very High (100%), 2= High (50-99%), 1= Moderate (10-49%), 0= all other. </t>
  </si>
  <si>
    <t xml:space="preserve">Determine the AA's Wetland_ID using the Identify tool in the online WESPAK-SE Wetlands Module (see Manual).  From column B of the HydroDist worksheet (tab below), enter its score in the next column.  If Wetland_ID or HydroDist is lacking, use the value from the closest non-tidal wetland. </t>
  </si>
  <si>
    <t>Function Score for Organic Nutrient Export</t>
  </si>
  <si>
    <t>Value Score for Organic Nutrient Export</t>
  </si>
  <si>
    <t>DistAnad</t>
  </si>
  <si>
    <t>MAX(DistAnad,AVERAGE(TidalProx6,Elev6,Glacier6))</t>
  </si>
  <si>
    <t>Invasive species are present but comprise &lt;5% of the herbaceous and &lt;5% of the shrub cover.</t>
  </si>
  <si>
    <t>Invasive species comprise 5-20% of the herb or shrub cover.</t>
  </si>
  <si>
    <t>Invasive species comprise 20-50% of the herb or shrub cover.</t>
  </si>
  <si>
    <t>Invasive species comprise &gt;50% of the herb or shrub cover.</t>
  </si>
  <si>
    <t>Scientific Name</t>
  </si>
  <si>
    <t>SE #recs</t>
  </si>
  <si>
    <t>Common Name</t>
  </si>
  <si>
    <t>Invasive</t>
  </si>
  <si>
    <t>Rare</t>
  </si>
  <si>
    <t>Species</t>
  </si>
  <si>
    <t>Abies amabilis</t>
  </si>
  <si>
    <t>UPL</t>
  </si>
  <si>
    <t>Pacific Silver Fir</t>
  </si>
  <si>
    <t>Abies lasiocarpa</t>
  </si>
  <si>
    <t>Subalpine Fir</t>
  </si>
  <si>
    <t>Acer circinatum</t>
  </si>
  <si>
    <t>FAC</t>
  </si>
  <si>
    <t>Vine Maple</t>
  </si>
  <si>
    <t>Acer glabrum</t>
  </si>
  <si>
    <t>FACU</t>
  </si>
  <si>
    <t>Rocky Mountain Maple</t>
  </si>
  <si>
    <t>Achillea millefolium</t>
  </si>
  <si>
    <t>Common Yarrow</t>
  </si>
  <si>
    <t>Achnatherum richardsonii</t>
  </si>
  <si>
    <t>Richardson's Rice Grass</t>
  </si>
  <si>
    <t>Yes</t>
  </si>
  <si>
    <t>Aconitum delphiniifolium</t>
  </si>
  <si>
    <t>Larkspur-Leaf Monkshood</t>
  </si>
  <si>
    <t>Aconitum maximum</t>
  </si>
  <si>
    <t>Kamchatka Monkshood</t>
  </si>
  <si>
    <t>Aconogonon alaskanum</t>
  </si>
  <si>
    <t>Alaska Fleeceflower</t>
  </si>
  <si>
    <t>Acorus americanus</t>
  </si>
  <si>
    <t>OBL</t>
  </si>
  <si>
    <t>Several-Vein Sweetflag</t>
  </si>
  <si>
    <t>Actaea rubra</t>
  </si>
  <si>
    <t>Red Baneberry</t>
  </si>
  <si>
    <t>Adiantum aleuticum</t>
  </si>
  <si>
    <t>Aleutian Maidenhair</t>
  </si>
  <si>
    <t>Adoxa moschatellina</t>
  </si>
  <si>
    <t>Muskroot</t>
  </si>
  <si>
    <t>Agoseris aurantiaca</t>
  </si>
  <si>
    <t>Orange-Flower Goat-Chicory</t>
  </si>
  <si>
    <t>Agoseris glauca</t>
  </si>
  <si>
    <t>Pale Goat-Chicory</t>
  </si>
  <si>
    <t>Agrostis aequivalvis</t>
  </si>
  <si>
    <t>Agrostis alascana</t>
  </si>
  <si>
    <t>Agrostis capillaris</t>
  </si>
  <si>
    <t>Colonial Bent</t>
  </si>
  <si>
    <t>Agrostis clavata</t>
  </si>
  <si>
    <t>Clubed Bent</t>
  </si>
  <si>
    <t>Agrostis exarata</t>
  </si>
  <si>
    <t>FACW</t>
  </si>
  <si>
    <t>Spiked Bent</t>
  </si>
  <si>
    <t>Agrostis gigantea</t>
  </si>
  <si>
    <t>Black Bent</t>
  </si>
  <si>
    <t>Agrostis idahoensis</t>
  </si>
  <si>
    <t>Idaho Bent</t>
  </si>
  <si>
    <t>Agrostis mertensii</t>
  </si>
  <si>
    <t>Northern Bent</t>
  </si>
  <si>
    <t>Agrostis oregonensis</t>
  </si>
  <si>
    <t>Oregon Bentgrass</t>
  </si>
  <si>
    <t>Agrostis scabra</t>
  </si>
  <si>
    <t>Rough Bent</t>
  </si>
  <si>
    <t>Agrostis stolonifera</t>
  </si>
  <si>
    <t>Spreading Bent</t>
  </si>
  <si>
    <t>Agrostis thurberiana</t>
  </si>
  <si>
    <t>Agrostis vinealis</t>
  </si>
  <si>
    <t>Brown Bent</t>
  </si>
  <si>
    <t>Aira caryophyllea</t>
  </si>
  <si>
    <t>Common Silver-Hair Grass</t>
  </si>
  <si>
    <t>Alisma plantago-aquatica</t>
  </si>
  <si>
    <t>European Water-Plantain</t>
  </si>
  <si>
    <t>Alisma triviale</t>
  </si>
  <si>
    <t>Northern Water-Plantain</t>
  </si>
  <si>
    <t>Alliaria petiolata</t>
  </si>
  <si>
    <t>Garlic-Mustard</t>
  </si>
  <si>
    <t>Allium schoenoprasum</t>
  </si>
  <si>
    <t>Wild Chives</t>
  </si>
  <si>
    <t>Allium vineale</t>
  </si>
  <si>
    <t>Crow Garlic</t>
  </si>
  <si>
    <t>Alnus incana</t>
  </si>
  <si>
    <t>Speckled Alder</t>
  </si>
  <si>
    <t>Alnus rubra</t>
  </si>
  <si>
    <t>Red Alder</t>
  </si>
  <si>
    <t>Alnus viridis</t>
  </si>
  <si>
    <t>Sitka Alder</t>
  </si>
  <si>
    <t>Alopecurus aequalis</t>
  </si>
  <si>
    <t>Short-Awn Meadow-Foxtail</t>
  </si>
  <si>
    <t>Alopecurus geniculatus</t>
  </si>
  <si>
    <t>Marsh Meadow-Foxtail</t>
  </si>
  <si>
    <t>Alopecurus magellanicus</t>
  </si>
  <si>
    <t>Alpine Meadow-Foxtail</t>
  </si>
  <si>
    <t>Alopecurus pratensis</t>
  </si>
  <si>
    <t>Field Meadow-Foxtail</t>
  </si>
  <si>
    <t>Amaranthus albus</t>
  </si>
  <si>
    <t>Tumbleweed</t>
  </si>
  <si>
    <t>Amaranthus blitoides</t>
  </si>
  <si>
    <t>Mat Amaranth</t>
  </si>
  <si>
    <t>Amaranthus retroflexus</t>
  </si>
  <si>
    <t>Red-Root</t>
  </si>
  <si>
    <t>Ambrosia chamissonis</t>
  </si>
  <si>
    <t>Amelanchier alnifolia</t>
  </si>
  <si>
    <t>Saskatoon Service-Berry</t>
  </si>
  <si>
    <t>Amerorchis rotundifolia</t>
  </si>
  <si>
    <t>Round-Leaf Orchid</t>
  </si>
  <si>
    <t>Andromeda polifolia</t>
  </si>
  <si>
    <t>Bog-Rosemary</t>
  </si>
  <si>
    <t>Androsace chamaejasme</t>
  </si>
  <si>
    <t>Sweet-Flower Rock-Jasmine</t>
  </si>
  <si>
    <t>Androsace septentrionalis</t>
  </si>
  <si>
    <t>Pygmy-Flower Rock-Jasmine</t>
  </si>
  <si>
    <t>Anemone narcissiflora</t>
  </si>
  <si>
    <t>Narcissus-Flower Thimbleweed</t>
  </si>
  <si>
    <t>Anemone parviflora</t>
  </si>
  <si>
    <t>Small-Flower Thimbleweed</t>
  </si>
  <si>
    <t>Anemone richardsonii</t>
  </si>
  <si>
    <t>Yellow Thimbleweed</t>
  </si>
  <si>
    <t>Angelica arguta</t>
  </si>
  <si>
    <t>Lyall's Angelica</t>
  </si>
  <si>
    <t>Angelica genuflexa</t>
  </si>
  <si>
    <t>Kneeling Angelica</t>
  </si>
  <si>
    <t>Angelica lucida</t>
  </si>
  <si>
    <t>Seacoast Angelica</t>
  </si>
  <si>
    <t>Antennaria alpina</t>
  </si>
  <si>
    <t>Alpine Pussytoes</t>
  </si>
  <si>
    <t>Antennaria media</t>
  </si>
  <si>
    <t>Dark Pussytoes</t>
  </si>
  <si>
    <t>Antennaria pulcherrima</t>
  </si>
  <si>
    <t>Showy Pussytoes</t>
  </si>
  <si>
    <t>Antennaria umbrinella</t>
  </si>
  <si>
    <t>Umber Pussytoes</t>
  </si>
  <si>
    <t>Anthemis cotula</t>
  </si>
  <si>
    <t>Stinking Chamomile</t>
  </si>
  <si>
    <t>Anthoxanthum arcticum</t>
  </si>
  <si>
    <t>Arctic Sweet Vernal Grass</t>
  </si>
  <si>
    <t>Anthoxanthum monticola</t>
  </si>
  <si>
    <t>Alpine Sweet Vernal Grass</t>
  </si>
  <si>
    <t>Anthoxanthum odoratum</t>
  </si>
  <si>
    <t>Large Sweet Vernal Grass</t>
  </si>
  <si>
    <t>Anticlea elegans</t>
  </si>
  <si>
    <t>Mountain False Deathcamas</t>
  </si>
  <si>
    <t>Aphragmus eschscholtzianus</t>
  </si>
  <si>
    <t>Aleutian-Cress</t>
  </si>
  <si>
    <t>Apocynum androsaemifolium</t>
  </si>
  <si>
    <t>Spreading Dogbane</t>
  </si>
  <si>
    <t>Aquilegia formosa</t>
  </si>
  <si>
    <t>Crimson Columbine</t>
  </si>
  <si>
    <t>Arabidopsis lyrata</t>
  </si>
  <si>
    <t>Lyre-Leaf Thalecress</t>
  </si>
  <si>
    <t>Arabis drummondii</t>
  </si>
  <si>
    <t>Drummond rockcress</t>
  </si>
  <si>
    <t>Arabis eschscholtziana</t>
  </si>
  <si>
    <t>Pacific-Coast Eared Rockcress</t>
  </si>
  <si>
    <t>Arabis hirsuta</t>
  </si>
  <si>
    <t>Hairy Eared Rockcress</t>
  </si>
  <si>
    <t>Arabis holboellii</t>
  </si>
  <si>
    <t>Arabis lyrata</t>
  </si>
  <si>
    <t>Arctagrostis latifolia</t>
  </si>
  <si>
    <t>Broad-Leaf Arctic-Bent</t>
  </si>
  <si>
    <t>Arctanthemum arcticum</t>
  </si>
  <si>
    <t>Arctic Daisy</t>
  </si>
  <si>
    <t>Arctophila fulva</t>
  </si>
  <si>
    <t>Pendant Grass</t>
  </si>
  <si>
    <t>Arctostaphylos alpina</t>
  </si>
  <si>
    <t>Black Bearberry</t>
  </si>
  <si>
    <t>Arctostaphylos rubra</t>
  </si>
  <si>
    <t>Red Manzanita</t>
  </si>
  <si>
    <t>Arctostaphylos uva-ursi</t>
  </si>
  <si>
    <t>Red Bearberry</t>
  </si>
  <si>
    <t>Argentina anserina</t>
  </si>
  <si>
    <t>Common Silverweed</t>
  </si>
  <si>
    <t>Argentina egedii</t>
  </si>
  <si>
    <t>Pacific Silverweed</t>
  </si>
  <si>
    <t>Armeria maritima</t>
  </si>
  <si>
    <t>Sea Thrift</t>
  </si>
  <si>
    <t>Arnica amplexicaulis</t>
  </si>
  <si>
    <t>Arnica chamissonis</t>
  </si>
  <si>
    <t>Leafy Leopardbane</t>
  </si>
  <si>
    <t>Arnica lanceolata</t>
  </si>
  <si>
    <t>Lance-Leaf Leopardbane</t>
  </si>
  <si>
    <t>Arnica latifolia</t>
  </si>
  <si>
    <t>Daffodil Leopardbane</t>
  </si>
  <si>
    <t>Arnica lessingii</t>
  </si>
  <si>
    <t>Arnica mollis</t>
  </si>
  <si>
    <t>Cordilleran Leopardbane</t>
  </si>
  <si>
    <t>Arnica ovata</t>
  </si>
  <si>
    <t>Sticky-Leaf Leopardbane</t>
  </si>
  <si>
    <t>Arrhenatherum elatius</t>
  </si>
  <si>
    <t>Tall Oat Grass</t>
  </si>
  <si>
    <t>Artemisia arctica</t>
  </si>
  <si>
    <t>Artemisia biennis</t>
  </si>
  <si>
    <t>Biennial Wormwood</t>
  </si>
  <si>
    <t>Artemisia cana</t>
  </si>
  <si>
    <t>Coaltown Sagebrush</t>
  </si>
  <si>
    <t>Artemisia ludoviciana</t>
  </si>
  <si>
    <t>White Sagebrush</t>
  </si>
  <si>
    <t>Artemisia norvegica</t>
  </si>
  <si>
    <t>Boreal Sagebrush</t>
  </si>
  <si>
    <t>Artemisia stelleriana</t>
  </si>
  <si>
    <t>Oldwoman</t>
  </si>
  <si>
    <t>Artemisia tilesii</t>
  </si>
  <si>
    <t>Tilesius' Wormwood</t>
  </si>
  <si>
    <t>Artemisia vulgaris</t>
  </si>
  <si>
    <t>Common Wormwood</t>
  </si>
  <si>
    <t>Aruncus dioicus</t>
  </si>
  <si>
    <t>Bride's-Feathers</t>
  </si>
  <si>
    <t>Asperugo procumbens</t>
  </si>
  <si>
    <t>German-Madwort</t>
  </si>
  <si>
    <t>Asplenium trichomanes</t>
  </si>
  <si>
    <t>Maidenhair Spleenwort</t>
  </si>
  <si>
    <t>Asplenium trichomanes-ramosum</t>
  </si>
  <si>
    <t>Green Spleenwort</t>
  </si>
  <si>
    <t>Asplenium viride</t>
  </si>
  <si>
    <t>Aster modestus</t>
  </si>
  <si>
    <t>Aster subspicatus</t>
  </si>
  <si>
    <t>Astragalus agrestis</t>
  </si>
  <si>
    <t>Purple Milk Vetch</t>
  </si>
  <si>
    <t>Astragalus alpinus</t>
  </si>
  <si>
    <t>Alpine Milk-Vetch</t>
  </si>
  <si>
    <t>Astragalus americanus</t>
  </si>
  <si>
    <t>American Milk-Vetch</t>
  </si>
  <si>
    <t>Astragalus bodinii</t>
  </si>
  <si>
    <t>Bodin's Milk-Vetch</t>
  </si>
  <si>
    <t>Astragalus eucosmus</t>
  </si>
  <si>
    <t>Elegant Milk-Vetch</t>
  </si>
  <si>
    <t>Astragalus nutzotinensis</t>
  </si>
  <si>
    <t>Nutzotin Milk-Vetch</t>
  </si>
  <si>
    <t>Astragalus polaris</t>
  </si>
  <si>
    <t>Polar Milk-Vetch</t>
  </si>
  <si>
    <t>Astragalus robbinsii</t>
  </si>
  <si>
    <t>Robbins' Milk-Vetch</t>
  </si>
  <si>
    <t>Athyrium americanum</t>
  </si>
  <si>
    <t>American Alpine Lady Fern</t>
  </si>
  <si>
    <t>Athyrium filix-femina</t>
  </si>
  <si>
    <t>Subarctic Lady Fern</t>
  </si>
  <si>
    <t>Atriplex alaskensis</t>
  </si>
  <si>
    <t>Alaska Orache</t>
  </si>
  <si>
    <t>Atriplex gmelinii</t>
  </si>
  <si>
    <t>Gmelin's Saltbush</t>
  </si>
  <si>
    <t>Atriplex hortensis</t>
  </si>
  <si>
    <t>Garden Orache</t>
  </si>
  <si>
    <t>Atriplex patula</t>
  </si>
  <si>
    <t>Halberd-Leaf Orache</t>
  </si>
  <si>
    <t>Avena sativa</t>
  </si>
  <si>
    <t>Oat</t>
  </si>
  <si>
    <t>Azolla filiculoides</t>
  </si>
  <si>
    <t>Large Mosquito Fern</t>
  </si>
  <si>
    <t>Barbarea orthoceras</t>
  </si>
  <si>
    <t>American Yellow-Rocket</t>
  </si>
  <si>
    <t>Beckmannia syzigachne</t>
  </si>
  <si>
    <t>American Slough Grass</t>
  </si>
  <si>
    <t>Betula glandulosa</t>
  </si>
  <si>
    <t>Resin Birch</t>
  </si>
  <si>
    <t>Betula nana</t>
  </si>
  <si>
    <t>Swamp Birch</t>
  </si>
  <si>
    <t>Betula neoalaskana</t>
  </si>
  <si>
    <t>Alaska Paper Birch</t>
  </si>
  <si>
    <t>Betula occidentalis</t>
  </si>
  <si>
    <t>Water Birch</t>
  </si>
  <si>
    <t>Betula papyrifera</t>
  </si>
  <si>
    <t>Paper Birch</t>
  </si>
  <si>
    <t>Bidens cernua</t>
  </si>
  <si>
    <t>Nodding Burr-Marigold</t>
  </si>
  <si>
    <t>Bidens frondosa</t>
  </si>
  <si>
    <t>Devil's-Pitchfork</t>
  </si>
  <si>
    <t>Bidens tripartita</t>
  </si>
  <si>
    <t>Three-Lobe Beggarticks</t>
  </si>
  <si>
    <t>Bistorta plumosa</t>
  </si>
  <si>
    <t>Meadow Bistort</t>
  </si>
  <si>
    <t>Bistorta vivipara</t>
  </si>
  <si>
    <t>Serpent-Grass</t>
  </si>
  <si>
    <t>Blechnum spicant</t>
  </si>
  <si>
    <t>Deer Fern</t>
  </si>
  <si>
    <t>Blysmopsis rufa</t>
  </si>
  <si>
    <t>Red-Bulrush</t>
  </si>
  <si>
    <t>Boechera grahamii</t>
  </si>
  <si>
    <t>Boechera holboellii</t>
  </si>
  <si>
    <t>Holboell's Rockcress</t>
  </si>
  <si>
    <t>Boechera lemmonii</t>
  </si>
  <si>
    <t>Soldier Rockcress</t>
  </si>
  <si>
    <t>Boechera stricta</t>
  </si>
  <si>
    <t>Canadian Rockcress</t>
  </si>
  <si>
    <t>Boschniakia rossica</t>
  </si>
  <si>
    <t>Northern Groundcone</t>
  </si>
  <si>
    <t>Botrychium ascendens</t>
  </si>
  <si>
    <t>Triangle-Lobe Moonwort</t>
  </si>
  <si>
    <t>Botrychium boreale</t>
  </si>
  <si>
    <t>Northern Moonwort</t>
  </si>
  <si>
    <t>Botrychium lanceolatum</t>
  </si>
  <si>
    <t>Lance-Leaf Moonwort</t>
  </si>
  <si>
    <t>Botrychium lunaria</t>
  </si>
  <si>
    <t>Common Moonwort</t>
  </si>
  <si>
    <t>Botrychium minganense</t>
  </si>
  <si>
    <t>Botrychium multifidum</t>
  </si>
  <si>
    <t>Leathery Grapefern</t>
  </si>
  <si>
    <t>Botrychium pinnatum</t>
  </si>
  <si>
    <t>Northeastern Moonwort</t>
  </si>
  <si>
    <t>Botrychium simplex</t>
  </si>
  <si>
    <t>Least Moonwort</t>
  </si>
  <si>
    <t>Botrychium tunux</t>
  </si>
  <si>
    <t>Botrychium virginianum</t>
  </si>
  <si>
    <t>Rattlesnake Fern</t>
  </si>
  <si>
    <t>Botrychium yaaxudakeit</t>
  </si>
  <si>
    <t>Botrypus virginianus</t>
  </si>
  <si>
    <t>Boykinia richardsonii</t>
  </si>
  <si>
    <t>Richardson's Brookfoam</t>
  </si>
  <si>
    <t>Brasenia schreberi</t>
  </si>
  <si>
    <t>Watershield</t>
  </si>
  <si>
    <t>Brassica juncea</t>
  </si>
  <si>
    <t>Chinese Mustard</t>
  </si>
  <si>
    <t>Brassica rapa</t>
  </si>
  <si>
    <t>Rape</t>
  </si>
  <si>
    <t>Braya glabella</t>
  </si>
  <si>
    <t>Smooth Northern-Rockcress</t>
  </si>
  <si>
    <t>Braya humilis</t>
  </si>
  <si>
    <t>Dwarf Northern Rockcress</t>
  </si>
  <si>
    <t>Bromus briziformis</t>
  </si>
  <si>
    <t>Rattlesnake Brome</t>
  </si>
  <si>
    <t>Bromus ciliatus</t>
  </si>
  <si>
    <t>Fringed Brome</t>
  </si>
  <si>
    <t>Bromus hordeaceus</t>
  </si>
  <si>
    <t>Soft Brome</t>
  </si>
  <si>
    <t>Bromus inermis</t>
  </si>
  <si>
    <t>Smooth Brome</t>
  </si>
  <si>
    <t>Bromus richardsonii</t>
  </si>
  <si>
    <t>Richardson's Brome</t>
  </si>
  <si>
    <t>Bromus sitchensis</t>
  </si>
  <si>
    <t>Bromus vulgaris</t>
  </si>
  <si>
    <t>Columbia Brome</t>
  </si>
  <si>
    <t>Cakile edentula</t>
  </si>
  <si>
    <t>American Searocket</t>
  </si>
  <si>
    <t>Cakile maritima</t>
  </si>
  <si>
    <t>Calamagrostis canadensis</t>
  </si>
  <si>
    <t>Bluejoint</t>
  </si>
  <si>
    <t>Calamagrostis deschampsioides</t>
  </si>
  <si>
    <t>Circumpolar Reed Grass</t>
  </si>
  <si>
    <t>Calamagrostis lapponica</t>
  </si>
  <si>
    <t>Lapland Reed Grass</t>
  </si>
  <si>
    <t>Calamagrostis nutkaensis</t>
  </si>
  <si>
    <t>Nootka Reed Grass</t>
  </si>
  <si>
    <t>Calamagrostis stricta</t>
  </si>
  <si>
    <t>Slim-Stem Reed Grass</t>
  </si>
  <si>
    <t>Calla palustris</t>
  </si>
  <si>
    <t>Water-Dragon</t>
  </si>
  <si>
    <t>Callitriche hermaphroditica</t>
  </si>
  <si>
    <t>Autumn Water-Starwort</t>
  </si>
  <si>
    <t>Callitriche heterophylla</t>
  </si>
  <si>
    <t>Greater Water-Starwort</t>
  </si>
  <si>
    <t>Callitriche palustris</t>
  </si>
  <si>
    <t>Vernal Water-Starwort</t>
  </si>
  <si>
    <t>Caltha leptosepala</t>
  </si>
  <si>
    <t>White Marsh-Marigold</t>
  </si>
  <si>
    <t>Caltha natans</t>
  </si>
  <si>
    <t>Floating Marsh-Marigold</t>
  </si>
  <si>
    <t>Caltha palustris</t>
  </si>
  <si>
    <t>Yellow Marsh-Marigold</t>
  </si>
  <si>
    <t>Calypso bulbosa</t>
  </si>
  <si>
    <t>Fairy-Slipper Orchid</t>
  </si>
  <si>
    <t>Calystegia sepium</t>
  </si>
  <si>
    <t>Hedge False Bindweed</t>
  </si>
  <si>
    <t>Camelina sativa</t>
  </si>
  <si>
    <t>Gold-of-Pleasure</t>
  </si>
  <si>
    <t>Campanula lasiocarpa</t>
  </si>
  <si>
    <t>Alaska Bellflower</t>
  </si>
  <si>
    <t>Campanula rotundifolia</t>
  </si>
  <si>
    <t>Bluebell-of-Scotland</t>
  </si>
  <si>
    <t>Campanula scouleri</t>
  </si>
  <si>
    <t>Pale Bellflower</t>
  </si>
  <si>
    <t>Campanula uniflora</t>
  </si>
  <si>
    <t>Arctic Bellflower</t>
  </si>
  <si>
    <t>Canadanthus modestus</t>
  </si>
  <si>
    <t>Canada-Aster</t>
  </si>
  <si>
    <t>Capsella bursa-pastoris</t>
  </si>
  <si>
    <t>Shepherd's-Purse</t>
  </si>
  <si>
    <t>Cardamine angulata</t>
  </si>
  <si>
    <t>Seaside Bittercress</t>
  </si>
  <si>
    <t>Cardamine bellidifolia</t>
  </si>
  <si>
    <t>Alpine Bittercress</t>
  </si>
  <si>
    <t>Cardamine breweri</t>
  </si>
  <si>
    <t>Brewer's Bittercress</t>
  </si>
  <si>
    <t>Cardamine digitata</t>
  </si>
  <si>
    <t>Richardson's Bittercress</t>
  </si>
  <si>
    <t>Cardamine hirsuta</t>
  </si>
  <si>
    <t>Hairy Bittercress</t>
  </si>
  <si>
    <t>Cardamine microphylla</t>
  </si>
  <si>
    <t>Little-Leaf Bittercress</t>
  </si>
  <si>
    <t>Cardamine occidentalis</t>
  </si>
  <si>
    <t>Big Western Bittercress</t>
  </si>
  <si>
    <t>Cardamine oligosperma</t>
  </si>
  <si>
    <t>Little Western Bittercress</t>
  </si>
  <si>
    <t>Cardamine pensylvanica</t>
  </si>
  <si>
    <t>Quaker Bittercress</t>
  </si>
  <si>
    <t>Cardamine pratensis</t>
  </si>
  <si>
    <t>Cuckoo Flower</t>
  </si>
  <si>
    <t>Cardamine purpurea</t>
  </si>
  <si>
    <t>Purple Bittercress</t>
  </si>
  <si>
    <t>Cardamine regeliana</t>
  </si>
  <si>
    <t>Japanese Bittercress</t>
  </si>
  <si>
    <t>Cardamine umbellata</t>
  </si>
  <si>
    <t>Umbell's Bittercress</t>
  </si>
  <si>
    <t>Carex adelostoma</t>
  </si>
  <si>
    <t>Circumpolar Sedge</t>
  </si>
  <si>
    <t>Carex albonigra</t>
  </si>
  <si>
    <t>Black-and-White-Scale Sedge</t>
  </si>
  <si>
    <t>Carex anthoxanthea</t>
  </si>
  <si>
    <t>Grassy-Slope Arctic Sedge</t>
  </si>
  <si>
    <t>Carex aquatilis</t>
  </si>
  <si>
    <t>Leafy Tussock Sedge</t>
  </si>
  <si>
    <t>Carex arcta</t>
  </si>
  <si>
    <t>Northern Cluster Sedge</t>
  </si>
  <si>
    <t>Carex arctiformis</t>
  </si>
  <si>
    <t>Polar Sedge</t>
  </si>
  <si>
    <t>Carex atherodes</t>
  </si>
  <si>
    <t>Wheat Sedge</t>
  </si>
  <si>
    <t>Carex athrostachya</t>
  </si>
  <si>
    <t>Slender-Beak Sedge</t>
  </si>
  <si>
    <t>Carex atratiformis</t>
  </si>
  <si>
    <t>Scabrous Black Sedge</t>
  </si>
  <si>
    <t>Carex atrofusca</t>
  </si>
  <si>
    <t>Scorched Alpine Sedge</t>
  </si>
  <si>
    <t>Carex atrosquama</t>
  </si>
  <si>
    <t>Lesser Black-Scale Sedge</t>
  </si>
  <si>
    <t>Carex aurea</t>
  </si>
  <si>
    <t>Golden-Fruit Sedge</t>
  </si>
  <si>
    <t>Carex bebbii</t>
  </si>
  <si>
    <t>Bebb's Sedge</t>
  </si>
  <si>
    <t>Carex bicolor</t>
  </si>
  <si>
    <t>Two-Color Sedge</t>
  </si>
  <si>
    <t>Carex bigelowii</t>
  </si>
  <si>
    <t>Bigelow's Sedge</t>
  </si>
  <si>
    <t>Carex bonanzensis</t>
  </si>
  <si>
    <t>Yukon Sedge</t>
  </si>
  <si>
    <t>Carex brunnescens</t>
  </si>
  <si>
    <t>Brownish Sedge</t>
  </si>
  <si>
    <t>Carex buxbaumii</t>
  </si>
  <si>
    <t>Brown Bog Sedge</t>
  </si>
  <si>
    <t>Carex canescens</t>
  </si>
  <si>
    <t>Hoary Sedge</t>
  </si>
  <si>
    <t>Carex capillaris</t>
  </si>
  <si>
    <t>Hair-Like Sedge</t>
  </si>
  <si>
    <t>Carex capitata</t>
  </si>
  <si>
    <t>Capitate Sedge</t>
  </si>
  <si>
    <t>Carex chordorrhiza</t>
  </si>
  <si>
    <t>Rope-Root Sedge</t>
  </si>
  <si>
    <t>Carex circinata</t>
  </si>
  <si>
    <t>Coiled Sedge</t>
  </si>
  <si>
    <t>Carex concinna</t>
  </si>
  <si>
    <t>Low Northern Sedge</t>
  </si>
  <si>
    <t>Carex crawfordii</t>
  </si>
  <si>
    <t>Crawford's Sedge</t>
  </si>
  <si>
    <t>Carex deweyana</t>
  </si>
  <si>
    <t>Dewey's Sedge</t>
  </si>
  <si>
    <t>Carex diandra</t>
  </si>
  <si>
    <t>Lesser Tussock Sedge</t>
  </si>
  <si>
    <t>Carex disperma</t>
  </si>
  <si>
    <t>Soft-Leaf Sedge</t>
  </si>
  <si>
    <t>Carex duriuscula</t>
  </si>
  <si>
    <t>Spike-Rush Sedge</t>
  </si>
  <si>
    <t>Carex eburnea</t>
  </si>
  <si>
    <t>Bristle-Leaf Sedge</t>
  </si>
  <si>
    <t>Carex echinata</t>
  </si>
  <si>
    <t>Star Sedge</t>
  </si>
  <si>
    <t>Carex eleusinoides</t>
  </si>
  <si>
    <t>Goosegrass Sedge</t>
  </si>
  <si>
    <t>Carex exsiccata</t>
  </si>
  <si>
    <t>Western Inflated Sedge</t>
  </si>
  <si>
    <t>Carex flava</t>
  </si>
  <si>
    <t>Yellow-Green Sedge</t>
  </si>
  <si>
    <t>Carex foenea</t>
  </si>
  <si>
    <t>Bronze Sedge</t>
  </si>
  <si>
    <t>Carex fuliginosa</t>
  </si>
  <si>
    <t>Short-Leaf Sedge</t>
  </si>
  <si>
    <t>Carex garberi</t>
  </si>
  <si>
    <t>Elk Sedge</t>
  </si>
  <si>
    <t>Carex glareosa</t>
  </si>
  <si>
    <t>Lesser Saltmarsh Sedge</t>
  </si>
  <si>
    <t>Carex gmelinii</t>
  </si>
  <si>
    <t>Gmelin's Sedge</t>
  </si>
  <si>
    <t>Carex gynocrates</t>
  </si>
  <si>
    <t>Northern Bog Sedge</t>
  </si>
  <si>
    <t>Carex heleonastes</t>
  </si>
  <si>
    <t>Hudson Bay Sedge</t>
  </si>
  <si>
    <t>Carex holostoma</t>
  </si>
  <si>
    <t>Arctic Marsh Sedge</t>
  </si>
  <si>
    <t>Carex hoodii</t>
  </si>
  <si>
    <t>Hood's Sedge</t>
  </si>
  <si>
    <t>Carex incurviformis</t>
  </si>
  <si>
    <t>Coastal-Sand Sedge</t>
  </si>
  <si>
    <t>Carex interior</t>
  </si>
  <si>
    <t>Inland Sedge</t>
  </si>
  <si>
    <t>Carex lachenalii</t>
  </si>
  <si>
    <t>Arctic Hare-Foot Sedge</t>
  </si>
  <si>
    <t>Carex laeviculmis</t>
  </si>
  <si>
    <t>Smooth-Stem Sedge</t>
  </si>
  <si>
    <t>Carex lapponica</t>
  </si>
  <si>
    <t>Lapland Sedge</t>
  </si>
  <si>
    <t>Carex lasiocarpa</t>
  </si>
  <si>
    <t>Woolly-Fruit Sedge</t>
  </si>
  <si>
    <t>Carex laxa</t>
  </si>
  <si>
    <t>Weak Sedge</t>
  </si>
  <si>
    <t>Carex lenticularis</t>
  </si>
  <si>
    <t>Lakeshore Sedge</t>
  </si>
  <si>
    <t>Carex leptalea</t>
  </si>
  <si>
    <t>Bristly-Stalk Sedge</t>
  </si>
  <si>
    <t>Carex limosa</t>
  </si>
  <si>
    <t>Mud Sedge</t>
  </si>
  <si>
    <t>Carex livida</t>
  </si>
  <si>
    <t>Livid Sedge</t>
  </si>
  <si>
    <t>Carex loliacea</t>
  </si>
  <si>
    <t>Rye-Grass Sedge</t>
  </si>
  <si>
    <t>Carex lyngbyei</t>
  </si>
  <si>
    <t>Lyngbye's Sedge</t>
  </si>
  <si>
    <t>Carex mackenziei</t>
  </si>
  <si>
    <t>Mackenzie's Sedge</t>
  </si>
  <si>
    <t>Carex macloviana</t>
  </si>
  <si>
    <t>Falkland Island Sedge</t>
  </si>
  <si>
    <t>Carex macrocephala</t>
  </si>
  <si>
    <t>Big-Head Sedge</t>
  </si>
  <si>
    <t>Carex macrochaeta</t>
  </si>
  <si>
    <t>Alaska Long-Awn Sedge</t>
  </si>
  <si>
    <t>Carex magellanica</t>
  </si>
  <si>
    <t>Boreal-Bog Sedge</t>
  </si>
  <si>
    <t>Carex marina</t>
  </si>
  <si>
    <t>Sea Sedge</t>
  </si>
  <si>
    <t>Carex maritima</t>
  </si>
  <si>
    <t>Seaside Sedge</t>
  </si>
  <si>
    <t>Carex media</t>
  </si>
  <si>
    <t>Montana Sedge</t>
  </si>
  <si>
    <t>Carex membranacea</t>
  </si>
  <si>
    <t>Fragile-Seed Sedge</t>
  </si>
  <si>
    <t>Carex mertensii</t>
  </si>
  <si>
    <t>Mertens' Sedge</t>
  </si>
  <si>
    <t>Carex microchaeta</t>
  </si>
  <si>
    <t>Alpine-Tundra Sedge</t>
  </si>
  <si>
    <t>Carex microglochin</t>
  </si>
  <si>
    <t>False Uncinia Sedge</t>
  </si>
  <si>
    <t>Carex micropoda</t>
  </si>
  <si>
    <t>Pyrenean Sedge</t>
  </si>
  <si>
    <t>Carex microptera</t>
  </si>
  <si>
    <t>Small-Wing Sedge</t>
  </si>
  <si>
    <t>Carex nardina</t>
  </si>
  <si>
    <t>Nard Sedge</t>
  </si>
  <si>
    <t>Carex nigricans</t>
  </si>
  <si>
    <t>Black Alpine Sedge</t>
  </si>
  <si>
    <t>Carex obnupta</t>
  </si>
  <si>
    <t>Slough sedge</t>
  </si>
  <si>
    <t>Carex pachystachya</t>
  </si>
  <si>
    <t>Thick-Head Sedge</t>
  </si>
  <si>
    <t>Carex parryana</t>
  </si>
  <si>
    <t>Parry's Sedge</t>
  </si>
  <si>
    <t>Carex pauciflora</t>
  </si>
  <si>
    <t>Few-Flower Sedge</t>
  </si>
  <si>
    <t>Carex paysonis</t>
  </si>
  <si>
    <t>Payson's Sedge</t>
  </si>
  <si>
    <t>Carex petasata</t>
  </si>
  <si>
    <t>Liddon Sedge</t>
  </si>
  <si>
    <t>Carex phaeocephala</t>
  </si>
  <si>
    <t>Mountain Hare Sedge</t>
  </si>
  <si>
    <t>Carex pluriflora</t>
  </si>
  <si>
    <t>Several-Flower Sedge</t>
  </si>
  <si>
    <t>Carex praegracilis</t>
  </si>
  <si>
    <t>Clustered Field Sedge</t>
  </si>
  <si>
    <t>Carex praticola</t>
  </si>
  <si>
    <t>Northern Meadow Sedge</t>
  </si>
  <si>
    <t>Carex preslii</t>
  </si>
  <si>
    <t>Presl's Sedge</t>
  </si>
  <si>
    <t>Carex pyrenaica</t>
  </si>
  <si>
    <t>Carex ramenskii</t>
  </si>
  <si>
    <t>Ramensk's Sedge</t>
  </si>
  <si>
    <t>Carex rariflora</t>
  </si>
  <si>
    <t>Loose-Flower Alpine Sedge</t>
  </si>
  <si>
    <t>Carex rostrata</t>
  </si>
  <si>
    <t>Swollen Beaked Sedge</t>
  </si>
  <si>
    <t>Carex rotundata</t>
  </si>
  <si>
    <t>Pumpkin-Fruit Sedge</t>
  </si>
  <si>
    <t>Carex rupestris</t>
  </si>
  <si>
    <t>Curly Sedge</t>
  </si>
  <si>
    <t>Carex sartwellii</t>
  </si>
  <si>
    <t>Sartwell's Sedge</t>
  </si>
  <si>
    <t>Carex saxatilis</t>
  </si>
  <si>
    <t>Russet Sedge</t>
  </si>
  <si>
    <t>Carex scirpoidea</t>
  </si>
  <si>
    <t>Canadian Single-Spike Sedge</t>
  </si>
  <si>
    <t>Carex siccata</t>
  </si>
  <si>
    <t>Dry-Spike Sedge</t>
  </si>
  <si>
    <t>Carex spectabilis</t>
  </si>
  <si>
    <t>Northwestern Showy Sedge</t>
  </si>
  <si>
    <t>Carex sprengelii</t>
  </si>
  <si>
    <t>Long-Beak Sedge</t>
  </si>
  <si>
    <t>Carex stipata</t>
  </si>
  <si>
    <t>Stalk-Grain Sedge</t>
  </si>
  <si>
    <t>Carex stylosa</t>
  </si>
  <si>
    <t>Long-Style Sedge</t>
  </si>
  <si>
    <t>Carex subspathacea</t>
  </si>
  <si>
    <t>Hoppner's Sedge</t>
  </si>
  <si>
    <t>Carex sychnocephala</t>
  </si>
  <si>
    <t>Many-Head Sedge</t>
  </si>
  <si>
    <t>Carex tenuiflora</t>
  </si>
  <si>
    <t>Sparse-Flower Sedge</t>
  </si>
  <si>
    <t>Carex ursina</t>
  </si>
  <si>
    <t>Bear Sedge</t>
  </si>
  <si>
    <t>Carex utriculata</t>
  </si>
  <si>
    <t>Northwest Territory Sedge</t>
  </si>
  <si>
    <t>Carex vaginata</t>
  </si>
  <si>
    <t>Sheathed Sedge</t>
  </si>
  <si>
    <t>Carex viridula</t>
  </si>
  <si>
    <t>Little Green Sedge</t>
  </si>
  <si>
    <t>Carex williamsii</t>
  </si>
  <si>
    <t>Williams' Sedge</t>
  </si>
  <si>
    <t>Carex X physocarpoides</t>
  </si>
  <si>
    <t>Cassiope mertensiana</t>
  </si>
  <si>
    <t>Western Moss-Heather</t>
  </si>
  <si>
    <t>Cassiope tetragona</t>
  </si>
  <si>
    <t>White Arctic Mountain-Heather</t>
  </si>
  <si>
    <t>Castilleja caudata</t>
  </si>
  <si>
    <t>Port Clarence Indian-Paintbrush</t>
  </si>
  <si>
    <t>Castilleja chrymactis</t>
  </si>
  <si>
    <t>Panhandle Indian-Paintbrush</t>
  </si>
  <si>
    <t>Castilleja hyetophila</t>
  </si>
  <si>
    <t>Coastal Red Indian-Paintbrush</t>
  </si>
  <si>
    <t>Castilleja miniata</t>
  </si>
  <si>
    <t>Great Red Indian-Paintbrush</t>
  </si>
  <si>
    <t>Castilleja parviflora</t>
  </si>
  <si>
    <t>Small-Flower Indian-Paintbrush</t>
  </si>
  <si>
    <t>Castilleja raupii</t>
  </si>
  <si>
    <t>Raup's Indian-Paintbrush</t>
  </si>
  <si>
    <t>Castilleja tenuis</t>
  </si>
  <si>
    <t>Hairy Indian-Paintbrush</t>
  </si>
  <si>
    <t>Castilleja unalaschcensis</t>
  </si>
  <si>
    <t>Alaska Indian-Paintbrush</t>
  </si>
  <si>
    <t>Catabrosa aquatica</t>
  </si>
  <si>
    <t>Water Whorl Grass</t>
  </si>
  <si>
    <t>Cerastium arvense</t>
  </si>
  <si>
    <t>Field Mouse-Ear Chickweed</t>
  </si>
  <si>
    <t>Cerastium beeringianum</t>
  </si>
  <si>
    <t>Bering Sea Mouse-Ear Chickweed</t>
  </si>
  <si>
    <t>Cerastium fischerianum</t>
  </si>
  <si>
    <t>Fischer's Mouse-Ear Chickweed</t>
  </si>
  <si>
    <t>Cerastium fontanum</t>
  </si>
  <si>
    <t>Common (Big) Mouse-Ear Chickweed</t>
  </si>
  <si>
    <t>Cerastium glomeratum</t>
  </si>
  <si>
    <t>Sticky Mouse-Ear Chickweed</t>
  </si>
  <si>
    <t>Cerastium regelii</t>
  </si>
  <si>
    <t>Regel's Mouse-Ear Chickweed</t>
  </si>
  <si>
    <t>Ceratophyllum demersum</t>
  </si>
  <si>
    <t>Coon's-Tail</t>
  </si>
  <si>
    <t>Chamaecyparis nootkatensis</t>
  </si>
  <si>
    <t>Yellow Cedar</t>
  </si>
  <si>
    <t>Chamaedaphne calyculata</t>
  </si>
  <si>
    <t>Leatherleaf</t>
  </si>
  <si>
    <t>Chamerion angustifolium</t>
  </si>
  <si>
    <t>Narrow-Leaf Fireweed</t>
  </si>
  <si>
    <t>Chamerion latifolium</t>
  </si>
  <si>
    <t>Broad-Leaf Fireweed</t>
  </si>
  <si>
    <t>Chenopodium album</t>
  </si>
  <si>
    <t>Lamb's-Quarters</t>
  </si>
  <si>
    <t>Chenopodium glaucum</t>
  </si>
  <si>
    <t>Oak-Leaf Goosefoot</t>
  </si>
  <si>
    <t>Chenopodium leptophyllum</t>
  </si>
  <si>
    <t>Narrow-Leaf Goosefoot</t>
  </si>
  <si>
    <t>Chenopodium rubrum</t>
  </si>
  <si>
    <t>Red Goosefoot</t>
  </si>
  <si>
    <t>Chrysosplenium tetrandrum</t>
  </si>
  <si>
    <t>Northern Golden-Saxifrage</t>
  </si>
  <si>
    <t>Chrysosplenium wrightii</t>
  </si>
  <si>
    <t>Wright's Golden-Saxifrage</t>
  </si>
  <si>
    <t>Cicuta bulbifera</t>
  </si>
  <si>
    <t>Bulblet-Bearing Water-Hemlock</t>
  </si>
  <si>
    <t>Cicuta douglasii</t>
  </si>
  <si>
    <t>Western Water-Hemlock</t>
  </si>
  <si>
    <t>Cicuta maculata</t>
  </si>
  <si>
    <t>Spotted Water-Hemlock</t>
  </si>
  <si>
    <t>Cicuta virosa</t>
  </si>
  <si>
    <t>Mackenzie's Water-Hemlock</t>
  </si>
  <si>
    <t>Cinna latifolia</t>
  </si>
  <si>
    <t>Slender Wood-Reed</t>
  </si>
  <si>
    <t>Circaea alpina</t>
  </si>
  <si>
    <t>Small Enchanter's-Nightshade</t>
  </si>
  <si>
    <t>Cirsium arvense</t>
  </si>
  <si>
    <t>Canadian Thistle</t>
  </si>
  <si>
    <t>Cirsium edule</t>
  </si>
  <si>
    <t>Edible Thistle</t>
  </si>
  <si>
    <t>Cirsium foliosum</t>
  </si>
  <si>
    <t>Elk Thistle</t>
  </si>
  <si>
    <t>Cirsium vulgare</t>
  </si>
  <si>
    <t>Bull Thistle</t>
  </si>
  <si>
    <t>Claytonia arctica</t>
  </si>
  <si>
    <t>Arctic Springbeauty</t>
  </si>
  <si>
    <t>Claytonia eschscholtzii</t>
  </si>
  <si>
    <t>Grass-Leaf Springbeauty</t>
  </si>
  <si>
    <t>Claytonia perfoliata</t>
  </si>
  <si>
    <t>Miner's-Lettuce</t>
  </si>
  <si>
    <t>Claytonia sarmentosa</t>
  </si>
  <si>
    <t>Alaska Springbeauty</t>
  </si>
  <si>
    <t>Claytonia sibirica</t>
  </si>
  <si>
    <t>Siberian Springbeauty</t>
  </si>
  <si>
    <t>Claytonia tuberosa</t>
  </si>
  <si>
    <t>Tuberous Springbeauty</t>
  </si>
  <si>
    <t>Cnidium cnidiifolium</t>
  </si>
  <si>
    <t>Jakutsk Snow-Parsley</t>
  </si>
  <si>
    <t>Cochlearia groenlandica</t>
  </si>
  <si>
    <t>Danish Scurvy-Grass</t>
  </si>
  <si>
    <t>Cochlearia officinalis</t>
  </si>
  <si>
    <t>Cochlearia sessilifolia</t>
  </si>
  <si>
    <t>Sessile-Leaf Scurvy-Grass</t>
  </si>
  <si>
    <t>Coeloglossum viride</t>
  </si>
  <si>
    <t>Long-Bract Frog Orchid</t>
  </si>
  <si>
    <t>Collomia linearis</t>
  </si>
  <si>
    <t>Narrow-Leaf Mountain-Trumpet</t>
  </si>
  <si>
    <t>Comandra umbellata</t>
  </si>
  <si>
    <t>Bastard-Toadflax</t>
  </si>
  <si>
    <t>Comarum palustre</t>
  </si>
  <si>
    <t>Purple Marshlocks</t>
  </si>
  <si>
    <t>Conioselinum gmelinii</t>
  </si>
  <si>
    <t>Pacific Hemlock-parsley</t>
  </si>
  <si>
    <t>Conioselinum pacificum</t>
  </si>
  <si>
    <t>Conyza canadensis</t>
  </si>
  <si>
    <t>Canadian Horseweed</t>
  </si>
  <si>
    <t>Coptis aspleniifolia</t>
  </si>
  <si>
    <t>Fern-Leaf Goldthread</t>
  </si>
  <si>
    <t>Coptis trifolia</t>
  </si>
  <si>
    <t>Three-Leaf Goldthread</t>
  </si>
  <si>
    <t>Corallorhiza maculata</t>
  </si>
  <si>
    <t>Summer Coralroot</t>
  </si>
  <si>
    <t>Corallorhiza trifida</t>
  </si>
  <si>
    <t>Yellow Coralroot</t>
  </si>
  <si>
    <t>Corallorrhiza trifida</t>
  </si>
  <si>
    <t>Corispermum americanum</t>
  </si>
  <si>
    <t>American Bugseed</t>
  </si>
  <si>
    <t>Cornus alba</t>
  </si>
  <si>
    <t>Red Osier</t>
  </si>
  <si>
    <t>Cornus canadensis</t>
  </si>
  <si>
    <t>Canadian Bunchberry</t>
  </si>
  <si>
    <t>Cornus sericea</t>
  </si>
  <si>
    <t>Red-osier Dogwood</t>
  </si>
  <si>
    <t>Cornus suecica</t>
  </si>
  <si>
    <t>Dwarf Bog Bunchberry</t>
  </si>
  <si>
    <t>Cornus unalaschkensis</t>
  </si>
  <si>
    <t>Cornus X intermedia</t>
  </si>
  <si>
    <t>Corydalis pauciflora</t>
  </si>
  <si>
    <t>Few-Flower Fumewort</t>
  </si>
  <si>
    <t>Cotula coronopifolia</t>
  </si>
  <si>
    <t>Common Brassbuttons</t>
  </si>
  <si>
    <t>Crassula aquatica</t>
  </si>
  <si>
    <t>Water Pygmyweed</t>
  </si>
  <si>
    <t>Crassula saginoides</t>
  </si>
  <si>
    <t>Wrinkle-Seed Pygmyweed</t>
  </si>
  <si>
    <t>Crataegus douglasii</t>
  </si>
  <si>
    <t>Black Hawthorn</t>
  </si>
  <si>
    <t>Crataegus monogyna</t>
  </si>
  <si>
    <t>English Hawthorn</t>
  </si>
  <si>
    <t>Crataegus suksdorfii</t>
  </si>
  <si>
    <t>Suksdorf's Hawthorn</t>
  </si>
  <si>
    <t>Crepis capillaris</t>
  </si>
  <si>
    <t>Smooth Hawk's-Beard</t>
  </si>
  <si>
    <t>Cryptogramma stelleri</t>
  </si>
  <si>
    <t>Fragile Rockbrake</t>
  </si>
  <si>
    <t>Cyperus esculentus</t>
  </si>
  <si>
    <t>Chufa</t>
  </si>
  <si>
    <t>Cypripedium guttatum</t>
  </si>
  <si>
    <t>Cypripedium montanum</t>
  </si>
  <si>
    <t>Cypripedium parviflorum</t>
  </si>
  <si>
    <t>Yellow Lady's-Slipper</t>
  </si>
  <si>
    <t>Cypripedium passerinum</t>
  </si>
  <si>
    <t>Sparrow-Egg Lady's-Slipper</t>
  </si>
  <si>
    <t>Cystopteris fragilis</t>
  </si>
  <si>
    <t>Brittle Bladder Fern</t>
  </si>
  <si>
    <t>Cystopteris montana</t>
  </si>
  <si>
    <t>Mountain Bladder Fern</t>
  </si>
  <si>
    <t>Dactylis glomerata</t>
  </si>
  <si>
    <t>Orchard Grass</t>
  </si>
  <si>
    <t>Dactylorhiza aristata</t>
  </si>
  <si>
    <t>Keyflower</t>
  </si>
  <si>
    <t>Danthonia compressa</t>
  </si>
  <si>
    <t>Flattened Wild Oat Grass</t>
  </si>
  <si>
    <t>Danthonia intermedia</t>
  </si>
  <si>
    <t>Timber Wild Oat Grass</t>
  </si>
  <si>
    <t>Dasiphora fruticosa</t>
  </si>
  <si>
    <t>Golden-Hardhack</t>
  </si>
  <si>
    <t>Delphinium glaucum</t>
  </si>
  <si>
    <t>Tower Larkspur</t>
  </si>
  <si>
    <t>Dendrolycopodium dendroideum</t>
  </si>
  <si>
    <t>Prickley Tree-Club-Moss</t>
  </si>
  <si>
    <t>Deschampsia brevifolia</t>
  </si>
  <si>
    <t>Short-Leaf Hair Grass</t>
  </si>
  <si>
    <t>Deschampsia caespitosa</t>
  </si>
  <si>
    <t>Tufted Hair Grass</t>
  </si>
  <si>
    <t>Deschampsia cespitosa</t>
  </si>
  <si>
    <t>Tufted Hairgrass</t>
  </si>
  <si>
    <t>Deschampsia danthonioides</t>
  </si>
  <si>
    <t>Annual Hair Grass</t>
  </si>
  <si>
    <t>Deschampsia elongata</t>
  </si>
  <si>
    <t>Slender Hair Grass</t>
  </si>
  <si>
    <t>Descurainia incana</t>
  </si>
  <si>
    <t>Mountain Tansy-Mustard</t>
  </si>
  <si>
    <t>Diapensia lapponica</t>
  </si>
  <si>
    <t>Pincushion-Plant</t>
  </si>
  <si>
    <t>Dicranum majus</t>
  </si>
  <si>
    <t>Digitalis purpurea</t>
  </si>
  <si>
    <t>Purple Foxglove</t>
  </si>
  <si>
    <t>Diphasiastrum alpinum</t>
  </si>
  <si>
    <t>Alpine Clubmoss</t>
  </si>
  <si>
    <t>Diphasiastrum complanatum</t>
  </si>
  <si>
    <t>Ground Cedar</t>
  </si>
  <si>
    <t>Dodecatheon frigidum</t>
  </si>
  <si>
    <t>Western Arctic Shootingstar</t>
  </si>
  <si>
    <t>Dodecatheon jeffreyi</t>
  </si>
  <si>
    <t>Tall Mountain Shootingstar</t>
  </si>
  <si>
    <t>Dodecatheon pulchellum</t>
  </si>
  <si>
    <t>Dark-Throat Shootingstar</t>
  </si>
  <si>
    <t>Draba albertina</t>
  </si>
  <si>
    <t>Slender Whitlow-Grass</t>
  </si>
  <si>
    <t>Draba aurea</t>
  </si>
  <si>
    <t>Golden Whitlow-Grass</t>
  </si>
  <si>
    <t>Draba breweri</t>
  </si>
  <si>
    <t>Cushion Whitlow-Grass</t>
  </si>
  <si>
    <t>Draba hyperborea</t>
  </si>
  <si>
    <t>North Pacific Whitlow-Grass</t>
  </si>
  <si>
    <t>Draba lonchocarpa</t>
  </si>
  <si>
    <t>Lance-Pod Whitlow-Grass</t>
  </si>
  <si>
    <t>Draba nivalis</t>
  </si>
  <si>
    <t>Yellow Arctic Whitlow-Grass</t>
  </si>
  <si>
    <t>Draba praealta</t>
  </si>
  <si>
    <t>Tall Whitlow-Grass</t>
  </si>
  <si>
    <t>Draba stenoloba</t>
  </si>
  <si>
    <t>Alaska Whitlow-Grass</t>
  </si>
  <si>
    <t>Dracocephalum parviflorum</t>
  </si>
  <si>
    <t>American Dragonhead</t>
  </si>
  <si>
    <t>Drosera anglica</t>
  </si>
  <si>
    <t>English Sundew</t>
  </si>
  <si>
    <t>Drosera rotundifolia</t>
  </si>
  <si>
    <t>Round-Leaf Sundew</t>
  </si>
  <si>
    <t>Drosera X obovata</t>
  </si>
  <si>
    <t>Dryas drummondii</t>
  </si>
  <si>
    <t>Yellow Mountain-Avens</t>
  </si>
  <si>
    <t>Dryas integrifolia</t>
  </si>
  <si>
    <t>White Mountain-Avens</t>
  </si>
  <si>
    <t>Dryas octopetala</t>
  </si>
  <si>
    <t>Eight-Petal Mountain-Avens</t>
  </si>
  <si>
    <t>Drymocallis arguta</t>
  </si>
  <si>
    <t>Dryopteris expansa</t>
  </si>
  <si>
    <t>Spreading Wood Fern</t>
  </si>
  <si>
    <t>Dulichium arundinaceum</t>
  </si>
  <si>
    <t>Three-Way Sedge</t>
  </si>
  <si>
    <t>Dupontia fisheri</t>
  </si>
  <si>
    <t>Fisher's Tundra Grass</t>
  </si>
  <si>
    <t>Elaeagnus commutata</t>
  </si>
  <si>
    <t>American Silver-Berry</t>
  </si>
  <si>
    <t>Eleocharis acicularis</t>
  </si>
  <si>
    <t>Needle Spike-Rush</t>
  </si>
  <si>
    <t>Eleocharis kamtschatica</t>
  </si>
  <si>
    <t>Kamchatka Spike-Rush</t>
  </si>
  <si>
    <t>Eleocharis macrostachya</t>
  </si>
  <si>
    <t>Pale Spike-rush</t>
  </si>
  <si>
    <t>Eleocharis mamillata</t>
  </si>
  <si>
    <t>Soft-Stem Spike-Rush</t>
  </si>
  <si>
    <t>Eleocharis nitida</t>
  </si>
  <si>
    <t>Quill Spike-Rush</t>
  </si>
  <si>
    <t>Eleocharis palustris</t>
  </si>
  <si>
    <t>Common Spike-Rush</t>
  </si>
  <si>
    <t>Eleocharis quinqueflora</t>
  </si>
  <si>
    <t>Few-Flower Spike-Rush</t>
  </si>
  <si>
    <t>Eleocharis uniglumis</t>
  </si>
  <si>
    <t>One-scale Spikerush</t>
  </si>
  <si>
    <t>Elliottia pyroliflora</t>
  </si>
  <si>
    <t>Copperbush</t>
  </si>
  <si>
    <t>Elliottia pyroliflorus</t>
  </si>
  <si>
    <t>Elodea canadensis</t>
  </si>
  <si>
    <t>Canadian Waterweed</t>
  </si>
  <si>
    <t>Elymus alaskanus</t>
  </si>
  <si>
    <t>Alaska Wild Rye</t>
  </si>
  <si>
    <t>Elymus glaucus</t>
  </si>
  <si>
    <t>Blue Wild Rye</t>
  </si>
  <si>
    <t>Elymus hirsutus</t>
  </si>
  <si>
    <t>Elymus lanceolatus</t>
  </si>
  <si>
    <t>Streamside Wild Rye</t>
  </si>
  <si>
    <t>Elymus macrourus</t>
  </si>
  <si>
    <t>Thick-Spike Wild Rye</t>
  </si>
  <si>
    <t>Elymus repens</t>
  </si>
  <si>
    <t>Creeping Wild Rye</t>
  </si>
  <si>
    <t>Elymus sibiricus</t>
  </si>
  <si>
    <t>Siberian Wild Rye</t>
  </si>
  <si>
    <t>Elymus trachycaulus</t>
  </si>
  <si>
    <t>Slender Wild Rye</t>
  </si>
  <si>
    <t>Elymus violaceus</t>
  </si>
  <si>
    <t>Purple Wild Rye</t>
  </si>
  <si>
    <t>Elymus wiegandii</t>
  </si>
  <si>
    <t>Wiegand's Wild Rye</t>
  </si>
  <si>
    <t>Empetrum nigrum</t>
  </si>
  <si>
    <t>Black Crowberry</t>
  </si>
  <si>
    <t>Epilobium anagallidifolium</t>
  </si>
  <si>
    <t>Pimpernel Willowherb</t>
  </si>
  <si>
    <t>Epilobium arcticum</t>
  </si>
  <si>
    <t>Arctic Willowherb</t>
  </si>
  <si>
    <t>Epilobium ciliatum</t>
  </si>
  <si>
    <t>Fringed Willowherb</t>
  </si>
  <si>
    <t>Epilobium clavatum</t>
  </si>
  <si>
    <t>Talus Willowherb</t>
  </si>
  <si>
    <t>Epilobium davuricum</t>
  </si>
  <si>
    <t>Dahurian Willowherb</t>
  </si>
  <si>
    <t>Epilobium hornemannii</t>
  </si>
  <si>
    <t>Hornemann's Willowherb</t>
  </si>
  <si>
    <t>Epilobium lactiflorum</t>
  </si>
  <si>
    <t>White-Flower Willowherb</t>
  </si>
  <si>
    <t>Epilobium latifolium</t>
  </si>
  <si>
    <t>Epilobium leptocarpum</t>
  </si>
  <si>
    <t>Slender-Fruit Willowherb</t>
  </si>
  <si>
    <t>Epilobium leptophyllum</t>
  </si>
  <si>
    <t>Bog Willowherb</t>
  </si>
  <si>
    <t>Epilobium luteum</t>
  </si>
  <si>
    <t>Yellow Willowherb</t>
  </si>
  <si>
    <t>Epilobium palustre</t>
  </si>
  <si>
    <t>Marsh Willowherb</t>
  </si>
  <si>
    <t>Epilobium X treleaseanum</t>
  </si>
  <si>
    <t>Equisetum arvense</t>
  </si>
  <si>
    <t>Field Horsetail</t>
  </si>
  <si>
    <t>Equisetum fluviatile</t>
  </si>
  <si>
    <t>Water Horsetail</t>
  </si>
  <si>
    <t>Equisetum hyemale</t>
  </si>
  <si>
    <t>Tall Scouring-Rush</t>
  </si>
  <si>
    <t>Equisetum palustre</t>
  </si>
  <si>
    <t>Marsh Horsetail</t>
  </si>
  <si>
    <t>Equisetum pratense</t>
  </si>
  <si>
    <t>Meadow Horsetail</t>
  </si>
  <si>
    <t>Equisetum scirpoides</t>
  </si>
  <si>
    <t>Dwarf Scouring-Rush</t>
  </si>
  <si>
    <t>Equisetum sylvaticum</t>
  </si>
  <si>
    <t>Woodland Horsetail</t>
  </si>
  <si>
    <t>Equisetum telmateia</t>
  </si>
  <si>
    <t>Giant Horsetail</t>
  </si>
  <si>
    <t>Equisetum variegatum</t>
  </si>
  <si>
    <t>Variegated Scouring-Rush</t>
  </si>
  <si>
    <t>Equisetum X litorale</t>
  </si>
  <si>
    <t>Equisetum X mackaii</t>
  </si>
  <si>
    <t>Eremogone capillaris</t>
  </si>
  <si>
    <t>Slender Mountain Sandwort</t>
  </si>
  <si>
    <t>Erigeron acris</t>
  </si>
  <si>
    <t>Bitter Fleabane</t>
  </si>
  <si>
    <t>Erigeron glabellus</t>
  </si>
  <si>
    <t>Streamside Fleabane</t>
  </si>
  <si>
    <t>Erigeron glacialis</t>
  </si>
  <si>
    <t>Glacier Fleabane</t>
  </si>
  <si>
    <t>Erigeron humilis</t>
  </si>
  <si>
    <t>Arctic Alpine Fleabane</t>
  </si>
  <si>
    <t>Erigeron lonchophyllus</t>
  </si>
  <si>
    <t>Short-Ray Fleabane</t>
  </si>
  <si>
    <t>Erigeron nivalis</t>
  </si>
  <si>
    <t>Scotter's Fleabane</t>
  </si>
  <si>
    <t>Erigeron peregrinus</t>
  </si>
  <si>
    <t>Subalpine Fleabane</t>
  </si>
  <si>
    <t>Eriophorum angustifolium</t>
  </si>
  <si>
    <t>Tall Cotton-Grass</t>
  </si>
  <si>
    <t>Eriophorum brachyantherum</t>
  </si>
  <si>
    <t>Closed-Sheath Cotton-Grass</t>
  </si>
  <si>
    <t>Eriophorum callitrix</t>
  </si>
  <si>
    <t>Arctic Cotton-Grass</t>
  </si>
  <si>
    <t>Eriophorum chamissonis</t>
  </si>
  <si>
    <t>Chamisso's Cotton-Grass</t>
  </si>
  <si>
    <t>Eriophorum gracile</t>
  </si>
  <si>
    <t>Slender Cotton-Grass</t>
  </si>
  <si>
    <t>Eriophorum russeolum</t>
  </si>
  <si>
    <t>Russet-Bristle Cotton-Grass</t>
  </si>
  <si>
    <t>Eriophorum scheuchzeri</t>
  </si>
  <si>
    <t>White Cotton-Grass</t>
  </si>
  <si>
    <t>Eriophorum vaginatum</t>
  </si>
  <si>
    <t>Tussock Cotton-Grass</t>
  </si>
  <si>
    <t>Eriophorum viridicarinatum</t>
  </si>
  <si>
    <t>Tassel Cotton-Grass</t>
  </si>
  <si>
    <t>Erysimum cheiranthoides</t>
  </si>
  <si>
    <t>Worm-Seed Wallflower</t>
  </si>
  <si>
    <t>Euphrasia disjuncta</t>
  </si>
  <si>
    <t>Eurybia merita</t>
  </si>
  <si>
    <t>Behring Wood-Aster</t>
  </si>
  <si>
    <t>Eurybia sibirica</t>
  </si>
  <si>
    <t>Siberian Wood-Aster</t>
  </si>
  <si>
    <t>Eutrema edwardsii</t>
  </si>
  <si>
    <t>Edwards' Mock Wallflower</t>
  </si>
  <si>
    <t>Fallopia convolvulus</t>
  </si>
  <si>
    <t>Black-Bindweed</t>
  </si>
  <si>
    <t>Fallopia japonica</t>
  </si>
  <si>
    <t>Japanese Black-Bindweed</t>
  </si>
  <si>
    <t>Fallopia sachalinensis</t>
  </si>
  <si>
    <t>Giant Black-Bindweed</t>
  </si>
  <si>
    <t>Fauria crista-galli</t>
  </si>
  <si>
    <t>Festuca altaica</t>
  </si>
  <si>
    <t>Rough Fescue</t>
  </si>
  <si>
    <t>Festuca arundinacea</t>
  </si>
  <si>
    <t>Festuca lenensis</t>
  </si>
  <si>
    <t>Tundra Fescue</t>
  </si>
  <si>
    <t>Festuca pratensis</t>
  </si>
  <si>
    <t>Meadow Fescue</t>
  </si>
  <si>
    <t>Festuca rubra</t>
  </si>
  <si>
    <t>Red Fescue</t>
  </si>
  <si>
    <t>Festuca subulata</t>
  </si>
  <si>
    <t>Bearded Fescue</t>
  </si>
  <si>
    <t>Festuca viviparoidea</t>
  </si>
  <si>
    <t>Fragaria virginiana</t>
  </si>
  <si>
    <t>Virginia Strawberry</t>
  </si>
  <si>
    <t>Fritillaria camschatcensis</t>
  </si>
  <si>
    <t>Kamchatka Missionbells</t>
  </si>
  <si>
    <t>Gaillardia pulchella</t>
  </si>
  <si>
    <t>Firewheel</t>
  </si>
  <si>
    <t>Galium aparine</t>
  </si>
  <si>
    <t>Sticky-Willy</t>
  </si>
  <si>
    <t>Galium boreale</t>
  </si>
  <si>
    <t>Northern Bedstraw</t>
  </si>
  <si>
    <t>Galium trifidum</t>
  </si>
  <si>
    <t>Three-Petal Bedstraw</t>
  </si>
  <si>
    <t>Galium triflorum</t>
  </si>
  <si>
    <t>Fragrant Bedstraw</t>
  </si>
  <si>
    <t>Gaultheria shallon</t>
  </si>
  <si>
    <t>Salal</t>
  </si>
  <si>
    <t>Gentiana algida</t>
  </si>
  <si>
    <t>Whitish Gentian</t>
  </si>
  <si>
    <t>Gentiana douglasiana</t>
  </si>
  <si>
    <t>Swamp Gentian</t>
  </si>
  <si>
    <t>Gentiana glauca</t>
  </si>
  <si>
    <t>Pale Gentian</t>
  </si>
  <si>
    <t>Gentiana platypetala</t>
  </si>
  <si>
    <t>Gentiana prostrata</t>
  </si>
  <si>
    <t>Pygmy Gentian</t>
  </si>
  <si>
    <t>Gentianella amarella</t>
  </si>
  <si>
    <t>Autumn Dwarf-Gentian</t>
  </si>
  <si>
    <t>Gentianella propinqua</t>
  </si>
  <si>
    <t>Four-Part Dwarf-Gentian</t>
  </si>
  <si>
    <t>Gentianella tenella</t>
  </si>
  <si>
    <t>Dane's Dwarf-Gentian</t>
  </si>
  <si>
    <t>Gentianopsis detonsa</t>
  </si>
  <si>
    <t>Windmill Fringed-Gentian</t>
  </si>
  <si>
    <t>Geocaulon lividum</t>
  </si>
  <si>
    <t>False Toadflax</t>
  </si>
  <si>
    <t>Geranium erianthum</t>
  </si>
  <si>
    <t>Woolly Crane's-Bill</t>
  </si>
  <si>
    <t>Geranium richardsonii</t>
  </si>
  <si>
    <t>Richardson's Geranium</t>
  </si>
  <si>
    <t>Geum aleppicum</t>
  </si>
  <si>
    <t>Yellow Avens</t>
  </si>
  <si>
    <t>Geum calthifolium</t>
  </si>
  <si>
    <t>Caltha-Leaf Avens</t>
  </si>
  <si>
    <t>Geum macrophyllum</t>
  </si>
  <si>
    <t>Large-Leaf Avens</t>
  </si>
  <si>
    <t>Geum pentapetalum</t>
  </si>
  <si>
    <t>Aleutian Avens</t>
  </si>
  <si>
    <t>Geum rossii</t>
  </si>
  <si>
    <t>Ross' Avens</t>
  </si>
  <si>
    <t>Glaux maritima</t>
  </si>
  <si>
    <t>Sea-Milkwort</t>
  </si>
  <si>
    <t>Glechoma hederacea</t>
  </si>
  <si>
    <t>Groundivy</t>
  </si>
  <si>
    <t>Glehnia littoralis</t>
  </si>
  <si>
    <t>American Silvertop</t>
  </si>
  <si>
    <t>Glyceria borealis</t>
  </si>
  <si>
    <t>Small Floating Manna Grass</t>
  </si>
  <si>
    <t>Glyceria grandis</t>
  </si>
  <si>
    <t>American Manna Grass</t>
  </si>
  <si>
    <t>Glyceria leptostachya</t>
  </si>
  <si>
    <t>Slender-Spike Manna Grass</t>
  </si>
  <si>
    <t>Glyceria pulchella</t>
  </si>
  <si>
    <t>Mackenzie Valley Manna Grass</t>
  </si>
  <si>
    <t>Glyceria striata</t>
  </si>
  <si>
    <t>Fowl Manna Grass</t>
  </si>
  <si>
    <t>Gnaphalium uliginosum</t>
  </si>
  <si>
    <t>Marsh Cudweed</t>
  </si>
  <si>
    <t>Goodyera oblongifolia</t>
  </si>
  <si>
    <t>Green-Leaf Rattlesnake-Plantain</t>
  </si>
  <si>
    <t>Goodyera repens</t>
  </si>
  <si>
    <t>Dwarf Rattlesnake-Plantain</t>
  </si>
  <si>
    <t>Grindelia hirsutula</t>
  </si>
  <si>
    <t>Hairy Gumweed</t>
  </si>
  <si>
    <t>Grindelia integrifolia</t>
  </si>
  <si>
    <t>Puget Sound Gumweed</t>
  </si>
  <si>
    <t>Gymnocarpium dryopteris</t>
  </si>
  <si>
    <t>Northern Oak Fern</t>
  </si>
  <si>
    <t>Hackelia micrantha</t>
  </si>
  <si>
    <t>Blue Stickseed</t>
  </si>
  <si>
    <t>Harrimanella stelleriana</t>
  </si>
  <si>
    <t>Alaska Bell-Heather</t>
  </si>
  <si>
    <t>Hedysarum alpinum</t>
  </si>
  <si>
    <t>Alpine Sweet-Vetch</t>
  </si>
  <si>
    <t>Helianthus annuus</t>
  </si>
  <si>
    <t>Common Sunflower</t>
  </si>
  <si>
    <t>Heracleum maximum</t>
  </si>
  <si>
    <t>American Cow-Parsnip</t>
  </si>
  <si>
    <t>Hesperis matronalis</t>
  </si>
  <si>
    <t>Mother-of-the-Evening</t>
  </si>
  <si>
    <t>Heuchera glabra</t>
  </si>
  <si>
    <t>Hieracium gracile</t>
  </si>
  <si>
    <t>Slender Hawkweed</t>
  </si>
  <si>
    <t>Hieracium triste</t>
  </si>
  <si>
    <t>Woolly Hawkweed</t>
  </si>
  <si>
    <t>Hierochloe odorata</t>
  </si>
  <si>
    <t>Hippuris montana</t>
  </si>
  <si>
    <t>Mountain Mare's-Tail</t>
  </si>
  <si>
    <t>Hippuris tetraphylla</t>
  </si>
  <si>
    <t>Four-Leaf Mare's-Tail</t>
  </si>
  <si>
    <t>Hippuris vulgaris</t>
  </si>
  <si>
    <t>Common Mare's-Tail</t>
  </si>
  <si>
    <t>Holcus lanatus</t>
  </si>
  <si>
    <t>Common Velvet Grass</t>
  </si>
  <si>
    <t>Honckenya peploides</t>
  </si>
  <si>
    <t>Seaside Sandplant</t>
  </si>
  <si>
    <t>Hordeum brachyantherum</t>
  </si>
  <si>
    <t>Meadow Barley</t>
  </si>
  <si>
    <t>Hordeum jubatum</t>
  </si>
  <si>
    <t>Fox-Tail Barley</t>
  </si>
  <si>
    <t>Huperzia chinensis</t>
  </si>
  <si>
    <t>Huperzia haleakalae</t>
  </si>
  <si>
    <t>Pacific Fir-Moss</t>
  </si>
  <si>
    <t>Hymenophyllum wrightii</t>
  </si>
  <si>
    <t>Wright's Filmy Fern</t>
  </si>
  <si>
    <t>Hypericum perforatum</t>
  </si>
  <si>
    <t>Common St. John's-Wort</t>
  </si>
  <si>
    <t>Hypochaeris radicata</t>
  </si>
  <si>
    <t>Hairy Cat's-Ear</t>
  </si>
  <si>
    <t>Impatiens glandulifera</t>
  </si>
  <si>
    <t>Ornamental Jewelweed</t>
  </si>
  <si>
    <t>Impatiens noli-tangere</t>
  </si>
  <si>
    <t>Western Touch-Me-Not</t>
  </si>
  <si>
    <t>Iris setosa</t>
  </si>
  <si>
    <t>Beach-Head Iris</t>
  </si>
  <si>
    <t>Isoetes echinospora</t>
  </si>
  <si>
    <t>Spiny-spore Quillwort</t>
  </si>
  <si>
    <t>Isoetes flettii</t>
  </si>
  <si>
    <t>Flett's Quillwort</t>
  </si>
  <si>
    <t>Isoetes maritima</t>
  </si>
  <si>
    <t>Maritime Quillwort</t>
  </si>
  <si>
    <t>Isoetes occidentalis</t>
  </si>
  <si>
    <t>Western Quillwort</t>
  </si>
  <si>
    <t>Isoetes tenella</t>
  </si>
  <si>
    <t>Spiny-Spore Quillwort</t>
  </si>
  <si>
    <t>Isoetes X pseudotruncata</t>
  </si>
  <si>
    <t>Isoetes X truncata</t>
  </si>
  <si>
    <t>Isolepis cernua</t>
  </si>
  <si>
    <t>Low Lateral-Bulrush</t>
  </si>
  <si>
    <t>Juncus albescens</t>
  </si>
  <si>
    <t>Northern White Rush</t>
  </si>
  <si>
    <t>Juncus alpinoarticulatus</t>
  </si>
  <si>
    <t>Northern Green Rush</t>
  </si>
  <si>
    <t>Juncus arcticus</t>
  </si>
  <si>
    <t>Arctic Rush</t>
  </si>
  <si>
    <t>Juncus articulatus</t>
  </si>
  <si>
    <t>Joint-Leaf Rush</t>
  </si>
  <si>
    <t>Juncus balticus</t>
  </si>
  <si>
    <t>Juncus biglumis</t>
  </si>
  <si>
    <t>Two-Flower Rush</t>
  </si>
  <si>
    <t>Juncus bufonius</t>
  </si>
  <si>
    <t>Toad Rush</t>
  </si>
  <si>
    <t>Juncus castaneus</t>
  </si>
  <si>
    <t>Chestnut Rush</t>
  </si>
  <si>
    <t>Juncus drummondii</t>
  </si>
  <si>
    <t>Drummond's Rush</t>
  </si>
  <si>
    <t>Juncus effusus</t>
  </si>
  <si>
    <t>Lamp Rush</t>
  </si>
  <si>
    <t>Juncus ensifolius</t>
  </si>
  <si>
    <t>Dagger-Leaf Rush</t>
  </si>
  <si>
    <t>Juncus falcatus</t>
  </si>
  <si>
    <t>Sickle-Leaf Rush</t>
  </si>
  <si>
    <t>Juncus filiformis</t>
  </si>
  <si>
    <t>Thread Rush</t>
  </si>
  <si>
    <t>Juncus haenkei</t>
  </si>
  <si>
    <t>Juncus mertensianus</t>
  </si>
  <si>
    <t>Mertens' Rush</t>
  </si>
  <si>
    <t>Juncus nodosus</t>
  </si>
  <si>
    <t>Knotted Rush</t>
  </si>
  <si>
    <t>Juncus stygius</t>
  </si>
  <si>
    <t>Moor Rush</t>
  </si>
  <si>
    <t>Juncus supiniformis</t>
  </si>
  <si>
    <t>Hairy-Leaf Rush</t>
  </si>
  <si>
    <t>Juncus tenuis</t>
  </si>
  <si>
    <t>Lesser Poverty Rush</t>
  </si>
  <si>
    <t>Juncus triglumis</t>
  </si>
  <si>
    <t>Three-Flower Rush</t>
  </si>
  <si>
    <t>Juniperus communis</t>
  </si>
  <si>
    <t>Common Juniper</t>
  </si>
  <si>
    <t>Juniperus horizontalis</t>
  </si>
  <si>
    <t>Creeping Juniper</t>
  </si>
  <si>
    <t>Kalmia microphylla</t>
  </si>
  <si>
    <t>Alpine-Laurel</t>
  </si>
  <si>
    <t>Kalmia polifolia</t>
  </si>
  <si>
    <t>Kalmia procumbens</t>
  </si>
  <si>
    <t>Kobresia myosuroides</t>
  </si>
  <si>
    <t>Pacific Bog Sedge</t>
  </si>
  <si>
    <t>Kobresia sibirica</t>
  </si>
  <si>
    <t>Siberian Bog Sedge</t>
  </si>
  <si>
    <t>Kobresia simpliciuscula</t>
  </si>
  <si>
    <t>Simple Bog Sedge</t>
  </si>
  <si>
    <t>Koenigia islandica</t>
  </si>
  <si>
    <t>Island-Purslane</t>
  </si>
  <si>
    <t>Kumlienia cooleyae</t>
  </si>
  <si>
    <t>Cooley's False Buttercup</t>
  </si>
  <si>
    <t>Lactuca biennis</t>
  </si>
  <si>
    <t>Wild Blue Lettuce</t>
  </si>
  <si>
    <t>Lactuca tatarica</t>
  </si>
  <si>
    <t>Russian Blue Lettuce</t>
  </si>
  <si>
    <t>Lapsana communis</t>
  </si>
  <si>
    <t>Common Nipplewort</t>
  </si>
  <si>
    <t>Larix laricina</t>
  </si>
  <si>
    <t>American Larch</t>
  </si>
  <si>
    <t>Lathyrus japonicus</t>
  </si>
  <si>
    <t>Sea Vetchling</t>
  </si>
  <si>
    <t>Lathyrus palustris</t>
  </si>
  <si>
    <t>Marsh Vetchling</t>
  </si>
  <si>
    <t>Lathyrus pratensis</t>
  </si>
  <si>
    <t>Meadow Vetchling</t>
  </si>
  <si>
    <t>Lathyrus venosus</t>
  </si>
  <si>
    <t>Veiny Vetchling</t>
  </si>
  <si>
    <t>Ledum decumbens</t>
  </si>
  <si>
    <t>Marsh Labrador-Tea</t>
  </si>
  <si>
    <t>Ledum groenlandicum</t>
  </si>
  <si>
    <t>Rusty Labrador-Tea</t>
  </si>
  <si>
    <t>Ledum palustre</t>
  </si>
  <si>
    <t>Lemna minor</t>
  </si>
  <si>
    <t>Common Duckweed</t>
  </si>
  <si>
    <t>Lemna trisulca</t>
  </si>
  <si>
    <t>Ivy-Leaf Duckweed</t>
  </si>
  <si>
    <t>Lemna turionifera</t>
  </si>
  <si>
    <t>Turion Duckweed</t>
  </si>
  <si>
    <t>Leontodon autumnalis</t>
  </si>
  <si>
    <t>August-Flower</t>
  </si>
  <si>
    <t>Lepidium densiflorum</t>
  </si>
  <si>
    <t>Miner's Pepperwort</t>
  </si>
  <si>
    <t>Lepidium perfoliatum</t>
  </si>
  <si>
    <t>Clasping Pepperwort</t>
  </si>
  <si>
    <t>Lepidium virginicum</t>
  </si>
  <si>
    <t>Poorman's-Pepperwort</t>
  </si>
  <si>
    <t>Leptarrhena pyrolifolia</t>
  </si>
  <si>
    <t>Pearleaf</t>
  </si>
  <si>
    <t>Leucanthemum vulgare</t>
  </si>
  <si>
    <t>Ox-Eye Daisy</t>
  </si>
  <si>
    <t>Leymus innovatus</t>
  </si>
  <si>
    <t>Downy Lyme Grass</t>
  </si>
  <si>
    <t>Leymus mollis</t>
  </si>
  <si>
    <t>American Lyme Grass</t>
  </si>
  <si>
    <t>Ligusticum calderi</t>
  </si>
  <si>
    <t>Ligusticum scoticum</t>
  </si>
  <si>
    <t>Scot's Lovage</t>
  </si>
  <si>
    <t>Lilaeopsis occidentalis</t>
  </si>
  <si>
    <t>Western Grasswort</t>
  </si>
  <si>
    <t>Limosella aquatica</t>
  </si>
  <si>
    <t>Awl-Leaf Mudwort</t>
  </si>
  <si>
    <t>Linaria vulgaris</t>
  </si>
  <si>
    <t>Linnaea borealis</t>
  </si>
  <si>
    <t>American Twinflower</t>
  </si>
  <si>
    <t>Listera banksiana</t>
  </si>
  <si>
    <t>Northwestern Twayblade</t>
  </si>
  <si>
    <t>Listera borealis</t>
  </si>
  <si>
    <t>Northern Twayblade</t>
  </si>
  <si>
    <t>Listera caurina</t>
  </si>
  <si>
    <t>Listera convallarioides</t>
  </si>
  <si>
    <t>Broad-Lip Twayblade</t>
  </si>
  <si>
    <t>Listera cordata</t>
  </si>
  <si>
    <t>Heart-Leaf Twayblade</t>
  </si>
  <si>
    <t>Lloydia serotina</t>
  </si>
  <si>
    <t>Common Alp-Lily</t>
  </si>
  <si>
    <t>Lobaria amplissima</t>
  </si>
  <si>
    <t>Lobelia dortmanna</t>
  </si>
  <si>
    <t>Water Lobelia</t>
  </si>
  <si>
    <t>Loiseleuria procumbens</t>
  </si>
  <si>
    <t>Alpine-Azalea</t>
  </si>
  <si>
    <t>Lolium perenne</t>
  </si>
  <si>
    <t>Perennial Rye Grass</t>
  </si>
  <si>
    <t>Lomatium martindalei</t>
  </si>
  <si>
    <t>Cascade Desert-Parsley</t>
  </si>
  <si>
    <t>Lomatogonium rotatum</t>
  </si>
  <si>
    <t>Marsh-Felwort</t>
  </si>
  <si>
    <t>Lonicera involucrata</t>
  </si>
  <si>
    <t>Four-Line Honeysuckle</t>
  </si>
  <si>
    <t>Lonicera tatarica</t>
  </si>
  <si>
    <t>Twinsisters</t>
  </si>
  <si>
    <t>Lotus corniculatus</t>
  </si>
  <si>
    <t>Bird's-foot Trefoil</t>
  </si>
  <si>
    <t>Luetkea pectinata</t>
  </si>
  <si>
    <t>Partridgefoot</t>
  </si>
  <si>
    <t>Lupinus arcticus</t>
  </si>
  <si>
    <t>Arctic Lupine</t>
  </si>
  <si>
    <t>Lupinus nootkatensis</t>
  </si>
  <si>
    <t>Nootka Lupine</t>
  </si>
  <si>
    <t>Lupinus polyphyllus</t>
  </si>
  <si>
    <t>Blue-Pod Lupine</t>
  </si>
  <si>
    <t>Luzula arctica</t>
  </si>
  <si>
    <t>Arctic Wood-Rush</t>
  </si>
  <si>
    <t>Luzula arcuata</t>
  </si>
  <si>
    <t>Curved Wood-Rush</t>
  </si>
  <si>
    <t>Luzula comosa</t>
  </si>
  <si>
    <t>Pacific Wood-Rush</t>
  </si>
  <si>
    <t>Luzula confusa</t>
  </si>
  <si>
    <t>Northern Wood-Rush</t>
  </si>
  <si>
    <t>Luzula groenlandica</t>
  </si>
  <si>
    <t>Greenland Wood-Rush</t>
  </si>
  <si>
    <t>Luzula kjellmaniana</t>
  </si>
  <si>
    <t>Tundra Wood-Rush</t>
  </si>
  <si>
    <t>Luzula multiflora</t>
  </si>
  <si>
    <t>Common Wood-Rush</t>
  </si>
  <si>
    <t>Luzula parviflora</t>
  </si>
  <si>
    <t>Small-Flower Wood-Rush</t>
  </si>
  <si>
    <t>Luzula rufescens</t>
  </si>
  <si>
    <t>Rufous Wood-Rush</t>
  </si>
  <si>
    <t>Luzula spicata</t>
  </si>
  <si>
    <t>Spiked Wood-Rush</t>
  </si>
  <si>
    <t>Luzula wahlenbergii</t>
  </si>
  <si>
    <t>Wahlenberg's Wood-Rush</t>
  </si>
  <si>
    <t>Lycopodiella inundata</t>
  </si>
  <si>
    <t>Northern Bog Club-Moss</t>
  </si>
  <si>
    <t>Lycopodium alpinum</t>
  </si>
  <si>
    <t>Lycopodium annotinum</t>
  </si>
  <si>
    <t>Stiff Clubmoss</t>
  </si>
  <si>
    <t>Lycopodium clavatum</t>
  </si>
  <si>
    <t>Running Ground-Pine</t>
  </si>
  <si>
    <t>Lycopodium complanatum</t>
  </si>
  <si>
    <t>Lycopodium dendroideum</t>
  </si>
  <si>
    <t>Tree Clubmoss</t>
  </si>
  <si>
    <t>Lycopodium lagopus</t>
  </si>
  <si>
    <t>One-Cone Ground-Pine</t>
  </si>
  <si>
    <t>Lycopus asper</t>
  </si>
  <si>
    <t>Rough Water-Horehound</t>
  </si>
  <si>
    <t>Lycopus uniflorus</t>
  </si>
  <si>
    <t>Northern Water-Horehound</t>
  </si>
  <si>
    <t>Lysichiton americanus</t>
  </si>
  <si>
    <t>Yellow-Skunk-Cabbage</t>
  </si>
  <si>
    <t>Lysimachia ciliata</t>
  </si>
  <si>
    <t>Fringed Yellow-Loosestrife</t>
  </si>
  <si>
    <t>Lysimachia punctata</t>
  </si>
  <si>
    <t>Large Yellow-Loosestrife</t>
  </si>
  <si>
    <t>Lysimachia thyrsiflora</t>
  </si>
  <si>
    <t>Tufted Yellow-Loosestrife</t>
  </si>
  <si>
    <t>Madia glomerata</t>
  </si>
  <si>
    <t>Mountain Tarplant</t>
  </si>
  <si>
    <t>Maianthemum dilatatum</t>
  </si>
  <si>
    <t>Two-Leaf False Solomon's-Seal</t>
  </si>
  <si>
    <t>Maianthemum racemosum</t>
  </si>
  <si>
    <t>Feathery False Solomon's-Seal</t>
  </si>
  <si>
    <t>Maianthemum stellatum</t>
  </si>
  <si>
    <t>Starry False Solomon's-Seal</t>
  </si>
  <si>
    <t>Malaxis monophyllos</t>
  </si>
  <si>
    <t>White Adder's-Mouth Orchid</t>
  </si>
  <si>
    <t>Malaxis paludosa</t>
  </si>
  <si>
    <t>Bog Adder's-Mouth Orchid</t>
  </si>
  <si>
    <t>Malus fusca</t>
  </si>
  <si>
    <t>Oregon Crabapple</t>
  </si>
  <si>
    <t>Marrubium vulgare</t>
  </si>
  <si>
    <t>White Horehound</t>
  </si>
  <si>
    <t>Matricaria discoidea</t>
  </si>
  <si>
    <t>Pineapple-Weed</t>
  </si>
  <si>
    <t>Matteuccia struthiopteris</t>
  </si>
  <si>
    <t>Ostrich Fern</t>
  </si>
  <si>
    <t>Medicago lupulina</t>
  </si>
  <si>
    <t>Black Medick</t>
  </si>
  <si>
    <t>Medicago polymorpha</t>
  </si>
  <si>
    <t>Toothed Medick</t>
  </si>
  <si>
    <t>Medicago sativa</t>
  </si>
  <si>
    <t>Alfalfa</t>
  </si>
  <si>
    <t>Melilotus officinalis</t>
  </si>
  <si>
    <t>Yellow Sweet-Clover</t>
  </si>
  <si>
    <t>Mentha arvensis</t>
  </si>
  <si>
    <t>American Wild Mint</t>
  </si>
  <si>
    <t>Mentha spicata</t>
  </si>
  <si>
    <t>Spearmint</t>
  </si>
  <si>
    <t>Mentha X piperita</t>
  </si>
  <si>
    <t>Menyanthes trifoliata</t>
  </si>
  <si>
    <t>Buck-Bean</t>
  </si>
  <si>
    <t>Menziesia ferruginea</t>
  </si>
  <si>
    <t>Fool's-Huckleberry</t>
  </si>
  <si>
    <t>Mertensia maritima</t>
  </si>
  <si>
    <t>Oysterleaf</t>
  </si>
  <si>
    <t>Mertensia paniculata</t>
  </si>
  <si>
    <t>Tall Bluebells</t>
  </si>
  <si>
    <t>Micranthes lyallii</t>
  </si>
  <si>
    <t>Micranthes nelsoniana</t>
  </si>
  <si>
    <t>Microseris borealis</t>
  </si>
  <si>
    <t>Northern Silverpuffs</t>
  </si>
  <si>
    <t>Microsteris gracilis</t>
  </si>
  <si>
    <t>Annual-Phlox</t>
  </si>
  <si>
    <t>Mimulus guttatus</t>
  </si>
  <si>
    <t>Seep Monkey-Flower</t>
  </si>
  <si>
    <t>Mimulus lewisii</t>
  </si>
  <si>
    <t>Great Purple Monkey-Flower</t>
  </si>
  <si>
    <t>Mimulus tilingii</t>
  </si>
  <si>
    <t>Subalpine Monkey-Flower</t>
  </si>
  <si>
    <t>Minuartia arctica</t>
  </si>
  <si>
    <t>Arctic Stitchwort</t>
  </si>
  <si>
    <t>Minuartia obtusiloba</t>
  </si>
  <si>
    <t>Alpine Stitchwort</t>
  </si>
  <si>
    <t>Minuartia rubella</t>
  </si>
  <si>
    <t>Boreal Stitchwort</t>
  </si>
  <si>
    <t>Minuartia stricta</t>
  </si>
  <si>
    <t>Bog Stitchwort</t>
  </si>
  <si>
    <t>Mitella nuda</t>
  </si>
  <si>
    <t>Bare-Stem Bishop's-Cap</t>
  </si>
  <si>
    <t>Mitella pentandra</t>
  </si>
  <si>
    <t>Five-Stamen Bishop's-Cap</t>
  </si>
  <si>
    <t>Mitella trifida</t>
  </si>
  <si>
    <t>Pacific Bishop's-Cap</t>
  </si>
  <si>
    <t>Moehringia lateriflora</t>
  </si>
  <si>
    <t>Blunt-Leaf Grove-Sandwort</t>
  </si>
  <si>
    <t>Moneses uniflora</t>
  </si>
  <si>
    <t>Single-Delight</t>
  </si>
  <si>
    <t>Monolepis nuttalliana</t>
  </si>
  <si>
    <t>Nuttall's Poverty-Weed</t>
  </si>
  <si>
    <t>Monotropa uniflora</t>
  </si>
  <si>
    <t>One-Flower Indian-Pipe</t>
  </si>
  <si>
    <t>Montia bostockii</t>
  </si>
  <si>
    <t>Bostock's Candy-Flower</t>
  </si>
  <si>
    <t>Montia chamissoi</t>
  </si>
  <si>
    <t>Chamisso's Candy-Flower</t>
  </si>
  <si>
    <t>Montia fontana</t>
  </si>
  <si>
    <t>Fountain Candy-Flower</t>
  </si>
  <si>
    <t>Montia parvifolia</t>
  </si>
  <si>
    <t>Little-Leaf Candy-Flower</t>
  </si>
  <si>
    <t>Myosotis asiatica</t>
  </si>
  <si>
    <t>Asian Forget-Me-Not</t>
  </si>
  <si>
    <t>Myosotis laxa</t>
  </si>
  <si>
    <t>Bay Forget-me-not</t>
  </si>
  <si>
    <t>Myosotis scorpioides</t>
  </si>
  <si>
    <t>True Forget-Me-Not</t>
  </si>
  <si>
    <t>Myosotis sylvatica</t>
  </si>
  <si>
    <t>Woodland Forget-me-not</t>
  </si>
  <si>
    <t>Myrica gale</t>
  </si>
  <si>
    <t>Sweetgale</t>
  </si>
  <si>
    <t>Myriophyllum farwellii</t>
  </si>
  <si>
    <t>Farwell's Water-Milfoil</t>
  </si>
  <si>
    <t>Myriophyllum sibiricum</t>
  </si>
  <si>
    <t>Siberian Water-Milfoil</t>
  </si>
  <si>
    <t>Myriophyllum spicatum</t>
  </si>
  <si>
    <t>Eurasian Water-Milfoil</t>
  </si>
  <si>
    <t>Myriophyllum verticillatum</t>
  </si>
  <si>
    <t>Whorled Water-Milfoil</t>
  </si>
  <si>
    <t>Najas flexilis</t>
  </si>
  <si>
    <t>Wavy Waternymph</t>
  </si>
  <si>
    <t>Nasturtium microphyllum</t>
  </si>
  <si>
    <t>One-Row Watercress</t>
  </si>
  <si>
    <t>Nasturtium officinale</t>
  </si>
  <si>
    <t>Watercress</t>
  </si>
  <si>
    <t>Neotorularia humilis</t>
  </si>
  <si>
    <t>False Northern-Rockcress</t>
  </si>
  <si>
    <t>Nepeta cataria</t>
  </si>
  <si>
    <t>Catnip</t>
  </si>
  <si>
    <t>Nephrophyllidium crista-galli</t>
  </si>
  <si>
    <t>Deer-Cabbage</t>
  </si>
  <si>
    <t>Nuphar lutea</t>
  </si>
  <si>
    <t>Yellow Pond-Lily</t>
  </si>
  <si>
    <t>Nymphaea odorata</t>
  </si>
  <si>
    <t>American White Water-Lily</t>
  </si>
  <si>
    <t>Nymphaea tetragona</t>
  </si>
  <si>
    <t>Pygmy Water-Lily</t>
  </si>
  <si>
    <t>Oenanthe sarmentosa</t>
  </si>
  <si>
    <t>Pacific Water-Dropwort</t>
  </si>
  <si>
    <t>Ophioglossum pusillum</t>
  </si>
  <si>
    <t>Northern Adder's-Tongue</t>
  </si>
  <si>
    <t>Oplopanax horridus</t>
  </si>
  <si>
    <t>Devil's-Club</t>
  </si>
  <si>
    <t>Orobanche uniflora</t>
  </si>
  <si>
    <t>Naked Broom-Rape</t>
  </si>
  <si>
    <t>Orthilia secunda</t>
  </si>
  <si>
    <t>Sidebells</t>
  </si>
  <si>
    <t>Osmorhiza berteroi</t>
  </si>
  <si>
    <t>Mountain Sweet-Cicely</t>
  </si>
  <si>
    <t>Osmorhiza purpurea</t>
  </si>
  <si>
    <t>Purple Sweet-Cicely</t>
  </si>
  <si>
    <t>Oxyria digyna</t>
  </si>
  <si>
    <t>Mountain-Sorrel</t>
  </si>
  <si>
    <t>Oxytropis campestris</t>
  </si>
  <si>
    <t>Oxytropis deflexa</t>
  </si>
  <si>
    <t>Pendant-Pod Locoweed</t>
  </si>
  <si>
    <t>Oxytropis nigrescens</t>
  </si>
  <si>
    <t>Black Locoweed</t>
  </si>
  <si>
    <t>Oxytropis splendens</t>
  </si>
  <si>
    <t>Whorled Locoweed</t>
  </si>
  <si>
    <t>Packera cymbalaria</t>
  </si>
  <si>
    <t>Dwarf Arctic Groundsel</t>
  </si>
  <si>
    <t>Packera indecora</t>
  </si>
  <si>
    <t>Rayless Mountain Groundsel</t>
  </si>
  <si>
    <t>Packera pauciflora</t>
  </si>
  <si>
    <t>Rayless Alpine Groundsel</t>
  </si>
  <si>
    <t>Packera paupercula</t>
  </si>
  <si>
    <t>Balsam Groundsel</t>
  </si>
  <si>
    <t>Packera streptanthifolia</t>
  </si>
  <si>
    <t>Rocky Mountain Groundsel</t>
  </si>
  <si>
    <t>Packera subnuda</t>
  </si>
  <si>
    <t>Buek's Groundsel</t>
  </si>
  <si>
    <t>Papaver lapponicum</t>
  </si>
  <si>
    <t>Lapland Poppy</t>
  </si>
  <si>
    <t>Papaver macounii</t>
  </si>
  <si>
    <t>Macoun's Poppy</t>
  </si>
  <si>
    <t>Papaver walpolei</t>
  </si>
  <si>
    <t>Walpole's Poppy</t>
  </si>
  <si>
    <t>Parnassia fimbriata</t>
  </si>
  <si>
    <t>Fringed Grass-of-Parnassus</t>
  </si>
  <si>
    <t>Parnassia kotzebuei</t>
  </si>
  <si>
    <t>Kotzebue's Grass-of-Parnassus</t>
  </si>
  <si>
    <t>Parnassia palustris</t>
  </si>
  <si>
    <t>Marsh Grass-of-Parnassus</t>
  </si>
  <si>
    <t>Pascopyrum smithii</t>
  </si>
  <si>
    <t>Western-Wheat Grass</t>
  </si>
  <si>
    <t>Pedicularis capitata</t>
  </si>
  <si>
    <t>Capitate Lousewort</t>
  </si>
  <si>
    <t>Pedicularis chamissonis</t>
  </si>
  <si>
    <t>Chamisso's Lousewort</t>
  </si>
  <si>
    <t>Pedicularis groenlandica</t>
  </si>
  <si>
    <t>Bull Elephant's-Head</t>
  </si>
  <si>
    <t>Pedicularis labradorica</t>
  </si>
  <si>
    <t>Labrador Lousewort</t>
  </si>
  <si>
    <t>Pedicularis lanata</t>
  </si>
  <si>
    <t>Woolly Lousewort</t>
  </si>
  <si>
    <t>Pedicularis langsdorfii</t>
  </si>
  <si>
    <t>Langsdorf's Lousewort</t>
  </si>
  <si>
    <t>Pedicularis lapponica</t>
  </si>
  <si>
    <t>Lapland Lousewort</t>
  </si>
  <si>
    <t>Pedicularis macrodonta</t>
  </si>
  <si>
    <t>Muskeg Lousewort</t>
  </si>
  <si>
    <t>Pedicularis ornithorhyncha</t>
  </si>
  <si>
    <t>Pedicularis parviflora</t>
  </si>
  <si>
    <t>Small-Flower Lousewort</t>
  </si>
  <si>
    <t>Pedicularis sudetica</t>
  </si>
  <si>
    <t>Sudetic Lousewort</t>
  </si>
  <si>
    <t>Pedicularis verticillata</t>
  </si>
  <si>
    <t>Whorled Lousewort</t>
  </si>
  <si>
    <t>Penstemon procerus</t>
  </si>
  <si>
    <t>Pincushion Beardtongue</t>
  </si>
  <si>
    <t>Penstemon serrulatus</t>
  </si>
  <si>
    <t>Cascade Beardtongue</t>
  </si>
  <si>
    <t>Persicaria amphibia</t>
  </si>
  <si>
    <t>Water Smartweed</t>
  </si>
  <si>
    <t>Persicaria hydropiper</t>
  </si>
  <si>
    <t>Mild Water-Pepper</t>
  </si>
  <si>
    <t>Persicaria hydropiperoides</t>
  </si>
  <si>
    <t>Swamp Smartweed</t>
  </si>
  <si>
    <t>Persicaria lapathifolia</t>
  </si>
  <si>
    <t>Dock-Leaf Smartweed</t>
  </si>
  <si>
    <t>Persicaria maculosa</t>
  </si>
  <si>
    <t>Lady's-Thumb</t>
  </si>
  <si>
    <t>Persicaria pensylvanica</t>
  </si>
  <si>
    <t>Pinkweed</t>
  </si>
  <si>
    <t>Petasites frigidus</t>
  </si>
  <si>
    <t>Arctic Sweet-Colt's-Foot</t>
  </si>
  <si>
    <t>Phalaris arundinacea</t>
  </si>
  <si>
    <t>Reed Canary Grass</t>
  </si>
  <si>
    <t>Phalaris canariensis</t>
  </si>
  <si>
    <t>Common Canary Grass</t>
  </si>
  <si>
    <t>Phegopteris connectilis</t>
  </si>
  <si>
    <t>Narrow Beech Fern</t>
  </si>
  <si>
    <t>Phippsia algida</t>
  </si>
  <si>
    <t>Ice Grass</t>
  </si>
  <si>
    <t>Phleum alpinum</t>
  </si>
  <si>
    <t>Mountain Timothy</t>
  </si>
  <si>
    <t>Phleum pratense</t>
  </si>
  <si>
    <t>Common Timothy</t>
  </si>
  <si>
    <t>Phyllodoce aleutica</t>
  </si>
  <si>
    <t>Aleutian Mountain-Heath</t>
  </si>
  <si>
    <t>Phyllodoce empetriformis</t>
  </si>
  <si>
    <t>Pink Mountain-Heath</t>
  </si>
  <si>
    <t>Phyllodoce glanduliflora</t>
  </si>
  <si>
    <t>Yellow Mountain-Heath</t>
  </si>
  <si>
    <t>Phyllospadix scouleri</t>
  </si>
  <si>
    <t>Scouler's Surf-Grass</t>
  </si>
  <si>
    <t>Physocarpus capitatus</t>
  </si>
  <si>
    <t>Pacific Ninebark</t>
  </si>
  <si>
    <t>Picea glauca</t>
  </si>
  <si>
    <t>White Spruce</t>
  </si>
  <si>
    <t>Picea mariana</t>
  </si>
  <si>
    <t>Black Spruce</t>
  </si>
  <si>
    <t>Picea sitchensis</t>
  </si>
  <si>
    <t>Sitka Spruce</t>
  </si>
  <si>
    <t>Picea X lutzii</t>
  </si>
  <si>
    <t>Pinguicula macroceras</t>
  </si>
  <si>
    <t>California Butterwort</t>
  </si>
  <si>
    <t>Pinguicula villosa</t>
  </si>
  <si>
    <t>Hairy Butterwort</t>
  </si>
  <si>
    <t>Pinguicula vulgaris</t>
  </si>
  <si>
    <t>Common Butterwort</t>
  </si>
  <si>
    <t>Pinus contorta</t>
  </si>
  <si>
    <t>Lodgepole (Shore) Pine</t>
  </si>
  <si>
    <t>Piperia unalascensis</t>
  </si>
  <si>
    <t>Alaska Rein Orchid</t>
  </si>
  <si>
    <t>Plagiobothrys figuratus</t>
  </si>
  <si>
    <t>Fragrant Popcorn-Flower</t>
  </si>
  <si>
    <t>Plagiobothrys hispidulus</t>
  </si>
  <si>
    <t>Plagiobothrys orientalis</t>
  </si>
  <si>
    <t>Oriental Popcorn-Flower</t>
  </si>
  <si>
    <t>Plagiobothrys scouleri</t>
  </si>
  <si>
    <t>Meadow Popcorn-Flower</t>
  </si>
  <si>
    <t>Plantago eriopoda</t>
  </si>
  <si>
    <t>Red-Woolly Plantain</t>
  </si>
  <si>
    <t>Plantago lanceolata</t>
  </si>
  <si>
    <t>English Plantain</t>
  </si>
  <si>
    <t>Plantago macrocarpa</t>
  </si>
  <si>
    <t>Alaska Plantain</t>
  </si>
  <si>
    <t>Plantago major</t>
  </si>
  <si>
    <t>Great Plantain</t>
  </si>
  <si>
    <t>Plantago maritima</t>
  </si>
  <si>
    <t>Goosetongue</t>
  </si>
  <si>
    <t>Platanthera chorisiana</t>
  </si>
  <si>
    <t>Choriso Bog Orchid</t>
  </si>
  <si>
    <t>Platanthera convallariifolia</t>
  </si>
  <si>
    <t>Platanthera dilatata</t>
  </si>
  <si>
    <t>Scentbottle</t>
  </si>
  <si>
    <t>Platanthera huronensis</t>
  </si>
  <si>
    <t>Lake Huron Green Orchid</t>
  </si>
  <si>
    <t>Platanthera hyperborea</t>
  </si>
  <si>
    <t>Platanthera obtusata</t>
  </si>
  <si>
    <t>Blunt-Leaf Orchid</t>
  </si>
  <si>
    <t>Platanthera orbiculata</t>
  </si>
  <si>
    <t>Lesser Round-Leaf Orchid</t>
  </si>
  <si>
    <t>Platanthera stricta</t>
  </si>
  <si>
    <t>Slender Bog Orchid</t>
  </si>
  <si>
    <t>Platanthera tipuloides</t>
  </si>
  <si>
    <t>Aleutian Bog Orchid</t>
  </si>
  <si>
    <t>Pleuropogon sabinei</t>
  </si>
  <si>
    <t>Sabine's False Semaphore Grass</t>
  </si>
  <si>
    <t>Poa abbreviata</t>
  </si>
  <si>
    <t>Northern Blue Grass</t>
  </si>
  <si>
    <t>Poa alpina</t>
  </si>
  <si>
    <t>Alpine Blue Grass</t>
  </si>
  <si>
    <t>Poa annua</t>
  </si>
  <si>
    <t>Annual Blue Grass</t>
  </si>
  <si>
    <t>Poa arctica</t>
  </si>
  <si>
    <t>Arctic Blue Grass</t>
  </si>
  <si>
    <t>Poa compressa</t>
  </si>
  <si>
    <t>Flat-Stem Blue Grass</t>
  </si>
  <si>
    <t>Poa eminens</t>
  </si>
  <si>
    <t>Large-Flower Blue Grass</t>
  </si>
  <si>
    <t>Poa interior</t>
  </si>
  <si>
    <t>Poa leptocoma</t>
  </si>
  <si>
    <t>Marsh Blue Grass</t>
  </si>
  <si>
    <t>Poa macrantha</t>
  </si>
  <si>
    <t>Sand-Dune Blue Grass</t>
  </si>
  <si>
    <t>Poa macrocalyx</t>
  </si>
  <si>
    <t>Large-Glume Blue Grass</t>
  </si>
  <si>
    <t>Poa nemoralis</t>
  </si>
  <si>
    <t>Forest Blue Grass</t>
  </si>
  <si>
    <t>Poa palustris</t>
  </si>
  <si>
    <t>Fowl Blue Grass</t>
  </si>
  <si>
    <t>Poa paucispicula</t>
  </si>
  <si>
    <t>Alaska Blue Grass</t>
  </si>
  <si>
    <t>Poa pratensis</t>
  </si>
  <si>
    <t>Kentucky Blue Grass</t>
  </si>
  <si>
    <t>Poa pseudoabbreviata</t>
  </si>
  <si>
    <t>Polar Blue Grass</t>
  </si>
  <si>
    <t>Poa secunda</t>
  </si>
  <si>
    <t>Curly Blue Grass</t>
  </si>
  <si>
    <t>Poa stenantha</t>
  </si>
  <si>
    <t>Narrow-Flower Blue Grass</t>
  </si>
  <si>
    <t>Poa trivialis</t>
  </si>
  <si>
    <t>Rough-Stalk Blue Grass</t>
  </si>
  <si>
    <t>Podagrostis aequivalvis</t>
  </si>
  <si>
    <t>Arctic False Bent</t>
  </si>
  <si>
    <t>Podagrostis humilis</t>
  </si>
  <si>
    <t>Alpine False Bent</t>
  </si>
  <si>
    <t>Polemonium acutiflorum</t>
  </si>
  <si>
    <t>Tall Jacob's-Ladder</t>
  </si>
  <si>
    <t>Polygonum achoreum</t>
  </si>
  <si>
    <t>Leathery Knotweed</t>
  </si>
  <si>
    <t>Polygonum amphibium</t>
  </si>
  <si>
    <t>Polygonum arenastrum</t>
  </si>
  <si>
    <t>Oval-leaf Knotweed</t>
  </si>
  <si>
    <t>Polygonum aviculare</t>
  </si>
  <si>
    <t>Yard Knotweed</t>
  </si>
  <si>
    <t>Polygonum convolvulus</t>
  </si>
  <si>
    <t>Polygonum fowleri</t>
  </si>
  <si>
    <t>Fowler's Knotweed</t>
  </si>
  <si>
    <t>Polygonum lapathifolium</t>
  </si>
  <si>
    <t>Curlytop Knotweed</t>
  </si>
  <si>
    <t>Polygonum minimum</t>
  </si>
  <si>
    <t>Zigzag Knotweed</t>
  </si>
  <si>
    <t>Polygonum persicaria</t>
  </si>
  <si>
    <t>Polygonum ramosissimum</t>
  </si>
  <si>
    <t>Yellow-Flower Knotweed</t>
  </si>
  <si>
    <t>Polygonum viviparum</t>
  </si>
  <si>
    <t>Polypogon monspeliensis</t>
  </si>
  <si>
    <t>Annual Rabbit's-Foot Grass</t>
  </si>
  <si>
    <t>Polystichum braunii</t>
  </si>
  <si>
    <t>Polystichum kruckebergii</t>
  </si>
  <si>
    <t>Polystichum lonchitis</t>
  </si>
  <si>
    <t>Northern Holly Fern</t>
  </si>
  <si>
    <t>Polystichum munitum</t>
  </si>
  <si>
    <t>Pineland Sword Fern</t>
  </si>
  <si>
    <t>Polystichum setigerum</t>
  </si>
  <si>
    <t>Populus balsamifera</t>
  </si>
  <si>
    <t>Balsam Poplar</t>
  </si>
  <si>
    <t>Populus tremuloides</t>
  </si>
  <si>
    <t>Quaking Aspen</t>
  </si>
  <si>
    <t>Potamogeton alpinus</t>
  </si>
  <si>
    <t>Reddish Pondweed</t>
  </si>
  <si>
    <t>Potamogeton epihydrus</t>
  </si>
  <si>
    <t>Ribbon-Leaf Pondweed</t>
  </si>
  <si>
    <t>Potamogeton foliosus</t>
  </si>
  <si>
    <t>Leafy Pondweed</t>
  </si>
  <si>
    <t>Potamogeton friesii</t>
  </si>
  <si>
    <t>Flat-Stalk Pondweed</t>
  </si>
  <si>
    <t>Potamogeton gramineus</t>
  </si>
  <si>
    <t>Grassy Pondweed</t>
  </si>
  <si>
    <t>Potamogeton natans</t>
  </si>
  <si>
    <t>Floating Pondweed</t>
  </si>
  <si>
    <t>Potamogeton obtusifolius</t>
  </si>
  <si>
    <t>Blunt-Leaf Pondweed</t>
  </si>
  <si>
    <t>Potamogeton perfoliatus</t>
  </si>
  <si>
    <t>Clasping-leaf Pondweed</t>
  </si>
  <si>
    <t>Potamogeton praelongus</t>
  </si>
  <si>
    <t>White-Stem Pondweed</t>
  </si>
  <si>
    <t>Potamogeton pusillus</t>
  </si>
  <si>
    <t>Small Pondweed</t>
  </si>
  <si>
    <t>Potamogeton richardsonii</t>
  </si>
  <si>
    <t>Red-Head Pondweed</t>
  </si>
  <si>
    <t>Potamogeton robbinsii</t>
  </si>
  <si>
    <t>Fern Pondweed</t>
  </si>
  <si>
    <t>Potamogeton subsibiricus</t>
  </si>
  <si>
    <t>Yenisei River Pondweed</t>
  </si>
  <si>
    <t>Potamogeton zosteriformis</t>
  </si>
  <si>
    <t>Flat-Stem Pondweed</t>
  </si>
  <si>
    <t>Potentilla anserina</t>
  </si>
  <si>
    <t>Potentilla arguta</t>
  </si>
  <si>
    <t>Tall Cinquefoil</t>
  </si>
  <si>
    <t>Potentilla diversifolia</t>
  </si>
  <si>
    <t>Mountain-Meadow Cinquefoil</t>
  </si>
  <si>
    <t>Potentilla drummondii</t>
  </si>
  <si>
    <t>Drummond's Cinquefoil</t>
  </si>
  <si>
    <t>Potentilla gracilis</t>
  </si>
  <si>
    <t>Graceful Cinquefoil</t>
  </si>
  <si>
    <t>Potentilla nana</t>
  </si>
  <si>
    <t>Boreal Cinquefoil</t>
  </si>
  <si>
    <t>Potentilla norvegica</t>
  </si>
  <si>
    <t>Norwegian Cinquefoil</t>
  </si>
  <si>
    <t>Potentilla pensylvanica</t>
  </si>
  <si>
    <t>Pennsylvania Cinquefoil</t>
  </si>
  <si>
    <t>Potentilla rubricaulis</t>
  </si>
  <si>
    <t>Rocky Mountain Cinquefoil</t>
  </si>
  <si>
    <t>Primula cuneifolia</t>
  </si>
  <si>
    <t>Pixie-Eyes</t>
  </si>
  <si>
    <t>Primula egaliksensis</t>
  </si>
  <si>
    <t>Greenland Primrose</t>
  </si>
  <si>
    <t>Primula incana</t>
  </si>
  <si>
    <t>Silvery Primrose</t>
  </si>
  <si>
    <t>Primula mistassinica</t>
  </si>
  <si>
    <t>Lake Mistassini Primrose</t>
  </si>
  <si>
    <t>Primula nutans</t>
  </si>
  <si>
    <t>Sleepy Primrose</t>
  </si>
  <si>
    <t>Primula tschuktschorum</t>
  </si>
  <si>
    <t>Chukchi Primrose</t>
  </si>
  <si>
    <t>Prunella vulgaris</t>
  </si>
  <si>
    <t>Common Selfheal</t>
  </si>
  <si>
    <t>Prunus padus</t>
  </si>
  <si>
    <t>European Bird Cherry</t>
  </si>
  <si>
    <t>Prunus virginiana</t>
  </si>
  <si>
    <t>Choke Cherry</t>
  </si>
  <si>
    <t>Psathyrostachys juncea</t>
  </si>
  <si>
    <t>Russian-Wild Rye</t>
  </si>
  <si>
    <t>Pseudoroegneria spicata</t>
  </si>
  <si>
    <t>Bluebunch-Wheat Grass</t>
  </si>
  <si>
    <t>Pteridium aquilinum</t>
  </si>
  <si>
    <t>Northern Bracken Fern</t>
  </si>
  <si>
    <t>Puccinellia andersonii</t>
  </si>
  <si>
    <t>Anderson's Alkali Grass</t>
  </si>
  <si>
    <t>Puccinellia angustata</t>
  </si>
  <si>
    <t>Northern Alkali Grass</t>
  </si>
  <si>
    <t>Puccinellia arctica</t>
  </si>
  <si>
    <t>Arctic Alkali Grass</t>
  </si>
  <si>
    <t>Puccinellia distans</t>
  </si>
  <si>
    <t>Spreading Alkali Grass</t>
  </si>
  <si>
    <t>Puccinellia hultenii</t>
  </si>
  <si>
    <t>Port Hobron Alkali Grass</t>
  </si>
  <si>
    <t>Puccinellia kamtschatica</t>
  </si>
  <si>
    <t>Alaska Alkali Grass</t>
  </si>
  <si>
    <t>Puccinellia nutkaensis</t>
  </si>
  <si>
    <t>Nootka Alkali Grass</t>
  </si>
  <si>
    <t>Puccinellia nuttalliana</t>
  </si>
  <si>
    <t>Nuttall's Alkali Grass</t>
  </si>
  <si>
    <t>Puccinellia phryganodes</t>
  </si>
  <si>
    <t>Creeping Alkali Grass</t>
  </si>
  <si>
    <t>Puccinellia pumila</t>
  </si>
  <si>
    <t>Dwarf Alkali Grass</t>
  </si>
  <si>
    <t>Puccinellia tenella</t>
  </si>
  <si>
    <t>Tundra Alkali Grass</t>
  </si>
  <si>
    <t>Puccinellia vaginata</t>
  </si>
  <si>
    <t>Arctic Tussock Alkali Grass</t>
  </si>
  <si>
    <t>Puccinellia wrightii</t>
  </si>
  <si>
    <t>Wright's Alkali Grass</t>
  </si>
  <si>
    <t>Pyrola asarifolia</t>
  </si>
  <si>
    <t>Pink Wintergreen</t>
  </si>
  <si>
    <t>Pyrola chlorantha</t>
  </si>
  <si>
    <t>Green-Flower Wintergreen</t>
  </si>
  <si>
    <t>Pyrola grandiflora</t>
  </si>
  <si>
    <t>Arctic Wintergreen</t>
  </si>
  <si>
    <t>Pyrola minor</t>
  </si>
  <si>
    <t>Snowline Wintergreen</t>
  </si>
  <si>
    <t>Ranunculus abortivus</t>
  </si>
  <si>
    <t>Kidney-Leaf Buttercup</t>
  </si>
  <si>
    <t>Ranunculus acris</t>
  </si>
  <si>
    <t>Tall Buttercup</t>
  </si>
  <si>
    <t>Ranunculus aquatilis</t>
  </si>
  <si>
    <t>White Water-Crowfoot</t>
  </si>
  <si>
    <t>Ranunculus cymbalaria</t>
  </si>
  <si>
    <t>Alkali Buttercup</t>
  </si>
  <si>
    <t>Ranunculus eschscholtzii</t>
  </si>
  <si>
    <t>Spruce-Fir Buttercup</t>
  </si>
  <si>
    <t>Ranunculus flammula</t>
  </si>
  <si>
    <t>Greater Creeping Spearwort</t>
  </si>
  <si>
    <t>Ranunculus gelidus</t>
  </si>
  <si>
    <t>Arctic Buttercup</t>
  </si>
  <si>
    <t>Ranunculus glacialis</t>
  </si>
  <si>
    <t>Glacier Buttercup</t>
  </si>
  <si>
    <t>Ranunculus gmelinii</t>
  </si>
  <si>
    <t>Lesser Yellow Water Buttercup</t>
  </si>
  <si>
    <t>Ranunculus hyperboreus</t>
  </si>
  <si>
    <t>Far-Northern Buttercup</t>
  </si>
  <si>
    <t>Ranunculus kamchaticus</t>
  </si>
  <si>
    <t>Kamchatka Buttercup</t>
  </si>
  <si>
    <t>Ranunculus lapponicus</t>
  </si>
  <si>
    <t>Lapland Buttercup</t>
  </si>
  <si>
    <t>Ranunculus macounii</t>
  </si>
  <si>
    <t>Macoun's Buttercup</t>
  </si>
  <si>
    <t>Ranunculus nivalis</t>
  </si>
  <si>
    <t>Snow Buttercup</t>
  </si>
  <si>
    <t>Ranunculus occidentalis</t>
  </si>
  <si>
    <t>Western Buttercup</t>
  </si>
  <si>
    <t>Ranunculus orthorhynchus</t>
  </si>
  <si>
    <t>Straight-Beak Buttercup</t>
  </si>
  <si>
    <t>Ranunculus pacificus</t>
  </si>
  <si>
    <t>Ranunculus pallasii</t>
  </si>
  <si>
    <t>Pallas' Buttercup</t>
  </si>
  <si>
    <t>Ranunculus pedatifidus</t>
  </si>
  <si>
    <t>Northern Buttercup</t>
  </si>
  <si>
    <t>Ranunculus pensylvanicus</t>
  </si>
  <si>
    <t>Pennsylvania Buttercup</t>
  </si>
  <si>
    <t>Ranunculus pygmaeus</t>
  </si>
  <si>
    <t>Dwarf Buttercup</t>
  </si>
  <si>
    <t>Ranunculus repens</t>
  </si>
  <si>
    <t>Creeping Buttercup</t>
  </si>
  <si>
    <t>Ranunculus sabinei</t>
  </si>
  <si>
    <t>Sardinian Buttercup</t>
  </si>
  <si>
    <t>Ranunculus sceleratus</t>
  </si>
  <si>
    <t>Cursed Buttercup</t>
  </si>
  <si>
    <t>Ranunculus sulphureus</t>
  </si>
  <si>
    <t>Sulphur Buttercup</t>
  </si>
  <si>
    <t>Ranunculus trichophyllus</t>
  </si>
  <si>
    <t>Thread-Leaf Water-Crowfoot</t>
  </si>
  <si>
    <t>Ranunculus uncinatus</t>
  </si>
  <si>
    <t>Woodland Buttercup</t>
  </si>
  <si>
    <t>Raphanus sativus</t>
  </si>
  <si>
    <t>Garden Radish</t>
  </si>
  <si>
    <t>Rhinanthus minor</t>
  </si>
  <si>
    <t>Little Yellow-Rattle</t>
  </si>
  <si>
    <t>Rhodiola integrifolia</t>
  </si>
  <si>
    <t>Entire-Leaf Rosewort</t>
  </si>
  <si>
    <t>Rhododendron groenlandicum</t>
  </si>
  <si>
    <t>Rhododendron lapponicum</t>
  </si>
  <si>
    <t>Lapland Rhododendron</t>
  </si>
  <si>
    <t>Rhynchospora alba</t>
  </si>
  <si>
    <t>White Beak Sedge</t>
  </si>
  <si>
    <t>Ribes bracteosum</t>
  </si>
  <si>
    <t>California Black Currant</t>
  </si>
  <si>
    <t>Ribes glandulosum</t>
  </si>
  <si>
    <t>Skunk Currant</t>
  </si>
  <si>
    <t>Ribes hudsonianum</t>
  </si>
  <si>
    <t>Northern Black Currant</t>
  </si>
  <si>
    <t>Ribes lacustre</t>
  </si>
  <si>
    <t>Bristly Black Gooseberry</t>
  </si>
  <si>
    <t>Ribes laxiflorum</t>
  </si>
  <si>
    <t>Trailing Black Currant</t>
  </si>
  <si>
    <t>Ribes oxyacanthoides</t>
  </si>
  <si>
    <t>Canadian Gooseberry</t>
  </si>
  <si>
    <t>Ribes triste</t>
  </si>
  <si>
    <t>Swamp Red Currant</t>
  </si>
  <si>
    <t>Romanzoffia sitchensis</t>
  </si>
  <si>
    <t>Sitka Mistmaiden</t>
  </si>
  <si>
    <t>Rorippa barbareifolia</t>
  </si>
  <si>
    <t>Hoary Yellowcress</t>
  </si>
  <si>
    <t>Rorippa curvipes</t>
  </si>
  <si>
    <t>Blunt-Leaf Yellowcress</t>
  </si>
  <si>
    <t>Rorippa curvisiliqua</t>
  </si>
  <si>
    <t>Curve-Pod Yellowcress</t>
  </si>
  <si>
    <t>Rorippa palustris</t>
  </si>
  <si>
    <t>Bog Yellowcress</t>
  </si>
  <si>
    <t>Rorippa sylvestris</t>
  </si>
  <si>
    <t>Creeping Yellowcress</t>
  </si>
  <si>
    <t>Rosa acicularis</t>
  </si>
  <si>
    <t>Prickly Rose</t>
  </si>
  <si>
    <t>Rosa gymnocarpa</t>
  </si>
  <si>
    <t>Bald-Hip Rose</t>
  </si>
  <si>
    <t>Rosa nutkana</t>
  </si>
  <si>
    <t>Nootka Rose</t>
  </si>
  <si>
    <t>Rosa rugosa</t>
  </si>
  <si>
    <t>Rugosa Rose</t>
  </si>
  <si>
    <t>Rosa woodsii</t>
  </si>
  <si>
    <t>Woods' Rose</t>
  </si>
  <si>
    <t>Rubus arcticus</t>
  </si>
  <si>
    <t>Northern Blackberry</t>
  </si>
  <si>
    <t>Rubus chamaemorus</t>
  </si>
  <si>
    <t>Cloudberry</t>
  </si>
  <si>
    <t>Rubus idaeus</t>
  </si>
  <si>
    <t>Common Red Raspberry</t>
  </si>
  <si>
    <t>Rubus leucodermis</t>
  </si>
  <si>
    <t>White-Stem Raspberry</t>
  </si>
  <si>
    <t>Rubus parviflorus</t>
  </si>
  <si>
    <t>Western Thimble-Berry</t>
  </si>
  <si>
    <t>Rubus pedatus</t>
  </si>
  <si>
    <t>Strawberry-Leaf Raspberry</t>
  </si>
  <si>
    <t>Rubus pubescens</t>
  </si>
  <si>
    <t>Dwarf Red Raspberry</t>
  </si>
  <si>
    <t>Rubus spectabilis</t>
  </si>
  <si>
    <t>Salmon Raspberry</t>
  </si>
  <si>
    <t>Rudbeckia hirta</t>
  </si>
  <si>
    <t>Black-Eyed-Susan</t>
  </si>
  <si>
    <t>Rumex acetosa</t>
  </si>
  <si>
    <t>Garden Sorrel</t>
  </si>
  <si>
    <t>Rumex acetosella</t>
  </si>
  <si>
    <t>Common Sheep Sorrel</t>
  </si>
  <si>
    <t>Rumex arcticus</t>
  </si>
  <si>
    <t>Arctic Dock</t>
  </si>
  <si>
    <t>Rumex crispus</t>
  </si>
  <si>
    <t>Curly Dock</t>
  </si>
  <si>
    <t>Rumex fueginus</t>
  </si>
  <si>
    <t>Tierra del Fuego Dock</t>
  </si>
  <si>
    <t>Rumex lapponicus</t>
  </si>
  <si>
    <t>Lapland Sorrel</t>
  </si>
  <si>
    <t>Rumex longifolius</t>
  </si>
  <si>
    <t>Door-Yard Dock</t>
  </si>
  <si>
    <t>Rumex maritimus</t>
  </si>
  <si>
    <t>Golden Dock</t>
  </si>
  <si>
    <t>Rumex obtusifolius</t>
  </si>
  <si>
    <t>Bitter Dock</t>
  </si>
  <si>
    <t>Rumex occidentalis</t>
  </si>
  <si>
    <t>Western Dock</t>
  </si>
  <si>
    <t>Rumex pseudoxyria</t>
  </si>
  <si>
    <t>Rumex salicifolius</t>
  </si>
  <si>
    <t>Rumex transitorius</t>
  </si>
  <si>
    <t>Pacific Willow Dock</t>
  </si>
  <si>
    <t>Ruppia cirrhosa</t>
  </si>
  <si>
    <t>Spiral Ditch-Grass</t>
  </si>
  <si>
    <t>Ruppia maritima</t>
  </si>
  <si>
    <t>Beaked Ditch-Grass</t>
  </si>
  <si>
    <t>Sagina decumbens</t>
  </si>
  <si>
    <t>Trailing Pearlwort</t>
  </si>
  <si>
    <t>Sagina maxima</t>
  </si>
  <si>
    <t>Sticky-Stem Pearlwort</t>
  </si>
  <si>
    <t>Sagina nivalis</t>
  </si>
  <si>
    <t>Snow Pearlwort</t>
  </si>
  <si>
    <t>Sagina procumbens</t>
  </si>
  <si>
    <t>Bird-Eye Pearlwort</t>
  </si>
  <si>
    <t>Sagina saginoides</t>
  </si>
  <si>
    <t>Alpine Pearlwort</t>
  </si>
  <si>
    <t>Sagittaria cuneata</t>
  </si>
  <si>
    <t>Arum-Leaf Arrowhead</t>
  </si>
  <si>
    <t>Salicornia depressa</t>
  </si>
  <si>
    <t>Woody Saltwort</t>
  </si>
  <si>
    <t>Salicornia virginica</t>
  </si>
  <si>
    <t>Salix alaxensis</t>
  </si>
  <si>
    <t>Felt-Leaf Willow</t>
  </si>
  <si>
    <t>Salix arbusculoides</t>
  </si>
  <si>
    <t>Little-Tree Willow</t>
  </si>
  <si>
    <t>Salix arctica</t>
  </si>
  <si>
    <t>Arctic Willow</t>
  </si>
  <si>
    <t>Salix arctophila</t>
  </si>
  <si>
    <t>Northern Willow</t>
  </si>
  <si>
    <t>Salix athabascensis</t>
  </si>
  <si>
    <t>Athabasca Willow</t>
  </si>
  <si>
    <t>Salix barclayi</t>
  </si>
  <si>
    <t>Barclay's Willow</t>
  </si>
  <si>
    <t>Salix barrattiana</t>
  </si>
  <si>
    <t>Barratt's Willow</t>
  </si>
  <si>
    <t>Salix bebbiana</t>
  </si>
  <si>
    <t>Gray Willow</t>
  </si>
  <si>
    <t>Salix boothii</t>
  </si>
  <si>
    <t>Booth's Willow</t>
  </si>
  <si>
    <t>Salix brachycarpa</t>
  </si>
  <si>
    <t>Shortfruit Willow</t>
  </si>
  <si>
    <t>Salix candida</t>
  </si>
  <si>
    <t>Sage Willow</t>
  </si>
  <si>
    <t>Salix chamissonis</t>
  </si>
  <si>
    <t>Chamisso's Willow</t>
  </si>
  <si>
    <t>Salix commutata</t>
  </si>
  <si>
    <t>Under-Green Willow</t>
  </si>
  <si>
    <t>Salix exigua</t>
  </si>
  <si>
    <t>Salix farriae</t>
  </si>
  <si>
    <t>Farr's Willow</t>
  </si>
  <si>
    <t>Salix fuscescens</t>
  </si>
  <si>
    <t>Alaska Bog Willow</t>
  </si>
  <si>
    <t>Salix glauca</t>
  </si>
  <si>
    <t>Gray-Leaf Willow</t>
  </si>
  <si>
    <t>Salix hastata</t>
  </si>
  <si>
    <t>Halberd Willow</t>
  </si>
  <si>
    <t>Salix hookeriana</t>
  </si>
  <si>
    <t>Coastal Willow</t>
  </si>
  <si>
    <t>Salix interior</t>
  </si>
  <si>
    <t>Sandbar Willow</t>
  </si>
  <si>
    <t>Salix lasiandra</t>
  </si>
  <si>
    <t>Pacific Willow</t>
  </si>
  <si>
    <t>Salix lucida</t>
  </si>
  <si>
    <t>Salix myrtillifolia</t>
  </si>
  <si>
    <t>Blueberry Willow</t>
  </si>
  <si>
    <t>Salix ovalifolia</t>
  </si>
  <si>
    <t>Arctic Seashore Willow</t>
  </si>
  <si>
    <t>Salix phlebophylla</t>
  </si>
  <si>
    <t>Skeleton-Leaf Willow</t>
  </si>
  <si>
    <t>Salix planifolia</t>
  </si>
  <si>
    <t>Tea-Leaf Willow</t>
  </si>
  <si>
    <t>Salix polaris</t>
  </si>
  <si>
    <t>Polar Willow</t>
  </si>
  <si>
    <t>Salix prolixa</t>
  </si>
  <si>
    <t>Mackenzie's Willow</t>
  </si>
  <si>
    <t>Salix pseudomonticola</t>
  </si>
  <si>
    <t>False Mountain Willow</t>
  </si>
  <si>
    <t>Salix pulchra</t>
  </si>
  <si>
    <t>Diamond-Leaf Willow</t>
  </si>
  <si>
    <t>Salix reticulata</t>
  </si>
  <si>
    <t>Net-Vein Willow</t>
  </si>
  <si>
    <t>Salix richardsonii</t>
  </si>
  <si>
    <t>Richardson's Willow</t>
  </si>
  <si>
    <t>Salix rotundifolia</t>
  </si>
  <si>
    <t>Round-Leaf Willow</t>
  </si>
  <si>
    <t>Salix scouleriana</t>
  </si>
  <si>
    <t>Scouler's Willow</t>
  </si>
  <si>
    <t>Salix setchelliana</t>
  </si>
  <si>
    <t>Setchell's Willow</t>
  </si>
  <si>
    <t>Salix sitchensis</t>
  </si>
  <si>
    <t>Sitka Willow</t>
  </si>
  <si>
    <t>Salix sphenophylla</t>
  </si>
  <si>
    <t>Wedge-Leaf Willow</t>
  </si>
  <si>
    <t>Salix stolonifera</t>
  </si>
  <si>
    <t>Salix X sepulcralis</t>
  </si>
  <si>
    <t>Sambucus racemosa</t>
  </si>
  <si>
    <t>Red Elder</t>
  </si>
  <si>
    <t>Sanguisorba canadensis</t>
  </si>
  <si>
    <t>Canadian Burnet</t>
  </si>
  <si>
    <t>Sanguisorba menziesii</t>
  </si>
  <si>
    <t>Small-Head Burnet</t>
  </si>
  <si>
    <t>Sanguisorba officinalis</t>
  </si>
  <si>
    <t>Great Burnet</t>
  </si>
  <si>
    <t>Saussurea americana</t>
  </si>
  <si>
    <t>American Saw-Wort</t>
  </si>
  <si>
    <t>Saussurea angustifolia</t>
  </si>
  <si>
    <t>Narrow-Leaf Saw-Wort</t>
  </si>
  <si>
    <t>Saussurea nuda</t>
  </si>
  <si>
    <t>Dwarf Saw-Wort</t>
  </si>
  <si>
    <t>Saxifraga adscendens</t>
  </si>
  <si>
    <t>Wedge-Leaf Saxifrage</t>
  </si>
  <si>
    <t>Saxifraga aizoides</t>
  </si>
  <si>
    <t>Yellow Mountain Saxifrage</t>
  </si>
  <si>
    <t>Saxifraga bronchialis</t>
  </si>
  <si>
    <t>Yellow-Spot Saxifrage</t>
  </si>
  <si>
    <t>Saxifraga caespitosa</t>
  </si>
  <si>
    <t>Tufted Alpine Saxifrage</t>
  </si>
  <si>
    <t>Saxifraga cernua</t>
  </si>
  <si>
    <t>Nodding Saxifrage</t>
  </si>
  <si>
    <t>Saxifraga ferruginea</t>
  </si>
  <si>
    <t>Russet-Hair Saxifrage</t>
  </si>
  <si>
    <t>Saxifraga foliolosa</t>
  </si>
  <si>
    <t>Leafy-Stem Saxifrage</t>
  </si>
  <si>
    <t>Saxifraga hieraciifolia</t>
  </si>
  <si>
    <t>Stiff-Stem Saxifrage</t>
  </si>
  <si>
    <t>Saxifraga hirculus</t>
  </si>
  <si>
    <t>Yellow Marsh Saxifrage</t>
  </si>
  <si>
    <t>Saxifraga hyperborea</t>
  </si>
  <si>
    <t>Pygmy Saxifrage</t>
  </si>
  <si>
    <t>Saxifraga lyallii</t>
  </si>
  <si>
    <t>Red-Stem Saxifrage</t>
  </si>
  <si>
    <t>Saxifraga mertensiana</t>
  </si>
  <si>
    <t>Woodland Saxifrage</t>
  </si>
  <si>
    <t>Saxifraga nelsoniana</t>
  </si>
  <si>
    <t>Heart-Leaf Saxifrage</t>
  </si>
  <si>
    <t>Saxifraga nudicaulis</t>
  </si>
  <si>
    <t>Naked-Stem Saxifrage</t>
  </si>
  <si>
    <t>Saxifraga occidentalis</t>
  </si>
  <si>
    <t>Mountain Saxifrage</t>
  </si>
  <si>
    <t>Saxifraga oppositifolia</t>
  </si>
  <si>
    <t>Purple Mountain Saxifrage</t>
  </si>
  <si>
    <t>Saxifraga razshivinii</t>
  </si>
  <si>
    <t>Razshivin's Saxifrage</t>
  </si>
  <si>
    <t>Saxifraga rivularis</t>
  </si>
  <si>
    <t>Alpine-Brook Saxifrage</t>
  </si>
  <si>
    <t>Saxifraga sibirica</t>
  </si>
  <si>
    <t>Siberian Saxifrage</t>
  </si>
  <si>
    <t>Saxifraga tolmiei</t>
  </si>
  <si>
    <t>Tolmie's Alpine Saxifrage</t>
  </si>
  <si>
    <t>Saxifraga tricuspidata</t>
  </si>
  <si>
    <t>Prickly Saxifrage</t>
  </si>
  <si>
    <t>Sceptridium multifidum</t>
  </si>
  <si>
    <t>Leathery Grape Fern</t>
  </si>
  <si>
    <t>Sceptridium silaifolium</t>
  </si>
  <si>
    <t>Celery Grape Fern</t>
  </si>
  <si>
    <t>Scheuchzeria palustris</t>
  </si>
  <si>
    <t>Rannoch-Rush</t>
  </si>
  <si>
    <t>Schizachne purpurascens</t>
  </si>
  <si>
    <t>False Melic Grass</t>
  </si>
  <si>
    <t>Schoenoplectus acutus</t>
  </si>
  <si>
    <t>Hard-Stem Club-Rush</t>
  </si>
  <si>
    <t>Schoenoplectus americanus</t>
  </si>
  <si>
    <t>Chairmaker's Club-Rush</t>
  </si>
  <si>
    <t>Schoenoplectus maritimus</t>
  </si>
  <si>
    <t>Saltmarsh Club-Rush</t>
  </si>
  <si>
    <t>Schoenoplectus subterminalis</t>
  </si>
  <si>
    <t>Swaying Club-Rush</t>
  </si>
  <si>
    <t>Schoenoplectus tabernaemontani</t>
  </si>
  <si>
    <t>Soft-Stem Club-Rush</t>
  </si>
  <si>
    <t>Scirpus microcarpus</t>
  </si>
  <si>
    <t>Red-Tinge Bulrush</t>
  </si>
  <si>
    <t>Scirpus subterminalis</t>
  </si>
  <si>
    <t>Scolochloa festucacea</t>
  </si>
  <si>
    <t>Common River Grass</t>
  </si>
  <si>
    <t>Scutellaria galericulata</t>
  </si>
  <si>
    <t>Hooded Skullcap</t>
  </si>
  <si>
    <t>Scutellaria lateriflora</t>
  </si>
  <si>
    <t>Mad Dog Skullcap</t>
  </si>
  <si>
    <t>Sedum integrifolium</t>
  </si>
  <si>
    <t>Selaginella selaginoides</t>
  </si>
  <si>
    <t>Northern Spike-Moss</t>
  </si>
  <si>
    <t>Senecio eremophilus</t>
  </si>
  <si>
    <t>Desert Ragwort</t>
  </si>
  <si>
    <t>Senecio jacobaea</t>
  </si>
  <si>
    <t>Tansy Ragwort</t>
  </si>
  <si>
    <t>Senecio lugens</t>
  </si>
  <si>
    <t>Small Black-Tip Ragwort</t>
  </si>
  <si>
    <t>Senecio pauciflorus</t>
  </si>
  <si>
    <t>Senecio pseudoarnica</t>
  </si>
  <si>
    <t>Seaside Ragwort</t>
  </si>
  <si>
    <t>Senecio triangularis</t>
  </si>
  <si>
    <t>Arrow-Leaf Ragwort</t>
  </si>
  <si>
    <t>Senecio vulgaris</t>
  </si>
  <si>
    <t>Old-Man-in-the-Spring</t>
  </si>
  <si>
    <t>Shepherdia canadensis</t>
  </si>
  <si>
    <t>Russet Buffalo-Berry</t>
  </si>
  <si>
    <t>Sibbaldia procumbens</t>
  </si>
  <si>
    <t>Creeping-Glow-Wort</t>
  </si>
  <si>
    <t>Sidalcea hendersonii</t>
  </si>
  <si>
    <t>Henderson's Checker-Mallow</t>
  </si>
  <si>
    <t>Silene acaulis</t>
  </si>
  <si>
    <t>Cushion-Pink</t>
  </si>
  <si>
    <t>Silene menziesii</t>
  </si>
  <si>
    <t>White Catchfly</t>
  </si>
  <si>
    <t>Silene uralensis</t>
  </si>
  <si>
    <t>Apetalous Catchfly</t>
  </si>
  <si>
    <t>Sisymbrium altissimum</t>
  </si>
  <si>
    <t>Tall Hedge-Mustard</t>
  </si>
  <si>
    <t>Sisyrinchium littorale</t>
  </si>
  <si>
    <t>Alaska Blue-Eyed-Grass</t>
  </si>
  <si>
    <t>Sisyrinchium montanum</t>
  </si>
  <si>
    <t>Strict Blue-Eyed-Grass</t>
  </si>
  <si>
    <t>Sium suave</t>
  </si>
  <si>
    <t>Hemlock Water-Parsnip</t>
  </si>
  <si>
    <t>Solanum nigrum</t>
  </si>
  <si>
    <t>European Black Nightshade</t>
  </si>
  <si>
    <t>Solidago canadensis</t>
  </si>
  <si>
    <t>Solidago lepida</t>
  </si>
  <si>
    <t>Western Canada Goldenrod</t>
  </si>
  <si>
    <t>Solidago multiradiata</t>
  </si>
  <si>
    <t>Rocky Mountain Goldenrod</t>
  </si>
  <si>
    <t>Solidago simplex</t>
  </si>
  <si>
    <t>Mt. Albert Goldenrod</t>
  </si>
  <si>
    <t>Sonchus arvensis</t>
  </si>
  <si>
    <t>Field Sow-Thistle</t>
  </si>
  <si>
    <t>Sonchus asper</t>
  </si>
  <si>
    <t>Spiny-Leaf Sow-Thistle</t>
  </si>
  <si>
    <t>Sonchus oleraceus</t>
  </si>
  <si>
    <t>Common Sow-Thistle</t>
  </si>
  <si>
    <t>Sorbus aucuparia</t>
  </si>
  <si>
    <t>Sorbus scopulina</t>
  </si>
  <si>
    <t>Cascade Mountain-Ash</t>
  </si>
  <si>
    <t>Sorbus sitchensis</t>
  </si>
  <si>
    <t>Sitka Mountain-Ash</t>
  </si>
  <si>
    <t>Sparganium angustifolium</t>
  </si>
  <si>
    <t>Narrow-Leaf Burr-Reed</t>
  </si>
  <si>
    <t>Sparganium emersum</t>
  </si>
  <si>
    <t>European Burr-Reed</t>
  </si>
  <si>
    <t>Sparganium hyperboreum</t>
  </si>
  <si>
    <t>Northern Burr-Reed</t>
  </si>
  <si>
    <t>Sparganium natans</t>
  </si>
  <si>
    <t>Arctic Burr-Reed</t>
  </si>
  <si>
    <t>Spergularia canadensis</t>
  </si>
  <si>
    <t>Canadian Sandspurry</t>
  </si>
  <si>
    <t>Spergularia rubra</t>
  </si>
  <si>
    <t>Ruby Sandspurry</t>
  </si>
  <si>
    <t>Spinulum annotinum</t>
  </si>
  <si>
    <t>Spiraea douglasii</t>
  </si>
  <si>
    <t>Douglas' Meadowsweet</t>
  </si>
  <si>
    <t>Spiraea stevenii</t>
  </si>
  <si>
    <t>Steven's Meadowsweet</t>
  </si>
  <si>
    <t>Spiranthes romanzoffiana</t>
  </si>
  <si>
    <t>Hooded Ladies'-Tresses</t>
  </si>
  <si>
    <t>Stachys chamissonis</t>
  </si>
  <si>
    <t>Coastal Hedge-Nettle</t>
  </si>
  <si>
    <t>Stachys mexicana</t>
  </si>
  <si>
    <t>Mexican Hedge-Nettle</t>
  </si>
  <si>
    <t>Stachys palustris</t>
  </si>
  <si>
    <t>Woundwort</t>
  </si>
  <si>
    <t>Stachys pilosa</t>
  </si>
  <si>
    <t>Hairy Hedge-Nettle</t>
  </si>
  <si>
    <t>Stellaria borealis</t>
  </si>
  <si>
    <t>Boreal Starwort</t>
  </si>
  <si>
    <t>Stellaria calycantha</t>
  </si>
  <si>
    <t>Northern Bog Starwort</t>
  </si>
  <si>
    <t>Stellaria crassifolia</t>
  </si>
  <si>
    <t>Fleshy Starwort</t>
  </si>
  <si>
    <t>Stellaria crispa</t>
  </si>
  <si>
    <t>Ruffled Starwort</t>
  </si>
  <si>
    <t>Stellaria humifusa</t>
  </si>
  <si>
    <t>Saltmarsh Starwort</t>
  </si>
  <si>
    <t>Stellaria longifolia</t>
  </si>
  <si>
    <t>Long-Leaf Starwort</t>
  </si>
  <si>
    <t>Stellaria longipes</t>
  </si>
  <si>
    <t>Long-Stalk Starwort</t>
  </si>
  <si>
    <t>Stellaria media</t>
  </si>
  <si>
    <t>Common Chickweed</t>
  </si>
  <si>
    <t>Stellaria umbellata</t>
  </si>
  <si>
    <t>Umbrella Starwort</t>
  </si>
  <si>
    <t>Streptopus amplexifolius</t>
  </si>
  <si>
    <t>Clasping Twistedstalk</t>
  </si>
  <si>
    <t>Streptopus lanceolatus</t>
  </si>
  <si>
    <t>Lance-Leaf Twistedstalk</t>
  </si>
  <si>
    <t>Streptopus roseus</t>
  </si>
  <si>
    <t>Streptopus streptopoides</t>
  </si>
  <si>
    <t>Small Twistedstalk</t>
  </si>
  <si>
    <t>Stuckenia filiformis</t>
  </si>
  <si>
    <t>Slender-Leaf False Pondweed</t>
  </si>
  <si>
    <t>Stuckenia pectinata</t>
  </si>
  <si>
    <t>Sago False Pondweed</t>
  </si>
  <si>
    <t>Stuckenia vaginata</t>
  </si>
  <si>
    <t>Sheathed False Pondweed</t>
  </si>
  <si>
    <t>Suaeda calceoliformis</t>
  </si>
  <si>
    <t>Paiuteweed</t>
  </si>
  <si>
    <t>Suaeda maritima</t>
  </si>
  <si>
    <t>Herbaceous Seepweed</t>
  </si>
  <si>
    <t>Subularia aquatica</t>
  </si>
  <si>
    <t>American Water-Awlwort</t>
  </si>
  <si>
    <t>Swertia perennis</t>
  </si>
  <si>
    <t>Felwort</t>
  </si>
  <si>
    <t>Symphoricarpos albus</t>
  </si>
  <si>
    <t>Common Snowberry</t>
  </si>
  <si>
    <t>Symphyotrichum boreale</t>
  </si>
  <si>
    <t>Boreal American-Aster</t>
  </si>
  <si>
    <t>Symphyotrichum ciliatum</t>
  </si>
  <si>
    <t>Alkali American-Aster</t>
  </si>
  <si>
    <t>Symphyotrichum falcatum</t>
  </si>
  <si>
    <t>Rough White Prairie American-Aster</t>
  </si>
  <si>
    <t>Symphyotrichum foliaceum</t>
  </si>
  <si>
    <t>Alpine Leafy-Head American-Aster</t>
  </si>
  <si>
    <t>Symphyotrichum pygmaeum</t>
  </si>
  <si>
    <t>Pygmy American-Aster</t>
  </si>
  <si>
    <t>Symphyotrichum subspicatum</t>
  </si>
  <si>
    <t>Leafy-Bract American-Aster</t>
  </si>
  <si>
    <t>Symphyotrichum yukonense</t>
  </si>
  <si>
    <t>Yukon American-Aster</t>
  </si>
  <si>
    <t>Symphytum asperum</t>
  </si>
  <si>
    <t>Prickly Comfrey</t>
  </si>
  <si>
    <t>Tanacetum bipinnatum</t>
  </si>
  <si>
    <t>Tanacetum vulgare</t>
  </si>
  <si>
    <t>Common Tansy</t>
  </si>
  <si>
    <t>Taraxacum ceratophorum</t>
  </si>
  <si>
    <t>Horned Dandelion</t>
  </si>
  <si>
    <t>Taraxacum officinale</t>
  </si>
  <si>
    <t>Common Dandelion</t>
  </si>
  <si>
    <t>Taxus brevifolia</t>
  </si>
  <si>
    <t>Pacific Yew</t>
  </si>
  <si>
    <t>Tellima grandiflora</t>
  </si>
  <si>
    <t>Fragrant Fringecup</t>
  </si>
  <si>
    <t>Tephroseris atropurpurea</t>
  </si>
  <si>
    <t>Dark-Purple Squaw-Weed</t>
  </si>
  <si>
    <t>Tephroseris frigida</t>
  </si>
  <si>
    <t>Arctic Squaw-Weed</t>
  </si>
  <si>
    <t>Tephroseris palustris</t>
  </si>
  <si>
    <t>Clustered Marsh Squaw-Weed</t>
  </si>
  <si>
    <t>Thalictrum alpinum</t>
  </si>
  <si>
    <t>Alpine Meadow-Rue</t>
  </si>
  <si>
    <t>Thalictrum occidentale</t>
  </si>
  <si>
    <t>Western Meadow-Rue</t>
  </si>
  <si>
    <t>Thalictrum sparsiflorum</t>
  </si>
  <si>
    <t>Few-Flower Meadow-Rue</t>
  </si>
  <si>
    <t>Thelypteris quelpaertensis</t>
  </si>
  <si>
    <t>Thlaspi arvense</t>
  </si>
  <si>
    <t>Field Pennycress</t>
  </si>
  <si>
    <t>Thuja plicata</t>
  </si>
  <si>
    <t>Western Arborvitae</t>
  </si>
  <si>
    <t>Tiarella trifoliata</t>
  </si>
  <si>
    <t>Three-Leaf Foamflower</t>
  </si>
  <si>
    <t>Tofieldia coccinea</t>
  </si>
  <si>
    <t>Purple Featherling</t>
  </si>
  <si>
    <t>Tofieldia glutinosa</t>
  </si>
  <si>
    <t>Tofieldia pusilla</t>
  </si>
  <si>
    <t>Scotch Featherling</t>
  </si>
  <si>
    <t>Tolmiea menziesii</t>
  </si>
  <si>
    <t>Piggyback-Plant</t>
  </si>
  <si>
    <t>Torreyochloa pallida</t>
  </si>
  <si>
    <t>Pale False Manna Grass</t>
  </si>
  <si>
    <t>Transberingia bursifolia</t>
  </si>
  <si>
    <t>False Fissurewort</t>
  </si>
  <si>
    <t>Triantha glutinosa</t>
  </si>
  <si>
    <t>Sticky False Asphodel</t>
  </si>
  <si>
    <t>Triantha occidentalis</t>
  </si>
  <si>
    <t>Western False Asphodel</t>
  </si>
  <si>
    <t>Trichophorum alpinum</t>
  </si>
  <si>
    <t>Alpine Leafless-Bulrush</t>
  </si>
  <si>
    <t>Trichophorum caespitosum</t>
  </si>
  <si>
    <t>Tufted Leafless-Bulrush</t>
  </si>
  <si>
    <t>Trichophorum pumilum</t>
  </si>
  <si>
    <t>Rolland's Leafless-Bulrush</t>
  </si>
  <si>
    <t>Trientalis arctica</t>
  </si>
  <si>
    <t>Trientalis borealis</t>
  </si>
  <si>
    <t>Maystar</t>
  </si>
  <si>
    <t>Trientalis europaea</t>
  </si>
  <si>
    <t>Arctic Starflower</t>
  </si>
  <si>
    <t>Trifolium cyathiferum</t>
  </si>
  <si>
    <t>Bowl Clover</t>
  </si>
  <si>
    <t>Trifolium dubium</t>
  </si>
  <si>
    <t>Suckling Clover</t>
  </si>
  <si>
    <t>Trifolium hybridum</t>
  </si>
  <si>
    <t>Alsike Clover</t>
  </si>
  <si>
    <t>Trifolium microcephalum</t>
  </si>
  <si>
    <t>Small-Head Clover</t>
  </si>
  <si>
    <t>Trifolium pratense</t>
  </si>
  <si>
    <t>Red Clover</t>
  </si>
  <si>
    <t>Trifolium repens</t>
  </si>
  <si>
    <t>White Clover</t>
  </si>
  <si>
    <t>Trifolium variegatum</t>
  </si>
  <si>
    <t>White-Tip Clover</t>
  </si>
  <si>
    <t>Trifolium wormskioldii</t>
  </si>
  <si>
    <t>Cow Clover</t>
  </si>
  <si>
    <t>Triglochin maritima</t>
  </si>
  <si>
    <t>Seaside Arrow-Grass</t>
  </si>
  <si>
    <t>Triglochin maritimum</t>
  </si>
  <si>
    <t>Triglochin palustre</t>
  </si>
  <si>
    <t>Triglochin palustris</t>
  </si>
  <si>
    <t>Marsh Arrow-Grass</t>
  </si>
  <si>
    <t>Tripleurospermum maritimum</t>
  </si>
  <si>
    <t>False Mayweed</t>
  </si>
  <si>
    <t>Trisetum cernuum</t>
  </si>
  <si>
    <t>Tall False Oat</t>
  </si>
  <si>
    <t>Trisetum sibiricum</t>
  </si>
  <si>
    <t>Siberian False Oat</t>
  </si>
  <si>
    <t>Trisetum spicatum</t>
  </si>
  <si>
    <t>Narrow False Oat</t>
  </si>
  <si>
    <t>Tsuga heterophylla</t>
  </si>
  <si>
    <t>Western Hemlock</t>
  </si>
  <si>
    <t>Tsuga mertensiana</t>
  </si>
  <si>
    <t>Mountain Hemlock</t>
  </si>
  <si>
    <t>Typha latifolia</t>
  </si>
  <si>
    <t>Broad-Leaf Cat-Tail</t>
  </si>
  <si>
    <t>Urtica dioica</t>
  </si>
  <si>
    <t>Stinging Nettle</t>
  </si>
  <si>
    <t>Utricularia intermedia</t>
  </si>
  <si>
    <t>Flat-Leaf Bladderwort</t>
  </si>
  <si>
    <t>Utricularia macrorhiza</t>
  </si>
  <si>
    <t>Greater Bladderwort</t>
  </si>
  <si>
    <t>Utricularia minor</t>
  </si>
  <si>
    <t>Lesser Bladderwort</t>
  </si>
  <si>
    <t>Utricularia ochroleuca</t>
  </si>
  <si>
    <t>Dwarf Bladderwort</t>
  </si>
  <si>
    <t>Utricularia stygia</t>
  </si>
  <si>
    <t>Arctic Bladderwort</t>
  </si>
  <si>
    <t>Vaccaria hispanica</t>
  </si>
  <si>
    <t>Cowcockle</t>
  </si>
  <si>
    <t>Vaccinium alaskaense</t>
  </si>
  <si>
    <t>*</t>
  </si>
  <si>
    <t>Alaska Blueberry</t>
  </si>
  <si>
    <t>Vaccinium caespitosum</t>
  </si>
  <si>
    <t>Dwarf Blueberry</t>
  </si>
  <si>
    <t>Vaccinium cespitosum</t>
  </si>
  <si>
    <t>Vaccinium macrocarpon</t>
  </si>
  <si>
    <t>Large Cranberry</t>
  </si>
  <si>
    <t>Vaccinium membranaceum</t>
  </si>
  <si>
    <t>Square-Twig Blueberry</t>
  </si>
  <si>
    <t>Vaccinium ovalifolium</t>
  </si>
  <si>
    <t>Oval-Leaf Blueberry</t>
  </si>
  <si>
    <t>Vaccinium oxycoccos</t>
  </si>
  <si>
    <t>Small Cranberry</t>
  </si>
  <si>
    <t>Vaccinium parvifolium</t>
  </si>
  <si>
    <t>Red Blueberry</t>
  </si>
  <si>
    <t>Vaccinium scoparium</t>
  </si>
  <si>
    <t>Grouse Whortleberry</t>
  </si>
  <si>
    <t>Vaccinium uliginosum</t>
  </si>
  <si>
    <t>Alpine Blueberry</t>
  </si>
  <si>
    <t>Vaccinium vitis-idaea</t>
  </si>
  <si>
    <t>Northern Mountain-Cranberry</t>
  </si>
  <si>
    <t>Vahlodea atropurpurea</t>
  </si>
  <si>
    <t>Arctic-Hair Grass</t>
  </si>
  <si>
    <t>Valeriana capitata</t>
  </si>
  <si>
    <t>Clustered Valerian</t>
  </si>
  <si>
    <t>Valeriana scouleri</t>
  </si>
  <si>
    <t>Scouler's Valerian</t>
  </si>
  <si>
    <t>Valeriana sitchensis</t>
  </si>
  <si>
    <t>Sitka Valerian</t>
  </si>
  <si>
    <t>Veratrum viride</t>
  </si>
  <si>
    <t>American False Hellebore</t>
  </si>
  <si>
    <t>Verbascum thapsus</t>
  </si>
  <si>
    <t>Great Mullein</t>
  </si>
  <si>
    <t>Veronica americana</t>
  </si>
  <si>
    <t>American-Brooklime</t>
  </si>
  <si>
    <t>Veronica anagallis-aquatica</t>
  </si>
  <si>
    <t>Blue Water Speedwell</t>
  </si>
  <si>
    <t>Veronica arvensis</t>
  </si>
  <si>
    <t>Corn Speedwell</t>
  </si>
  <si>
    <t>Veronica chamaedrys</t>
  </si>
  <si>
    <t>Germander Speedwell</t>
  </si>
  <si>
    <t>Veronica officinalis</t>
  </si>
  <si>
    <t>Common Gypsyweed</t>
  </si>
  <si>
    <t>Veronica peregrina</t>
  </si>
  <si>
    <t>Neckweed</t>
  </si>
  <si>
    <t>Veronica scutellata</t>
  </si>
  <si>
    <t>Grass-Leaf Speedwell</t>
  </si>
  <si>
    <t>Veronica serpyllifolia</t>
  </si>
  <si>
    <t>Thyme-Leaf Speedwell</t>
  </si>
  <si>
    <t>Veronica wormskjoldii</t>
  </si>
  <si>
    <t>American Alpine Speedwell</t>
  </si>
  <si>
    <t>Viburnum edule</t>
  </si>
  <si>
    <t>Squashberry</t>
  </si>
  <si>
    <t>Vicia americana</t>
  </si>
  <si>
    <t>American Purple Vetch</t>
  </si>
  <si>
    <t>Vicia nigricans</t>
  </si>
  <si>
    <t>Black Vetch</t>
  </si>
  <si>
    <t>Vicia sativa</t>
  </si>
  <si>
    <t>Garden Vetch</t>
  </si>
  <si>
    <t>Viola adunca</t>
  </si>
  <si>
    <t>Hook-Spur Violet</t>
  </si>
  <si>
    <t>Viola biflora</t>
  </si>
  <si>
    <t>Arctic Yellow Violet</t>
  </si>
  <si>
    <t>Viola canadensis</t>
  </si>
  <si>
    <t>Canadian White Violet</t>
  </si>
  <si>
    <t>Viola epipsila</t>
  </si>
  <si>
    <t>Dwarf Marsh Violet</t>
  </si>
  <si>
    <t>Viola glabella</t>
  </si>
  <si>
    <t>Pioneer Violet</t>
  </si>
  <si>
    <t>Viola langsdorffii</t>
  </si>
  <si>
    <t>Alaska Violet</t>
  </si>
  <si>
    <t>Viola langsdorfii</t>
  </si>
  <si>
    <t>Aleutian Violet</t>
  </si>
  <si>
    <t>Viola macloskeyi</t>
  </si>
  <si>
    <t>Small White Violet</t>
  </si>
  <si>
    <t>Viola nephrophylla</t>
  </si>
  <si>
    <t>Northern Bog Violet</t>
  </si>
  <si>
    <t>Viola palustris</t>
  </si>
  <si>
    <t>Alpine-Marsh Violet</t>
  </si>
  <si>
    <t>Viola renifolia</t>
  </si>
  <si>
    <t>Kidney-Leaf White Violet</t>
  </si>
  <si>
    <t>Vulpia myuros</t>
  </si>
  <si>
    <t>Rat-Tail Six-Weeks Grass</t>
  </si>
  <si>
    <t>Wilhelmsia physodes</t>
  </si>
  <si>
    <t>Arctic-Flower</t>
  </si>
  <si>
    <t>Xanthocyparis nootkatensis</t>
  </si>
  <si>
    <t>Alaska-Cedar</t>
  </si>
  <si>
    <t>Zannichellia palustris</t>
  </si>
  <si>
    <t>Horned-Pondweed</t>
  </si>
  <si>
    <t>Zigadenus elegans</t>
  </si>
  <si>
    <t>Mountain Death Camas</t>
  </si>
  <si>
    <t>Zostera marina</t>
  </si>
  <si>
    <t>Seawrack</t>
  </si>
  <si>
    <r>
      <rPr>
        <b/>
        <sz val="10"/>
        <rFont val="Arial Narrow"/>
        <family val="2"/>
      </rPr>
      <t>Wetland-associated Wildlife of Southeast Alaska</t>
    </r>
    <r>
      <rPr>
        <sz val="10"/>
        <rFont val="Arial Narrow"/>
        <family val="2"/>
      </rPr>
      <t xml:space="preserve">.  This includes regularly-occurring birds, amphibians, and mammals that tend to be present </t>
    </r>
    <r>
      <rPr>
        <b/>
        <sz val="10"/>
        <rFont val="Arial Narrow"/>
        <family val="2"/>
      </rPr>
      <t>disproportionately</t>
    </r>
    <r>
      <rPr>
        <sz val="10"/>
        <rFont val="Arial Narrow"/>
        <family val="2"/>
      </rPr>
      <t xml:space="preserve"> in or over wetlands or associated waters during at least one season during the year in at least one part of Southeast Alaska.  "Breeds" denotes species that have bred in the region at least once. "Water" denotes species that occur extensively or exclusively in or above open water (lakes, streams, bays, etc.).  "Tidal" denotes species associated disproportionately with mainly saltwater wetlands, and "Non-tidal" with mainly freshwater wetlands.  "Decid." denotes a disproportionate association with deciduous woody vegetation (alder, willow, etc.), not necessarily in wetlands.  "Relative Abundance" is from Heinl (2010); codes are: C= common, F= fairly common, U= uncommon, R= rare, V= very rare, x= present.  Blank indicates few or no records.  Many other species use wetlands on a casual basis, or information was insufficient to infer their degree of association with wetlands specifically.</t>
    </r>
  </si>
  <si>
    <t>Breeds</t>
  </si>
  <si>
    <t>Habitat</t>
  </si>
  <si>
    <t>Relative Abundance</t>
  </si>
  <si>
    <t>Seq</t>
  </si>
  <si>
    <t>Water</t>
  </si>
  <si>
    <t>Non-tidal</t>
  </si>
  <si>
    <t>Tidal</t>
  </si>
  <si>
    <t>Decid.</t>
  </si>
  <si>
    <t>Spring</t>
  </si>
  <si>
    <t>Summer</t>
  </si>
  <si>
    <t>Fall</t>
  </si>
  <si>
    <t>Winter</t>
  </si>
  <si>
    <t xml:space="preserve">Red-throated Loon  </t>
  </si>
  <si>
    <t>U</t>
  </si>
  <si>
    <t>R</t>
  </si>
  <si>
    <t>Pacific Loon</t>
  </si>
  <si>
    <t>C</t>
  </si>
  <si>
    <t>Common Loon</t>
  </si>
  <si>
    <t>Yellow-billed Loon</t>
  </si>
  <si>
    <t>Horned Grebe</t>
  </si>
  <si>
    <t>Red-necked Grebe</t>
  </si>
  <si>
    <t>Western Grebe</t>
  </si>
  <si>
    <t>Double-crested Cormorant</t>
  </si>
  <si>
    <t>American Bittern</t>
  </si>
  <si>
    <t>Great Blue Heron</t>
  </si>
  <si>
    <t>Greater White-fronted Goose</t>
  </si>
  <si>
    <t>Snow Goose</t>
  </si>
  <si>
    <t>Canada Goose</t>
  </si>
  <si>
    <t>Brant (Black)</t>
  </si>
  <si>
    <t>Trumpeter Swan</t>
  </si>
  <si>
    <t>Tundra Swan</t>
  </si>
  <si>
    <t>Gadwall</t>
  </si>
  <si>
    <t>Eurasian Wigeon</t>
  </si>
  <si>
    <t>American Wigeon</t>
  </si>
  <si>
    <t>Mallard</t>
  </si>
  <si>
    <t>Blue-winged Teal</t>
  </si>
  <si>
    <t>Cinnamon Teal</t>
  </si>
  <si>
    <t>Northern Shoveler</t>
  </si>
  <si>
    <t>Northern Pintail</t>
  </si>
  <si>
    <t>Green-winged Teal</t>
  </si>
  <si>
    <t>Canvasback</t>
  </si>
  <si>
    <t>Redhead</t>
  </si>
  <si>
    <t>Ring-necked Duck</t>
  </si>
  <si>
    <t>Greater Scaup</t>
  </si>
  <si>
    <t>Lesser Scaup</t>
  </si>
  <si>
    <t>Harlequin Duck</t>
  </si>
  <si>
    <t>Bufflehead</t>
  </si>
  <si>
    <t>Common Goldeneye</t>
  </si>
  <si>
    <t>Barrow's Goldeneye</t>
  </si>
  <si>
    <t>Hooded Merganser</t>
  </si>
  <si>
    <t>Common Merganser</t>
  </si>
  <si>
    <t>Red-breasted Merganser</t>
  </si>
  <si>
    <t>Osprey</t>
  </si>
  <si>
    <t>Bald Eagle</t>
  </si>
  <si>
    <t>Northern Harrier</t>
  </si>
  <si>
    <t>Peregrine Falcon</t>
  </si>
  <si>
    <t>Ruffed Grouse</t>
  </si>
  <si>
    <t>Sora</t>
  </si>
  <si>
    <t>American Coot</t>
  </si>
  <si>
    <t>Sandhill Crane</t>
  </si>
  <si>
    <t>Black-bellied Plover</t>
  </si>
  <si>
    <t>American Golden-Plover</t>
  </si>
  <si>
    <t>Semipalmated Plover</t>
  </si>
  <si>
    <t>Killdeer</t>
  </si>
  <si>
    <t>Greater Yellowlegs</t>
  </si>
  <si>
    <t>Lesser Yellowlegs</t>
  </si>
  <si>
    <t>Solitary Sandpiper</t>
  </si>
  <si>
    <t>Spotted Sandpiper</t>
  </si>
  <si>
    <t>Upland Sandpiper</t>
  </si>
  <si>
    <t>Whimbrel</t>
  </si>
  <si>
    <t>Hudsonian Godwit</t>
  </si>
  <si>
    <t>Marbled Godwit</t>
  </si>
  <si>
    <t>Red Knot</t>
  </si>
  <si>
    <t>Sanderling</t>
  </si>
  <si>
    <t>Semipalmated Sandpiper</t>
  </si>
  <si>
    <t>Western Sandpiper</t>
  </si>
  <si>
    <t>Least Sandpiper</t>
  </si>
  <si>
    <t>Baird's Sandpiper</t>
  </si>
  <si>
    <t>Pectoral Sandpiper</t>
  </si>
  <si>
    <t>Dunlin</t>
  </si>
  <si>
    <t>Short-billed Dowitcher</t>
  </si>
  <si>
    <t>Long-billed Dowitcher</t>
  </si>
  <si>
    <t>Common Snipe</t>
  </si>
  <si>
    <t>Bonaparte's Gull</t>
  </si>
  <si>
    <t>Mew Gull</t>
  </si>
  <si>
    <t>Ring-billed Gull</t>
  </si>
  <si>
    <t>California Gull</t>
  </si>
  <si>
    <t>Herring Gull</t>
  </si>
  <si>
    <t>Thayer's Gull</t>
  </si>
  <si>
    <t>Glaucous-winged Gull</t>
  </si>
  <si>
    <t>Glaucous Gull</t>
  </si>
  <si>
    <t>Black-legged Kittiwake</t>
  </si>
  <si>
    <t>Caspian Tern</t>
  </si>
  <si>
    <t>Arctic Tern</t>
  </si>
  <si>
    <t>Aleutian Tern</t>
  </si>
  <si>
    <t>Western Screech-Owl</t>
  </si>
  <si>
    <t>Short-eared Owl</t>
  </si>
  <si>
    <t>Vaux's Swift</t>
  </si>
  <si>
    <t>Rufous Hummingbird</t>
  </si>
  <si>
    <t>Belted Kingfisher</t>
  </si>
  <si>
    <t>Red-breasted Sapsucker</t>
  </si>
  <si>
    <t>Olive-sided Flycatcher</t>
  </si>
  <si>
    <t>Alder Flycatcher</t>
  </si>
  <si>
    <t>Warbling Vireo</t>
  </si>
  <si>
    <t>Red-eyed Vireo</t>
  </si>
  <si>
    <t>Tree Swallow</t>
  </si>
  <si>
    <t>Violet-green Swallow</t>
  </si>
  <si>
    <t>Northern Rough-winged Swallow</t>
  </si>
  <si>
    <t>Bank Swallow</t>
  </si>
  <si>
    <t>Cliff Swallow</t>
  </si>
  <si>
    <t>Barn Swallow</t>
  </si>
  <si>
    <t>American Dipper</t>
  </si>
  <si>
    <t>American Pipit</t>
  </si>
  <si>
    <t>Cedar Waxwing</t>
  </si>
  <si>
    <t>Orange-crowned Warbler</t>
  </si>
  <si>
    <t>Yellow Warbler</t>
  </si>
  <si>
    <t>Townsend's Warbler</t>
  </si>
  <si>
    <t>American Redstart</t>
  </si>
  <si>
    <t>Northern Waterthrush</t>
  </si>
  <si>
    <t>MacGillivray's Warbler</t>
  </si>
  <si>
    <t>Wilson's Warbler</t>
  </si>
  <si>
    <t>Savannah Sparrow</t>
  </si>
  <si>
    <t>Song Sparrow</t>
  </si>
  <si>
    <t>Lincoln's Sparrow</t>
  </si>
  <si>
    <t>Red-winged Blackbird</t>
  </si>
  <si>
    <t>Rusty Blackbird</t>
  </si>
  <si>
    <t>Northwestern Salamander</t>
  </si>
  <si>
    <t>Long-toed Salamander</t>
  </si>
  <si>
    <t>Roughskin Newt</t>
  </si>
  <si>
    <t>Western Toad</t>
  </si>
  <si>
    <t>Pacific Chorus (Tree) Frog</t>
  </si>
  <si>
    <t>Wood Frog</t>
  </si>
  <si>
    <t>Columbia Spotted Frog</t>
  </si>
  <si>
    <t>Red-legged Frog</t>
  </si>
  <si>
    <t>Silver-haired Bat</t>
  </si>
  <si>
    <t>Keen's Myotis</t>
  </si>
  <si>
    <t>California Myotis</t>
  </si>
  <si>
    <t>?</t>
  </si>
  <si>
    <t>Long-legged Myotis</t>
  </si>
  <si>
    <t>Big Brown Bat</t>
  </si>
  <si>
    <t>Little Brown Bat</t>
  </si>
  <si>
    <t>Northern Water Shrew</t>
  </si>
  <si>
    <t>Masked Shrew</t>
  </si>
  <si>
    <t>Meadow Vole</t>
  </si>
  <si>
    <t>Northern Vole</t>
  </si>
  <si>
    <t>Northern Bog Lemming</t>
  </si>
  <si>
    <t>Muskrat</t>
  </si>
  <si>
    <t>American Beaver</t>
  </si>
  <si>
    <t>Mink</t>
  </si>
  <si>
    <t>River Otter</t>
  </si>
  <si>
    <t>Moose</t>
  </si>
  <si>
    <t>Sitka Black-tailed Deer</t>
  </si>
  <si>
    <t>Brown Bear</t>
  </si>
  <si>
    <r>
      <t xml:space="preserve">   flow regulation in tributaries or water level regulation in adjoining water body, or</t>
    </r>
    <r>
      <rPr>
        <sz val="10"/>
        <rFont val="Arial Narrow"/>
        <family val="2"/>
      </rPr>
      <t xml:space="preserve"> control structure at water entry points that regulates inflow to the wetland</t>
    </r>
  </si>
  <si>
    <r>
      <t xml:space="preserve">Wetland has essentially no CA, e.g., isolated by dikes with no input channels, or is in terrain so flat that a CA can't be delineated. </t>
    </r>
    <r>
      <rPr>
        <b/>
        <sz val="10"/>
        <rFont val="Arial Narrow"/>
        <family val="2"/>
      </rPr>
      <t>SKIP TO OF34.</t>
    </r>
  </si>
  <si>
    <t>None. (Topographic maps also show no intersecting channels or floodplains. However, if the AA is entirely a lake or pond, enter a "1" regardless of whether maps show a channel intersecting it).</t>
  </si>
  <si>
    <t>Tree &amp; Tall Shrub Canopy Extent</t>
  </si>
  <si>
    <t>Largest Herbaceous Patch</t>
  </si>
  <si>
    <t>Unshaded Herbaceous Extent</t>
  </si>
  <si>
    <r>
      <t>The percentage of the AA soil that is covered by surface water</t>
    </r>
    <r>
      <rPr>
        <b/>
        <u/>
        <sz val="10"/>
        <rFont val="Arial Narrow"/>
        <family val="2"/>
      </rPr>
      <t xml:space="preserve"> only</t>
    </r>
    <r>
      <rPr>
        <sz val="10"/>
        <rFont val="Arial Narrow"/>
        <family val="2"/>
      </rPr>
      <t xml:space="preserve"> during the wettest time of year, </t>
    </r>
    <r>
      <rPr>
        <u/>
        <sz val="10"/>
        <rFont val="Arial Narrow"/>
        <family val="2"/>
      </rPr>
      <t>and</t>
    </r>
    <r>
      <rPr>
        <sz val="10"/>
        <rFont val="Arial Narrow"/>
        <family val="2"/>
      </rPr>
      <t xml:space="preserve"> for &gt;2 continuous weeks during that time, is:</t>
    </r>
  </si>
  <si>
    <t>&lt;1% of the shore length</t>
  </si>
  <si>
    <t xml:space="preserve">Most surface water is tea-colored (from tannins, not iron bacteria), and/or its pH is usually &lt;5.5.  If surface water not observed, enter "1" if organic soil depth exceeds 6 inches and vegetation is mostly moss and/or evergreens. </t>
  </si>
  <si>
    <t>Does not bump into plant stems.  Nearly all the water travels in unvegetated (often incised) channels that have little contact with wetland vegetation, or through a zone of open water such as an instream pond or lake.</t>
  </si>
  <si>
    <r>
      <t>bumps into</t>
    </r>
    <r>
      <rPr>
        <b/>
        <sz val="10"/>
        <rFont val="Arial Narrow"/>
        <family val="2"/>
      </rPr>
      <t xml:space="preserve"> herbaceous </t>
    </r>
    <r>
      <rPr>
        <sz val="10"/>
        <rFont val="Arial Narrow"/>
        <family val="2"/>
      </rPr>
      <t xml:space="preserve">vegetation and follows a fairly </t>
    </r>
    <r>
      <rPr>
        <b/>
        <sz val="10"/>
        <rFont val="Arial Narrow"/>
        <family val="2"/>
      </rPr>
      <t>straight</t>
    </r>
    <r>
      <rPr>
        <sz val="10"/>
        <rFont val="Arial Narrow"/>
        <family val="2"/>
      </rPr>
      <t xml:space="preserve"> path from entrance to exit (branched channels few or none, meandering slight or none).</t>
    </r>
  </si>
  <si>
    <r>
      <t>bumps into</t>
    </r>
    <r>
      <rPr>
        <b/>
        <sz val="10"/>
        <rFont val="Arial Narrow"/>
        <family val="2"/>
      </rPr>
      <t xml:space="preserve"> tree trunks and/or shrub stems </t>
    </r>
    <r>
      <rPr>
        <sz val="10"/>
        <rFont val="Arial Narrow"/>
        <family val="2"/>
      </rPr>
      <t xml:space="preserve">and follows a fairly </t>
    </r>
    <r>
      <rPr>
        <b/>
        <sz val="10"/>
        <rFont val="Arial Narrow"/>
        <family val="2"/>
      </rPr>
      <t>straight</t>
    </r>
    <r>
      <rPr>
        <sz val="10"/>
        <rFont val="Arial Narrow"/>
        <family val="2"/>
      </rPr>
      <t xml:space="preserve"> path from entrance to exit (branched channels few or none, meandering slight or none).</t>
    </r>
  </si>
  <si>
    <t>In "ducks-eye view", the distribution pattern of woody vegetation (including low shrubs) VS. unshaded herbaceous/moss vegetation within the AA is:</t>
  </si>
  <si>
    <t>&lt;5% of the vegetated ground cover.</t>
  </si>
  <si>
    <t>5-25% of the vegetated ground cover.</t>
  </si>
  <si>
    <t>25-50% of the vegetated ground cover.</t>
  </si>
  <si>
    <t>50-95% of the vegetated ground cover.</t>
  </si>
  <si>
    <t>&gt;95% of the vegetated ground cover.</t>
  </si>
  <si>
    <t>Slightly bare ground (5-20% bare between plants) is visible in places, but those areas comprise less than 5% of the unflooded parts of the AA.</t>
  </si>
  <si>
    <r>
      <t xml:space="preserve">Much bare ground (20-50% bare between plants) is visible in places, and those areas comprise </t>
    </r>
    <r>
      <rPr>
        <b/>
        <sz val="10"/>
        <rFont val="Arial Narrow"/>
        <family val="2"/>
      </rPr>
      <t>more than</t>
    </r>
    <r>
      <rPr>
        <sz val="10"/>
        <rFont val="Arial Narrow"/>
        <family val="2"/>
      </rPr>
      <t xml:space="preserve"> 5% of the unflooded parts of the AA. </t>
    </r>
  </si>
  <si>
    <t>&lt;150 ft.  Or the AA itself contains &gt;100 acres of vegetation.</t>
  </si>
  <si>
    <r>
      <t xml:space="preserve">Within a </t>
    </r>
    <r>
      <rPr>
        <b/>
        <sz val="10"/>
        <rFont val="Arial Narrow"/>
        <family val="2"/>
      </rPr>
      <t xml:space="preserve">2-mile </t>
    </r>
    <r>
      <rPr>
        <sz val="10"/>
        <rFont val="Arial Narrow"/>
        <family val="2"/>
      </rPr>
      <t xml:space="preserve">radius measured from the </t>
    </r>
    <r>
      <rPr>
        <b/>
        <sz val="10"/>
        <rFont val="Arial Narrow"/>
        <family val="2"/>
      </rPr>
      <t>center</t>
    </r>
    <r>
      <rPr>
        <sz val="10"/>
        <rFont val="Arial Narrow"/>
        <family val="2"/>
      </rPr>
      <t xml:space="preserve"> of the AA, the area that is </t>
    </r>
    <r>
      <rPr>
        <b/>
        <sz val="10"/>
        <rFont val="Arial Narrow"/>
        <family val="2"/>
      </rPr>
      <t xml:space="preserve">not </t>
    </r>
    <r>
      <rPr>
        <sz val="10"/>
        <rFont val="Arial Narrow"/>
        <family val="2"/>
      </rPr>
      <t>natural land cover or water is mostly:</t>
    </r>
  </si>
  <si>
    <r>
      <rPr>
        <b/>
        <sz val="10"/>
        <rFont val="Arial Narrow"/>
        <family val="2"/>
      </rPr>
      <t>Including the AA's vegetated area</t>
    </r>
    <r>
      <rPr>
        <sz val="10"/>
        <rFont val="Arial Narrow"/>
        <family val="2"/>
      </rPr>
      <t xml:space="preserve">, the largest patch or corridor that is </t>
    </r>
    <r>
      <rPr>
        <b/>
        <sz val="10"/>
        <rFont val="Arial Narrow"/>
        <family val="2"/>
      </rPr>
      <t>natural land cover</t>
    </r>
    <r>
      <rPr>
        <sz val="10"/>
        <rFont val="Arial Narrow"/>
        <family val="2"/>
      </rPr>
      <t xml:space="preserve"> and is </t>
    </r>
    <r>
      <rPr>
        <b/>
        <sz val="10"/>
        <rFont val="Arial Narrow"/>
        <family val="2"/>
      </rPr>
      <t xml:space="preserve">contiguous with </t>
    </r>
    <r>
      <rPr>
        <sz val="10"/>
        <rFont val="Arial Narrow"/>
        <family val="2"/>
      </rPr>
      <t>vegetation in the AA (i.e., not completely separated by highways or channels that are uniformly wider than 150 ft), occupies:</t>
    </r>
  </si>
  <si>
    <r>
      <t>publicly owned</t>
    </r>
    <r>
      <rPr>
        <b/>
        <sz val="10"/>
        <rFont val="Arial Narrow"/>
        <family val="2"/>
      </rPr>
      <t xml:space="preserve"> conservation</t>
    </r>
    <r>
      <rPr>
        <sz val="10"/>
        <rFont val="Arial Narrow"/>
        <family val="2"/>
      </rPr>
      <t xml:space="preserve"> lands that exclude new timber harvest, roads, mineral extraction, and intensive summer recreation (e.g., off-road vehicles). </t>
    </r>
  </si>
  <si>
    <r>
      <t xml:space="preserve">publicly owned </t>
    </r>
    <r>
      <rPr>
        <b/>
        <sz val="10"/>
        <rFont val="Arial Narrow"/>
        <family val="2"/>
      </rPr>
      <t>resource use</t>
    </r>
    <r>
      <rPr>
        <sz val="10"/>
        <rFont val="Arial Narrow"/>
        <family val="2"/>
      </rPr>
      <t xml:space="preserve"> lands (allowed activities such as timber harvest, mining, or intensive recreation), or unknown.</t>
    </r>
  </si>
  <si>
    <t>1000 ft - 0.5 mile</t>
  </si>
  <si>
    <t xml:space="preserve">Hunting </t>
  </si>
  <si>
    <r>
      <t xml:space="preserve">This directly estimates the relative amount of horizontal space in which precipitation and runoff are being stored, at least temporarily. The ability of wetland water storage to reduce stream peak flows is greatest in summer and fall, where those are the driest times of year (Roulet &amp; Woo 1988, Quinton &amp; Roulet 1998).  </t>
    </r>
    <r>
      <rPr>
        <i/>
        <sz val="10"/>
        <rFont val="Arial Narrow"/>
        <family val="2"/>
      </rPr>
      <t>In calculations, is excluded automatically (cell goes blank) if wetland never has surface water during an average year.</t>
    </r>
  </si>
  <si>
    <r>
      <t xml:space="preserve">This directly estimates the relative amount of </t>
    </r>
    <r>
      <rPr>
        <b/>
        <sz val="10"/>
        <rFont val="Arial Narrow"/>
        <family val="2"/>
      </rPr>
      <t>vertical</t>
    </r>
    <r>
      <rPr>
        <sz val="10"/>
        <rFont val="Arial Narrow"/>
        <family val="2"/>
      </rPr>
      <t xml:space="preserve"> space in which precipitation and runoff are being stored, at least temporarily. </t>
    </r>
    <r>
      <rPr>
        <i/>
        <sz val="10"/>
        <rFont val="Arial Narrow"/>
        <family val="2"/>
      </rPr>
      <t>In calculations, is excluded automatically (cell goes blank) if wetland never has surface water during an average year.</t>
    </r>
  </si>
  <si>
    <r>
      <t>Ponding indicates water is in storage rather than being transferred immediately downslope.  Water distributed in small pools is more subject to loss via evapotranspiration before it can exit a wetland.</t>
    </r>
    <r>
      <rPr>
        <i/>
        <sz val="10"/>
        <rFont val="Arial Narrow"/>
        <family val="2"/>
      </rPr>
      <t xml:space="preserve"> In calculations, is excluded automatically (cell goes blank) if wetland never has surface water during an average year.</t>
    </r>
  </si>
  <si>
    <r>
      <t xml:space="preserve">Runoff cannot infiltrate into frozen soil, and snow on ice (and the ice itself) often melt before underlying frozen soil/sediment permits infiltration of the melted water. Thus access to subsurface storage space is limited in wetlands that characteristically remain frozen for long periods. However, subsurface water can sometimes remain fluid even when surface is frozen. </t>
    </r>
    <r>
      <rPr>
        <i/>
        <sz val="10"/>
        <rFont val="Arial Narrow"/>
        <family val="2"/>
      </rPr>
      <t>In calculations, is excluded automatically (cell goes blank) if wetland never has surface water during an average year.</t>
    </r>
  </si>
  <si>
    <r>
      <t xml:space="preserve">Like a constricted outlet, vegetation and other obstacles create a "roughness" within a wetland that can slow the outflow and downstream movement of water (Price &amp; Woo 1988). This is much truer if the vegetation intercepts a large proportion of the flow during high-flow periods (i.e., is not merely along an upland edge that never floods), and is tall and stiff enough to provide some resistance. Water also takes longer to move through complex channel networks (e.g., braided or sinuous) which themselves provide additional friction. However, vegetation itself occupies space otherwise available for storing water (this effect is usually negligible). </t>
    </r>
    <r>
      <rPr>
        <i/>
        <sz val="10"/>
        <rFont val="Arial Narrow"/>
        <family val="2"/>
      </rPr>
      <t>In calculations, is excluded automatically (cell goes blank) if wetland never has surface water during an average year.  Also is excluded automatically if no surface inflow.</t>
    </r>
  </si>
  <si>
    <r>
      <t xml:space="preserve">Wetlands that store water only temporarily or seasonally have longer periods during the year in which soils are unsaturated and thus able to briefly store or delay additional water from precipitation and runoff. Wetland connectivity is key to estimating wetland water storage: wetlands that lack an outlet (never have any outflow) store or dissipate (via evaporation or seepage) nearly all the water they receive (Spence et al. 2011).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</si>
  <si>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increasing storage (Carter et al. 1979).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</si>
  <si>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Wetlands fed constantly by groundwater are likely to have only limited subsurface storage space for storing additional precipitation.  However, they may remain unfrozen for shorter periods. </t>
    </r>
    <r>
      <rPr>
        <i/>
        <sz val="10"/>
        <rFont val="Arial Narrow"/>
        <family val="2"/>
      </rPr>
      <t xml:space="preserve"> In calculations, is excluded automatically (cell goes blank) if no strong evidence of groundwater (last choice).</t>
    </r>
  </si>
  <si>
    <t xml:space="preserve">Considerable amounts of water can be stored below the land surface in peat and coarse-textured substrates. However, very little new runoff can be stored if the substrates are already saturated. Peat tends to be saturated much of the time, and groundwater discharge dominates many wetlands with coarse-textured substrate, keeping those saturated much of the time and thus limiting the capacity to store additional water.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in areas with more permeable soils, at least where those areas aren't sloping. That is due partly to higher likelihood of groundwater reaching the land surface via seeps (Quinton et al. 2003, Emili &amp; Price 2006).  </t>
  </si>
  <si>
    <r>
      <t xml:space="preserve">Deeper water implies greater water volume to potentially feed downslope streams.  </t>
    </r>
    <r>
      <rPr>
        <i/>
        <sz val="10"/>
        <rFont val="Arial Narrow"/>
        <family val="2"/>
      </rPr>
      <t>In calculations, is excluded automatically (cell goes blank) if wetland never has surface water during an average year.</t>
    </r>
  </si>
  <si>
    <r>
      <t xml:space="preserve">Longer duration of ice cover suggests melting, when it occurs, is likely to feed downslope streams later in the season when flows otherwise can be low.  </t>
    </r>
    <r>
      <rPr>
        <i/>
        <sz val="10"/>
        <rFont val="Arial Narrow"/>
        <family val="2"/>
      </rPr>
      <t>In calculations, is excluded automatically (cell goes blank) if wetland never has surface water during an average year.</t>
    </r>
  </si>
  <si>
    <t>Peat soils retain water for longer periods than coarse mineral soils, and the deeper the better.  Subsurface ice which helps sustain streamflow also may remain longer into the late spring in peatlands due to the insulating effects of peat.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(surface water retention is least) in areas with more permeable soils, at least where those areas aren't sloping. That is due partly to higher likelihood of groundwater reaching the land surface via seeps (Quinton et al. 2003, Emili &amp; Price 2006)</t>
  </si>
  <si>
    <t>OutDur * { ((2*GroundwaterInput) + ClimateFactors)) / 3 }</t>
  </si>
  <si>
    <t>Summertime Shading of Water</t>
  </si>
  <si>
    <r>
      <t>Shade from vegetation and other features is an important factor in cooling surface water and runoff before it reaches water bodies farther downstream (e.g., Rounds 2007).  A study of many Seattle-area wetlands found that summertime temperatures ranged higher in wetlands that were characterized by relatively large open pools that lacked shade (Reinelt &amp; Horner 1990).</t>
    </r>
    <r>
      <rPr>
        <i/>
        <sz val="10"/>
        <rFont val="Arial Narrow"/>
        <family val="2"/>
      </rPr>
      <t xml:space="preserve"> In calculations, is excluded automatically (cell goes blank) if wetland never has surface water during an average year or if water is present only seasonally.</t>
    </r>
  </si>
  <si>
    <r>
      <t xml:space="preserve">Wetlands with greater water depth overall tend to have cooler outflows (depending on elevation of the outlet) because water depth provides insulation from solar warming.  </t>
    </r>
    <r>
      <rPr>
        <i/>
        <sz val="10"/>
        <rFont val="Arial Narrow"/>
        <family val="2"/>
      </rPr>
      <t>In calculations, is excluded automatically (cell goes blank) if wetland never has surface water during an average year.</t>
    </r>
  </si>
  <si>
    <r>
      <t xml:space="preserve">Where most of the surface water is ponded, it is more likely to be heated by the sun than if distributed in the channels or residing underground. This indicator is used only if some persistent surface water is present in the AA. </t>
    </r>
    <r>
      <rPr>
        <i/>
        <sz val="10"/>
        <rFont val="Arial Narrow"/>
        <family val="2"/>
      </rPr>
      <t>In calculations, is excluded automatically (cell goes blank) if wetland never has surface water during an average year.</t>
    </r>
  </si>
  <si>
    <r>
      <t xml:space="preserve">Ponded water that is open and unvegetated it is more likely to be heated by the sun.  </t>
    </r>
    <r>
      <rPr>
        <i/>
        <sz val="10"/>
        <rFont val="Arial Narrow"/>
        <family val="2"/>
      </rPr>
      <t xml:space="preserve">In calculations, is excluded automatically (cell goes blank) if wetland never has ponded surface water during an average year. </t>
    </r>
  </si>
  <si>
    <r>
      <t xml:space="preserve">Wetland contributions to otherwise low streamflows have their greatest relative impact at locations higher in a watershed.  </t>
    </r>
    <r>
      <rPr>
        <i/>
        <sz val="10"/>
        <rFont val="Arial Narrow"/>
        <family val="2"/>
      </rPr>
      <t>In calculations, is excluded automatically (cell goes blank) if wetland has no outlet or if data are missing.  Score is weighted average of the 3 HUCs (HUC8 has weight of 3, HUC7 has weight of 2, HUC6 has weight of 1).</t>
    </r>
  </si>
  <si>
    <r>
      <t xml:space="preserve">Other factors being equal, wetlands in a headwater position are more valuable for influencing waters over a longer downstream area, where most flooding of property tends to occur. Watersheds can be defined as HUC8, HUC7, HUC6, or at some other spatial level, and all are important to assessing the local significance of this function when it is provided by a wetland.  </t>
    </r>
    <r>
      <rPr>
        <i/>
        <sz val="10"/>
        <rFont val="Arial Narrow"/>
        <family val="2"/>
      </rPr>
      <t xml:space="preserve"> In calculations, is excluded automatically (cell goes blank) if wetland has no outlet or if data are missing.  Score is weighted average of the 3 HUCs (HUC8 has weight of 3, HUC7 has weight of 2, HUC6 has weight of 1).</t>
    </r>
  </si>
  <si>
    <r>
      <t xml:space="preserve">The need to cool surface waters is likely to be greatest at locations lower in a watershed. </t>
    </r>
    <r>
      <rPr>
        <i/>
        <sz val="10"/>
        <rFont val="Arial Narrow"/>
        <family val="2"/>
      </rPr>
      <t xml:space="preserve"> In calculations, is excluded automatically (cell goes blank) if wetland has no outlet or if data are missing.  Score is weighted average of the 3 HUCs (HUC8 has weight of 3, HUC7 has weight of 2, HUC6 has weight of 1).</t>
    </r>
  </si>
  <si>
    <r>
      <t xml:space="preserve">The benefits of warming surface waters on biological productivity are likely to be greater at locations higher in a watershed where cool water temperatures othewise would prevail later into the summer.  Also important are coastal areas where mixing of warmed surface waters with cooler marine waters may benefit estuarine productivity. </t>
    </r>
    <r>
      <rPr>
        <i/>
        <sz val="10"/>
        <rFont val="Arial Narrow"/>
        <family val="2"/>
      </rPr>
      <t>In calculations, is excluded automatically (cell goes blank) if wetland has no outlet or if data are missing.  Score is weighted average of the 3 HUCs (HUC8 has weight of 3, HUC7 has weight of 2, HUC6 has weight of 1).</t>
    </r>
  </si>
  <si>
    <r>
      <t xml:space="preserve">Wetlands that are in the lower part of their watershed (including most that are small relative to the size of their contributing area) are likely to receive proportionally more sediment and be subject to more erosive floods, thus increasing the value of their capacity to intercept and stabilize suspended sediment.  </t>
    </r>
    <r>
      <rPr>
        <i/>
        <sz val="10"/>
        <rFont val="Arial Narrow"/>
        <family val="2"/>
      </rPr>
      <t>Score is weighted average of the 3 HUCs (HUC8 has weight of 3, HUC7 has weight of 2, HUC6 has weight of 1).</t>
    </r>
  </si>
  <si>
    <r>
      <t xml:space="preserve">The need to cool surface waters is likely to be greatest where streams are south-facing and thus are exposed longer each day to warming sunlight.  </t>
    </r>
    <r>
      <rPr>
        <i/>
        <sz val="10"/>
        <rFont val="Arial Narrow"/>
        <family val="2"/>
      </rPr>
      <t xml:space="preserve">In calculations, is excluded automatically (cell goes blank) if wetland is larger than its apparent contributing area. </t>
    </r>
  </si>
  <si>
    <r>
      <t xml:space="preserve">Unshaded input streams provide more opportunity for wetlands to cool the water.  Streams whose contributing areas have a greater extent of roads (road density) have higher temperatures.  A study of 104 streams in British Columbia found there is a 6-in-10 chance that the summer maximum weekly average water temperature will increase by 2.3 degrees F if road density in the contributing area exceeds 27 ft of road per acre and by 5.8 degrees F if road density exceeds 53 ft of road per acre (Nelitz et al. 2007).  However, overall vegetation patterns in a watershed frequently have an equal or greater influence on stream temperature and aquatic productivity than vegetation just within buffer areas adjoining a stream (Brosofske et al. 1997, Sridhar et al. 2004, Stephenson &amp; Morin 2009).  One study found that maximum air temperature within a 100-ft wooded buffer was only slightly cooler than in a 16-ft wide wooded buffer (Meleason &amp; Quinn 2004).  Vegetated buffers along north-south streams in British Columbia are more effective than those oriented east-west (Gomi et al. 2006). </t>
    </r>
    <r>
      <rPr>
        <i/>
        <sz val="10"/>
        <rFont val="Arial Narrow"/>
        <family val="2"/>
      </rPr>
      <t xml:space="preserve"> In calculations, is excluded automatically (cell goes blank) if wetland has no input tributary.</t>
    </r>
  </si>
  <si>
    <r>
      <t xml:space="preserve">Shade from vegetation and other features is an important factor in cooling surface water and runoff before it reaches water bodies farther downstream (e.g., Rounds 2007).  Headwater wetlands in BC tended to heat their receiving stream (Rayne et al. 2008).  </t>
    </r>
    <r>
      <rPr>
        <i/>
        <sz val="10"/>
        <rFont val="Arial Narrow"/>
        <family val="2"/>
      </rPr>
      <t>In calculations, is excluded automatically (cell goes blank) if wetland never has surface water during an average year or if water is present only seasonally.</t>
    </r>
  </si>
  <si>
    <r>
      <t xml:space="preserve">During summer, wetlands with shallower water depth overall tend to have warmer outflows (depending on elevation of the outlet) because water depth provides insulation from solar warming.  </t>
    </r>
    <r>
      <rPr>
        <i/>
        <sz val="10"/>
        <rFont val="Arial Narrow"/>
        <family val="2"/>
      </rPr>
      <t>In calculations, is excluded automatically (cell goes blank) if wetland never has surface water during an average year.</t>
    </r>
  </si>
  <si>
    <r>
      <t xml:space="preserve">Where most of the surface water is distributed in isolated pools, it is more likely to be heated by the sun than if distributed in the channels.  Streams headed by small lakes or forested wetlands tended to cool as they flowed downstream, suggesting that these headwater features warmed the water or at least did not cool it significantly (Mellina et al. 2002).  A study of many Seattle-area wetlands found that summertime temperatures ranged higher in wetlands that were characterized by relatively large open pools (Reinelt &amp; Horner 1990). </t>
    </r>
    <r>
      <rPr>
        <i/>
        <sz val="10"/>
        <rFont val="Arial Narrow"/>
        <family val="2"/>
      </rPr>
      <t xml:space="preserve"> In calculations, is excluded automatically (cell goes blank) if wetland never has surface water during an average year.</t>
    </r>
  </si>
  <si>
    <r>
      <t xml:space="preserve">Open ponded waters receive the most exposure to warming solar radiation. </t>
    </r>
    <r>
      <rPr>
        <i/>
        <sz val="10"/>
        <rFont val="Arial Narrow"/>
        <family val="2"/>
      </rPr>
      <t xml:space="preserve">In calculations, is excluded automatically (cell goes blank) if wetland never has ponded surface water during an average year. </t>
    </r>
  </si>
  <si>
    <t>Flatter wetlands are more likely than steep ones to slow runoff, facilitating more deposition of suspended matter. Ground cover becomes more important to sediment stabilization in wetlands on slopes. A Pennsylvania study found that slope wetlands tended to have the lowest sediment accretion rates of any wetland type (HGM class) (Wardrop &amp; Brooks 1998).</t>
  </si>
  <si>
    <r>
      <t xml:space="preserve">As a wetland's surface water area expands seasonally, water velocity is often reduced due to increased friction, and material suspended in the expanding water body is more likely to be deposited. The model ignores this indicator if the wetland has no outlet (channel or overbank), because then all water and sediment suspended in it is stored.  </t>
    </r>
    <r>
      <rPr>
        <i/>
        <sz val="10"/>
        <rFont val="Arial Narrow"/>
        <family val="2"/>
      </rPr>
      <t>In calculations, is excluded automatically (cell goes blank) if wetland never has surface water during an average year.</t>
    </r>
    <r>
      <rPr>
        <sz val="10"/>
        <rFont val="Arial Narrow"/>
        <family val="2"/>
      </rPr>
      <t xml:space="preserve"> </t>
    </r>
  </si>
  <si>
    <r>
      <t xml:space="preserve">Suspended sediment is more likely to be filtered and stranded in vegetation if water levels fluctuate. However, in some soil types, large water level fluctuations cause erosion that results in more sediment being exported than retained. </t>
    </r>
    <r>
      <rPr>
        <i/>
        <sz val="10"/>
        <rFont val="Arial Narrow"/>
        <family val="2"/>
      </rPr>
      <t>In calculations, is excluded automatically (cell goes blank) if wetland never has surface water during an average year or if surface water is permanent (i.e., must have at least a seasonal-only zone in order to have water fluctuation).</t>
    </r>
  </si>
  <si>
    <r>
      <t xml:space="preserve">Deeper waters usually imply slower water velocity, longer water detention time, more space for storing deposited sediments over time, and reduced likelihood of deposited sediments being resuspended by wind mixing or currents (Evans &amp; Rigler 1983, Nolen et al. 1985). However, vegetation density is usually greater in shallow wetlands, providing other opportunities to filter and stabilize (with roots systems) suspended sediments. </t>
    </r>
    <r>
      <rPr>
        <i/>
        <sz val="10"/>
        <rFont val="Arial Narrow"/>
        <family val="2"/>
      </rPr>
      <t xml:space="preserve">In calculations, is excluded automatically (cell goes blank) if wetland never has surface water during an average year. </t>
    </r>
  </si>
  <si>
    <r>
      <t xml:space="preserve">Ponding allows more time for suspended sediment to settle out.  </t>
    </r>
    <r>
      <rPr>
        <i/>
        <sz val="10"/>
        <rFont val="Arial Narrow"/>
        <family val="2"/>
      </rPr>
      <t xml:space="preserve">In calculations, is excluded automatically (cell goes blank) if wetland never has surface water during an average year. </t>
    </r>
  </si>
  <si>
    <r>
      <t xml:space="preserve">As the proportionate area of emergent and other aquatic plants increases, current velocity may be reduced (depending on the distribution of the plants relative to flow paths), and a larger proportion of the sediment may be intercepted, particularly if the wetland is not narrow. </t>
    </r>
    <r>
      <rPr>
        <i/>
        <sz val="10"/>
        <rFont val="Arial Narrow"/>
        <family val="2"/>
      </rPr>
      <t xml:space="preserve"> In calculations, is excluded automatically (cell goes blank) if wetland never has ponded surface water during an average year. </t>
    </r>
  </si>
  <si>
    <r>
      <t xml:space="preserve">Greater interspersion of open water and vegetation should allow more contact between plants and moving sediment-bearing water, resulting in greater deposition of suspended sediment. </t>
    </r>
    <r>
      <rPr>
        <i/>
        <sz val="10"/>
        <rFont val="Arial Narrow"/>
        <family val="2"/>
      </rPr>
      <t>In calculations, is excluded automatically (cell goes blank) if wetland never has surface water during an average year, or if there is no ponded water, or if ponded water but no vegetation, or if ponded but no open water.</t>
    </r>
  </si>
  <si>
    <r>
      <t xml:space="preserve">Like a constricted outlet, vegetation and other obstacles create a "roughness" within a wetland that can slow the water and allow sediment particles to be deposited. This is much truer if the vegetation intercepts a large proportion of the flow during high-flow periods (i.e., is not merely along an upland edge that never floods). Although tall and stiff vegetation provides the most resistance and thus sedimentation, it often tends to have less ground cover, so the net effect is uncertain in some wetlands. Water takes longer to move through complex channel networks (e.g., braided or sinuous) which themselves provide additional friction, thus allowing more suspended sediment to be deposited. The sinuosity is as much the result of sedimentation-erosion dynamics as it is the cause of them. Wetlands with a sheet flow pattern often retain more suspended solids than channelized systems (Morris et al. 1981).  </t>
    </r>
    <r>
      <rPr>
        <i/>
        <sz val="10"/>
        <rFont val="Arial Narrow"/>
        <family val="2"/>
      </rPr>
      <t>In calculations, is excluded automatically (cell goes blank) if wetland never has surface water during an average year or if no surface inflows.</t>
    </r>
  </si>
  <si>
    <r>
      <t xml:space="preserve">During its travel through the AA at the time of peak annual flow, </t>
    </r>
    <r>
      <rPr>
        <b/>
        <u/>
        <sz val="10"/>
        <rFont val="Arial Narrow"/>
        <family val="2"/>
      </rPr>
      <t>most</t>
    </r>
    <r>
      <rPr>
        <sz val="10"/>
        <rFont val="Arial Narrow"/>
        <family val="2"/>
      </rPr>
      <t xml:space="preserve"> of the flowing water [select ONE]: </t>
    </r>
  </si>
  <si>
    <r>
      <t xml:space="preserve">Wetlands that lack outlets retain all sediment that enters them. Wetlands that connect to downslope water bodies for only part of the year may export less sediment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</si>
  <si>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suspended sediments to be deposited. The types of outlets described here are ones that typically are more constricted than natural channels. Natural channels usually have adjusted over time to local runoff and thus tend to be wider relative to volume of flow received. A restricting outlet in wetlands can reduce export of sediment (Amatya et al. 2003). </t>
    </r>
    <r>
      <rPr>
        <i/>
        <sz val="10"/>
        <rFont val="Arial Narrow"/>
        <family val="2"/>
      </rPr>
      <t xml:space="preserve"> In calculations, is excluded automatically (cell goes blank) if no outlet.  In calculations, is excluded automatically (cell goes blank) if wetland has no surface water outlet.</t>
    </r>
  </si>
  <si>
    <r>
      <t xml:space="preserve">In some cases, sediments that remain covered with water year-round (and longer) tend to become anaerobic and release phosphorus, especially in deeper wetlands. Thus, wetlands with the least extent of persistent water may be most retentive of whatever P they receive.  On the other hand, seasonal drawdowns can mobilize phosphorus that has accumulated in sediments (Snyder &amp; Morace 1997, Aldous et al. 2005). To a perhaps lesser extent, reflooding of soils that have been dry for extended periods also can mobilize phosphorus, especially if flooding creates anoxic conditions (Burley et al. 2001), or if large quantities of leaf litter and other organic matter are present and rapidly decompose or leach phosphorus. </t>
    </r>
    <r>
      <rPr>
        <i/>
        <sz val="10"/>
        <rFont val="Arial Narrow"/>
        <family val="2"/>
      </rPr>
      <t>In calculations, is excluded automatically (cell goes blank) if wetland never has surface water during an average year.</t>
    </r>
  </si>
  <si>
    <r>
      <t xml:space="preserve">Wetting and drying of sediments, as happens especially in wetlands with large water level fluctuations, increases the leaching and desorption of phosphorus from sediment organic matter, thus resulting in net export. However, stable water levels also can promote phosphorus export (not retention) because they are often associated with anoxic conditions that result in increased mobility of phosphorus. Sediment P release and subsequent export is particularly strong during periods of seasonal anoxia (Burley et al. 2001). </t>
    </r>
    <r>
      <rPr>
        <i/>
        <sz val="10"/>
        <rFont val="Arial Narrow"/>
        <family val="2"/>
      </rPr>
      <t xml:space="preserve"> In calculations, is excluded automatically (cell goes blank) if wetland never has surface water during an average year, or if none of it floods only seasonally.</t>
    </r>
  </si>
  <si>
    <r>
      <t xml:space="preserve">Deeper wetlands are more likely to experience anoxic conditions that promote P mobility and export. However, deeper waters also imply slower water velocity, longer water detention time, more time for biological processing of phosphorus, and reduced likelihood of phosphorus associated with deposited sediments being resuspended by wind mixing or currents. </t>
    </r>
    <r>
      <rPr>
        <i/>
        <sz val="10"/>
        <rFont val="Arial Narrow"/>
        <family val="2"/>
      </rPr>
      <t xml:space="preserve"> In calculations, is excluded automatically (cell goes blank) if wetland never has surface water during an average year.</t>
    </r>
  </si>
  <si>
    <r>
      <t>Plants take up phosphorus from sediments (and some, from the water directly) and can facilitate long-term retention if P is transferred to roots that are not as subject as the foliage is to leaching the nutrients back into the water column. Plants also facilitate sediment deposition by slowing the water, and much phosphorus is adsorbed on that sediment so is also deposited and potentially retained.  However, their decaying foliage also frequently creates anoxic conditions that promote P release from sediments, if iron concentrations are low and aeriation by currents and wind is poor (as tends to occur when emergent and submersed aquatic plants occupy most of a water body).</t>
    </r>
    <r>
      <rPr>
        <i/>
        <sz val="10"/>
        <rFont val="Arial Narrow"/>
        <family val="2"/>
      </rPr>
      <t xml:space="preserve"> In calculations, is excluded automatically (cell goes blank) if wetland never has surface water during an average year.</t>
    </r>
  </si>
  <si>
    <r>
      <t xml:space="preserve">Greater interspersion of open water and vegetation is hypothesized to support greater sediment and phosphorus removal. That is because plants assist the deposition of suspended sediment which contains P, while open water areas tend to be more aerobic which immobilizes P in the deposited sediment. </t>
    </r>
    <r>
      <rPr>
        <i/>
        <sz val="10"/>
        <rFont val="Arial Narrow"/>
        <family val="2"/>
      </rPr>
      <t>In calculations, is excluded automatically (cell goes blank) if wetland never has surface water during an average year, if no ponded water, if ponded water but no vegetation, or if ponded but no open water.</t>
    </r>
  </si>
  <si>
    <r>
      <t xml:space="preserve">A proliferation of algae and floating aquatics can indicate that the wetland is receiving more nutrients than it is capable of processing effectively.  These non-rooted plants do not oxygenate the sediments, they take up and store nutrients only briefly, and their die-offs create anoxic conditions that mobilize phosphorus temporarily retained in sediments. In the calculations, abundant algae reduces the score but absence of blooms does not increase it.  </t>
    </r>
    <r>
      <rPr>
        <i/>
        <sz val="10"/>
        <rFont val="Arial Narrow"/>
        <family val="2"/>
      </rPr>
      <t>In calculations, is excluded automatically (cell goes blank) if wetland never has surface water during an average year</t>
    </r>
  </si>
  <si>
    <r>
      <t xml:space="preserve">Freeze-thaw cycles in wetlands are often characterized by change from aerobic to anaerobic conditions, which can mobilize phosphorus in sediments. Also, less infiltration occurs. Wetlands that are frozen for long periods are generally in regions with shorter growing seasons, resulting in less opportunity for biological uptake of phosphorus. However, over the long term freeze-thaw cycles may rejuvenate the capacity of some sediments to adsorb additional phosphorus (Wang et al. 2007). </t>
    </r>
    <r>
      <rPr>
        <i/>
        <sz val="10"/>
        <rFont val="Arial Narrow"/>
        <family val="2"/>
      </rPr>
      <t>In calculations, is excluded automatically (cell goes blank) if wetland never has surface water during an average year</t>
    </r>
    <r>
      <rPr>
        <sz val="10"/>
        <rFont val="Arial Narrow"/>
        <family val="2"/>
      </rPr>
      <t>.</t>
    </r>
  </si>
  <si>
    <r>
      <t xml:space="preserve">Like a constricted outlet, vegetation and other obstacles create a "roughness" within a wetland that can slow the water and allow phosphorus adsorbed to sediment particles to be deposited. This is much truer if the vegetation intercepts a large proportion of the flow during high-flow periods (i.e., is not merely along an upland edge that never floods). Although tall and stiff vegetation provides the most resistance and thus may be more effective at allowing sediment to be deposited, it often tends to have less ground cover, so the net effect is uncertain in some wetlands. Water takes longer to move through complex channel networks (e.g., braided or sinuous) which themselves provide additional friction, thus allowing more suspended sediment and the phosphorus associated with it to be deposited. Wetlands with a sheet flow pattern often retain more total phosphorus than channelized systems (Morris et al. 1981, Knox et al. 2008). </t>
    </r>
    <r>
      <rPr>
        <i/>
        <sz val="10"/>
        <rFont val="Arial Narrow"/>
        <family val="2"/>
      </rPr>
      <t>In calculations, is excluded automatically (cell goes blank) if wetland never has surface water during an average year or if no surface inflows.</t>
    </r>
  </si>
  <si>
    <r>
      <t xml:space="preserve">Where glaciers are present, suspended glacial silt is a major contributor of phosphorus to Alaskan lakes (Koenings et al. 1989). This increases the opportunity of any wetlands to process the P, thus increasing the importance (value) of their role in the local ecosystem.  </t>
    </r>
    <r>
      <rPr>
        <i/>
        <sz val="10"/>
        <rFont val="Arial Narrow"/>
        <family val="2"/>
      </rPr>
      <t>In calculations, is excluded automatically (cell goes blank) if wetland never has surface water during an average year.</t>
    </r>
  </si>
  <si>
    <r>
      <t>Waters flowing from glaciers carry huge amounts of sediment, providing downstream wetlands with greater opportunity to perform this function.</t>
    </r>
    <r>
      <rPr>
        <i/>
        <sz val="10"/>
        <rFont val="Arial Narrow"/>
        <family val="2"/>
      </rPr>
      <t xml:space="preserve"> In calculations, is excluded automatically (cell goes blank) if wetland never has surface water during an average year.</t>
    </r>
  </si>
  <si>
    <r>
      <t xml:space="preserve">The benefits of warming surface waters on biological productivity are likely to be greatest at locations where cold glacier water inputs are significant.  </t>
    </r>
    <r>
      <rPr>
        <i/>
        <sz val="10"/>
        <rFont val="Arial Narrow"/>
        <family val="2"/>
      </rPr>
      <t>In calculations, is excluded automatically (cell goes blank) if wetland never has surface water during an average year.</t>
    </r>
  </si>
  <si>
    <r>
      <t xml:space="preserve">Issues with summer streamflows being inadequate are more likely in streams that are not fed by glaciers. Percent of watershed with glacial coverage is a key predictor of stream low flow in Alaska (Wiley 2003) and glaciated basins have less interannual variability in low flow (Fleming &amp; Clarke 2005). Variation is least among basins with about 30% coverage by glaciers (Fountain &amp; Tangborn 1985). </t>
    </r>
    <r>
      <rPr>
        <i/>
        <sz val="10"/>
        <rFont val="Arial Narrow"/>
        <family val="2"/>
      </rPr>
      <t xml:space="preserve"> In calculations, is excluded automatically (cell goes blank) if wetland never has surface water during an average year.</t>
    </r>
  </si>
  <si>
    <r>
      <t xml:space="preserve">Glacier-fed watersheds tend to have high peak flows, due partly to the low vegetative cover and shallow soils (Hood et al. 2009). Small lakes and riverine wetlands are especially important in watersheds with newly receding glaciers, because the wetlands in those settings moderate flow and channel scour that otherwise would be severe in such watersheds (Milner and Gloyne-Phillips 2005). </t>
    </r>
    <r>
      <rPr>
        <i/>
        <sz val="10"/>
        <rFont val="Arial Narrow"/>
        <family val="2"/>
      </rPr>
      <t>In calculations, is excluded automatically (cell goes blank) if wetland never has surface water during an average year.</t>
    </r>
  </si>
  <si>
    <r>
      <t xml:space="preserve">Because of their physical structure and setting, some upland soils are intrinsically more erodible than others having the same vegetation cover and exposed to the same precipitation intensity. Wetlands located below such erodible soils have more opportunity to trap the phosphorus carried in with the eroded soils and thus can be considered more valuable as phosphorus processors. </t>
    </r>
    <r>
      <rPr>
        <i/>
        <sz val="10"/>
        <rFont val="Arial Narrow"/>
        <family val="2"/>
      </rPr>
      <t xml:space="preserve"> In calculations, is excluded automatically (cell goes blank) if wetland is larger than its contributing area.</t>
    </r>
  </si>
  <si>
    <r>
      <t xml:space="preserve">Wetlands that are in the lower part of their watershed (including most that are small relative to the size of their contributing area) are likely to receive proportionally more phosphorus, thus increasing their opportunity to process the P, thus increasing the importance (value) of their role in the local ecosystem. </t>
    </r>
    <r>
      <rPr>
        <i/>
        <sz val="10"/>
        <rFont val="Arial Narrow"/>
        <family val="2"/>
      </rPr>
      <t>Score is weighted average of the 3 HUCs (HUC8 has weight of 3, HUC7 has weight of 2, HUC6 has weight of 1).</t>
    </r>
  </si>
  <si>
    <t>Phosphorus commonly adsorbs to suspended sediment, and wetlands that comprise a large proportion of their contributing area are more effective for retaining sediment in runoff, and thus phosphorus.</t>
  </si>
  <si>
    <r>
      <t>The need for (and value of) phosphorus retention capacity (which is potentially provided by wetlands) is greater when upland runoff is rapid and erosive, with the potential to contribute much sediment and associated P. This occurs when much of the contributing area contains impervious surface. Other factors being equal, wetlands in developed watersheds (with little remaining natural cover) tend to receive higher loads of phosphorus. Even if the only watershed disturbance is logging, a typical post-logging shift from coniferous or mixed vegetation to deciduous vegetation can contribute 40% more phosphorus to streams and alters the seasonal timing of the inputs and light availability (Roberts &amp; Bilby 2009).</t>
    </r>
    <r>
      <rPr>
        <i/>
        <sz val="10"/>
        <rFont val="Arial Narrow"/>
        <family val="2"/>
      </rPr>
      <t xml:space="preserve"> In calculations, is excluded automatically (cell goes blank) if wetland is larger than its contributing area.</t>
    </r>
  </si>
  <si>
    <r>
      <t xml:space="preserve">The need for (and value of) sediment-trapping capacity (which is potentially provided by wetlands) is greater when upland runoff is rapid and erosive, as occurs when much of the contributing area contains unvegetated surface. However, a study in Southeast Alaska that compared total sediment yield in channels surrounded by old-growth, clear cut,, and young alder found no significant difference in sediment yield [Gomi &amp; Sidle 2003].  </t>
    </r>
    <r>
      <rPr>
        <i/>
        <sz val="10"/>
        <rFont val="Arial Narrow"/>
        <family val="2"/>
      </rPr>
      <t xml:space="preserve"> In calculations, is excluded automatically (cell goes blank) if wetland is larger than its contributing area.</t>
    </r>
  </si>
  <si>
    <r>
      <t xml:space="preserve">The need for (and value of) phosphorus retention that potentially could be provided by wetlands is greater when upland phosphorus loads are not being retained by features closer to the phosphorus source.  </t>
    </r>
    <r>
      <rPr>
        <i/>
        <sz val="10"/>
        <rFont val="Arial Narrow"/>
        <family val="2"/>
      </rPr>
      <t>In calculations, is excluded automatically (cell goes blank) if wetland is larger than its contributing area.</t>
    </r>
  </si>
  <si>
    <r>
      <t xml:space="preserve">The need for (and value of) sediment retention that potentially could be provided by wetlands is greater when upland sediment loads are not being retained or rerouted by features closer to the sediment source. If runoff is diverted away from downslope wetlands, such as in road ditches or drainage tile, then those wetlands will become drier. When they do, they will have less opportunity to receive water with suspended solids (Wigington et al. 2005, Hogan &amp; Walbridge 2007). Even when runoff is not diverted from the wetlands, if the volume of runoff entering a wetland per unit time increases, the wetland will be less effective in treating the runoff. That is because increased runoff will often cause tiny channels to develop within the wetland, or will increase the dimensions of existing ones. These factors will decrease the detention time and pollutant contact with vegetation, because most of the vegetation will be positioned apart from the water flowing through in the small channels (McBride &amp; Booth 2005, Alberti et al. 2007).  </t>
    </r>
    <r>
      <rPr>
        <i/>
        <sz val="10"/>
        <rFont val="Arial Narrow"/>
        <family val="2"/>
      </rPr>
      <t xml:space="preserve"> In calculations, is excluded automatically (cell goes blank) if wetland is larger than its contributing area.</t>
    </r>
  </si>
  <si>
    <r>
      <t xml:space="preserve">Wetlands that receive suspended sediment in runoff from steep slopes are more likely to retain it because of the large differential in current velocities, which promotes deposition in the wetland. This increases the opportunity of the wetlands to process the P, thus increasing the importance (value) of their role in the local ecosystem.  </t>
    </r>
    <r>
      <rPr>
        <i/>
        <sz val="10"/>
        <rFont val="Arial Narrow"/>
        <family val="2"/>
      </rPr>
      <t>In calculations, is excluded automatically (cell goes blank) if wetland is larger than its contributing area.</t>
    </r>
  </si>
  <si>
    <r>
      <t xml:space="preserve">Increased slope in a watershed or buffer strip results in more erosion and greater transport of soil particles to downslope wetlands, e.g., Trimble &amp; Sartz (1957), Dillaha et al. (1988, 1989), Phillips (1989), and Nieswand et al. (1990). Sediment export from sloping lands mostly begins at about 10% slope and increases as slope becomes steeper (Zhang et al. 2010). </t>
    </r>
    <r>
      <rPr>
        <i/>
        <sz val="10"/>
        <rFont val="Arial Narrow"/>
        <family val="2"/>
      </rPr>
      <t xml:space="preserve"> In calculations, is excluded automatically (cell goes blank) if wetland is larger than its contributing area.</t>
    </r>
  </si>
  <si>
    <r>
      <t xml:space="preserve">Exposing sediments to the air can cause them to release accumulated nitrate, potentially resulting in less removal. In contrast, long-duration flooding usually makes sediments anaerobic, which is necessary for the denitrification process.  Denitrification processes occur when anaerobic conditions occur, which are more likely when surface water is present and blocks gas exchange. Shallow inundation tends to decrease emissions of nitrous oxide (Zaman et al. 2007, Song et al. 2008).   </t>
    </r>
    <r>
      <rPr>
        <i/>
        <sz val="10"/>
        <rFont val="Arial Narrow"/>
        <family val="2"/>
      </rPr>
      <t xml:space="preserve">In calculations, is excluded automatically (cell goes blank) if wetland never has surface water during an average year. </t>
    </r>
  </si>
  <si>
    <r>
      <t xml:space="preserve">Water table depth and duration of saturation affect redox and thus N cycling in Southeast Alaska wetlands (D’Amore et al. 2009). Denitrification rates are highest at the interface between aerobic and anaerobic conditions. Such conditions often develop where a ponded area expands seasonally into vegetated areas. In addition, levels of soil organic matter are often higher in seasonal wetlands than in permanently inundated ones (Shaffer &amp; Ernst 1999), and organic matter is key to supporting denitrification.  </t>
    </r>
    <r>
      <rPr>
        <i/>
        <sz val="10"/>
        <rFont val="Arial Narrow"/>
        <family val="2"/>
      </rPr>
      <t xml:space="preserve">In calculations, is excluded automatically (cell goes blank) if wetland never has surface water during an average year. </t>
    </r>
  </si>
  <si>
    <r>
      <t xml:space="preserve">Wetting and drying of sediments, as happens especially in wetlands with large and frequent water level fluctuations (because a wider area is subject to wetting-drying and associated aerobic-anaerobic shift), increases the loss of nitrate via denitrification. In Oregon, decreased total nitrogen in streams was associated with increased stream flashiness that had resulted from urbanization (Waite et al. 2006).  </t>
    </r>
    <r>
      <rPr>
        <i/>
        <sz val="10"/>
        <rFont val="Arial Narrow"/>
        <family val="2"/>
      </rPr>
      <t>In calculations, is excluded automatically (cell goes blank) if wetland never has surface water during an average year, or if none of it floods only seasonally.</t>
    </r>
  </si>
  <si>
    <r>
      <t xml:space="preserve">Ponded conditions provide longer time for nitrate processing, as well as causing sediments to lose oxygen, thus creating a microclimate favorable for denitrification.  </t>
    </r>
    <r>
      <rPr>
        <i/>
        <sz val="10"/>
        <rFont val="Arial Narrow"/>
        <family val="2"/>
      </rPr>
      <t xml:space="preserve">In calculations, is excluded automatically (cell goes blank) if wetland never has surface water during an average year. </t>
    </r>
  </si>
  <si>
    <r>
      <t xml:space="preserve">Plants take up nitrate from sediments and can facilitate retention if N is transferred to roots not as subject to erosion as foliage. Plants also facilitate sediment deposition by slowing the water, and some nitrate is associated with that sediment so is also deposited and potentially retained. Perhaps most importantly, roots of some plants oxidize the anoxic sediments that surround them and this facilitates denitrification, the major process for removing soluble nitrate from water.  </t>
    </r>
    <r>
      <rPr>
        <i/>
        <sz val="10"/>
        <rFont val="Arial Narrow"/>
        <family val="2"/>
      </rPr>
      <t>In calculations, is excluded automatically (cell goes blank) if wetland never has surface water during an average year.</t>
    </r>
  </si>
  <si>
    <r>
      <t xml:space="preserve">Greater interspersion of open water and vegetation is hypothesized to support greater nitrate removal. That is because open water areas tend to be more aerobic, whereas densely vegetated areas often are anaerobic, except where plant roots oxidize a small part of the sediment. The combination of anaerobic and aerobic areas in close proximity facilitates nitrate loss through denitrification.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</si>
  <si>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Freeze-thaw cycles in wetlands are often characterized by change from aerobic to anaerobic conditions, which can mobilize nitrate in sediments, making the nitrate vulnerable to being exported downstream. Also, wetlands that are frozen for long periods are generally in regions with shorter growing seasons, resulting in less opportunity for biological uptake of nitrate. </t>
    </r>
    <r>
      <rPr>
        <i/>
        <sz val="10"/>
        <rFont val="Arial Narrow"/>
        <family val="2"/>
      </rPr>
      <t xml:space="preserve"> In calculations, is excluded automatically (cell goes blank) if wetland never has surface water during an average year.</t>
    </r>
  </si>
  <si>
    <r>
      <t xml:space="preserve">Like a constricted outlet, vegetation and other obstacles create a "roughness" within a wetland that can slow the water and allow more time for biological processing of nitrate. This is much truer if the vegetation intercepts a large proportion of the flow during high-flow periods (i.e., is not merely along an upland edge that never floods). Water takes longer to move through complex channel networks (e.g., braided or sinuous) which themselves provide additional friction, thus allowing more suspended sediment and the nitrate associated with it to be deposited. Increased channel complexity also implies greater interspersion of open water and vegetation (see above) and in some cases, more hyporheic flow -- both of which favor nitrate removal. Wetlands with a sheet flow pattern often retain more nitrate than channelized systems (Morris et al. 1981, Knox et al. 2008).  </t>
    </r>
    <r>
      <rPr>
        <i/>
        <sz val="10"/>
        <rFont val="Arial Narrow"/>
        <family val="2"/>
      </rPr>
      <t>In calculations, is excluded automatically (cell goes blank) if wetland never has surface water during an average year or if no surface inflows.</t>
    </r>
  </si>
  <si>
    <r>
      <t xml:space="preserve">Wetlands that lack outlets retain or remove all nitrate that enters them. Wetlands that connect to downslope water bodies for only part of the year may export less nitrate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</si>
  <si>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nitrate to be processed.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</si>
  <si>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Very large water level fluctuations can reduce plant productivity and increase the release of methane. Maintaining steadily moist conditions (i.e., little or no water level fluctuation) may minimize methane releases (Tuittila et al. 2000, Price et al. 2003). </t>
    </r>
    <r>
      <rPr>
        <i/>
        <sz val="10"/>
        <rFont val="Arial Narrow"/>
        <family val="2"/>
      </rPr>
      <t xml:space="preserve"> In calculations, is excluded automatically (cell goes blank) if wetland never has surface water during an average year, or if none of it floods only seasonally.</t>
    </r>
  </si>
  <si>
    <r>
      <t xml:space="preserve">Waters that are persistently deeper than 2 ft, and especially deeper than 6 ft, usually support much less vascular plant production which otherwise could be sequestered while acidifying the soil and thus dampening methane emissions. In a flooded pasture of wild hay, plant production declined if continual flooding exceeded 50 days at a depth of 7 inches (Rumberg &amp; Sawyer 1965). On the other hand, methane emissions can decrease with increasing depth of surface water over the range of 0 to 1m depth (Pelletier et al. 2007, Cheng et al. 2007). One study found methane emissions were greater from a lake than a bog (Edwards et al. 2001).  </t>
    </r>
    <r>
      <rPr>
        <i/>
        <sz val="10"/>
        <rFont val="Arial Narrow"/>
        <family val="2"/>
      </rPr>
      <t xml:space="preserve">In calculations, is excluded automatically (cell goes blank) if wetland never has surface water during an average year. </t>
    </r>
  </si>
  <si>
    <r>
      <t xml:space="preserve">Wider bands of vegetation represent more biomass to be sequestered, and are more effective in trapping organic matter carried to the wetland by upland runoff.  </t>
    </r>
    <r>
      <rPr>
        <i/>
        <sz val="10"/>
        <rFont val="Arial Narrow"/>
        <family val="2"/>
      </rPr>
      <t>In calculations, is excluded automatically (cell goes blank) if wetland never has surface water during an average year, or no open water.</t>
    </r>
  </si>
  <si>
    <r>
      <t>Annual plant productivity (and thus potentially-storable carbon) is often less in ponded wetlands than in wetlands where periodic water circulation replenishes nutrients (Thormann &amp; Bayley 1997). Also, methane emissions may be higher in ponded areas because such areas are more likely to develop anaerobic conditions (Magenheimer et al. 1996, Tranvik et al. 2009). Aerobic conditions can increase the proportion of plant production that is allocated to belowground tissue, which benefits carbon storage because such tissue is more likely to resist erosion and be incorporated into longterm storage in soil. However, organic matter in ponded areas is less subject than organic matter in channels to being transported downslope in floodwaters or groundwater and thus could be more likely to become incorporated into soils, resulting in carbon being sequestered.</t>
    </r>
    <r>
      <rPr>
        <i/>
        <sz val="10"/>
        <rFont val="Arial Narrow"/>
        <family val="2"/>
      </rPr>
      <t xml:space="preserve"> In calculations, is excluded automatically (cell goes blank) if wetland never has surface water during an average year.</t>
    </r>
  </si>
  <si>
    <r>
      <t xml:space="preserve">Aquatic plants, especially those in acidic environments and/or with fibrous tissue, usually add more carbon to wetlands than they lose in the form of CO2 from decomposition. They also trap and deposit particulate carbon carried into a wetland from upslope. However, decomposition of the organic matter from plants in some wetlands generates methane. Methane emissions per unit area can be high in floating mats of vegetation (Moosavi et al. 1996) and in shallow areas with dense cover of vascular plants (Smith et al. 2000, Cheng et al. 2007) whose roots facilitate the movement of methane from soils to the surface, as compared with lower methane emissions in areas of open water (Rose &amp; Crumpton 2006) or mats of submersed aquatic vegetation (Smith et al. 2000). Nonetheless, at least in restored wetlands, the net effect on carbon balance over a projected 33-year period is sequestration (Badiou 2011).  </t>
    </r>
    <r>
      <rPr>
        <i/>
        <sz val="10"/>
        <rFont val="Arial Narrow"/>
        <family val="2"/>
      </rPr>
      <t>In calculations, is excluded automatically (cell goes blank) if wetland never has ponded surface water during an average year.</t>
    </r>
  </si>
  <si>
    <r>
      <t xml:space="preserve">Methane is produced continuously even under ice, and prolonged ice cover may facilitate the anaerobic conditions in a wetland that support greater loss of carbon as methane (Yu et al. 2007). Also, wetlands in colder areas have shorter growing seasons in which to fix carbon, resulting in less carbon being available to sequester. However, decomposition rates are also less in colder areas.  </t>
    </r>
    <r>
      <rPr>
        <i/>
        <sz val="10"/>
        <rFont val="Arial Narrow"/>
        <family val="2"/>
      </rPr>
      <t>In calculations, is excluded automatically (cell goes blank) if wetland never has surface water during an average year.</t>
    </r>
  </si>
  <si>
    <r>
      <t xml:space="preserve">Wetlands that lack outlets retain most carbon that enters them or is produced within. However, methane emissions may be higher due to greater likelihood of anaerobic conditions developing. Wetlands that connect to downslope water bodies for only part of the year would be expected to export less carbon annually than those with persistent outflow.  </t>
    </r>
    <r>
      <rPr>
        <i/>
        <sz val="10"/>
        <rFont val="Arial Narrow"/>
        <family val="2"/>
      </rPr>
      <t>In calculations, is excluded automatically (cell goes blank) if wetland never has surface water during an average year.</t>
    </r>
  </si>
  <si>
    <r>
      <t xml:space="preserve">Fixed carbon tends to cycle more rapidly in deciduous plant litter, thus supporting less sequestration.   </t>
    </r>
    <r>
      <rPr>
        <i/>
        <sz val="10"/>
        <rFont val="Arial Narrow"/>
        <family val="2"/>
      </rPr>
      <t>In calculations, is excluded automatically (cell goes blank) if few or no trees of any kind are present.</t>
    </r>
  </si>
  <si>
    <r>
      <t xml:space="preserve">Larger trees represent larger stores of sequestered carbon. Although research originally suggested that younger trees are better for carbon sequestration than older trees, because they are more productive and thus accumulate carbon faster (Anwar 2001, Ryan 2005), more recent research (Law et al. 2008) has shown a significant continuation of sequestration by tree stands that are hundreds of years old. Evergreen plants tend to decompose more slowly and foster acidic conditions. Such conditions further slow decomposition of organic matter (Collins and Kuehl 2001), thus leading to greater carbon sequestration. Acidic conditions and/or slowly-decomposing (recalcitrant) evergreen vegetation also can repress both methane generation (Valentine et al. 1994, Updegraff et al. 1995) and methane oxidation, but not necessarily CO2 emissions (Bridgham &amp; Richardson 2003). Carbon can be sequestered more effectively under such conditions (Blanco-Canqui &amp; Lal 2004). The formula used here gives equal weight to the variety of classes and increasing mean diameter. </t>
    </r>
    <r>
      <rPr>
        <i/>
        <sz val="10"/>
        <rFont val="Arial Narrow"/>
        <family val="2"/>
      </rPr>
      <t xml:space="preserve"> In calculations, is excluded automatically (cell goes blank) if few or no trees of any kind are present.</t>
    </r>
  </si>
  <si>
    <r>
      <t xml:space="preserve">Fixed carbon cycles more rapidly in deciduous plant litter, thus supporting less sequestration.  </t>
    </r>
    <r>
      <rPr>
        <i/>
        <sz val="10"/>
        <rFont val="Arial Narrow"/>
        <family val="2"/>
      </rPr>
      <t>In calculations, is excluded automatically (cell goes blank) if there is little or no woody vegetation taller than 3 ft.</t>
    </r>
  </si>
  <si>
    <r>
      <t xml:space="preserve">Among wetland plants, those best known for facilitating the emission of methane from sediments are the sedges (e.g., Strack et al. 2006, Berrittella &amp; van Huissteden 2011, Green &amp; Baird 2012).  However, one study found methane production from cattail litter was almost 3 times greater than from sedge litter (Williams &amp; Yavitt 2010).  </t>
    </r>
    <r>
      <rPr>
        <i/>
        <sz val="10"/>
        <rFont val="Arial Narrow"/>
        <family val="2"/>
      </rPr>
      <t>In calculations, is excluded automatically (cell goes blank) if no exposed herbaceous cover, or if cover is entirely forbs.</t>
    </r>
  </si>
  <si>
    <t>Wetlands that are hydrologically closer to streams have greater opportunity to contribute carbon and other nutrients to aquatic food chains.  This index takes into account both distance and relative slope.</t>
  </si>
  <si>
    <r>
      <t xml:space="preserve">Prolonged inundation can stifle plant productivity, whereas seasonal inundation encourages it, and is often associated with conditions that contribute to the export of organic matter, e.g., river floods. Seasonally high water levels promote decomposition (Bayley &amp; Mewhort, 2004) and thus facilitate the export of carbon.   </t>
    </r>
    <r>
      <rPr>
        <i/>
        <sz val="10"/>
        <rFont val="Arial Narrow"/>
        <family val="2"/>
      </rPr>
      <t xml:space="preserve">In calculations, is excluded automatically (cell goes blank) if wetland never has surface water during an average year. </t>
    </r>
  </si>
  <si>
    <r>
      <t xml:space="preserve">Annual productivity is generally greater in shallower areas where light is more available and sediments are subject to aeration from wind mixing. </t>
    </r>
    <r>
      <rPr>
        <i/>
        <sz val="10"/>
        <rFont val="Arial Narrow"/>
        <family val="2"/>
      </rPr>
      <t xml:space="preserve"> 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</si>
  <si>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t>
    </r>
    <r>
      <rPr>
        <i/>
        <sz val="10"/>
        <rFont val="Arial Narrow"/>
        <family val="2"/>
      </rPr>
      <t>In calculations, is excluded automatically (cell goes blank) if wetland never has surface water during an average year, or if none of it floods only seasonally.</t>
    </r>
  </si>
  <si>
    <r>
      <t xml:space="preserve">The plant material from narrower (fringe) wetlands is often more vulnerable to transport into adjoining waters. However, wider wetlands represent larger total stores of organic matter available for waterborne export downstream or offsite (Pacific et al. 2010).  </t>
    </r>
    <r>
      <rPr>
        <i/>
        <sz val="10"/>
        <rFont val="Arial Narrow"/>
        <family val="2"/>
      </rPr>
      <t>In calculations, is excluded automatically (cell goes blank) if wetland never has surface water during an average year, or no open water.</t>
    </r>
  </si>
  <si>
    <r>
      <t xml:space="preserve">The probability that organic matter from wetland plants will be exported increases in relation to the percent of the inundated area containing such plants. </t>
    </r>
    <r>
      <rPr>
        <i/>
        <sz val="10"/>
        <rFont val="Arial Narrow"/>
        <family val="2"/>
      </rPr>
      <t xml:space="preserve"> In calculations, is excluded automatically (cell goes blank) if wetland never has ponded surface water during an average year. </t>
    </r>
  </si>
  <si>
    <r>
      <t xml:space="preserve">Flowing rather than ponded waters provide the most opportunity for organic matter to be exported from wetlands.  In boreal regions, flowing waters also tend to be more productive.  </t>
    </r>
    <r>
      <rPr>
        <i/>
        <sz val="10"/>
        <rFont val="Arial Narrow"/>
        <family val="2"/>
      </rPr>
      <t xml:space="preserve">In calculations, is excluded automatically (cell goes blank) if wetland never has surface water during an average year. </t>
    </r>
  </si>
  <si>
    <r>
      <t>Wetlands in colder areas have shorter growing seasons in which to fix carbon, resulting in less carbon being available to sequester. However, ice can erode organic matter and aid its transport out of the wetland during ice-melt periods.</t>
    </r>
    <r>
      <rPr>
        <i/>
        <sz val="10"/>
        <rFont val="Arial Narrow"/>
        <family val="2"/>
      </rPr>
      <t xml:space="preserve"> In calculations, is excluded automatically (cell goes blank) if wetland never has surface water during an average year. </t>
    </r>
  </si>
  <si>
    <r>
      <t xml:space="preserve">Interspersion of open water with vegetation promotes greater export of organic matter from the vegetation.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</si>
  <si>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Increased channel complexity implies greater interspersion of open water and vegetation, which provides more opportunity for organic matter to be in contact with moving water and thus be exported.  </t>
    </r>
    <r>
      <rPr>
        <i/>
        <sz val="10"/>
        <rFont val="Arial Narrow"/>
        <family val="2"/>
      </rPr>
      <t xml:space="preserve"> In calculations, is excluded automatically (cell goes blank) if wetland never has surface water during an average year or if no surface inflows.</t>
    </r>
  </si>
  <si>
    <r>
      <t xml:space="preserve">Streams are an important transporter of protein-rich, labile DOM in coastal temperate watersheds of Southeast Alaska (Fellman et al. 2009). Thus, annual export of accumulated organic matter to downstream water can be greater in wetlands with outlets, especially those with persistent outflow.  Nonetheless, even wetlands that lack outlets may export variable amounts of dissolved carbon via subsurface infiltration and "pipes" created by decayed subsurface peat and tree roots which cannot be evaluated in a rapid assessment.  </t>
    </r>
    <r>
      <rPr>
        <i/>
        <sz val="10"/>
        <rFont val="Arial Narrow"/>
        <family val="2"/>
      </rPr>
      <t xml:space="preserve"> In calculations, is excluded automatically (cell goes blank) if wetland never has surface water during an average year.</t>
    </r>
  </si>
  <si>
    <r>
      <t xml:space="preserve">Narrow outlets limit water outflow from a wetland and its downstream or downslope movement, thus limiting export of organic matter. The types of outlets described here are ones that typically are more constricted than natural channels, which usually have adjusted over time to local runoff and thus are wider relative to volume of flow received. </t>
    </r>
    <r>
      <rPr>
        <i/>
        <sz val="10"/>
        <rFont val="Arial Narrow"/>
        <family val="2"/>
      </rPr>
      <t xml:space="preserve"> In calculations, is excluded automatically (cell goes blank) if no outlet.</t>
    </r>
  </si>
  <si>
    <r>
      <t xml:space="preserve">Groundwater often brings nutrients to the surface, supporting greater plant production. Groundwater-fed wetlands also remain ice-free for longer, thus lengthening the growing season and plant production, and increasing the potential for organic matter to be exported if the wetland is connected to other water bodies.  </t>
    </r>
    <r>
      <rPr>
        <i/>
        <sz val="10"/>
        <rFont val="Arial Narrow"/>
        <family val="2"/>
      </rPr>
      <t>In calculations, is excluded automatically (cell goes blank) if no evidence of groundwater influx; otherwise is rated based on response in column D.</t>
    </r>
  </si>
  <si>
    <r>
      <t xml:space="preserve">Leaf litter from deciduous shrubs and trees tends to break down and cycle in receiving waters more rapidly than that of coniferous trees and shrubs. </t>
    </r>
    <r>
      <rPr>
        <i/>
        <sz val="10"/>
        <rFont val="Arial Narrow"/>
        <family val="2"/>
      </rPr>
      <t xml:space="preserve"> In calculations, is excluded automatically (cell goes blank) if few or no trees of any kind are present.</t>
    </r>
  </si>
  <si>
    <r>
      <t xml:space="preserve">Wetlands lower in watersheds experience more water flow and consequently greater export of organic matter (Fitzgerald et al. 2003). They also are likely to have shorter duration of ice cover that otherwise potentially impedes export. However, in some situations ice may facilitate export of organic matter.  </t>
    </r>
    <r>
      <rPr>
        <i/>
        <sz val="10"/>
        <rFont val="Arial Narrow"/>
        <family val="2"/>
      </rPr>
      <t>Score is weighted average of the 3 HUCs (HUC8 has weight of 3, HUC7 has weight of 2, HUC6 has weight of 1).</t>
    </r>
  </si>
  <si>
    <r>
      <t xml:space="preserve">Areas of persistent water within or adjoining a wetland are necessary to provide refuge, spawning habitat, and travel corridors for all anadromous fish. However, areas of a wetland that dry out seasonally are also important so wetlands that are entirely comprised of persistent water may be no more important than those that have a mix of persistent water areas and seasonally-inundated-only areas. </t>
    </r>
    <r>
      <rPr>
        <i/>
        <sz val="10"/>
        <rFont val="Arial Narrow"/>
        <family val="2"/>
      </rPr>
      <t xml:space="preserve"> In calculations, is excluded automatically (cell goes blank) if wetland never has surface water during an average year. </t>
    </r>
  </si>
  <si>
    <r>
      <t xml:space="preserve">Most anadromous fish require relatively cool waters, and shade helps maintain cool water temperatures, especially in lowland streams during low flow conditions. Cool waters (less than 68 degrees F, ideally less than 60F) are particularly important to salmonid fish because at higher temperatures less of the dissolved oxygen necessary for their survival (a minimum of 5 ppm is needed by most local fish) is able to remain in the water. In the Auke Lake watershed of Southeast Alaska, pink salmon occurred mostly near a cool inlet stream during warm springtime months (Fukushima &amp; Smoker 1997). With low flows, the temperatures in open sections of one Southeast Alaska stream were predicted to exceed the optimum for growth of juvenile coho salmon in about 20 m during clear sunny weather and in about 50 m when cloudy and overcast [Hetrick et al. 1998a,b]. However, shade also can reduce the abundance of aquatic insects, although this may be compensated somewhat by increased availability of terrestrial insects that fall off the shading vegetation and into waters where they are fed upon by fish.  </t>
    </r>
    <r>
      <rPr>
        <i/>
        <sz val="10"/>
        <rFont val="Arial Narrow"/>
        <family val="2"/>
      </rPr>
      <t>In calculations, is excluded automatically (cell goes blank) if wetland never has surface water during an average year or if water is present only seasonally.</t>
    </r>
  </si>
  <si>
    <r>
      <t xml:space="preserve">Lakes are particular productive for salmonids, especially sockeye, and help mute peak flows lower in the watershed. Lake outflows help support instream habitat for overwintering coho and sockeye. </t>
    </r>
    <r>
      <rPr>
        <i/>
        <sz val="10"/>
        <rFont val="Arial Narrow"/>
        <family val="2"/>
      </rPr>
      <t xml:space="preserve"> In calculations, presence increases the score but absence has no effect, and is excluded automatically (cell goes blank) if wetland never has surface water during an average year.  </t>
    </r>
  </si>
  <si>
    <r>
      <t xml:space="preserve">Many studies in the Pacific Northwest have demonstrated the importance to anadromous fish of streams and wetlands that are inundated only seasonally, provided fish can enter and exit them then (e.g., Brown &amp; Hartman 1988, Nickelson et al. 1992, Steiner et al. 2005, Colvin 2005, Wigington et al. 2006, Freeman et al. 2007, Meyer et al. 2007, Welsch &amp; Hodgson 2008). Even during brief periods of high water, fish enter those areas and gorge themselves on invertebrates made more available by the flooding.  </t>
    </r>
    <r>
      <rPr>
        <i/>
        <sz val="10"/>
        <rFont val="Arial Narrow"/>
        <family val="2"/>
      </rPr>
      <t>In calculations, is excluded automatically (cell goes blank) if wetland never has surface water during an average year.</t>
    </r>
  </si>
  <si>
    <r>
      <t xml:space="preserve">Except when spawning, most anadromous fish spend much of their time in deep water because of the typically cooler temperatures and cover it provides. Preferred depths vary by species, season, and channel type. Juvenile coho salmon prefer depths of 76-100 cm and velocities of 3-6 cm/s (Beecher et al. 2002). </t>
    </r>
    <r>
      <rPr>
        <i/>
        <sz val="10"/>
        <rFont val="Arial Narrow"/>
        <family val="2"/>
      </rPr>
      <t xml:space="preserve">In calculations, is excluded automatically (cell goes blank) if wetland never has surface water during an average year. </t>
    </r>
  </si>
  <si>
    <r>
      <t xml:space="preserve">Many studies have demonstrated that large woody debris is critically important to coho and steelhead. It provides cover and creates instream pools that help protect young fish from aerial predators. Shade from pools also provides cooler water preferred by salmonids. Removal of woody debris from a Southeast Alaskan stream was shown to reduce salmonid use to one-fifth the levels with woody debris [Fausch &amp; Northcote 1992]. However, in small streams on Prince of Wales Island, subyearling coho salmon did not respond either to the removal of natural riparian vegetation or to the addition of simulated riparian canopy, large boulders, woody debris, or simulated undercut banks. Those forms of cover were relatively unimportant in regulating abundance of young coho salmon in such small streams (Bjornn et al. 1991), but young coho abundance does not necessarily reflect productivity for parr/smolts.  </t>
    </r>
    <r>
      <rPr>
        <i/>
        <sz val="10"/>
        <rFont val="Arial Narrow"/>
        <family val="2"/>
      </rPr>
      <t xml:space="preserve"> In calculations, is excluded automatically (cell goes blank) if wetland never has surface water during an average year, or no open water.</t>
    </r>
  </si>
  <si>
    <r>
      <t xml:space="preserve">Aquatic plants provide cover for fish, and support higher productivity of invertebrates fed upon by fish. However, as aquatic plants decay beneath winter ice, they can deprive fish of necessary oxygen.   </t>
    </r>
    <r>
      <rPr>
        <i/>
        <sz val="10"/>
        <rFont val="Arial Narrow"/>
        <family val="2"/>
      </rPr>
      <t>In calculations, is excluded automatically (cell goes blank) if wetland never has surface water during an average year.</t>
    </r>
    <r>
      <rPr>
        <sz val="10"/>
        <rFont val="Arial Narrow"/>
        <family val="2"/>
      </rPr>
      <t xml:space="preserve"> </t>
    </r>
  </si>
  <si>
    <r>
      <t xml:space="preserve">Presence of both flowing and ponded water increases the variety of fish species likely to be present, as species differ in their water velocity preferences and types of prey associated with those.  </t>
    </r>
    <r>
      <rPr>
        <i/>
        <sz val="10"/>
        <rFont val="Arial Narrow"/>
        <family val="2"/>
      </rPr>
      <t xml:space="preserve">In calculations, is excluded automatically (cell goes blank) if wetland never has surface water during an average year. </t>
    </r>
  </si>
  <si>
    <r>
      <t xml:space="preserve">Greater interspersion of open water with vegetation provides anadromous fish with greater access to food sources, such as insects falling off emergent plants.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</si>
  <si>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Over the long term, beaver dam-building activities are highly beneficial to fish rearing habitat, creating pools used by fish as refuge, adding wood that provides fish cover, and increasing the overall productivity of river systems (Murphy et al. 1989, Collen &amp; Gibson 2001). </t>
    </r>
    <r>
      <rPr>
        <i/>
        <sz val="10"/>
        <rFont val="Arial Narrow"/>
        <family val="2"/>
      </rPr>
      <t xml:space="preserve"> In calculations, is excluded automatically (cell goes blank) if wetland never has surface water during an average year. </t>
    </r>
  </si>
  <si>
    <r>
      <t xml:space="preserve">Diffuse flow paths and large spatial complexity of channels within a wetland support a wider variety of microhabitats for fish and their invertebrate foods.  </t>
    </r>
    <r>
      <rPr>
        <i/>
        <sz val="10"/>
        <rFont val="Arial Narrow"/>
        <family val="2"/>
      </rPr>
      <t xml:space="preserve"> In calculations, is excluded automatically (cell goes blank) if wetland never has surface water during an average year or if no surface inflows.</t>
    </r>
  </si>
  <si>
    <r>
      <t xml:space="preserve">Fish access to wetlands is better, and oxygen deficits harmful to fish are less frequent, if outflows from the wetland are persistent (Henning et al. 2006, 2007). Connectivity between tributaries and more permanent mainstem streams is particularly important to coho (Bramblett et al. 2002) which use many off-channel habitats, including kettle ponds formed by newly receding glaciers (Milner &amp; York 2001). </t>
    </r>
    <r>
      <rPr>
        <i/>
        <sz val="10"/>
        <rFont val="Arial Narrow"/>
        <family val="2"/>
      </rPr>
      <t xml:space="preserve"> In calculations, is excluded automatically (cell goes blank) if wetland never has surface water during an average year.</t>
    </r>
  </si>
  <si>
    <r>
      <t xml:space="preserve"> In the Seattle area, coho salmon were dominant only in streams whose contributing areas contained less than 5% impervious surface. Coho were essentially absent from streams draining areas with more than 35% impervious surfaces (May et al. 1997). Some types of watershed disturbances are probably more harmful to anadromous fish habitat than others. Impervious surfaces and storm drains, even when occurring at low densities but near drainageways that lead to the same stream or wetland, can dramatically alter the amount, timing, frequency, and duration of flow in streams and water level in lakes and wetlands (Booth et al. 2002, Schuster et al. 2005; Konrad et al. 2005, Poff et al. 2006, Shields et al. 2008); increase pollutant loads and concentrations (Chadwick et al. 2006; Morgan et al. 2007, Cunningham et al. 2009); disrupt channel configurations (McBride &amp; Booth 2005, Colosimo &amp; Wilcock 2007); shift local air and water temperature regimes (Delgado et al. 2007); introduce chronic noise, predators, and other disturbances (Hepinstall et al. 2008); and as a consequence of these and related factors, alter the abundance, diversity, and species composition of fish and wildlife communities (Miltner et al. 2004, Hansen et al. 2005, Alberti et al. 2007, Walsh &amp; Kunapo 2009, Cookson &amp; Schorr 2009). </t>
    </r>
    <r>
      <rPr>
        <i/>
        <sz val="10"/>
        <rFont val="Arial Narrow"/>
        <family val="2"/>
      </rPr>
      <t xml:space="preserve"> In calculations, is excluded automatically (cell goes blank) if F56 was answered positively.</t>
    </r>
  </si>
  <si>
    <r>
      <t xml:space="preserve">Life histories of fish are closely linked to specific thermal, olfactory, and light (seasonality) conditions as those interact with specific hydrologic patterns. Abnormal patterns of inundation timing (to which fish are not adapted) can reduce survival and ultimately populations. </t>
    </r>
    <r>
      <rPr>
        <i/>
        <sz val="10"/>
        <rFont val="Arial Narrow"/>
        <family val="2"/>
      </rPr>
      <t xml:space="preserve"> In calculations, is excluded automatically (cell goes blank) if wetland has no surface inflows.</t>
    </r>
  </si>
  <si>
    <r>
      <t xml:space="preserve">Different resident fish species have different habitat needs, and a variety of depths within a wetland implies greater capacity of the wetland to meet the needs of multiple species. </t>
    </r>
    <r>
      <rPr>
        <i/>
        <sz val="10"/>
        <rFont val="Arial Narrow"/>
        <family val="2"/>
      </rPr>
      <t xml:space="preserve"> In calculations, is excluded automatically (cell goes blank) if wetland never has surface water during an average year. </t>
    </r>
  </si>
  <si>
    <r>
      <t xml:space="preserve">Large woody debris helps protect young fish from aerial predators and provides cooler water preferred by salmonids. </t>
    </r>
    <r>
      <rPr>
        <i/>
        <sz val="10"/>
        <rFont val="Arial Narrow"/>
        <family val="2"/>
      </rPr>
      <t xml:space="preserve">In calculations, is excluded automatically (cell goes blank) if wetland never has open surface water during an average year. </t>
    </r>
  </si>
  <si>
    <r>
      <t xml:space="preserve">A mix of accessible ponded and flowing water is important to many fish species, though more resident than anadromous species are likely to occur in ponded areas. </t>
    </r>
    <r>
      <rPr>
        <i/>
        <sz val="10"/>
        <rFont val="Arial Narrow"/>
        <family val="2"/>
      </rPr>
      <t xml:space="preserve">In calculations, is excluded automatically (cell goes blank) if wetland never has surface water during an average year. </t>
    </r>
  </si>
  <si>
    <r>
      <t xml:space="preserve">During long periods of ice cover, with decaying organic matter in bottom sediments, deprives some wetlands of dissolved oxygen, which kills native fish that cannot escape to unfrozen water. This seldom occurs in wetlands that have water flowing through inlets and outlets.  Ice-free sites are also more likely to have warmer annual temperatures that favor higher aquatic production. </t>
    </r>
    <r>
      <rPr>
        <i/>
        <sz val="10"/>
        <rFont val="Arial Narrow"/>
        <family val="2"/>
      </rPr>
      <t xml:space="preserve">The model uses this indicator beneficially only if the wetland is ice-free for much of the winter; if the wetland is ice-covered much of the winter that condition does not draw down the function score. </t>
    </r>
  </si>
  <si>
    <r>
      <t xml:space="preserve">Fish access to wetlands is better if an outlet is present and outflows from the wetland are persistent. Although isolated wetlands with persistent surface water can support some resident fish, a permanent connection to other surface waters increases the ability of fish to move among wetlands and other surface waters in search of food and other needs. Connectivity between tributaries and more permanent mainstem streams is important to resident Dolly Varden, for example (Bramblett et al. 2002).  </t>
    </r>
    <r>
      <rPr>
        <i/>
        <sz val="10"/>
        <rFont val="Arial Narrow"/>
        <family val="2"/>
      </rPr>
      <t>In calculations, is excluded automatically (cell goes blank) if wetland never has surface water during an average year.</t>
    </r>
  </si>
  <si>
    <r>
      <t xml:space="preserve">Glacial streams typically are very turbid. The reduced light penetration and colder water temperatures result in lower productivity of algae and consequently invertebrates (Koenings et al. 1989, Milner 1997). However, glacier-fed streams often contain water for longer in the growing season, and that can support more diverse and productive invertebrate communities.  </t>
    </r>
    <r>
      <rPr>
        <i/>
        <sz val="10"/>
        <rFont val="Arial Narrow"/>
        <family val="2"/>
      </rPr>
      <t>In calculations, is excluded automatically (cell goes blank) if wetland never has surface water during an average year.</t>
    </r>
    <r>
      <rPr>
        <sz val="10"/>
        <rFont val="Arial Narrow"/>
        <family val="2"/>
      </rPr>
      <t xml:space="preserve">
</t>
    </r>
  </si>
  <si>
    <r>
      <t xml:space="preserve">For invertebrates, groundwater provides a relatively steady input of nutrients that supports algal production. It also provides relatively warm temperatures and helps sustain low flows, thus increasing annual production of invertebrates (Brown et al. 2007).  However, where underlying geologic strata are iron-rich, groundwater discharge is accompanied by precipitation of iron "floc" in wetland sediment, smothering aquatic invertebrates and reducing their diversity.  </t>
    </r>
    <r>
      <rPr>
        <i/>
        <sz val="10"/>
        <rFont val="Arial Narrow"/>
        <family val="2"/>
      </rPr>
      <t>In calculations, is excluded automatically (cell goes blank) if no evidence of groundwater influx; otherwise is rated based on response in column D.</t>
    </r>
  </si>
  <si>
    <r>
      <t xml:space="preserve">Wetlands in which surface water persists longer are capable of supporting a wider variety of invertebrates, e.g., those that require many months or years to complete their life cycle, as well as those that mature more rapidly. Thus, wetlands with a proportionately large extent of persistent water may benefit a wide range of aquatic invertebrates.  </t>
    </r>
    <r>
      <rPr>
        <i/>
        <sz val="10"/>
        <rFont val="Arial Narrow"/>
        <family val="2"/>
      </rPr>
      <t xml:space="preserve">In calculations, is excluded automatically (cell goes blank) if wetland never has surface water during an average year. </t>
    </r>
  </si>
  <si>
    <r>
      <t xml:space="preserve">The parts of a wetland that are inundated only seasonally may contain water long enough for many invertebrates to complete their life cycle, while providing fresh food resources (e.g., plant litter). They also tend to be shallower and less deficient in dissolved oxygen, making them suitable for a wider range of species. Seasonal fluctuations release nutrients bound up in wetland sediments, and stimulate the growth of new plants whose seeds have been dormant.  However, some invertebrate taxa, such as those without winged adult stages living in isolated wetlands (bog pools), may not survive prolonged desiccation.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</si>
  <si>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Also, more stable water levels may benefit aquatic invertebrates in a region such as Southeast Alaska, where many streams and wetlands are prone to sudden fluctuations from melting snow and storms.  </t>
    </r>
    <r>
      <rPr>
        <i/>
        <sz val="10"/>
        <rFont val="Arial Narrow"/>
        <family val="2"/>
      </rPr>
      <t xml:space="preserve"> In calculations, is excluded automatically (cell goes blank) if wetland never has surface water during an average year, or if none of it floods only seasonally.</t>
    </r>
  </si>
  <si>
    <r>
      <t xml:space="preserve">Provided that they hold surface water for several weeks, shallow areas support greater primary production, support higher vascular plant densities, and consequently greater invertebrate production. </t>
    </r>
    <r>
      <rPr>
        <i/>
        <sz val="10"/>
        <rFont val="Arial Narrow"/>
        <family val="2"/>
      </rPr>
      <t xml:space="preserve">In calculations, is excluded automatically (cell goes blank) if wetland never has surface water during an average year. </t>
    </r>
  </si>
  <si>
    <r>
      <t xml:space="preserve">Different invertebrate groups thrive at different water depths in boreal wetlands (Corcoran et al. 2009). Thus, a variety of depths may promote greater invertebrate richness for the wetland as a whole. </t>
    </r>
    <r>
      <rPr>
        <i/>
        <sz val="10"/>
        <rFont val="Arial Narrow"/>
        <family val="2"/>
      </rPr>
      <t xml:space="preserve"> In calculations, is excluded automatically (cell goes blank) if wetland never has surface water during an average year. </t>
    </r>
  </si>
  <si>
    <r>
      <t xml:space="preserve">The importance of large wood to aquatic life has been widely documented in perennial streams (literature reviewed by Murphy 1995, May 2003, Wenger 2000, Knutson and Naef 1997) and in lakes (Roth et al. 2007). Many aquatic invertebrates attach to submerged wood and feed on algae and leaves associated with it. Constructed wetlands to which woody debris is added may support greater biomass or richness of several aquatic invertebrate groups (e.g., Alsfeld et al. 2009). Most instream wood originates in the parts of the riparian areas that are within 100 ft of a stream (McDade et al. 1990, Van Sickle &amp; Gregory 1990, Robison &amp; Beschta 1990, Meleason et al. 2003).  </t>
    </r>
    <r>
      <rPr>
        <i/>
        <sz val="10"/>
        <rFont val="Arial Narrow"/>
        <family val="2"/>
      </rPr>
      <t xml:space="preserve">In calculations, is excluded automatically (cell goes blank) if wetland never has open surface water during an average year. </t>
    </r>
  </si>
  <si>
    <r>
      <t xml:space="preserve">Many wetland invertebrates reach their greatest density in ponded areas. That is partly because the isolation protects them from predation by fish that normally inhabit the channels (Hornung &amp; Foote 2006). Flowing water in channels favors different invertebrate assemblages, which when combined with the contribution of pools, adds to the overall diversity of the wetland.  </t>
    </r>
    <r>
      <rPr>
        <i/>
        <sz val="10"/>
        <rFont val="Arial Narrow"/>
        <family val="2"/>
      </rPr>
      <t xml:space="preserve">In calculations, is excluded automatically (cell goes blank) if wetland never has surface water during an average year. </t>
    </r>
  </si>
  <si>
    <r>
      <t>Emergent and submerged vegetation typically hosts extensive growths of epiphytic algae, which along with the supporting herbaceous plants, provide food and cover for a wide variety of invertebrates.  Intermediate cover conditions allow more light penetration of the water column, higher algal productivity, greater oxygenation, and thus tend to support a wide variety of invertebrate groups.</t>
    </r>
    <r>
      <rPr>
        <i/>
        <sz val="10"/>
        <rFont val="Arial Narrow"/>
        <family val="2"/>
      </rPr>
      <t xml:space="preserve"> In calculations, is excluded automatically (cell goes blank) if wetland never has ponded surface water during an average year. </t>
    </r>
  </si>
  <si>
    <r>
      <t xml:space="preserve">Diffuse flow paths and large spatial complexity of channels within a wetland support a wider variety of microhabitats for invertebrates, so should result in greater species richness.  </t>
    </r>
    <r>
      <rPr>
        <i/>
        <sz val="10"/>
        <rFont val="Arial Narrow"/>
        <family val="2"/>
      </rPr>
      <t>In calculations, is excluded automatically (cell goes blank) if wetland never has surface water during an average year or if no surface inflows.</t>
    </r>
  </si>
  <si>
    <r>
      <t xml:space="preserve">On a per-surface-area basis, deciduous trees and shrubs often support higher levels of insect biomass than conifers, at least among nocturnal flying insects (Ober and Hayes 2008).  </t>
    </r>
    <r>
      <rPr>
        <i/>
        <sz val="10"/>
        <rFont val="Arial Narrow"/>
        <family val="2"/>
      </rPr>
      <t xml:space="preserve"> In calculations, is excluded automatically (cell goes blank) if few or no trees in the wetland.</t>
    </r>
  </si>
  <si>
    <r>
      <t xml:space="preserve">Downed wood provides food, cover, and a stable microclimate for many  invertebrates that live in soil and peat of wetlands that seldom flood.  </t>
    </r>
    <r>
      <rPr>
        <i/>
        <sz val="10"/>
        <rFont val="Arial Narrow"/>
        <family val="2"/>
      </rPr>
      <t xml:space="preserve"> In calculations, is excluded automatically (cell goes blank) if little or no woody vegetation in the wetland.</t>
    </r>
  </si>
  <si>
    <r>
      <t xml:space="preserve">On a per-surface-area basis, deciduous trees and shrubs often support higher levels of insect biomass than conifers, at least among nocturnal flying insects (Ober and Hayes 2008).  </t>
    </r>
    <r>
      <rPr>
        <i/>
        <sz val="10"/>
        <rFont val="Arial Narrow"/>
        <family val="2"/>
      </rPr>
      <t xml:space="preserve"> In calculations, is excluded automatically (cell goes blank) if little or no woody vegetation in the wetland.</t>
    </r>
  </si>
  <si>
    <r>
      <t xml:space="preserve">The second condition implies greater diversity of plants, which sometimes is associated with greater diversity of aquatic invertebrates.  </t>
    </r>
    <r>
      <rPr>
        <i/>
        <sz val="10"/>
        <rFont val="Arial Narrow"/>
        <family val="2"/>
      </rPr>
      <t xml:space="preserve"> In calculations, is excluded automatically (cell goes blank) if no exposed herbaceous vegetation in the wetland.</t>
    </r>
  </si>
  <si>
    <r>
      <t xml:space="preserve">Unvegetated uplands provide the least refuge for emerging aquatic insects, and also are most likely to contribute contaminants and disturb runoff patterns. Agricultural land cover seemed less impacting than impervious cover. Most organisms were capable of tolerating high levels of agricultural land cover, but a few disappeared when agricultural land cover exceeded 21% of the watershed area. </t>
    </r>
    <r>
      <rPr>
        <i/>
        <sz val="10"/>
        <rFont val="Arial Narrow"/>
        <family val="2"/>
      </rPr>
      <t xml:space="preserve"> In calculations, is excluded automatically (cell goes blank) if F56 was answered positively.</t>
    </r>
  </si>
  <si>
    <r>
      <t xml:space="preserve">Egg masses of many frogs and aquatic salamanders are more susceptible to stranding in wetlands with large water level fluctuations.  </t>
    </r>
    <r>
      <rPr>
        <i/>
        <sz val="10"/>
        <rFont val="Arial Narrow"/>
        <family val="2"/>
      </rPr>
      <t xml:space="preserve"> In calculations, is excluded automatically (cell goes blank) if wetland never has surface water during an average year, or if none of it floods only seasonally.</t>
    </r>
  </si>
  <si>
    <r>
      <t xml:space="preserve">Surface water that persists for all or nearly all of the year provides reproductive as well as feeding and overwintering habitat for most amphibian species.  However, risk of fish predation may be greater in some persistently inundated wetlands if they are fish-accessible.  Ideally, a wetland should exist as part of a mosaic of wetlands with different water regimes. </t>
    </r>
    <r>
      <rPr>
        <i/>
        <sz val="10"/>
        <rFont val="Arial Narrow"/>
        <family val="2"/>
      </rPr>
      <t xml:space="preserve"> In calculations, is excluded automatically (cell goes blank) if wetland never has surface water during an average year. </t>
    </r>
  </si>
  <si>
    <r>
      <t xml:space="preserve">Although shade provided by wider buffers is beneficial to many aquatic species, populations of a few species of native frogs, pond-breeding salamanders, and aquatic invertebrates sometimes increase following partial removal of shading vegetation.  That may be related to a subsequent increase in water temperatures and algae, provided that sediment inputs to streams do not increase greatly at the same time (Murphy et al. 1981, Hawkins et al. 1983). </t>
    </r>
    <r>
      <rPr>
        <i/>
        <sz val="10"/>
        <rFont val="Arial Narrow"/>
        <family val="2"/>
      </rPr>
      <t>In calculations, is excluded automatically (cell goes blank) if little or no woody vegetation is present.</t>
    </r>
  </si>
  <si>
    <r>
      <t xml:space="preserve">This indicator is similar but focuses specifically on the type of unsuitable land cover closest to the wetland.  </t>
    </r>
    <r>
      <rPr>
        <i/>
        <sz val="10"/>
        <rFont val="Arial Narrow"/>
        <family val="2"/>
      </rPr>
      <t xml:space="preserve"> In calculations, is excluded automatically (cell goes blank) if OF56 was answered "&gt;90%".</t>
    </r>
  </si>
  <si>
    <r>
      <t xml:space="preserve">Beaver are a key driver for for increasing and maintaining open water area throughout a region [Hood &amp; Bayley 2008). </t>
    </r>
    <r>
      <rPr>
        <i/>
        <sz val="10"/>
        <rFont val="Arial Narrow"/>
        <family val="2"/>
      </rPr>
      <t xml:space="preserve">In calculations, is excluded automatically (cell goes blank) if wetland never has surface water during an average year.  </t>
    </r>
  </si>
  <si>
    <r>
      <t>Wider vegetated areas provide more area for sediment particles borne in runoff to be filtered and deposited. Knutson et al. (1981) found that emergent wetlands wider than 30 feet reduced wave energy by 88% while those less than 6 feet wide were relatively ineffective in wave buffering. Many studies have shown that sediment retention is greatest in the first 5-20 ft of a buffer, that is, the most uphill portion, which is closest to potential inputs of runoff-borne sediment (Polyakov et al. 2005, White et al. 2007). However, this depends on steepness of the terrain, erodibility and infiltration capacity of the soil, ground cover, antecedent soil saturation, sediment particle size, and runoff intensity. Wider buffers are required when runoff carries finer-sized particles (e.g., clay).</t>
    </r>
    <r>
      <rPr>
        <i/>
        <sz val="10"/>
        <rFont val="Arial Narrow"/>
        <family val="2"/>
      </rPr>
      <t xml:space="preserve">   In calculations, is excluded automatically (cell goes blank) if wetland never has surface water during an average year, or has no open water.</t>
    </r>
  </si>
  <si>
    <r>
      <t xml:space="preserve">Wetlands whose shorelines have gentle slope are more likely than those with steep ones to retain sediment runoff from adjoining uplands, and are likely to have more vegetation that facilitates this.  </t>
    </r>
    <r>
      <rPr>
        <i/>
        <sz val="10"/>
        <rFont val="Arial Narrow"/>
        <family val="2"/>
      </rPr>
      <t>In calculations, is excluded automatically (cell goes blank) if wetland never has surface water during an average year, or has no open water.</t>
    </r>
  </si>
  <si>
    <r>
      <t xml:space="preserve">Wider vegetated areas provide more area for phosphorus adsorbed to sediment particles in runoff to be filtered and deposited. Where phosphorus is mainly attached to sediment (as often it is), then buffer widths sufficient for sediment retention (generally 10-30 ft) may be almost as effective for retaining phosphorus (White et al. 2007). But if phosphorus is mostly in dissolved form (orthophosphate, or soluble reactive phosphorus), then vegetated buffers may need to be very large or may not be effective at all (Prepas et al. 2001, Hoffman et al. 2009). </t>
    </r>
    <r>
      <rPr>
        <i/>
        <sz val="10"/>
        <rFont val="Arial Narrow"/>
        <family val="2"/>
      </rPr>
      <t>In calculations, is excluded automatically (cell goes blank) if wetland never has surface water during an average year, or has no open water.</t>
    </r>
  </si>
  <si>
    <r>
      <t xml:space="preserve">Wider vegetated areas provide more area for biological processing of nitrate, and for nitrate adsorbed to sediment particles in runoff to be filtered and deposited. The most comprehensive and sophisticated analysis that used statistical procedures (meta-analysis) to synthesize results from over 60 peer-reviewed studies of nitrate removal by buffers in temperate climates found that widths of approximately 10 ft, 92 ft, and 367 ft are needed to achieve 50%, 75%, and 90% removal efficiencies for nitrate (Mayer et al. 2005, Mayer et al. 2007). This assumed that most inputs are through subsurface flow. When surface flow dominates (as often occurs during storms, and where subsurface storm drains have been installed around homes), buffers of 109 ft, 387 ft, and 810 ft are needed to achieve the same removal efficiencies (Mayer et al. 2005).  </t>
    </r>
    <r>
      <rPr>
        <i/>
        <sz val="10"/>
        <rFont val="Arial Narrow"/>
        <family val="2"/>
      </rPr>
      <t xml:space="preserve"> In calculations, is excluded automatically (cell goes blank) if wetland never has surface water during an average year, or has no open water.</t>
    </r>
  </si>
  <si>
    <r>
      <t xml:space="preserve">Greater invertebrate diversity overall may be supported by wetlands with a relatively even mix of open water and vegetation, interspersed throughout. Such conditions reflect a variety of light, temperature, and oxygen regimes as well as edge habitats (ecotones) that together provide more niches for invertebrates.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</si>
  <si>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When non-acidic ponds are available, ducks prefer to nest in those rather than acidic lakes and wetlands (Epners et al. 2010). </t>
    </r>
    <r>
      <rPr>
        <i/>
        <sz val="10"/>
        <rFont val="Arial Narrow"/>
        <family val="2"/>
      </rPr>
      <t xml:space="preserve">In calculations, is excluded automatically (cell goes blank) if wetland never has ponded surface water during an average year. </t>
    </r>
  </si>
  <si>
    <r>
      <t xml:space="preserve">At least in the short term, open water areas created by beaver dams provide excellent nesting and foraging habitat for several waterbird species (Hood &amp; Bayley 2008). </t>
    </r>
    <r>
      <rPr>
        <i/>
        <sz val="10"/>
        <rFont val="Arial Narrow"/>
        <family val="2"/>
      </rPr>
      <t xml:space="preserve">In calculations, is excluded automatically (cell goes blank) if wetland never has ponded surface water during an average year. </t>
    </r>
  </si>
  <si>
    <r>
      <t xml:space="preserve">The type as well as the amount of upland cover near the wetland is important to nesting waterbirds. Impervious surfaces are unusable, whereas some low-intensity rural lands can provide marginally suitable cover.   </t>
    </r>
    <r>
      <rPr>
        <i/>
        <sz val="10"/>
        <rFont val="Arial Narrow"/>
        <family val="2"/>
      </rPr>
      <t>In calculations, is excluded automatically (cell goes blank) if OF56 was answered "&gt;90%".</t>
    </r>
  </si>
  <si>
    <r>
      <t xml:space="preserve">Parts of wetlands that remain flooded most of the time will support fewer small mammals and songbirds. Wetlands with at least a little persistent water are important to aerially-foraging swallows, swifts, and flycatchers, as well as bats, muskrat, beaver, moose, and many other mammals. </t>
    </r>
    <r>
      <rPr>
        <i/>
        <sz val="10"/>
        <rFont val="Arial Narrow"/>
        <family val="2"/>
      </rPr>
      <t xml:space="preserve"> In calculations, is excluded automatically (cell goes blank) if wetland never has surface water during an average year. </t>
    </r>
  </si>
  <si>
    <r>
      <t>When water and vegetation (especially woody or other robust vegetation) are moderately interspersed, this provides more extensive feeding areas for many wetland-dependent songbirds and raptors.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</si>
  <si>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In Southeast Alaska, three of 16 common breeding bird species were found to be more abundant in old growth than in each of a few young-growth treatments that were surveyed. One uncommon species was detected almost exclusively in old growth during both the breeding and wintering seasons. Four breeding bird species were more abundant in young-growth treatments than in old growth Dellasala et al. 1996]. Tree cavities needed by many nesting songbirds and mammals are found mostly in dead standing trees (snags) and larger-diameter trees, which are more likely to have bole entries, conks, abundant mistletoe, and dead tops (Bakker &amp; Hastings 2002.) Larger-diameter stands also tend to be older and provide more structure useful to a variety of songbirds and mammals. Tall snags are especially useful to raptors as hunting perches. A mixture of tree species, especially mixtures that include aspen, is necessary to sustain populations of most boreal woodpecker species [Drever &amp; Martin 2010]. Deer need a diversity of forest types and ages (both clear-cut and old growth) near each other within their home ranges (Chang et al. 1995). </t>
    </r>
    <r>
      <rPr>
        <i/>
        <sz val="10"/>
        <rFont val="Arial Narrow"/>
        <family val="2"/>
      </rPr>
      <t>In calculations, is excluded automatically (cell goes blank) if wetland has few or no trees.  The score is based equally on the proportion of classes present and their weighted average.</t>
    </r>
    <r>
      <rPr>
        <sz val="10"/>
        <rFont val="Arial Narrow"/>
        <family val="2"/>
      </rPr>
      <t xml:space="preserve">
</t>
    </r>
  </si>
  <si>
    <r>
      <t xml:space="preserve">Tree cavities are needed by many nesting songbirds and mammals, and by roosting bats. Tall snags are especially useful to raptors as hunting perches. </t>
    </r>
    <r>
      <rPr>
        <i/>
        <sz val="10"/>
        <rFont val="Arial Narrow"/>
        <family val="2"/>
      </rPr>
      <t xml:space="preserve">In calculations, is excluded automatically (cell goes blank) if wetland has few or no trees. </t>
    </r>
    <r>
      <rPr>
        <sz val="10"/>
        <rFont val="Arial Narrow"/>
        <family val="2"/>
      </rPr>
      <t xml:space="preserve"> </t>
    </r>
  </si>
  <si>
    <r>
      <t xml:space="preserve">Downed wood provides cover for many small mammals. Downed wood is often the result of natural windthrow, which also creates small patches of semi-open canopy within blocks of forest and in so doing can support a larger number of wildlife species, despite the temporary loss of nest trees (Zmihorski 2010). </t>
    </r>
    <r>
      <rPr>
        <i/>
        <sz val="10"/>
        <rFont val="Arial Narrow"/>
        <family val="2"/>
      </rPr>
      <t xml:space="preserve">In calculations, is excluded automatically (cell goes blank) if wetland has few or no trees.  </t>
    </r>
  </si>
  <si>
    <r>
      <t>Lack of one dominant shrub species suggests higher shrub richness, which has the potential to provide more food sources to more species throughout a season.</t>
    </r>
    <r>
      <rPr>
        <i/>
        <sz val="10"/>
        <rFont val="Arial Narrow"/>
        <family val="2"/>
      </rPr>
      <t xml:space="preserve"> In calculations, is excluded automatically (cell goes blank) if wetland has little or no woody cover. </t>
    </r>
  </si>
  <si>
    <r>
      <t>Shrubs that are not under a tree canopy are preferred by many nesting songbirds, such as song sparrow, Lincoln's sparrow, and orange-crowned warbler.</t>
    </r>
    <r>
      <rPr>
        <i/>
        <sz val="10"/>
        <rFont val="Arial Narrow"/>
        <family val="2"/>
      </rPr>
      <t xml:space="preserve"> In calculations, is excluded automatically (cell goes blank) if wetland has little or no woody vegetation. </t>
    </r>
  </si>
  <si>
    <r>
      <t xml:space="preserve">Deciduous tree cover (e.g., aspen, cottonwood, maple) is relatively uncommon in large unbroken landscapes of much of Southeast Alaska, and its presence is known to increase local bird richness and probably abundance (Willson &amp; Comet 1996a,b), including otherwise uncommon species such as beaver, moose, warbling vireo, Hammond’s flycatcher, western tanager, and downy woodpecker. </t>
    </r>
    <r>
      <rPr>
        <i/>
        <sz val="10"/>
        <rFont val="Arial Narrow"/>
        <family val="2"/>
      </rPr>
      <t>In calculations, is excluded automatically (cell goes blank) if wetland has few or no trees.</t>
    </r>
  </si>
  <si>
    <r>
      <t xml:space="preserve">Deciduous shrub cover can increase local bird and mammal richness and probably abundance (Willson &amp; Comet 1996a,b), including otherwise uncommon species such as beaver, moose, warbling vireo, and alder flycatcher. Such shrub cover is less prevalent in bogs than in fens, marshes, and semi-open forested wetlands. </t>
    </r>
    <r>
      <rPr>
        <i/>
        <sz val="10"/>
        <rFont val="Arial Narrow"/>
        <family val="2"/>
      </rPr>
      <t xml:space="preserve">In calculations, is excluded automatically (cell goes blank) if wetland has little or no woody cover. </t>
    </r>
  </si>
  <si>
    <r>
      <t xml:space="preserve">Small mammals moving between wetlands are less likely to have their movements disrupted by lands with residual cover than in lands with impervious surface, but both are capable of hindering dispersal (Flaherty et al. 2008, 2010). </t>
    </r>
    <r>
      <rPr>
        <i/>
        <sz val="10"/>
        <rFont val="Arial Narrow"/>
        <family val="2"/>
      </rPr>
      <t xml:space="preserve"> In calculations, is excluded automatically (cell goes blank) if OF56 was answered "&gt;90%".</t>
    </r>
  </si>
  <si>
    <t xml:space="preserve">Dependency of wetland-dependent songbirds and mammals on a particular wetland (and thus its importance) increases if no other wetlands are available in the vicinity. </t>
  </si>
  <si>
    <t xml:space="preserve">Wetlands comprised almost entirely of persistent water usually have much less vegetation cover, so fewer plants per unit area are available to pollinators.   In calculations, is excluded automatically (cell goes blank) if wetland never has surface water during an average year. </t>
  </si>
  <si>
    <t>A mix of diameter classes may indicate a wider variety of woody species available for pollination. The formula gives equal weight to the variety of classes and increasing mean diameter. Deciduous trees allow more light penetration and thus tend to support more flowering plants in the understory. Larger trees provide more deadwood for bee and wasp colonies. In calculations, is excluded automatically (cell goes blank) if wetland has few or no trees.  The score is based equally on the proportion of classes present and their weighted average.</t>
  </si>
  <si>
    <r>
      <t xml:space="preserve">Relatively even mixes of emergent plants and open water imply that both submerged aquatics and emergents may be present, thus comprising greater diversity.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</si>
  <si>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Partly because of the greater nutrient levels and hydrologic stability of most groundwater, several plant species thrive best where a wetland's surface water originates most directly from groundwater (e.g., Radies et al. 2009).</t>
    </r>
    <r>
      <rPr>
        <i/>
        <sz val="10"/>
        <rFont val="Arial Narrow"/>
        <family val="2"/>
      </rPr>
      <t xml:space="preserve"> In calculations, is excluded automatically (cell goes blank) if no evidence of groundwater influx; otherwise is rated based on response in column D.</t>
    </r>
  </si>
  <si>
    <r>
      <t xml:space="preserve">Wetlands with wider vegetated areas are more likely to contain more plant species and rarer and more sensitive plants, as well as being more insulated from some upland disturbances (Rooney &amp; Bayley 2011).   </t>
    </r>
    <r>
      <rPr>
        <i/>
        <sz val="10"/>
        <rFont val="Arial Narrow"/>
        <family val="2"/>
      </rPr>
      <t>In calculations, is excluded automatically (cell goes blank) if wetland never has surface water during an average year, or has no open water.</t>
    </r>
  </si>
  <si>
    <r>
      <t xml:space="preserve">Beaver impoundments increase richness of wetland plants locally, especially a few years after they are abandoned (Pollock et al. 1998, Wright et al. 2002, 2003; Bayley &amp; Guimond 2008, Hood &amp; Bayley 2008).  </t>
    </r>
    <r>
      <rPr>
        <i/>
        <sz val="10"/>
        <rFont val="Arial Narrow"/>
        <family val="2"/>
      </rPr>
      <t xml:space="preserve">In calculations, is excluded automatically (cell goes blank) if wetland never has surface water during an average year. </t>
    </r>
  </si>
  <si>
    <r>
      <t>The model considers the presence (1) of this condition to indicate a somewhat degraded condition, but does not consider the absence (0) of this indicator a sign that a wetland is necessarily undegraded, so</t>
    </r>
    <r>
      <rPr>
        <i/>
        <sz val="10"/>
        <rFont val="Arial Narrow"/>
        <family val="2"/>
      </rPr>
      <t xml:space="preserve"> if the condition is absent, the score is changed to blank and is not used by the model.</t>
    </r>
  </si>
  <si>
    <r>
      <t>A dominance of common species usually implies overall reduction in plant species richness.  I</t>
    </r>
    <r>
      <rPr>
        <i/>
        <sz val="10"/>
        <rFont val="Arial Narrow"/>
        <family val="2"/>
      </rPr>
      <t>n calculations, is excluded automatically (cell goes blank) if little or no shrub cover is present.</t>
    </r>
  </si>
  <si>
    <r>
      <t>Strong dominance by one or a few species, even if those are natives, is sometimes an indicator of impaired ecological condition.</t>
    </r>
    <r>
      <rPr>
        <i/>
        <sz val="10"/>
        <rFont val="Arial Narrow"/>
        <family val="2"/>
      </rPr>
      <t xml:space="preserve"> In calculations, is excluded automatically (cell goes blank) if little or no shrub cover is present.</t>
    </r>
  </si>
  <si>
    <r>
      <t>Strong dominance by one or a few species, even if those are natives, is sometimes an indicator of impaired ecological condition.  However, newly created wetlands often have high richness of colonizing species.</t>
    </r>
    <r>
      <rPr>
        <i/>
        <sz val="10"/>
        <rFont val="Arial Narrow"/>
        <family val="2"/>
      </rPr>
      <t xml:space="preserve"> In calculations, is excluded automatically (cell goes blank) if little or no herbaceous cover is present.</t>
    </r>
  </si>
  <si>
    <r>
      <t xml:space="preserve">Narrow wetlands tend to be more susceptible to erosion from waves and currents.  Their microclimate also is more precarious, trees are more subject to windthrow (Martin &amp; Grotenfendt 2007, Bahuguna et al. 2010), and their wildlife may be more susceptible to predation. In narrow strips or small patches of vegetation, the native plant communities are more vulnerable to invasion from non-native species from adjoining lands (Hennings &amp; Edge 2003). A study in Alberta found that non-native plants within forests there were most abundant  between 15 and 50 ft from the edge, and some of those species were found up to 130 ft from the edge.  Although larger patches of forest generally supported more non-natives species than smaller fragments, the smallest fragments had the greatest number of non-native species per square meter (Gignac &amp; Dale 2007).  Wooded buffers with dense vegetation tend to restrict wind-driven dispersal of seeds of non-native plants into the area protected by a buffer (Cadenzas &amp; Pickett 2001). If the adjoining uplands are not forested, a greater proportion of the trees in narrow wetlands are subject to blowdown, and the wetland’s plants and animals are more subject to extremes of the surrounding microclimate as well as disturbance from humans in nearby uplands. </t>
    </r>
    <r>
      <rPr>
        <i/>
        <sz val="10"/>
        <rFont val="Arial Narrow"/>
        <family val="2"/>
      </rPr>
      <t>In calculations, is excluded automatically (cell goes blank) if wetland never has surface water during an average year, or has no open water.</t>
    </r>
  </si>
  <si>
    <r>
      <t xml:space="preserve">Ponded waters are more susceptible to developing oxygen deficits and bioaccumulating contaminants.  </t>
    </r>
    <r>
      <rPr>
        <i/>
        <sz val="10"/>
        <rFont val="Arial Narrow"/>
        <family val="2"/>
      </rPr>
      <t xml:space="preserve">In calculations, is excluded automatically (cell goes blank) if wetland never has surface water during an average year. </t>
    </r>
  </si>
  <si>
    <r>
      <t xml:space="preserve">Tree cover is slower to recover than cover of herbaceous plants, making forested wetlands less resilient.   </t>
    </r>
    <r>
      <rPr>
        <i/>
        <sz val="10"/>
        <rFont val="Arial Narrow"/>
        <family val="2"/>
      </rPr>
      <t>In calculations, is excluded automatically (cell goes blank) if little or no woody cover is present.</t>
    </r>
  </si>
  <si>
    <r>
      <t>High dispersion (fragmentation) of woody cover suggests recolonization of wetlands following disturbance may take longer when future disturbances occur, due to fewer intact corridors with upland forests.</t>
    </r>
    <r>
      <rPr>
        <i/>
        <sz val="10"/>
        <rFont val="Arial Narrow"/>
        <family val="2"/>
      </rPr>
      <t xml:space="preserve"> In calculations, is excluded automatically (cell goes blank) if little or no woody cover is present.</t>
    </r>
  </si>
  <si>
    <r>
      <t xml:space="preserve">Simply because they tend to have more species, wetlands with a predominance of native species have more species to lose and thus could be considered to be more sensitive to impacts.  In contrast, once wetlands become dominated by non-native (exotic) species, the plant community structure is simplified (e.g., Perkins &amp; Willson 2005). Non-natives tend to have broad environmental tolerances, so wetlands dominated by them and thus having low species richness are more resistant to further change (Werner &amp; Zedler 2002, Wigand et al. 2003).  By itself, increased species richness in a wetland does not always confer increased resistance (decreased sensitivity) of a wetland’s functions to artificial changes (e.g., Engelhardt &amp; Kadlec 2001).  </t>
    </r>
    <r>
      <rPr>
        <i/>
        <sz val="10"/>
        <rFont val="Arial Narrow"/>
        <family val="2"/>
      </rPr>
      <t>In calculations, is excluded automatically (cell goes blank) if little or no herbaceous cover is present.</t>
    </r>
  </si>
  <si>
    <t>Asada, T., &amp; B. G. Warner. 2005. Surface peat mass and carbon balance in a hypermaritime peatland. Soil Science Society of America Journal 69(2): 549-562.</t>
  </si>
  <si>
    <r>
      <t xml:space="preserve">Some glaciers may be a source of N-rich DOM, and the carbon they contribute is more labile (and perhaps thus more useful in food chains) than carbon from other sources (Hood &amp; Berner 2009, Hood et al. 2009).  </t>
    </r>
    <r>
      <rPr>
        <i/>
        <sz val="10"/>
        <rFont val="Arial Narrow"/>
        <family val="2"/>
      </rPr>
      <t>In calculations, is excluded automatically (cell goes blank) if wetland never has surface water during an average year.</t>
    </r>
  </si>
  <si>
    <t xml:space="preserve">Mosses contribute at least 48% of the productivity of some Southeast Alaska wetlands (Turetsky et al. 2010).  Although the rate at which bogs store new carbon is relatively low, and because mosses decompose more slowly than woody and herbaceous plants, the peat layer in bogs and fens represents a considerable amount of carbon that already has been sequestered. Peat hummocks are particularly effective for sequestering carbon (Asada &amp; Warner 2005).  On a per unit area basis, bogs and other moss-covered areas generate less methane than many other wetlands (Hines et al. 2006, 2008), </t>
  </si>
  <si>
    <t>Invasion by non-native species typically results in a reduction in native plant species richness. In some regions, a change of only 4 inches in mean water level or a change of only 1 inch in the degree of fluctuation may cause a shift from native to non-native species (Magee &amp; Kentula 2005).  Invasives in Southeast Alaska have been described by Heutte et al. (2003) and many others.</t>
  </si>
  <si>
    <t>Inflowing streams bring plant propagules that can sprout and diversify wetland plant communities.  Alaskan wetlands with surface water connections also tend to be more fertile (Seppi 2006).</t>
  </si>
  <si>
    <t>Function             Indicators</t>
  </si>
  <si>
    <t>Function              Indicators</t>
  </si>
  <si>
    <t>Water              Cooling</t>
  </si>
  <si>
    <t>Function           Indicators</t>
  </si>
  <si>
    <t>Weight</t>
  </si>
  <si>
    <t>Data  x  Weight</t>
  </si>
  <si>
    <t>Value                 Indicators</t>
  </si>
  <si>
    <t>Walbridge, M. R. and J. A. Navaratnam. 2006. Phosphorous in boreal peatlands. Pages 231-258 in R. K. Wieder and D. H. Vitt, editors. Boreal Peatland Ecosystems, Ecological Studies, Volume 188. Springer, Berlin, Heidelberg, Germany.</t>
  </si>
  <si>
    <r>
      <t>Wetlands that lack outlets retain all phosphorus that enters them. Wetlands that connect to downslope water bodies for only part of the year may export less phosphorus annually than those with persistent outflow.</t>
    </r>
    <r>
      <rPr>
        <i/>
        <sz val="10"/>
        <rFont val="Arial Narrow"/>
        <family val="2"/>
      </rPr>
      <t xml:space="preserve"> In calculations, is excluded automatically (cell goes blank) if wetland never has surface water during an average year.</t>
    </r>
  </si>
  <si>
    <r>
      <t xml:space="preserve">Although they are often stable, channels that are steeper are somewhat more likely to erode and contribute sediment (with associated phosphorus) to connected downstream wetlands. Wetlands that receive suspended sediment from those streams are more likely to retain it because of the large differential in current velocities, which promotes deposition in the wetland. </t>
    </r>
    <r>
      <rPr>
        <i/>
        <sz val="10"/>
        <rFont val="Arial Narrow"/>
        <family val="2"/>
      </rPr>
      <t>In calculations, is excluded automatically (cell goes blank) if wetland has no surface inflow.</t>
    </r>
  </si>
  <si>
    <t>Function            Indicators</t>
  </si>
  <si>
    <t>Function               Indicators</t>
  </si>
  <si>
    <t xml:space="preserve">Turetsky, M. R., M. C. Mack, T. N. Hollingsworth, and J. W. Harden. 2010. The role of mosses in ecosystem succession and function in Alaska's boreal forest This article is one of a selection of papers from The Dynamics of Change in Alaska's Boreal Forests: Resilience and Vulnerability in Response to Climate Warming. Canadian Journal of Forest Research 40:1237-1264.
</t>
  </si>
  <si>
    <r>
      <t xml:space="preserve">Accumulation of carbon as peat is fostered by persistently high water tables or flooded conditions, due to the anaerobic and acidic conditions which slow decay of organic matter (Belyea &amp; Malmer 2004). However, persistently high water tables also increase carbon loss from emissions of methane (Glatzel et al. 2004, Keller et al. 2004, Pelletier et al. 2007, Altor &amp; Mitsch 2008) and occasionally CO2,  although a Saskatchewan study found greater methane release from wetlands flooded for short periods each year than from those flooded semi-permanently (Pennock et al. 2010). Methane emissions in one study occurred mostly when water content of the soil exceeded 25% (Smith et al. 2000).  </t>
    </r>
    <r>
      <rPr>
        <i/>
        <sz val="10"/>
        <rFont val="Arial Narrow"/>
        <family val="2"/>
      </rPr>
      <t xml:space="preserve">In calculations, is excluded automatically (cell goes blank) if wetland never has surface water during an average year. </t>
    </r>
  </si>
  <si>
    <r>
      <t xml:space="preserve">At least in riverine wetlands, overall “average” methane emission from hydrologically pulsed sites may be less than that from sites where inundation is permanent (Mitsch et al. 2005, Altor &amp; Mitsch 2008).  Flooding from seasonally connected water bodies also promotes greater plant productivity, which provides more organic matter that potentially can be stored.  </t>
    </r>
    <r>
      <rPr>
        <i/>
        <sz val="10"/>
        <rFont val="Arial Narrow"/>
        <family val="2"/>
      </rPr>
      <t xml:space="preserve">In calculations, is excluded automatically (cell goes blank) if wetland never has surface water during an average year. </t>
    </r>
  </si>
  <si>
    <t>Value                    Indicators</t>
  </si>
  <si>
    <t>Anadromous         Fish              Habitat</t>
  </si>
  <si>
    <t>Poff, N. L., B. P. Bledsoe, and C. O. Cuhaciyan. 2006. Hydrologic variation with land use across the contiguous United States: Geomorphic and ecological consequences for stream ecosystems. Geomorphology 79:264–285.</t>
  </si>
  <si>
    <t>Dickman, M. and G. Rygiel. 1998. Municipal landfill impacts on a natural stream located in an urban wetland in regional Niagara, Ontario. The Canadian Field-Naturalist 112:619-630.</t>
  </si>
  <si>
    <t>Chadwick, D. R., B. J. Chambers, S. Anthony, P. M. Haygarth, D. Harris, and K. Smith. 2006. A measure centric approach to diffuse pollution modelling and cost curve analysis of mitigation methods. Cost-effectiveness of Best Management Practices (BMPs)? Pages 92-99 in L. Gairns, K. Chrighton, and B. Jeffrey, editors. Agriculture and the Environment VI -  Managing Rural Diffuse Pollution: Proceedings of the SAC and SEPA Biennial Conference, Edinburgh University, Edinburgh, UK, 6 April 2006. International Water Association, London, UK.</t>
  </si>
  <si>
    <t>Resident                        Fish                                       Habitat</t>
  </si>
  <si>
    <t>Value                            Indicators</t>
  </si>
  <si>
    <t>Function                      Indicators</t>
  </si>
  <si>
    <r>
      <t xml:space="preserve">Persistent surface water is essential to resident fish in isolated wetlands, and is important to resident fish even in wetlands that connect seasonally to other water bodies. </t>
    </r>
    <r>
      <rPr>
        <i/>
        <sz val="10"/>
        <rFont val="Arial Narrow"/>
        <family val="2"/>
      </rPr>
      <t xml:space="preserve">In calculations, is excluded automatically (cell goes blank) if wetland never has surface water during an average year. </t>
    </r>
  </si>
  <si>
    <r>
      <t xml:space="preserve">Even if not connected to other water bodies, lakes are used extensively by resident fish, and lakeside wetlands provide shelter, rich feeding areas, and substrate for spawning by some species. </t>
    </r>
    <r>
      <rPr>
        <i/>
        <sz val="10"/>
        <rFont val="Arial Narrow"/>
        <family val="2"/>
      </rPr>
      <t xml:space="preserve">In calculations, presence increases the score but absence has no effect, and is excluded automatically (cell goes blank) if wetland never has surface water during an average year.  </t>
    </r>
  </si>
  <si>
    <r>
      <t xml:space="preserve">Most resident fish spend much of their time in deeper water because of the cover it provides. Wetlands with deeper water provide more habitat space. </t>
    </r>
    <r>
      <rPr>
        <i/>
        <sz val="10"/>
        <rFont val="Arial Narrow"/>
        <family val="2"/>
      </rPr>
      <t xml:space="preserve">In calculations, is excluded automatically (cell goes blank) if wetland never has surface water during an average year. </t>
    </r>
  </si>
  <si>
    <r>
      <t xml:space="preserve">Life histories of resident fish are closely synchronized to natural hydrologic patterns. Wetlands where that has been disrupted will have lower capacity to support resident fish. </t>
    </r>
    <r>
      <rPr>
        <i/>
        <sz val="10"/>
        <rFont val="Arial Narrow"/>
        <family val="2"/>
      </rPr>
      <t>In calculations, is excluded automatically (cell goes blank) if wetland has no surface inflows.</t>
    </r>
  </si>
  <si>
    <r>
      <t xml:space="preserve">Over the long term, beaver dam-building activities are highly beneficial to fish rearing habitat, creating pools used by fish as refuge, adding wood that provides fish cover, and increasing the overall productivity of river systems (Murphy et al. 1989, Collen &amp; Gibson 2001). </t>
    </r>
    <r>
      <rPr>
        <i/>
        <sz val="10"/>
        <rFont val="Arial Narrow"/>
        <family val="2"/>
      </rPr>
      <t xml:space="preserve">In calculations, is excluded automatically (cell goes blank) if wetland never has ponded surface water during an average year. </t>
    </r>
  </si>
  <si>
    <r>
      <t xml:space="preserve">Aquatic plants provide cover for fish and in some cases the associated shading helps maintain cool water temperature. However, as they decay beneath winter ice, they can deprive fish of necessary oxygen. </t>
    </r>
    <r>
      <rPr>
        <i/>
        <sz val="10"/>
        <rFont val="Arial Narrow"/>
        <family val="2"/>
      </rPr>
      <t xml:space="preserve">In calculations, is excluded automatically (cell goes blank) if wetland never has ponded surface water during an average year. </t>
    </r>
  </si>
  <si>
    <r>
      <t>Greater interspersion of open water with vegetation provides resident fish with greater access to food sources, such as insects falling off emergent plants.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</si>
  <si>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Diffuse flow paths and large spatial complexity of channels within a wetland support a wider variety of microhabitats for fish and their invertebrate foods.</t>
    </r>
    <r>
      <rPr>
        <i/>
        <sz val="10"/>
        <rFont val="Arial Narrow"/>
        <family val="2"/>
      </rPr>
      <t xml:space="preserve"> In calculations, is excluded automatically (cell goes blank) if wetland never has surface water during an average year or if no surface inflows.</t>
    </r>
  </si>
  <si>
    <t>May, C. W. 2003. Stream-Riparian Ecosystems In the Puget Sound Lowland Eco-Region. A Review of Best Available Science. Watershed Ecology, LLC, Poulsbo, WA.</t>
  </si>
  <si>
    <t>Amphibian               Habitat</t>
  </si>
  <si>
    <t>Murphy, M. L., C. P. Hawkins, and N. H. Anderson. 1981. Effects of canopy modification and accumulated sediment on stream communities. Transactions of the American Fisheries Society 110:469-478.</t>
  </si>
  <si>
    <r>
      <t xml:space="preserve">Wider bands of wetland vegetation help protect a wetland's open waters from contaminants carried in from adjoining uplands. Wider bands of wetland vegetation also provide better cover for young frogs and salamanders as they transition to upland nonbreeding areas. </t>
    </r>
    <r>
      <rPr>
        <i/>
        <sz val="10"/>
        <rFont val="Arial Narrow"/>
        <family val="2"/>
      </rPr>
      <t>In calculations, is excluded automatically (cell goes blank) if wetland never has surface water during an average year, or has no open water.</t>
    </r>
  </si>
  <si>
    <r>
      <t xml:space="preserve">Large woody debris helps protect frogs and aquatic salamanders from aerial predators, and provides important basking sites. </t>
    </r>
    <r>
      <rPr>
        <i/>
        <sz val="10"/>
        <rFont val="Arial Narrow"/>
        <family val="2"/>
      </rPr>
      <t>In calculations, is excluded automatically (cell goes blank) if wetland never has surface water during an average year, or no open water.</t>
    </r>
  </si>
  <si>
    <r>
      <t xml:space="preserve">Pools that remain isolated from other surface waters even during high water provide amphibians with the most protection from predatory fish.  More amphibian species prefer ponded water than water flowing in channels. </t>
    </r>
    <r>
      <rPr>
        <i/>
        <sz val="10"/>
        <rFont val="Arial Narrow"/>
        <family val="2"/>
      </rPr>
      <t xml:space="preserve">In calculations, is excluded automatically (cell goes blank) if wetland never has surface water during an average year. </t>
    </r>
  </si>
  <si>
    <r>
      <t>The eggs and larvae of many frogs and aquatic salamanders can easily be harmed by excessive ultraviolet radiation.  Aquatic plants may provide some degree of shelter from such radiation, as well as providing attachment surfaces for eggs.</t>
    </r>
    <r>
      <rPr>
        <i/>
        <sz val="10"/>
        <rFont val="Arial Narrow"/>
        <family val="2"/>
      </rPr>
      <t xml:space="preserve"> In calculations, is excluded automatically (cell goes blank) if wetland never has ponded surface water during an average year. </t>
    </r>
  </si>
  <si>
    <r>
      <t>Unshaded open water areas potentially provide warmer conditions favored by many amphibians, while nearby areas with cover provide protection from predators.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</si>
  <si>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Although frogs and salamanders can survive prolonged ice cover, it potentially limits their populations and reduces annual aquatic productivity. </t>
    </r>
    <r>
      <rPr>
        <i/>
        <sz val="10"/>
        <rFont val="Arial Narrow"/>
        <family val="2"/>
      </rPr>
      <t xml:space="preserve">In calculations, is excluded automatically (cell goes blank) if wetland never has surface water during an average year. </t>
    </r>
  </si>
  <si>
    <r>
      <t xml:space="preserve">Wetlands with substantial groundwater inputs tend to have more stable and reliable water levels, thus increasing the likelihood of amphibians breeding successfully.  Also, winter water temperatures are warmer than most receiving surface waters.  However, the cooler temperatures in summer associated with groundwater input may be less favorable to development of some amphibians. </t>
    </r>
    <r>
      <rPr>
        <i/>
        <sz val="10"/>
        <rFont val="Arial Narrow"/>
        <family val="2"/>
      </rPr>
      <t>In calculations, is excluded automatically (cell goes blank) if no evidence of groundwater influx; otherwise is rated based on response in column D.</t>
    </r>
  </si>
  <si>
    <r>
      <t xml:space="preserve">During certain months of the year many salamanders and some frogs and toads require the moist microclimate and abundant invertebrate foods found in or under large downed in the uplands surrounding wetlands.  Forests with large-diameter trees are most likely to have such conditions.  However, the branches of smaller-diameter shrubs when partially inundated provide suitable sites for attachment of aquatic salamander egg masses. The formula used here gives equal weight to the variety of classes and increasing mean diameter.  The dominant type of vegetation, both near a stream and in a watershed generally,  has the potential to strongly influence aquatic productivity (Ball et al. 2010). </t>
    </r>
    <r>
      <rPr>
        <i/>
        <sz val="10"/>
        <rFont val="Arial Narrow"/>
        <family val="2"/>
      </rPr>
      <t>In calculations, is excluded automatically (cell goes blank) if few or no trees of any kind are present.</t>
    </r>
  </si>
  <si>
    <r>
      <t xml:space="preserve">Downed wood provides food, cover, and a stable microclimate for many salamanders. </t>
    </r>
    <r>
      <rPr>
        <i/>
        <sz val="10"/>
        <rFont val="Arial Narrow"/>
        <family val="2"/>
      </rPr>
      <t>In calculations, is excluded automatically (cell goes blank) if few or no trees of any kind are present.</t>
    </r>
  </si>
  <si>
    <t>Waterbird         Feeding             Habitat</t>
  </si>
  <si>
    <r>
      <t xml:space="preserve">Surface water that persists for all or most of a year provides more feeding opportunities for wetland birds.  If no surface water persists throughout a year, waterbird use of the wetland for feeding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</si>
  <si>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r>
      <t xml:space="preserve">Fringe wetlands are often used by more wetland birds partly because the adjoining wide expanses of open water can provide refuge from disturbances as well as additional foods. </t>
    </r>
    <r>
      <rPr>
        <i/>
        <sz val="10"/>
        <rFont val="Arial Narrow"/>
        <family val="2"/>
      </rPr>
      <t xml:space="preserve">In calculations, presence increases the score but absence has no effect, and is excluded automatically (cell goes blank) if wetland never has surface water during an average year.  </t>
    </r>
  </si>
  <si>
    <r>
      <t xml:space="preserve">Wetlands that flood only seasonally tend to be more productive and are immensely important as feeding and resting areas for migratory waterbirds.  Occasional severe flood or drought can rejuvenate wetland productivity, and thus waterbird feeding opportunities, by stimulating release of nutrients from sediments or soil. </t>
    </r>
    <r>
      <rPr>
        <i/>
        <sz val="10"/>
        <rFont val="Arial Narrow"/>
        <family val="2"/>
      </rPr>
      <t xml:space="preserve">In calculations, is excluded automatically (cell goes blank) if wetland never has surface water during an average year. </t>
    </r>
  </si>
  <si>
    <r>
      <t xml:space="preserve">Shallower water depths support greater aquatic productivity and thus are attractive to many feeding waterbirds. </t>
    </r>
    <r>
      <rPr>
        <i/>
        <sz val="10"/>
        <rFont val="Arial Narrow"/>
        <family val="2"/>
      </rPr>
      <t xml:space="preserve">In calculations, is excluded automatically (cell goes blank) if wetland never has surface water during an average year. </t>
    </r>
  </si>
  <si>
    <r>
      <t xml:space="preserve">Different waterbird species prefer feeding in different water depths, so a diversity of depth classes in a wetland is likely to support a more varied mix of feeding birds. </t>
    </r>
    <r>
      <rPr>
        <i/>
        <sz val="10"/>
        <rFont val="Arial Narrow"/>
        <family val="2"/>
      </rPr>
      <t xml:space="preserve">In calculations, is excluded automatically (cell goes blank) if wetland never has surface water during an average year. </t>
    </r>
  </si>
  <si>
    <r>
      <t xml:space="preserve">Most wetland birds feed more in ponded areas than along channels.  Especially at times of high water in channels, off-channel ponded areas provide refuge for many species. </t>
    </r>
    <r>
      <rPr>
        <i/>
        <sz val="10"/>
        <rFont val="Arial Narrow"/>
        <family val="2"/>
      </rPr>
      <t xml:space="preserve">In calculations, is excluded automatically (cell goes blank) if wetland never has surface water during an average year. </t>
    </r>
  </si>
  <si>
    <r>
      <t xml:space="preserve">For most waterbirds, intermediate proportions of open ponded water and vegetation appear to provide the best protection from predators and the elements, as well as the richest feeding opportunities. </t>
    </r>
    <r>
      <rPr>
        <i/>
        <sz val="10"/>
        <rFont val="Arial Narrow"/>
        <family val="2"/>
      </rPr>
      <t xml:space="preserve">In calculations, is excluded automatically (cell goes blank) if wetland never has ponded surface water during an average year. </t>
    </r>
  </si>
  <si>
    <r>
      <t xml:space="preserve">Aquatic plant cover and the abundant invertebrates it supports are favored by many waterbird species. Interspersion of patches of open water amid patches of vegetation, in about equal proportions, provides waterbirds with the best access to aquatic foods, and waterbird use of such wetlands has been shown to be significantly greater.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</si>
  <si>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These plants usually indicate highly enriched conditions, and those tend to be more productive feeding areas for most waterbird species. </t>
    </r>
    <r>
      <rPr>
        <i/>
        <sz val="10"/>
        <rFont val="Arial Narrow"/>
        <family val="2"/>
      </rPr>
      <t>In calculations, is excluded automatically (cell goes blank) if wetland never has surface water during an average year.  In calculations, is counted as a positive if present but does not decrease score if absent.</t>
    </r>
  </si>
  <si>
    <r>
      <t xml:space="preserve">Wetlands that are ice-free during migration support greater numbers and diversity of waterbirds at those times. </t>
    </r>
    <r>
      <rPr>
        <i/>
        <sz val="10"/>
        <rFont val="Arial Narrow"/>
        <family val="2"/>
      </rPr>
      <t xml:space="preserve">In calculations, is excluded automatically (cell goes blank) if wetland never has surface water during an average year.  </t>
    </r>
  </si>
  <si>
    <t>Function                   Indicators</t>
  </si>
  <si>
    <t>Waterbird                   Nesting                           Habitat</t>
  </si>
  <si>
    <r>
      <t xml:space="preserve">Surface water that persists for all or most of a year (and especially, during the early summer) provides more physical habitat for waterbirds. If no surface water persists, waterbird use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</si>
  <si>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r>
      <t xml:space="preserve">Open water is important to a wide array of nesting waterbirds, and is most available in "fringe" wetlands. </t>
    </r>
    <r>
      <rPr>
        <i/>
        <sz val="10"/>
        <rFont val="Arial Narrow"/>
        <family val="2"/>
      </rPr>
      <t xml:space="preserve">In calculations, is excluded automatically (cell goes blank) if wetland never has persistent surface water during an average year.  </t>
    </r>
  </si>
  <si>
    <r>
      <t xml:space="preserve">Lacustrine wetlands are especially attractive to nesting waterbirds, partly because of the variety of foods they provide, and the refuge that the large expanse of open water provides from terrestrial predators. However, nesting waterbird use of lakes may be less if there is frequent motorboat use. </t>
    </r>
    <r>
      <rPr>
        <i/>
        <sz val="10"/>
        <rFont val="Arial Narrow"/>
        <family val="2"/>
      </rPr>
      <t xml:space="preserve">In calculations, presence increases the score but absence has no effect.  </t>
    </r>
  </si>
  <si>
    <r>
      <t xml:space="preserve">Most waterbirds situate their nests on or near persistent water. However, wetlands that flood only seasonally often provide more food and cover for young. </t>
    </r>
    <r>
      <rPr>
        <i/>
        <sz val="10"/>
        <rFont val="Arial Narrow"/>
        <family val="2"/>
      </rPr>
      <t xml:space="preserve">In calculations, is excluded automatically (cell goes blank) if wetland never has surface water during an average year. </t>
    </r>
  </si>
  <si>
    <r>
      <t xml:space="preserve">Large water level fluctuations during the nesting season (late spring and early summer), can flood the nests of birds that nest along wetland edges. However, annual fluctuations (described here) do not necessarily parallel propensity of water levels to fluctuate during the nesting season, and can stimulate wetland productivity. </t>
    </r>
    <r>
      <rPr>
        <i/>
        <sz val="10"/>
        <rFont val="Arial Narrow"/>
        <family val="2"/>
      </rPr>
      <t>In calculations, is excluded automatically (cell goes blank) if wetland never has surface water during an average year, or if none of it floods only seasonally.</t>
    </r>
  </si>
  <si>
    <r>
      <t xml:space="preserve">Most waterbirds prefer depths of 1- 2 ft. Wetlands with greater depths will nonetheless usually have some portion of their area in this and shallower depth classes. Even the shallowest areas are important to many species. </t>
    </r>
    <r>
      <rPr>
        <i/>
        <sz val="10"/>
        <rFont val="Arial Narrow"/>
        <family val="2"/>
      </rPr>
      <t xml:space="preserve">In calculations, is excluded automatically (cell goes blank) if wetland never has surface water during an average year. </t>
    </r>
  </si>
  <si>
    <r>
      <t xml:space="preserve">Different waterbird species prefer different water depths, so a diversity of depth classes in a wetland is likely to support a more varied mix of waterbirds. </t>
    </r>
    <r>
      <rPr>
        <i/>
        <sz val="10"/>
        <rFont val="Arial Narrow"/>
        <family val="2"/>
      </rPr>
      <t xml:space="preserve">In calculations, is excluded automatically (cell goes blank) if wetland never has surface water during an average year. </t>
    </r>
  </si>
  <si>
    <r>
      <t xml:space="preserve">A gentle shore slope provides waterbirds with easier access to upland nesting cover near the water. </t>
    </r>
    <r>
      <rPr>
        <i/>
        <sz val="10"/>
        <rFont val="Arial Narrow"/>
        <family val="2"/>
      </rPr>
      <t>In calculations, is excluded automatically (cell goes blank) if wetland never has surface water during an average year, or has no open water.</t>
    </r>
  </si>
  <si>
    <r>
      <t xml:space="preserve">Waterbird nests located in narrow wetlands may be more vulnerable to predation. </t>
    </r>
    <r>
      <rPr>
        <i/>
        <sz val="10"/>
        <rFont val="Arial Narrow"/>
        <family val="2"/>
      </rPr>
      <t>In calculations, is excluded automatically (cell goes blank) if wetland never has surface water during an average year, or has no open water.</t>
    </r>
  </si>
  <si>
    <r>
      <t xml:space="preserve">Most wetland birds tend to feed more in ponded areas than along channels. If these isolated pools areas persist well into the summer, they allow waterbird populations to establish more breeding territories within the site, as well as concentrating invertebrate foods. </t>
    </r>
    <r>
      <rPr>
        <i/>
        <sz val="10"/>
        <rFont val="Arial Narrow"/>
        <family val="2"/>
      </rPr>
      <t xml:space="preserve">In calculations, is excluded automatically (cell goes blank) if wetland never has surface water during an average year. </t>
    </r>
  </si>
  <si>
    <r>
      <t>Submersed and partly submersed vegetation is an essential food for many duck species, either directly or because of the higher densities of invertebrate foods that it supports (Epners et al. 2010).</t>
    </r>
    <r>
      <rPr>
        <i/>
        <sz val="10"/>
        <rFont val="Arial Narrow"/>
        <family val="2"/>
      </rPr>
      <t xml:space="preserve"> In calculations, is excluded automatically (cell goes blank) if wetland never has ponded surface water during an average year. </t>
    </r>
  </si>
  <si>
    <r>
      <t xml:space="preserve">Interspersion of patches of open water amid patches of vegetation, in about equal proportions, provides waterbirds with the best access to aquatic foods, and encourages establishment of breeding territories by more individual birds. Use of such wetlands has been shown to be significantly greater. </t>
    </r>
    <r>
      <rPr>
        <i/>
        <sz val="10"/>
        <rFont val="Arial Narrow"/>
        <family val="2"/>
      </rPr>
      <t>In calculations, is excluded automatically (cell goes blank) if wetland never has surface water during an average year, if no ponded water, if ponded water but no vegetation, if ponded but no open water.</t>
    </r>
  </si>
  <si>
    <r>
      <t>Waterfowl nests on Islands that are inaccessible to mammalian predators are more successful (Loekmoen &amp; Woodward 1992).</t>
    </r>
    <r>
      <rPr>
        <i/>
        <sz val="10"/>
        <rFont val="Arial Narrow"/>
        <family val="2"/>
      </rPr>
      <t xml:space="preserve"> In calculations, is excluded automatically (cell goes blank) if wetland lacks an island, but if island is present, it counts as a positive.</t>
    </r>
  </si>
  <si>
    <r>
      <t xml:space="preserve">Large-diameter trees are more important because of their potential to provide rookeries for herons and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</si>
  <si>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r>
      <t xml:space="preserve">Snags provide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</si>
  <si>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t>Desrochers, A. and G.-J. van Duinen. 2006. Peatland fauna. Pages 67-100 in R. K. Wieder and D. H. Vitt, editors. Boreal Peatland Ecosystems, Ecological Studies, Volume 188. Springer, Berlin, Heidelberg, GE.</t>
  </si>
  <si>
    <t>Hanley, T. A. 1996. Small mammals of even-aged, red alder- Conifer forests in southeastern Alaska. The Canadian Field-Naturalist 110:626-629.</t>
  </si>
  <si>
    <t>Rich, A. C., D. S. Dobkin, and L. J. Niles. 1994. Defining forest fragmentation by corridor width: the influence of narrow forest-dividing corridors on forest-nesting birds in southern New Jersey. Conservation Biology 8:1109-1121.</t>
  </si>
  <si>
    <t>Russell, G. J., J. M. Diamond, T. M. Reed, and S. L. Pimm. 2006. Breeding birds on small islands: island biogeography or optimal foraging? Journal of Animal Ecology 75:324–339.</t>
  </si>
  <si>
    <t>St. Clair, C. C., M. Bélisle, A. Desrochers, and S. Hannon. 1998. Winter responses of forest birds to habitat corridors and gaps. Conservation Ecology 2:1-13 Online:  http://www.consecol.org/vol12/iss12/art13/.</t>
  </si>
  <si>
    <r>
      <t xml:space="preserve">Wider vegetated zones within wetlands provide more nesting space and structure for songbirds and mammals. Wider riparian buffers in British Columbia supported a greater density of deciduous trees important to wildlife diversity(Shirley 2004). In Southeast Alaska, the width of contiguous forest (within a wetland plus adjoining upland) should be at least 1300 ft in order to maintain bird species typical of old growth forest (Kissing &amp; Garton 2008). In particular, densities of red-breasted sapsucker and Pacific-slope flycatcher are sensitive to forest width. In British Columbia, even buffers of 472 ft failed to support several species at densities equivalent to those in extensive uncut forests: Brown Creeper, Pileated Woodpecker, Golden-crowned Kinglet, Varied Thrush, and Red-breasted Sapsucker; however, at least 2 species -- Warbling Vireo and Swainson’s Thrush – were more common in buffers than in uncut forest (Shirley &amp; Smith 2005). The diversity of microhabitats within bogs and fens generally increases with increasing area, and vertebrate richness consequently increases (Desrochers &amp; van Duinen 2006). </t>
    </r>
    <r>
      <rPr>
        <i/>
        <sz val="10"/>
        <rFont val="Arial Narrow"/>
        <family val="2"/>
      </rPr>
      <t>In calculations, is excluded automatically (cell goes blank) if wetland never has surface water during an average year, or has no open water.</t>
    </r>
  </si>
  <si>
    <r>
      <t xml:space="preserve">Less surface water coverage means more vegetation coverage, and vegetation provides more structure for nesting songbirds and raptors. </t>
    </r>
    <r>
      <rPr>
        <i/>
        <sz val="10"/>
        <rFont val="Arial Narrow"/>
        <family val="2"/>
      </rPr>
      <t>In calculations, is excluded automatically (cell goes blank) if wetland never has surface water during an average year.</t>
    </r>
  </si>
  <si>
    <r>
      <t xml:space="preserve">Beaver impoundments, especially after they are abandoned and revert to early successional shrubs, are very species-rich compared with other land cover types (Grover &amp; Baldassarre 1995, Aznar &amp; Desrochers 2008). </t>
    </r>
    <r>
      <rPr>
        <i/>
        <sz val="10"/>
        <rFont val="Arial Narrow"/>
        <family val="2"/>
      </rPr>
      <t>In calculations, is excluded automatically (cell goes blank) if wetland never has surface water during an average year.</t>
    </r>
  </si>
  <si>
    <r>
      <t xml:space="preserve">Trees support a wider diversity of songbirds, raptors, and mammals than does herbaceous vegetation, partly because they provide more vertical structure and produce downed wood and snags that have other habitat benefits. Trees help shelter the water in wetlands from high winds, facilitating the aerial foraging activities of birds and bats (Whitaker et al. 2000).  However, a mix of tree and shrub cover usually promotes greater habitat structure and songbird diversity overall. </t>
    </r>
    <r>
      <rPr>
        <i/>
        <sz val="10"/>
        <rFont val="Arial Narrow"/>
        <family val="2"/>
      </rPr>
      <t>In calculations, is excluded automatically (cell goes blank) if wetland has little or no woody cover.</t>
    </r>
  </si>
  <si>
    <r>
      <t xml:space="preserve">Interspersion of woody cover with food-rich openings of herbaceous vegetation provides greater feeding opportunities for many songbirds and mammals, and is a natural phenomenon caused by windthrow and other factors in forested wetlands. Gaps of 3-10 trees in an otherwise forested matrix, that comprise about 30% of the matrix, resemble most closely the conditions in mature forest of Vancouver island, BC (Lertzman et al. 1964). Most canopy gaps occupy 50-200 m2 and a diameter-height ratio is typically &lt;0.50 [Ott &amp; Juday 2002]. Excessive gap frequencies and areas (i.e., forest fragmentation) and lack of corridors that connect forested wetlands with upland forests can be detrimental to some species if the remaining forested patches are very small. </t>
    </r>
    <r>
      <rPr>
        <i/>
        <sz val="10"/>
        <rFont val="Arial Narrow"/>
        <family val="2"/>
      </rPr>
      <t xml:space="preserve">In calculations, is excluded automatically (cell goes blank) if wetland has little or no woody cover. </t>
    </r>
  </si>
  <si>
    <t>Value                   Indicators</t>
  </si>
  <si>
    <t>Function                    Indicators</t>
  </si>
  <si>
    <t>Pollinator          Habitat</t>
  </si>
  <si>
    <t>Dead wood provides critical nesting habitat for many pollinators. In calculations, is excluded automatically (cell goes blank) if wetland has few or no trees.</t>
  </si>
  <si>
    <t>Downed wood provides nest sites and shelter for some pollinators. In calculations, is excluded automatically (cell goes blank) if wetland has few or no trees.</t>
  </si>
  <si>
    <t>Native                     Plant                      Habitat</t>
  </si>
  <si>
    <t>Heutte, T., E. Bella, J. Snyder, and M. Shephard. 2003. Invasive plants and exotic weeds of Southeast Alaska. U. S. Department of Agriculture, Forest Service, Anchorage, AK.</t>
  </si>
  <si>
    <t>Seppi, B. E. 2006. Waterfowl Use of Wetlands in Relation to Limnological Variables in the Kvichak River Area, Alaska.  BLM Alaska Open File Report 107 BLM/AK/ST-06/020+6700+040. U.S. Department of the Interior, Bureau of Land Management, Anchorage, AK.</t>
  </si>
  <si>
    <t>Mahaney, W. M., D. H. Wardrop, and R. P. Brooks. 2005. Impacts of sedimentation and nitrogen enrichment on wetland plant community structure. Plant Ecology 175:227-243.</t>
  </si>
  <si>
    <r>
      <t xml:space="preserve">In Southeast Alaska, wetlands with extensive seasonal flooding tend to have greater plant species richness (Pollack et al. 1998). Seasonal inundation brings in external nutrients to riverine wetlands, and in all wetlands is necessary for seed germination of many wetland plant species. </t>
    </r>
    <r>
      <rPr>
        <i/>
        <sz val="10"/>
        <rFont val="Arial Narrow"/>
        <family val="2"/>
      </rPr>
      <t xml:space="preserve">In calculations, is excluded automatically (cell goes blank) if wetland never has surface water during an average year. </t>
    </r>
  </si>
  <si>
    <r>
      <t xml:space="preserve">In Southeast Alaska, wetlands with naturally fluctuating water levels tend to have greater plant species richness (Pollack et al. 1998). Duration, frequency, and timing of inundation may be more important than magnitude of fluctuation, but cannot be estimated during a single visit to an ungaged wetland. Prolonged deep flooding can reduce plant species richness (Bayley &amp; Guimond 2009). </t>
    </r>
    <r>
      <rPr>
        <i/>
        <sz val="10"/>
        <rFont val="Arial Narrow"/>
        <family val="2"/>
      </rPr>
      <t>In calculations, is excluded automatically (cell goes blank) if wetland never has surface water during an average year, or if none of it floods only seasonally.</t>
    </r>
  </si>
  <si>
    <r>
      <t xml:space="preserve">With regard to submersed aquatic plants, shallower areas generally have greater plant richness due to greater availability of light and sediment oxygen. </t>
    </r>
    <r>
      <rPr>
        <i/>
        <sz val="10"/>
        <rFont val="Arial Narrow"/>
        <family val="2"/>
      </rPr>
      <t xml:space="preserve">In calculations, is excluded automatically (cell goes blank) if wetland never has surface water during an average year. </t>
    </r>
  </si>
  <si>
    <r>
      <t xml:space="preserve">Plant diversity is often greater without the shading and nutrient-competitive effects of trees (Hanley &amp; Brady 1997). In Southeast Alaska wetter soils tend to support less tree cover, and the trees that survive are also more prone to being blown down. </t>
    </r>
    <r>
      <rPr>
        <i/>
        <sz val="10"/>
        <rFont val="Arial Narrow"/>
        <family val="2"/>
      </rPr>
      <t>In calculations, is excluded automatically (cell goes blank) if little or no woody cover is present.</t>
    </r>
  </si>
  <si>
    <r>
      <t xml:space="preserve">Dominance by deciduous cover allows more light to penetrate to the ground.  In many instances this results in greater richness of understory plant species. </t>
    </r>
    <r>
      <rPr>
        <i/>
        <sz val="10"/>
        <rFont val="Arial Narrow"/>
        <family val="2"/>
      </rPr>
      <t>In calculations, is excluded automatically (cell goes blank) if few or no trees are present.</t>
    </r>
  </si>
  <si>
    <r>
      <t xml:space="preserve">Shrubs contribute to onsite plant diversity, but are generally less diverse than herbaceous plants, which are often more diverse without the shading and nutrient-competitive effects of shrubs. Sparse shrub cover sometimes indicates overgrazing by deer, which reduces plant diversity. Damages to native ecosystems from abnormally high deer density have been documented on an island in British Columbia (Allombert et al. 2005). Such damage to shrubs and ground cover occurs in places where fragmentation of forests has created deer densities of more than about 1 per 25 acres (Thiemann et al. 2009, Martin et al. 2010). </t>
    </r>
    <r>
      <rPr>
        <i/>
        <sz val="10"/>
        <rFont val="Arial Narrow"/>
        <family val="2"/>
      </rPr>
      <t>In calculations, is excluded automatically (cell goes blank) if little or no woody cover is present.</t>
    </r>
  </si>
  <si>
    <r>
      <t xml:space="preserve">Wetlands not dominated by one or two plant species are, by definition, more diverse. </t>
    </r>
    <r>
      <rPr>
        <i/>
        <sz val="10"/>
        <rFont val="Arial Narrow"/>
        <family val="2"/>
      </rPr>
      <t>In calculations, is excluded automatically (cell goes blank) if little or no exposed herbaceous cover is present.</t>
    </r>
  </si>
  <si>
    <r>
      <t xml:space="preserve">Some types of surrounding land cover are more likely to produce propagules of invasive plants that may reduce native plant richness in an adjoining wetland. </t>
    </r>
    <r>
      <rPr>
        <i/>
        <sz val="10"/>
        <rFont val="Arial Narrow"/>
        <family val="2"/>
      </rPr>
      <t>In calculations, is excluded automatically (cell goes blank) if OF56 was answered "&gt;90%".</t>
    </r>
  </si>
  <si>
    <r>
      <t xml:space="preserve">The germination of many plant species is triggered by the interaction of water conditions and season (light). Homogenization or alteration of the natural water regime can thus encourage invasive species at the expense of native flora. Inundation at aberrant times of the year can reduce native plant diversity because most native species have evolved in close synchronization with natural seasonal water regimes. Monthly timing of first soil moistening may be more important than duration of moist period before inundation and length of inundation., for determining the number of plants and number of species that germinate (Bliss &amp; Zedler 1997). Any development that involves increasing the area of lawn or impervious surface is likely to increase runoff amount and concentrate it within shorter time periods, i.e. “pulses” “flashiness” (Booth &amp; Jackson 1997, Booth et al. 2002, DeGasperi et al. 2009). This has been shown to make wetlands more susceptible to invasion by non-native plants (Magee &amp; Kentula 2005). However, one study found that forested wetlands in developed landscapes had community composition and structure similar to those in undeveloped landscapes, with number of exotic species being no greater (Ehrenfeld 2005). </t>
    </r>
    <r>
      <rPr>
        <i/>
        <sz val="10"/>
        <rFont val="Arial Narrow"/>
        <family val="2"/>
      </rPr>
      <t>In calculations, is excluded automatically (cell goes blank) if wetland has no surface water inflow.</t>
    </r>
  </si>
  <si>
    <t>If accessible, wetlands closer to population centers are likely to be visited by more people on foot.</t>
  </si>
  <si>
    <t>Ellanna, L. J. and P. C. Wheeler. 1989. Wetlands and subsistence-based economies in Alaska, USA. Arctic and Alpine Research 21:329-340.</t>
  </si>
  <si>
    <t>Kruger, L. 2005. Community and landscape change in southeast Alaska. Landscape and Urban Planning 72:235-249.</t>
  </si>
  <si>
    <t xml:space="preserve">Score for Wetland Condition (Integrity)   </t>
  </si>
  <si>
    <t>Non-       Native</t>
  </si>
  <si>
    <t xml:space="preserve">                                                                                                                                                 Resilience/ Recovery Duration - Site Fertility</t>
  </si>
  <si>
    <t xml:space="preserve">                                                                                                                                        Resilience/ Recovery Duration - Climate Influence</t>
  </si>
  <si>
    <t xml:space="preserve">                                                                                                                          Resilience/ Recovery Duration - Veg Growth Rate Influence</t>
  </si>
  <si>
    <t xml:space="preserve">                                                                                                                    Resilience/ Recovery Duration - Colonizer  Availability Influence</t>
  </si>
  <si>
    <t xml:space="preserve">                                                                                                                                                                        Biotic Resistance/ Sensitivity</t>
  </si>
  <si>
    <t>Loomis, P. and R. Liebermann. 2006. Biological Impacts of Off-Road Vehicles in Alaska: A Literature Review Denali National Park and Preserve, Denali National Park and Preserve, AK.</t>
  </si>
  <si>
    <r>
      <t xml:space="preserve">Decreases in water inputs will have the greatest impact on shallow wetlands, even causing parts of them to cease being wetlands, and causing major changes in species and biogeochemical processes in the remaining wetland.  Also, among wetlands having the same area, shallow wetlands have less volume than deeper ones and thus experience less dilution of incoming contaminants. </t>
    </r>
    <r>
      <rPr>
        <i/>
        <sz val="10"/>
        <rFont val="Arial Narrow"/>
        <family val="2"/>
      </rPr>
      <t xml:space="preserve">In calculations, is excluded automatically (cell goes blank) if wetland never has surface water during an average year. </t>
    </r>
  </si>
  <si>
    <r>
      <t xml:space="preserve">Narrow outlets limit water outflow from a wetland and thus tend to cause the wetland to confine and accumulate sediment that has been washed in. The types of outlets described here are ones that typically are more constricted than natural channels.  Natural channels usually have adjusted over time to local runoff and thus tend to be wider relative to volume of flow received. </t>
    </r>
    <r>
      <rPr>
        <i/>
        <sz val="10"/>
        <rFont val="Arial Narrow"/>
        <family val="2"/>
      </rPr>
      <t>In calculations, is excluded automatically (cell goes blank) if no outlet.</t>
    </r>
  </si>
  <si>
    <r>
      <t xml:space="preserve">Larger-diameter trees are generally older, implying that recovery (resilience) from their loss will take longer than from loss of young trees.  Resilience is one component of wetland sensitivity. </t>
    </r>
    <r>
      <rPr>
        <i/>
        <sz val="10"/>
        <rFont val="Arial Narrow"/>
        <family val="2"/>
      </rPr>
      <t>In calculations, is excluded automatically (cell goes blank) if few or no trees are present.</t>
    </r>
  </si>
  <si>
    <r>
      <t>Wetlands with fewer species may be less resistant to environmental change, and less resilient following disturbances.</t>
    </r>
    <r>
      <rPr>
        <i/>
        <sz val="10"/>
        <rFont val="Arial Narrow"/>
        <family val="2"/>
      </rPr>
      <t xml:space="preserve"> In calculations, is excluded automatically (cell goes blank) if little or no shrub cover is present.</t>
    </r>
  </si>
  <si>
    <t>Stressor                Indicators</t>
  </si>
  <si>
    <t>Desrochers, A. and G.-J. van Duinen. 2006. Peatland fauna. Pages 67-100 in R. K. Wieder and D. H. Vitt, editors. Boreal Peatland Ecosystems, Ecological Studies, Volume 188. Springer, Berlin, Heidelberg, Germany.</t>
  </si>
  <si>
    <t>Stream                     Flow                                 Support</t>
  </si>
  <si>
    <t xml:space="preserve">Nitrate Removal                           &amp;                                             Retention </t>
  </si>
  <si>
    <t>Petrone, R., K. DeVito, S. Kaufman, M. L. MacRae, and J. M. Waddington. 2005. Potential carbon losses from boreal ponds and riparian areas: influence of temperature and drought. Pages 10-18 in L. Heathwaite, B. Webb, D. Rosenberry, D. Weaver, and M. Hayash, editors. Dynamics and Biogeochemistry of River Corridors and Wetlands: Proceedings of Symposium held during the Seventh  IAHS Scientific Assembly. IAHS International Commission on Water Quality, IAHS International Commission on Science, Wallingford, Oxfordshire, UK.</t>
  </si>
  <si>
    <t>Function                                Indicators</t>
  </si>
  <si>
    <t>Nearly all the AA is moss-covered and/or the soils to a depth of at least 4 inches are organic (sometimes deeper if not rocky). More tall (&gt;3 ft) woody cover than herbaceous.  Trees often hemlock or cedar. Often with skunk cabbage (at least in seasonal channels), blueberries. Little or no open water. Includes shrubby fringes of open peatlands and fens.  Not in active floodplain.</t>
  </si>
  <si>
    <t>Nearly all the AA is moss-covered. Peat depth usually &gt; 16 inches except where bedrock near surface. Tree cover is &lt;5% and cover of tall (&gt;3 ft) shrubs is &lt;30%.  Shore pine, Labrador tea, crowberry often occur. Often with small (&lt;25 sq ft) scattered stair-step pools with acidic, stained water. Some examples are flat bogs, floating bogs, and sloping muskeg.</t>
  </si>
  <si>
    <t xml:space="preserve">At least once annually, surface water in a channel that flows through or adjoins the AA causes the width of surface water in the AA (perpendicular to the channel) to more than double. The increased width is due mainly to that channel inflow, not to hillslope seepage or runoff.  Soils are silt or coarser (little or no organic soil or peat). Vegetation can be woody or herbaceous: often alder, willow, devil's club. Includes some (not all) wetlands in mapped floodplains. Consult municipal maps of floodplains if available, and the online WESPAK-SE Wetlands Module: SEAK Hydro Stream. </t>
  </si>
  <si>
    <t>Within a few miles of tidewatter or a glacier, but nontidal, and mostly within 100 miles of Glacier Bay National Park. Little or no persistent surface water except in channels, which may be strongly downcut. Mostly sweetgale and/or herbaceous vegetation, e.g., silverweed, iris, Lyngbye's sedge.  Tree cover usually &lt;30%. Peat depth usually &lt;16 inches.  Resulted from uplift following isostatic rebound as a glacier receded within recent centuries.</t>
  </si>
  <si>
    <r>
      <t>Inundated by tide at least once annually and dominated by emergent herbaceous or woody plants.  The  level of surface water fluctuates every ~6 hours on a daily basis in response to tides. Do not include areas of beachgrass (</t>
    </r>
    <r>
      <rPr>
        <i/>
        <sz val="10"/>
        <rFont val="Arial Narrow"/>
        <family val="2"/>
      </rPr>
      <t>Leymus</t>
    </r>
    <r>
      <rPr>
        <sz val="10"/>
        <rFont val="Arial Narrow"/>
        <family val="2"/>
      </rPr>
      <t xml:space="preserve"> or </t>
    </r>
    <r>
      <rPr>
        <i/>
        <sz val="10"/>
        <rFont val="Arial Narrow"/>
        <family val="2"/>
      </rPr>
      <t>Elymus mollis,</t>
    </r>
    <r>
      <rPr>
        <sz val="10"/>
        <rFont val="Arial Narrow"/>
        <family val="2"/>
      </rPr>
      <t xml:space="preserve"> also called ryegrass) unless they are inundated at that frequency. Do not include areas that are entirely eelgrass or seaweeds. </t>
    </r>
  </si>
  <si>
    <r>
      <t xml:space="preserve">0.01 acre is about 20 ft on a side if square. This is the </t>
    </r>
    <r>
      <rPr>
        <u/>
        <sz val="10"/>
        <rFont val="Arial Narrow"/>
        <family val="2"/>
      </rPr>
      <t>cumulative</t>
    </r>
    <r>
      <rPr>
        <sz val="10"/>
        <rFont val="Arial Narrow"/>
        <family val="2"/>
      </rPr>
      <t xml:space="preserve"> acreage of all areas that have surface water. Sites fed by glaciers, or by unregulated streams that descend on north-facing slopes, tend to remain wet longer into the summer. Indicators of persistence may include fish, some dragonflies, beaver, and muskrat. In the local soil survey, the NRCS descriptions of the predominant soil types may include information on saturation persistence. [AM, CS, FA, FR, INV, NR, POL, PR, SBM, WBF, WBN]</t>
    </r>
  </si>
  <si>
    <t>The "vegetated areas" should not include submersed or floating-leaved aquatics.  [FA, FR, PR, WBF, WBN]</t>
  </si>
  <si>
    <t>[AM, CS, INV, NR, OE, PH, PR, SR, WBN, WS]</t>
  </si>
  <si>
    <t>Estimate these proportions by considering the gradient and microtopography of the site. See diagram in the manual. [FR, INV, WBF, WBN]</t>
  </si>
  <si>
    <r>
      <t xml:space="preserve">Open water </t>
    </r>
    <r>
      <rPr>
        <sz val="10"/>
        <rFont val="Arial Narrow"/>
        <family val="2"/>
      </rPr>
      <t>is water that is not obscured by vegetation in aerial ("duck's eye") view.  It includes vegetation floating on the water surface or entirely submersed beneath it.  It may be flowing or ponded.</t>
    </r>
  </si>
  <si>
    <t>See diagram in the manual. If several isolated pools are present in early summer, estimate the percent of their collective shorelines that has such a gentle slope. [SR, WBN]</t>
  </si>
  <si>
    <r>
      <t xml:space="preserve">For this question, </t>
    </r>
    <r>
      <rPr>
        <b/>
        <sz val="10"/>
        <rFont val="Arial Narrow"/>
        <family val="2"/>
      </rPr>
      <t>do not consider herbaceous plants</t>
    </r>
    <r>
      <rPr>
        <sz val="10"/>
        <rFont val="Arial Narrow"/>
        <family val="2"/>
      </rPr>
      <t>. Consider only the wood that is at or above the water surface. Estimates of underwater wood based only on observations from terrestrial viewpoints are unreliable so should not be attempted. [AM, FA, FR, INV]</t>
    </r>
  </si>
  <si>
    <t>[AM, FA, FR, INV, NR, OE, PH, PR, SBM, SR, WBF, WBN]</t>
  </si>
  <si>
    <t>[WBN]</t>
  </si>
  <si>
    <t>[NRv, PH, PRv, SRv]</t>
  </si>
  <si>
    <t>Estimate gradient by dividing the elevation difference by horizontal distance over 300 ft. [PRv, SRv]</t>
  </si>
  <si>
    <t>Consult topographic maps to detect breaks in slope described here. Localized orange coloration associated with groundwater seeps may be most noticeable in ice formations along streams during early winter. [AM, CS, FA, FR, INV, NR, OE, PH, PRv, SFS, WC, WS, WW]</t>
  </si>
  <si>
    <r>
      <t xml:space="preserve">Do not count trees or shrubs if they merely hang into the wetland. They must be </t>
    </r>
    <r>
      <rPr>
        <b/>
        <sz val="10"/>
        <rFont val="Arial Narrow"/>
        <family val="2"/>
      </rPr>
      <t>rooted in soils that are saturated</t>
    </r>
    <r>
      <rPr>
        <sz val="10"/>
        <rFont val="Arial Narrow"/>
        <family val="2"/>
      </rPr>
      <t xml:space="preserve"> for several weeks of the growing season. The "vegetated part" should not include floating-leaved or submersed aquatics. [NR, WBF, WBN]</t>
    </r>
  </si>
  <si>
    <t>Snags are standing trees at least 10 ft tall that are mainly without bark or foliage. [POL, SBM, WBN]</t>
  </si>
  <si>
    <t>The "vegetated part" may include moss, but it should not include floating-leaved or submersed aquatics. [AM, PH, SBM]</t>
  </si>
  <si>
    <t>Select only the first true statement. The trees or shrubs do not have to be wetland species, as long as they are in the AA or overhang its water.  Deciduous shrubs are especially likely to occur on mineral soils with little moss ground cover, such as burns, clearcuts, landslides, avalanche paths, abandoned beaver flowages, areas of recent glacial rebound or deglaciation, heavily grazed or drained lands, and floodplains. [CS, INV, OE, PH, SBM]</t>
  </si>
  <si>
    <t>Exclude moss growing on trees or rocks. [CS, PH]</t>
  </si>
  <si>
    <t>"Microtopography" refers mainly to the patchiness of vertical relief of &gt;6 inches and is represented only by inorganic features, except where living plants have created depressions or mounds (hummocks) of soil.  Do not count incised channels and other "macro" features.  If parts of the AA are flat but others have substantial microtopography, base your answer on which condition predominates in the parts of the AA that lack persistent water. [AM, EC, INV, NR, PH, POL, PR, SBM, SR, WS]</t>
  </si>
  <si>
    <t>Inclusions are slightly elevated "islands" or "pockets" dominated by upland vegetation and soils. Do not count as inclusions the elevated roots of trees or logs unless supported by a mound of mineral soil meeting the size threshold. Upland inclusions may sometimes be created by fill. [AM, NR, SBM]</t>
  </si>
  <si>
    <t>This addresses needs of many but not all migratory sandpipers, plovers, and related species. [WBF]</t>
  </si>
  <si>
    <t>[CS]</t>
  </si>
  <si>
    <t>Do not include upturned trees as potential den sites.  [POL, SBM]</t>
  </si>
  <si>
    <t>[PH, PU]</t>
  </si>
  <si>
    <t>[AM, PU, WBF, WBN]</t>
  </si>
  <si>
    <t>"Low impact" means adherence to Best Management Practices such as those defined by certification groups. Evidence of these consumptive uses may consist of direct observation, or presence of physical evidence (e.g., recently cut stumps, fishing lures, shell cases), or might be obtained from communication with the land owner or manager. [FAv, FRv, PHv, Subsis, WBFv]</t>
  </si>
  <si>
    <t>If unknown, assume this is true if there is an inhabited structure within the specified distance and the neighborhood is known to not be connected to a municipal drinking water system (e.g., is outside a densely settled area). [NRv]</t>
  </si>
  <si>
    <t>[EC, PR, WBF]</t>
  </si>
  <si>
    <t>Aerial imagery and land cover maps contained in the online WESPAK-SE Wetlands Module should be examined to answer this.  [AM, SBM]</t>
  </si>
  <si>
    <t>[AM, SBM]</t>
  </si>
  <si>
    <r>
      <t xml:space="preserve">Ketchikan and perhaps a few other communities have maps showing the 100-year probability floodplain. Although not comprehensive, see also the online WESPAK-SE Wetlands Module:  </t>
    </r>
    <r>
      <rPr>
        <b/>
        <sz val="10"/>
        <rFont val="Arial Narrow"/>
        <family val="2"/>
      </rPr>
      <t xml:space="preserve">SEAK Hydro Process </t>
    </r>
    <r>
      <rPr>
        <sz val="10"/>
        <rFont val="Arial Narrow"/>
        <family val="2"/>
      </rPr>
      <t>classified as "Flood Plain" channel.  [WSv]</t>
    </r>
  </si>
  <si>
    <t>Mendenhall Wetlands (Juneau), Berners Bay (Juneau), Port Snettisham (Juneau), Blacksand Spit (Yakutat), Icy Bay (Yakutat), Chilkat Bald Eagle Preserve (Haines), St. Lazaria Island (Sitka), Forrester Island (Prince of Wales-Outer Ketchikan), Stikine River Delta (Wrangell-Petersburg). [SBMv, WBFv, WBNv]</t>
  </si>
  <si>
    <t>The rating, assigned by the 2007 Southeast Alaska Conservation Assessment, assumes areas at lower elevations with more southerly exposures, and with a forest canopy that provides snow interception and thermal cover, constitute good habitat for deer during potentially limiting periods of severe winter weather.  [SBM, Subsis]</t>
  </si>
  <si>
    <t>The category breaks are based on the 10, 25, 50, 75, and 90th percentiles of modeled data for grid cells covering Southeast Alaska.  The modeled data are from the Oregon State University PRISM Climate Group and are based on the climate normals for the period 1981-2010, as well as elevation and latitude. [SFSv, OE]</t>
  </si>
  <si>
    <r>
      <t>In karst landscapes, the bedrock is likely to have many subsurface cracks, channels, caves, and sinkholes, and presence of karst is suggested by prevalence of certain plants (e.g., maidenhair and holly ferns (</t>
    </r>
    <r>
      <rPr>
        <i/>
        <sz val="10"/>
        <rFont val="Arial Narrow"/>
        <family val="2"/>
      </rPr>
      <t>Adiantum pedatum, Polystichum braunii</t>
    </r>
    <r>
      <rPr>
        <sz val="10"/>
        <rFont val="Arial Narrow"/>
        <family val="2"/>
      </rPr>
      <t>), purple mountain saxifrage (</t>
    </r>
    <r>
      <rPr>
        <i/>
        <sz val="10"/>
        <rFont val="Arial Narrow"/>
        <family val="2"/>
      </rPr>
      <t>Saxifraga oppositifolia</t>
    </r>
    <r>
      <rPr>
        <sz val="10"/>
        <rFont val="Arial Narrow"/>
        <family val="2"/>
      </rPr>
      <t>), columbine (</t>
    </r>
    <r>
      <rPr>
        <i/>
        <sz val="10"/>
        <rFont val="Arial Narrow"/>
        <family val="2"/>
      </rPr>
      <t>Aquilegia formosa</t>
    </r>
    <r>
      <rPr>
        <sz val="10"/>
        <rFont val="Arial Narrow"/>
        <family val="2"/>
      </rPr>
      <t>). [AM, FA, FR, INV, OE, PH]</t>
    </r>
  </si>
  <si>
    <t>If deep glacial till overlays the granitic bedrock it can obscure its effects. [FR, INV, OE, PH]</t>
  </si>
  <si>
    <t>See above. [SRv]</t>
  </si>
  <si>
    <t>[NRv]</t>
  </si>
  <si>
    <t xml:space="preserve"> [NRv, PRv, SRv, WSv]</t>
  </si>
  <si>
    <t>If there are no inflowing streams: In what direction does most runoff or groundwater flow as it moves through this AA? If necessary consider the Aspect 20m map in the online WESPAK-SE Wetlands Module. [AM, NR, PH, POL, SFS, WC, WS, WWv]</t>
  </si>
  <si>
    <t>For larger wetlands, go to the online Wetlands Module, click on Topographic for Basemap, zoom in closely until you see numbers on the contour lines.  Measure a line drawn from highest to lowest elevation along the part of the wetlland polygon having the greatest width measured perpendicular to contour lines. Then estimate elevational difference from the numbered contours and divide by the line length.  For small wetlands, use a clinometer or iPhone app to measure gradient or estimate by eye. [AM, CS, NR, OE, PR, SR, WBF, WBN, WS]</t>
  </si>
  <si>
    <t>If wetland is on a slope, measure from the highest- to lowest-elevation point in the wetland polygon. If wetland is flat or a pond, use the maximum width measured perpendicular to topographic lines uphill from the wetland.  Straight-line rather than channel distance is used here only for simplicity of measurement. The category breaks are based on the 10, 25, 50, 75, and 90th percentiles of intersected stream length of all Southeast Alaska non-tidal wetlands.  [NR, OE, PR, SR, WS]</t>
  </si>
  <si>
    <t>The rating (from TNC) is based on number of salmonid species present in the watershed and habitat suitability (based on stream type and floodplain extent) relative to suitability of other waters in the same biogeographic province. [FAv, Subsis]</t>
  </si>
  <si>
    <t>[PH, SBM]</t>
  </si>
  <si>
    <t>[PHv, SBM]</t>
  </si>
  <si>
    <t>[PU]</t>
  </si>
  <si>
    <t>voluntary= WRP, CRP, land trust easements with partial public funding, etc.  Locations of some sites are shown online at: http://www.conservationregistry.org/ [PU]</t>
  </si>
  <si>
    <t>Explanations, Definitions</t>
  </si>
  <si>
    <t>Site Name:</t>
  </si>
  <si>
    <r>
      <t xml:space="preserve">Site Location:                                                                                                                                                                                                                                                                                                                                                                                                                         Investigator:                                                                                                                                                     Date:                                                                                                                                                                                               </t>
    </r>
    <r>
      <rPr>
        <b/>
        <sz val="12"/>
        <rFont val="Arial Narrow"/>
        <family val="2"/>
      </rPr>
      <t xml:space="preserve">Site Notes: </t>
    </r>
  </si>
  <si>
    <r>
      <t xml:space="preserve">One or more of these species -- Pacific Loon, Yellow-billed Loon, Red-necked Grebe, Horned Grebe, Trumpeter Swan -- has been detected feeding semi-annually under conditions similar to what now occur, by a qualified observer.  </t>
    </r>
    <r>
      <rPr>
        <b/>
        <sz val="10"/>
        <rFont val="Arial Narrow"/>
        <family val="2"/>
      </rPr>
      <t xml:space="preserve">Mark just the first choice that is true: </t>
    </r>
  </si>
  <si>
    <t>"Population center" means a settled area with more than about 50 year-round residents per square mile. [FAv, FRv, NRv, WBFv, PH, PU, SBM, Subsis]</t>
  </si>
  <si>
    <t>Many roads are mapped in the online WESPAK-SE Wetlands Module: http://seakgis.alaska.edu/flex/wetlands/  [FAv, FRv, AM, PH, PU, SBM, WBN]</t>
  </si>
  <si>
    <t>Natural land cover includes wooded areas, peatlands, vegetated wetlands, and most other areas of perennial cover. It includes low-intensity timber harvest areas and clearcuts harvested more than 10 years ago. It does not include water, glaciers, annual crops, residential areas, golf courses, recreational fields, fields mowed &gt;1x per year, pavement, bare soil, rock, bare sand, or gravel or dirt roads. Natural land cover is not the same as native vegetation. It can include areas dominated by non-native plants if they provide perennial cover. Aerial imagery and land cover maps contained in the online WESPAK-SE Wetlands Module should be examined to answer this, and preferably should be verified during a site visit.  Do not include parts of the natural cover patch or corridor that are narrower than 150 ft.  [AM, SBM, Sens]</t>
  </si>
  <si>
    <t xml:space="preserve">View aerial imagery.  Disqualify any patch or corridor of natural land cover where it becomes separated from the AA by a linear gap of &gt;150 ft, if the gap is comprised of impervious surface, bare dirt, or lawn, or if the natural land corridor narrows to less than 150 ft.  Land cover maps contained in the online WESPAK-SE Wetlands Module may be examined to answer this, and to use its measure tool to determine acreage. [AM, SBM, Sens, WBN]
</t>
  </si>
  <si>
    <t>"Uninterrupted" means no roads, other unvegetated lands, or lawns -- regardless of their width.  "Natural" land corridor means a corridor comprised of natural land cover as defined in OF4 above.  To locate ponded waters, in the online WESPAK-SE Wetlands Module, enable the Land Classification Level 1 layer and look for blue polygons.  If multiple smaller water bodies are separated by &lt;150 ft they may be combined when evaluating acreage. [ AM, PH, SBM, Sens, WBF, WBN]</t>
  </si>
  <si>
    <t>In the online WESPAK-SE Wetlands Module, enable the Land Classification Level 1 layer and look for blue polygons larger than 20 acres.  If multiple smaller water bodies are separated by &lt;150 ft they may be combined when evaluating acreage. [Sens, WBF, WBN]</t>
  </si>
  <si>
    <t>"other wetland" could be contiguous wetland that is classified differently by NWI, or the same wetland but will be unaffected by proposed alteration. [NR, SBM, Sens]</t>
  </si>
  <si>
    <t>Base this on observations or (for most of the Tongass N.F. and adjoining private lands) consult the online WESPAK-SE Wetlands Module: Geology&gt; Landslides.
Consider steep upslope areas with shallow depth to bedrock and/or dominated by alder to be likely zones of past and possibly future erosion. [PH, PRv, Sens, SRv]</t>
  </si>
  <si>
    <t>The CA is basically the upslope area that has the potential to deliver water to the wetland, and is a subset of the watershed. The CA boundary typically does not cross any streams or ditches except the one at the wetland outlet (if any). Remember that if the wetland is flooded as little as once every 2 years by river flow, the CA includes all upriver lands that feed that flooding river. If the wetland is on the fringe of a pond or lake, compare the area of that water body to its contributing area -- not the area of the wetland compared to only the wetland's contributing area. For most wetlands, and especially ones containing tributaries, the first choice will be the most appropriate. [NR, PR, Sens, SR, WSv]</t>
  </si>
  <si>
    <t>"generally similar" means same type, where "type" is defined based on duration of ponded water [Sens, WBNv]</t>
  </si>
  <si>
    <t>These are waterbird species of conservation concern that, in most cases, do not breed in Southeast Alaska, but feed here regularly. [Sens, WBFv]</t>
  </si>
  <si>
    <t>These are wetland-associated songbird or raptor species of conservation concern that nest in Southeast Alaska.  List is from Alaska Landbird Conservation Plan (Andres 1999), Alaska Natural Heritage Program, and other sources. [SBMv, Sens]</t>
  </si>
  <si>
    <t>Although not complete, records of plant species locations can be obtained online from the Consortium of Pacific Northwest Herbaria at: http://www.pnwherbaria.org/data/search.php  [PHv, POLv, Sens]</t>
  </si>
  <si>
    <t>Aerial imagery should be examined to help answer this, and land cover maps contained in the online WESPAK-SE Wetlands Module may also be helpful, but should be verified during a site visit: [AMv, INVv, PHv, SBMv, POL, Sens]</t>
  </si>
  <si>
    <t>[INVv, AMv, SBMv, POLv, PHv, Sens]</t>
  </si>
  <si>
    <t>[AM, FA, FR, INV, NR, OEv, PH, PR, PU, SBM, Sens, SR, Subsis, WBF, WBN, WS, WWv]</t>
  </si>
  <si>
    <t>[AM, FA, FR, INV, OEv, PRv, SFSv, SRv, WCv, WSv, WWv]</t>
  </si>
  <si>
    <t>Streams with average gradients (measured over about a dozen feet) of more than 12%, can be assumed to be inaccessible to most fish unless data show otherwise. [AM, FA, FR, INV, NRv, PRv, Subsis, WBF, WBN]</t>
  </si>
  <si>
    <t>The category breaks are based on the 10, 25, 50, 75, and 90th percentiles of modeled data for grid cells covering Southeast Alaska.  The modeled data are from the Oregon State University PRISM Climate Group and are based on the climate normals for the period 1981-2010, as well as elevation and latitude. [AM, CS, FR, INV, NR, OE, PH, PR, Sens, SR, WBF, WC, WS, WWv]</t>
  </si>
  <si>
    <t>[AM, CS, FA, FR, NR, OEv, PH, PR, PU, SBM, Sens, SFSv, SR, Subsis, WBF, WC, WS, WWv]</t>
  </si>
  <si>
    <t>Wetlands that are of a type that is scarcer within their HUC12 watershed (indicated by a higher score here) are considered to be of greater value (not necessarily function) for several biological groups. [AMv, PHv, POLv, SBMv, Sens, WBFv, WBNv]</t>
  </si>
  <si>
    <t>[FA, INV, NRv, PRv, SRv, WC, WSv, WWv]</t>
  </si>
  <si>
    <t>[OEv]</t>
  </si>
  <si>
    <t>Subsistence uses are allowed even in communities designated as Non-subsistence if the use is by persons with subsistence permits.  [FAv, FRv, Subsis]</t>
  </si>
  <si>
    <t>[AMv, SBM, WBF, Sens]</t>
  </si>
  <si>
    <t xml:space="preserve"> Although not complete, additional records of amphibians and some species of vertebrates can be obtained by contacting the Alaska Natural Heritage Program or visiting their web site at: http://aknhp.uaa.alaska.edu/maps/biotics/   [AM, Sens]</t>
  </si>
  <si>
    <r>
      <t>bumps into</t>
    </r>
    <r>
      <rPr>
        <b/>
        <sz val="10"/>
        <rFont val="Arial Narrow"/>
        <family val="2"/>
      </rPr>
      <t xml:space="preserve"> herbaceous </t>
    </r>
    <r>
      <rPr>
        <sz val="10"/>
        <rFont val="Arial Narrow"/>
        <family val="2"/>
      </rPr>
      <t xml:space="preserve">vegetation and follows a fairly </t>
    </r>
    <r>
      <rPr>
        <b/>
        <sz val="10"/>
        <rFont val="Arial Narrow"/>
        <family val="2"/>
      </rPr>
      <t>indirect</t>
    </r>
    <r>
      <rPr>
        <sz val="10"/>
        <rFont val="Arial Narrow"/>
        <family val="2"/>
      </rPr>
      <t xml:space="preserve"> path from entrance to exit (meandering, multi-branched, or braided).</t>
    </r>
  </si>
  <si>
    <r>
      <t xml:space="preserve">bumps into tree trunks and/or shrub stems and follows a fairly </t>
    </r>
    <r>
      <rPr>
        <b/>
        <sz val="10"/>
        <rFont val="Arial Narrow"/>
        <family val="2"/>
      </rPr>
      <t>indirect</t>
    </r>
    <r>
      <rPr>
        <sz val="10"/>
        <rFont val="Arial Narrow"/>
        <family val="2"/>
      </rPr>
      <t xml:space="preserve"> path from entrance to exit (meandering, multi-branched, or braided).</t>
    </r>
  </si>
  <si>
    <t>leaves through natural exits, not mainly through artificial or temporary features.</t>
  </si>
  <si>
    <t>[AM, CS, FA, FR, INV, NR, OE, PH, Sens, SFS, WBF, WBN]</t>
  </si>
  <si>
    <t>This is the cumulative acreage of all areas lacking surface water in the AA. [AM, FA, FR, INV, NR, PH, PR, SBM, Sens, SRv, WBF, WBN, WC, WW]</t>
  </si>
  <si>
    <t>If a boat is unavailable, estimate this by considering wetland size and local topography.  Or if timing and safety allow, depths may be measured by drilling through winter ice.This question is asking about the spatial median depth that occurs during most of that time, even if inundation is only seasonal or temporary. If inundation in most but not all of the wetland is brief, the answer will be based on the depth of the most persistently inundated part of the wetland. Include surface water in channels and ditches as well as ponded areas.  [CS, FA, FR, INV, OE, PH, PR, Sens, SFS, SR, WBF, WBN, WC, WW]</t>
  </si>
  <si>
    <t>"Vegetated area" does not include underwater or floating-leaved plants, i.e., aquatic bed. Width may include wooded riparian areas if they have wetland soil or plant indicators. For most sites larger than 10 acres and with persistent water, measure the width using aerial imagery rather than estimate in the field. [AM, CS, NR, OE, PH, PR, SBM, Sens, SR, WBN]</t>
  </si>
  <si>
    <t>Available data suggest this ranking from shortest to longest ice duration based on location: Ketchikan, Annette, Sitka, Little Port Walter, Juneau, Yakutat, Annex Creek. However, local factors such as elevation, water body depth, and flow velocity should be considered. [AM, CS, FR, NR, OE, PR, Sens, SFS, SR, WBF, WS]</t>
  </si>
  <si>
    <t xml:space="preserve"> [FA, FR, PH, SBM, Sens, WBF, WBN]</t>
  </si>
  <si>
    <t>Do not count trees if they merely hang into the wetland. They must be rooted in soils that are saturated for several weeks of the growing season. The "vegetated part" should not include floating-leaved or submersed aquatics. [PH, SBM, Sens]</t>
  </si>
  <si>
    <t>The trees and shrubs need not be wetland species. Measurements are the d.b.h., the diameter of the tree measured at 4.5 ft above the ground. [AM, CS, POL, SBM, Sens, WBN]</t>
  </si>
  <si>
    <t>[EC, PH, SBM, Sens]</t>
  </si>
  <si>
    <t>In larger forested wetlands, patchiness is best interpreted from aerial imagery. Images that show "coarse-grained" forests indicate presence of multiple age classes and/or numerous small openings, whereas those that show "fine-grained" forests suggest more even-aged, even-sized forest with little interspersion. [SBM, Sens]</t>
  </si>
  <si>
    <t>Thatch is dead plant material (stems, leaves) resting on the ground surface.  Bare ground that is present under a tree or shrub canopy should be counted.  [AM, EC, INV, NR, OE, POL, PR, SBM, Sens, SR]</t>
  </si>
  <si>
    <t>"Organic" includes muck, mucky peat, peat, and mucky mineral soils that comprise the "Oi" horizon. These soils are much less common in floodplains. Do not include duff (loose organic surface material, e.g., dead plant leaves and stems). If texture varies greatly, base your answer on which texture predominates in the parts of the AA that lack persistent water. [CS, NR, OE, PH, PR, Sens, SFS, WS]</t>
  </si>
  <si>
    <t>[EC, INV, PH, POL, Sens]</t>
  </si>
  <si>
    <t xml:space="preserve"> [EC, PH, POL, Sens]</t>
  </si>
  <si>
    <t>Consider the aspect and surrounding topographic relief as well as vegetation height and density. [FA, WC, WW]</t>
  </si>
  <si>
    <t>Nearly all wetlands with surface water have some ponded water. [AM, CS, FA, FR, INV, NR, OE, Sens, SR, SBM, WBF, WBN, WC, WS, WW]</t>
  </si>
  <si>
    <r>
      <t>Open water</t>
    </r>
    <r>
      <rPr>
        <sz val="10"/>
        <rFont val="Arial Narrow"/>
        <family val="2"/>
      </rPr>
      <t xml:space="preserve"> may have floating aquatic vegetation provided it does not usually extend above the water surface. [AM, CS, FA, FR, INV, NR, OE, PR, SR, WBF, WBN, WC, WW]</t>
    </r>
  </si>
  <si>
    <t>[FR, OE, PR, WW]</t>
  </si>
  <si>
    <t xml:space="preserve"> [WC, WWv]</t>
  </si>
  <si>
    <t>[FA, FR, INV, NR, OE, PR, SR, WS]</t>
  </si>
  <si>
    <t>"Major runoff events" would include biennial high water caused by storms and/or rapid snowmelt. [CS, NR, OE, PR, Sens, SR, WS]</t>
  </si>
  <si>
    <t>Do not count trees if they merely hang into the wetland. They must be rooted in soils that are saturated for several weeks of the growing season. The "vegetated part" should not include floating-leaved or submersed aquatics. [CS, OE, INV, SBM, PH]</t>
  </si>
  <si>
    <t>Exclude temporary "burn piles." [AM, INV, POL, SBM]</t>
  </si>
  <si>
    <r>
      <t xml:space="preserve">forbs </t>
    </r>
    <r>
      <rPr>
        <sz val="10"/>
        <rFont val="Arial Narrow"/>
        <family val="2"/>
      </rPr>
      <t>= flowering non-woody vascular plants (excludes grasses, sedges, ferns, mosses). Exclude horsetail (</t>
    </r>
    <r>
      <rPr>
        <i/>
        <sz val="10"/>
        <rFont val="Arial Narrow"/>
        <family val="2"/>
      </rPr>
      <t>Equisetum</t>
    </r>
    <r>
      <rPr>
        <sz val="10"/>
        <rFont val="Arial Narrow"/>
        <family val="2"/>
      </rPr>
      <t>) even though technically it is a forb.  [POL]</t>
    </r>
  </si>
  <si>
    <t>If the wetland has no upland edge, or upland edge is &lt;10% of wetland's perimeter, then answer for the portion of the upland closest to the wetland. If a plant cannot be identified to species (e.g., winter conditions) but its genus contains an invasive species, assume the unidentified plant to also be invasive. If vegetation is so senesced that invasive species cannot be identified, answer "none". [PH]</t>
  </si>
  <si>
    <t>[AM, FA, INV, NRv, PH, SBM, WBN]</t>
  </si>
  <si>
    <t>[PU, WBFv]</t>
  </si>
  <si>
    <t>In the online WESPAK Wetlands Module, generalized ownership category can be viewed but consult local tax maps if possible. [PU]</t>
  </si>
  <si>
    <t>Some trails, roads, and Interpretive centers are shown in the online WESPAK Wetlands Module. Enable the Recreation layer &gt; Recreation Facilities. [PU]</t>
  </si>
  <si>
    <t>Include visits by foot, canoe, kayak, or any non-motorized mode. Judge this based on proximity to population centers, roads, trails, accessibility of the wetland to the public, wetland size, usual water depth, and physical evidence of human visitation. Exclude visits that are not likely to continue and/or that are not an annual occurrence, e.g., by construction or monitoring crews. [AM, FAv, FRv, PH, PU, SBM, WBF, WBN]</t>
  </si>
  <si>
    <t>Include visits by foot, canoe, kayak, or any non-motorized mode. Exclude visits that are not likely to continue and/or that are not an annual occurrence, e.g., by construction or monitoring crews. [AM, PH, PU, SBM, WBF, WBN]</t>
  </si>
  <si>
    <t xml:space="preserve">Investigator:                                                         Date:                                                                </t>
  </si>
  <si>
    <t xml:space="preserve">Site Name:                                                           Site Location:                                                    </t>
  </si>
  <si>
    <t>In the last column, place a check mark next to any item that is likely to have caused a part of the wetland to be inundated more extensively, more frequently, more deeply, and/or for longer duration than it would be without that item or activity.  Consider only items occurring within past 100 years or since wetland was created or restored (whichever is less).  (The items you check are not used automatically in subsequent calculations.  They are included simply so they may be considered when evaluating the factors in the table beneath them).  [CS]</t>
  </si>
  <si>
    <r>
      <t xml:space="preserve">In the last column, place a check mark next to any item occurring in the wetland's </t>
    </r>
    <r>
      <rPr>
        <b/>
        <i/>
        <sz val="10"/>
        <rFont val="Arial Narrow"/>
        <family val="2"/>
      </rPr>
      <t>contributing area</t>
    </r>
    <r>
      <rPr>
        <i/>
        <sz val="10"/>
        <rFont val="Arial Narrow"/>
        <family val="2"/>
      </rPr>
      <t xml:space="preserve"> (CA) that is likely to have caused a part of the wetland to be inundated more extensively, more frequently, more deeply, and/or for longer duration than it would be without that item or activity.  Consider only items occurring within past 100 years or since wetland was created or restored (whichever is less). </t>
    </r>
  </si>
  <si>
    <t xml:space="preserve">In the last column, place a check mark next to any item located within or immediately adjacent to the wetland, that is likely to have caused a part of the wetland to be inundated less extensively, less deeply, less frequently, and/or for shorter duration that it would be without that item.  Consider only items occurring within past 100 years or since wetland was created or restored (whichever is less). </t>
  </si>
  <si>
    <t xml:space="preserve">In the last column, place a check mark next to any item within the wetland's CA (including channels flowing into the wetland) that is likely to have caused a part of the wetland to be inundated less extensively, less deeply, less frequently, and/or for shorter duration that it would be without those.  Consider only items occurring within past 100 years or since wetland was created or restored (whichever is less).  </t>
  </si>
  <si>
    <r>
      <t>In the last column, place a check mark next to any item that is likely to have caused the</t>
    </r>
    <r>
      <rPr>
        <b/>
        <i/>
        <sz val="10"/>
        <rFont val="Arial Narrow"/>
        <family val="2"/>
      </rPr>
      <t xml:space="preserve"> timing</t>
    </r>
    <r>
      <rPr>
        <i/>
        <sz val="10"/>
        <rFont val="Arial Narrow"/>
        <family val="2"/>
      </rPr>
      <t xml:space="preserve"> of water inputs (but not necessarily their volume) to shift by hours, days, or weeks, becoming either </t>
    </r>
    <r>
      <rPr>
        <b/>
        <i/>
        <sz val="10"/>
        <rFont val="Arial Narrow"/>
        <family val="2"/>
      </rPr>
      <t>more muted</t>
    </r>
    <r>
      <rPr>
        <i/>
        <sz val="10"/>
        <rFont val="Arial Narrow"/>
        <family val="2"/>
      </rPr>
      <t xml:space="preserve"> (smaller or less frequent peaks spread over longer times, more temporal homogeneity of flow or water levels) </t>
    </r>
    <r>
      <rPr>
        <b/>
        <i/>
        <sz val="10"/>
        <rFont val="Arial Narrow"/>
        <family val="2"/>
      </rPr>
      <t>or more flashy</t>
    </r>
    <r>
      <rPr>
        <i/>
        <sz val="10"/>
        <rFont val="Arial Narrow"/>
        <family val="2"/>
      </rPr>
      <t xml:space="preserve"> (larger or more frequent spikes but over shorter times).  [FA, FR, INV, PH]</t>
    </r>
  </si>
  <si>
    <t>In the last column, place a check mark next to any item -- occurring in either the wetland or its CA -- that is likely to have accelerated the inputs of contaminants or salts to the AA.  [FA, NRv, PRv]</t>
  </si>
  <si>
    <t xml:space="preserve">In the last column, place a check mark next to any item -- occurring in either the wetland or its CA -- that is likely to have accelerated the inputs of nutrients to the wetland. </t>
  </si>
  <si>
    <t>In the last column, place a check mark next to any item present in the CA that is likely to have elevated the load of waterborne or windborne sediment reaching the wetland from its CA.  [FA, INV, SRv]</t>
  </si>
  <si>
    <t>In the last column, place a check mark next to any item present in the wetland that is likely to have compacted, eroded, or otherwise altered the wetland's soil.  Consider only items occurring within past 100 years or since wetland was created or restored (whichever is less).   [CS, INV, NR, PH]</t>
  </si>
  <si>
    <t>Sum=</t>
  </si>
  <si>
    <r>
      <t xml:space="preserve">100% of the ponded water. </t>
    </r>
    <r>
      <rPr>
        <b/>
        <sz val="10"/>
        <rFont val="Arial Narrow"/>
        <family val="2"/>
      </rPr>
      <t>SKIP to F18.</t>
    </r>
  </si>
  <si>
    <r>
      <t xml:space="preserve">During most of the growing season, the spatial pattern of herbaceous vegetation that has </t>
    </r>
    <r>
      <rPr>
        <b/>
        <sz val="10"/>
        <rFont val="Arial Narrow"/>
        <family val="2"/>
      </rPr>
      <t xml:space="preserve">surface </t>
    </r>
    <r>
      <rPr>
        <sz val="10"/>
        <rFont val="Arial Narrow"/>
        <family val="2"/>
      </rPr>
      <t>water beneath it (emergent vegetation -- NOT floating-leaved plants) is mostly:</t>
    </r>
  </si>
  <si>
    <r>
      <t xml:space="preserve">none -- but maps show a stream or other water body that is downslope from the AA and within a distance that is less than the AA's </t>
    </r>
    <r>
      <rPr>
        <i/>
        <sz val="10"/>
        <rFont val="Arial Narrow"/>
        <family val="2"/>
      </rPr>
      <t>path length</t>
    </r>
    <r>
      <rPr>
        <sz val="10"/>
        <rFont val="Arial Narrow"/>
        <family val="2"/>
      </rPr>
      <t xml:space="preserve"> (see definition, OF35).  If so, mark "1" here and </t>
    </r>
    <r>
      <rPr>
        <b/>
        <sz val="10"/>
        <rFont val="Arial Narrow"/>
        <family val="2"/>
      </rPr>
      <t xml:space="preserve">SKIP TO F30. </t>
    </r>
  </si>
  <si>
    <r>
      <t xml:space="preserve">no surface water flows out of the wetland except possibly during extreme events (less than once per 10 years). Or, water flows only into a wetland, ditch, or lake that lacks an outlet.  If so, mark "1" here and </t>
    </r>
    <r>
      <rPr>
        <b/>
        <sz val="10"/>
        <rFont val="Arial Narrow"/>
        <family val="2"/>
      </rPr>
      <t>SKIP TO F30.</t>
    </r>
    <r>
      <rPr>
        <sz val="10"/>
        <rFont val="Arial Narrow"/>
        <family val="2"/>
      </rPr>
      <t xml:space="preserve"> </t>
    </r>
  </si>
  <si>
    <r>
      <t xml:space="preserve">&lt;1% of the vegetated AA, or the AA lacks trees.  Enter "1" and </t>
    </r>
    <r>
      <rPr>
        <b/>
        <sz val="10"/>
        <rFont val="Arial Narrow"/>
        <family val="2"/>
      </rPr>
      <t>SKIP to F37.</t>
    </r>
  </si>
  <si>
    <r>
      <t xml:space="preserve">&gt;99% of the AA never contains surface water, except for water flowing in channels and/or in pools that occupy &lt;1% of the AA. </t>
    </r>
    <r>
      <rPr>
        <b/>
        <sz val="10"/>
        <rFont val="Arial Narrow"/>
        <family val="2"/>
      </rPr>
      <t>SKIP to F30.</t>
    </r>
  </si>
  <si>
    <r>
      <t xml:space="preserve">Narrow outlets limit water outflow from a wetland and its downstream or downslope movement, thus causing water to back up into the wetland, which allows more time for scarbon in suspension to settle, although methane emissions may be higher due to greater likelihood of anaerobic conditions developing. Ditching of some wetlands may reduce methane emissions in the long term but initially accelerates the decomposition and loss of historically stored carbon.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</si>
  <si>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t>Literature Cited:</t>
  </si>
  <si>
    <t>EC</t>
  </si>
  <si>
    <r>
      <rPr>
        <b/>
        <sz val="10"/>
        <rFont val="Arial Narrow"/>
        <family val="2"/>
      </rPr>
      <t>Natural land cover</t>
    </r>
    <r>
      <rPr>
        <sz val="10"/>
        <rFont val="Arial Narrow"/>
        <family val="2"/>
      </rPr>
      <t xml:space="preserve"> includes wooded areas, peatlands, vegetated wetlands, and most other areas of perennial vegetation. It does not include water, glaciers, annual crops, residential areas, golf courses, recreational fields, fields mowed &gt;1x per year, pavement, bare soil, rock, bare sand, or gravel or dirt roads. Natural land cover is not the same as native vegetation. It can include areas with invasive plants. If the AA does not adjoin upland, base your answer on the closest upland. [AM, FA, FR, INV, NRv, PH, PRv, SBM, Sens, SRv, WBN]</t>
    </r>
  </si>
  <si>
    <r>
      <rPr>
        <b/>
        <sz val="10"/>
        <rFont val="Arial Narrow"/>
        <family val="2"/>
      </rPr>
      <t>Disturbance feature</t>
    </r>
    <r>
      <rPr>
        <sz val="10"/>
        <rFont val="Arial Narrow"/>
        <family val="2"/>
      </rPr>
      <t xml:space="preserve"> = building, paved area, recently cleared area, dirt road, lawn, annually-harvested row crops. Use judgment to decide if extent or proximity is more influential for a noted disturbance. If the AA is only part of a wetland and does not have an upland edge, evaluate this along the upland edge closest to the AA. Estimate slope by dividing the elevation difference (between the wetland and disturbed area) by their horizontal distance apart. [NRv, PRv, Sens, SRv]</t>
    </r>
  </si>
  <si>
    <t xml:space="preserve">Within 500 ft </t>
  </si>
  <si>
    <t xml:space="preserve">500-1000 ft </t>
  </si>
  <si>
    <t>&gt;1000 ft away, or none, or no information</t>
  </si>
  <si>
    <r>
      <t xml:space="preserve">&lt;150 ft, but completely separated from the 100-acre natural area </t>
    </r>
    <r>
      <rPr>
        <b/>
        <sz val="10"/>
        <rFont val="Arial Narrow"/>
        <family val="2"/>
      </rPr>
      <t>by any width</t>
    </r>
    <r>
      <rPr>
        <sz val="10"/>
        <rFont val="Arial Narrow"/>
        <family val="2"/>
      </rPr>
      <t xml:space="preserve"> of roads, stretches of open water, bare ground, lawn, or impervious surface, AND the AA does not contain &gt;100 acres of vegetation.</t>
    </r>
  </si>
  <si>
    <r>
      <t xml:space="preserve">Ponded water </t>
    </r>
    <r>
      <rPr>
        <sz val="10"/>
        <rFont val="Arial Narrow"/>
        <family val="2"/>
      </rPr>
      <t>= any surface water greater than 1 acre that is not obviously part of a river, stream, or tidal system. In the online WESPAK-SE Wetlands Module, enable the Land Classification Level 1 layer and look for blue polygons.  Also include herbaceous (emergent) wetlands larger than 1 acre if they are inundated and water is ponded at least seasonally. [AM, PH, SBM, Sens, WBF, WBN]</t>
    </r>
  </si>
  <si>
    <t>Check to be sure the problem is related to metals, hydrocarbons, other toxic substances -- NOT to sediment, turbidity, TSS, bacteria, oxygen, or temperature: in the Wetlands Module, use the Identify tool to click on the line segment or area and scroll through all the text in the pop-up window to see the type of problem. If no quality-controlled sampling has been done, then a statement or rating documenting the problem and published in a recent agency report or official correspondence may be counted. Also, if time allows, query and retrieve water quality data from: http://www.waterqualitydata.us/   Do not speculate or infer toxic conditions from presence of potential pollution sources. The water quality problem must be ongoing, not only historical. [AM, FA, FR, SRv, STR, WBF, WBN]</t>
  </si>
  <si>
    <t xml:space="preserve">If any items were checked above, then for each row of the table below, you may assign points (3, 2, or 1 as shown in header) in the last column.  However, if you believe the checked items had no measurable effect in making any part of the AA wetter, then leave the "0's" for the scores in the following rows.  To estimate effects, contrast the current condition with the condition if the checked items never occurred or were no longer present.  The sum and final score will compute automatically.  </t>
  </si>
  <si>
    <t xml:space="preserve">If any items were checked above, then for each row of the table below, you may assign points (3, 2, or 1 as shown in header) in the last column.  However, if you believe the checked items had no measurable effect in making any part of the AA wetter,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</si>
  <si>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in the last column.  However, if you believe the checked items had no measurable effect in making any part of the AA drier,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</si>
  <si>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However, if you believe the checked items had no measurable effect on the timing of water conditions in any part of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</si>
  <si>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However, if you believe the checked items did not cumulatively expose the AA to significantly higher levels of contaminants and/or salts,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</si>
  <si>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However, if you believe the checked items did not cumulatively expose the AA to significantly more nutrients,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</si>
  <si>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(3, 2, or 1 as shown in header) in the last column.  However, if you believe the checked items did not cumulatively add significantly more sediment or suspended solids to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</si>
  <si>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However, if you believe the checked items did not measurably alter the soil structure and/or topography, then leave the "0's" for the scores in the following rows.  To estimate effects, contrast the current condition with the condition if the checked items never occurred or were no longer present. </t>
  </si>
  <si>
    <t>The integrity or health of a wetland, as defined operationally by its vegetation composition and richness of native species.  More broadly, the similarity of a wetland's structure, composition, and function with that of a reference wetland of the same type and landscape setting, operating within the bounds of natural or historical disturbance regimes.</t>
  </si>
  <si>
    <t>Organic                            Nutrient                           Export</t>
  </si>
  <si>
    <r>
      <rPr>
        <sz val="10"/>
        <rFont val="Arial Narrow"/>
        <family val="2"/>
      </rPr>
      <t>Path length is the length of a wetland measured in a straight line from inlet to outlet, or from highest to lowest elevation within the wetland (i.e., in the direction of predominant downhill surface flow) -- see OF35. Consult the hydrography layer of the WESPAK-SE web site if uncertain if AA is intersected by or near a channel. A channel is defined as an observably incised landform that transports surface water in a downhill direction during some part of a normal year. A larger difference in elevation between the wetland-upland boundary and the bottom of the wetland outlet (if any) indicates shorter outflow duration. The frequencies given are only approximate and are for a "normal" year. The connection need not occur during the growing season.</t>
    </r>
    <r>
      <rPr>
        <b/>
        <sz val="10"/>
        <rFont val="Arial Narrow"/>
        <family val="2"/>
      </rPr>
      <t xml:space="preserve"> </t>
    </r>
    <r>
      <rPr>
        <sz val="10"/>
        <rFont val="Arial Narrow"/>
        <family val="2"/>
      </rPr>
      <t>[CS, FA, FR, NR, OE, PR, Sens, SFS, SR, WC, WS, WWv]</t>
    </r>
  </si>
  <si>
    <t>Function Rating</t>
  </si>
  <si>
    <t>Value Rating</t>
  </si>
  <si>
    <t>FUNCTION</t>
  </si>
  <si>
    <t>VALUE</t>
  </si>
  <si>
    <t>Investigator Name:</t>
  </si>
  <si>
    <t>Date of Field Assessment:</t>
  </si>
  <si>
    <t>Nearest Town:</t>
  </si>
  <si>
    <t>Latitude (decimal degrees):</t>
  </si>
  <si>
    <t>Longitude (decimal degrees):</t>
  </si>
  <si>
    <t>Approximate size of the Assessment Area (AA, in acres)</t>
  </si>
  <si>
    <t>AA as percent of entire wetland (approx.)</t>
  </si>
  <si>
    <t>Tidal phase during most of visit:</t>
  </si>
  <si>
    <t>Have you attended a training session for this protocol?  If so, indicate approximate month &amp; year.</t>
  </si>
  <si>
    <t>How many wetlands have you assessed previously using this protocol (approx.)?</t>
  </si>
  <si>
    <r>
      <t xml:space="preserve">What percent (approx.) of the </t>
    </r>
    <r>
      <rPr>
        <b/>
        <sz val="10"/>
        <rFont val="Arial"/>
        <family val="2"/>
      </rPr>
      <t>wetland</t>
    </r>
    <r>
      <rPr>
        <sz val="10"/>
        <rFont val="Arial"/>
        <family val="2"/>
      </rPr>
      <t xml:space="preserve"> were you able to visit?</t>
    </r>
  </si>
  <si>
    <r>
      <t xml:space="preserve">What percent (approx.) of the </t>
    </r>
    <r>
      <rPr>
        <b/>
        <sz val="10"/>
        <rFont val="Arial"/>
        <family val="2"/>
      </rPr>
      <t xml:space="preserve">AA </t>
    </r>
    <r>
      <rPr>
        <sz val="10"/>
        <rFont val="Arial"/>
        <family val="2"/>
      </rPr>
      <t>were you able to visit?</t>
    </r>
  </si>
  <si>
    <t>HUC12 Watershed # (from UAS web site):</t>
  </si>
  <si>
    <t>Southeast Alaska</t>
  </si>
  <si>
    <t xml:space="preserve">WIS                  </t>
  </si>
  <si>
    <r>
      <rPr>
        <b/>
        <sz val="10"/>
        <rFont val="Arial Narrow"/>
        <family val="2"/>
      </rPr>
      <t>Attributes of Alaskan Vascular Plants</t>
    </r>
    <r>
      <rPr>
        <sz val="10"/>
        <rFont val="Arial Narrow"/>
        <family val="2"/>
      </rPr>
      <t xml:space="preserve">. Species listed are mainly those for which a wetland indicator status has been assigned by federal agencies. Some species may be listed under both old and new nomenclature.  SE #recs is the number of records for Southeast Alaska, according to Consortium of Pacific Northwest Herbaria).  </t>
    </r>
    <r>
      <rPr>
        <b/>
        <sz val="10"/>
        <rFont val="Arial Narrow"/>
        <family val="2"/>
      </rPr>
      <t>WIS</t>
    </r>
    <r>
      <rPr>
        <sz val="10"/>
        <rFont val="Arial Narrow"/>
        <family val="2"/>
      </rPr>
      <t xml:space="preserve">= Wetland Indicator Status.  </t>
    </r>
    <r>
      <rPr>
        <b/>
        <sz val="10"/>
        <rFont val="Arial Narrow"/>
        <family val="2"/>
      </rPr>
      <t>Non-Native</t>
    </r>
    <r>
      <rPr>
        <sz val="10"/>
        <rFont val="Arial Narrow"/>
        <family val="2"/>
      </rPr>
      <t>= species not native to Southeast Alaska; this list is</t>
    </r>
    <r>
      <rPr>
        <b/>
        <sz val="10"/>
        <rFont val="Arial Narrow"/>
        <family val="2"/>
      </rPr>
      <t xml:space="preserve"> not c</t>
    </r>
    <r>
      <rPr>
        <sz val="10"/>
        <rFont val="Arial Narrow"/>
        <family val="2"/>
      </rPr>
      <t xml:space="preserve">omplete.  </t>
    </r>
    <r>
      <rPr>
        <b/>
        <sz val="10"/>
        <rFont val="Arial Narrow"/>
        <family val="2"/>
      </rPr>
      <t>Invasive</t>
    </r>
    <r>
      <rPr>
        <sz val="10"/>
        <rFont val="Arial Narrow"/>
        <family val="2"/>
      </rPr>
      <t xml:space="preserve">= non-native species, where found, that have the greatest actual or potential adverse effect on native plant richness (Heutte et al. 2003).  </t>
    </r>
    <r>
      <rPr>
        <b/>
        <sz val="10"/>
        <rFont val="Arial Narrow"/>
        <family val="2"/>
      </rPr>
      <t>Rare</t>
    </r>
    <r>
      <rPr>
        <sz val="10"/>
        <rFont val="Arial Narrow"/>
        <family val="2"/>
      </rPr>
      <t>= species (1) or subspecies/varieties (2) designated by Alaska Natural Heritage Program as S1, S2, S3 or G1, G2, or G3.  Many other species are believed to be rare or very limited in their regional distribution (see SE #recs).</t>
    </r>
  </si>
  <si>
    <r>
      <t xml:space="preserve">apparently no invasive species are present </t>
    </r>
    <r>
      <rPr>
        <b/>
        <u/>
        <sz val="10"/>
        <rFont val="Arial Narrow"/>
        <family val="2"/>
      </rPr>
      <t>in</t>
    </r>
    <r>
      <rPr>
        <sz val="10"/>
        <rFont val="Arial Narrow"/>
        <family val="2"/>
      </rPr>
      <t xml:space="preserve"> the AA.</t>
    </r>
  </si>
  <si>
    <t>Along the wetland-upland boundary, the percent of the upland edge (within 10 ft of wetland) that is occupied by plant species that are considered invasive is:  (see list in above question, plus others in PlantList worksheet or Table B-3 of the manual)</t>
  </si>
  <si>
    <t>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t>
  </si>
  <si>
    <r>
      <t xml:space="preserve">&lt;5% of the vegetated AA, or there is no woody vegetation in the AA.  </t>
    </r>
    <r>
      <rPr>
        <b/>
        <sz val="10"/>
        <rFont val="Arial Narrow"/>
        <family val="2"/>
      </rPr>
      <t>SKIP to F41.</t>
    </r>
  </si>
  <si>
    <r>
      <t xml:space="preserve">&lt;5% of the vegetated AA and (if a fringe wetland) &lt;5% of its water edge.  Or &lt;0.01 acre.  </t>
    </r>
    <r>
      <rPr>
        <b/>
        <sz val="10"/>
        <rFont val="Arial Narrow"/>
        <family val="2"/>
      </rPr>
      <t>SKIP to F41.</t>
    </r>
  </si>
  <si>
    <r>
      <t xml:space="preserve">&lt;0.1 acre.  </t>
    </r>
    <r>
      <rPr>
        <b/>
        <sz val="10"/>
        <rFont val="Arial Narrow"/>
        <family val="2"/>
      </rPr>
      <t>SKIP to F54.</t>
    </r>
  </si>
  <si>
    <r>
      <t xml:space="preserve">&lt;5% of the vegetated part of the AA.  Mark "1" here and </t>
    </r>
    <r>
      <rPr>
        <b/>
        <sz val="10"/>
        <rFont val="Arial Narrow"/>
        <family val="2"/>
      </rPr>
      <t>SKIP to F54.</t>
    </r>
  </si>
  <si>
    <r>
      <t xml:space="preserve">&gt;95% of the vegetated ground cover. </t>
    </r>
    <r>
      <rPr>
        <b/>
        <sz val="10"/>
        <rFont val="Arial Narrow"/>
        <family val="2"/>
      </rPr>
      <t>SKIP to F52.</t>
    </r>
  </si>
  <si>
    <r>
      <t xml:space="preserve">&gt;90%.  </t>
    </r>
    <r>
      <rPr>
        <b/>
        <sz val="10"/>
        <rFont val="Arial Narrow"/>
        <family val="2"/>
      </rPr>
      <t>SKIP to F58</t>
    </r>
    <r>
      <rPr>
        <sz val="10"/>
        <rFont val="Arial Narrow"/>
        <family val="2"/>
      </rPr>
      <t>.</t>
    </r>
  </si>
  <si>
    <r>
      <t xml:space="preserve">&lt;5%.  If F63 was answered "&gt;95%", </t>
    </r>
    <r>
      <rPr>
        <b/>
        <sz val="10"/>
        <rFont val="Arial Narrow"/>
        <family val="2"/>
      </rPr>
      <t>SKIP to F67.</t>
    </r>
  </si>
  <si>
    <t>active mine, mid-sized town, cropland</t>
  </si>
  <si>
    <t>mildly impacting (reclaimed minie, low density residential)</t>
  </si>
  <si>
    <r>
      <t xml:space="preserve">is in Juneau or Ketchikan, and thus is a designated </t>
    </r>
    <r>
      <rPr>
        <b/>
        <sz val="10"/>
        <rFont val="Arial Narrow"/>
        <family val="2"/>
      </rPr>
      <t>Non</t>
    </r>
    <r>
      <rPr>
        <sz val="10"/>
        <rFont val="Arial Narrow"/>
        <family val="2"/>
      </rPr>
      <t>-subsistence Use Area (see WESPAK-SE Wetlands Module&gt; ADFG Nonsubsistence Use Areas for exact boundaries)</t>
    </r>
  </si>
  <si>
    <t>The AA or waters that directly adjoin it:</t>
  </si>
  <si>
    <t>no data (outside of the regions shown on the maps, and not listed in Table B-6)</t>
  </si>
  <si>
    <t>is accessible to salmon AND is a major salmon subsistence harvest area according to (a) Table B-6 of the manual, OR (b) Figures A2a-c of the manual (shown as a point on the maps)</t>
  </si>
  <si>
    <t>Summary Scores for Groups:</t>
  </si>
  <si>
    <t>"Birds-eye view" means vertical view from about 500 ft above the wetland surface, and thus excludes herbaceous vegetation hidden beneath a tree or shrub canopy.  [WBF, WBN, POL]</t>
  </si>
  <si>
    <r>
      <t xml:space="preserve">The </t>
    </r>
    <r>
      <rPr>
        <b/>
        <sz val="10"/>
        <rFont val="Arial Narrow"/>
        <family val="2"/>
      </rPr>
      <t>area</t>
    </r>
    <r>
      <rPr>
        <sz val="10"/>
        <rFont val="Arial Narrow"/>
        <family val="2"/>
      </rPr>
      <t xml:space="preserve"> of the largest patch of herbaceous vegetation (e.g., sedges, grasses, skunk cabbage, other forbs -- </t>
    </r>
    <r>
      <rPr>
        <b/>
        <sz val="10"/>
        <rFont val="Arial Narrow"/>
        <family val="2"/>
      </rPr>
      <t xml:space="preserve">excluding mosses </t>
    </r>
    <r>
      <rPr>
        <sz val="10"/>
        <rFont val="Arial Narrow"/>
        <family val="2"/>
      </rPr>
      <t xml:space="preserve">and submerged and floating aquatics) </t>
    </r>
    <r>
      <rPr>
        <b/>
        <u/>
        <sz val="10"/>
        <rFont val="Arial Narrow"/>
        <family val="2"/>
      </rPr>
      <t>within</t>
    </r>
    <r>
      <rPr>
        <sz val="10"/>
        <rFont val="Arial Narrow"/>
        <family val="2"/>
      </rPr>
      <t xml:space="preserve"> the AA is:  [</t>
    </r>
    <r>
      <rPr>
        <i/>
        <sz val="10"/>
        <rFont val="Arial Narrow"/>
        <family val="2"/>
      </rPr>
      <t>Note: Do not include areas where the herbaceous canopy is so thin that moss is visible beneath it during the height of the growing season</t>
    </r>
    <r>
      <rPr>
        <sz val="10"/>
        <rFont val="Arial Narrow"/>
        <family val="2"/>
      </rPr>
      <t xml:space="preserve">]. </t>
    </r>
  </si>
  <si>
    <t>0.1 acre is about 66 ft on a side if square.  If the AA is smaller than the wetland within which it is located, extend the patch to include contiguous herbaceous vegetation in the same wetland (but a different AA) and revise the area estimate.  Include herbaceous patches that are under a forest canopy as well as those visible in aerial imagery.  [PH, SBM, Sens, WBF, WBN]</t>
  </si>
  <si>
    <r>
      <t xml:space="preserve">As </t>
    </r>
    <r>
      <rPr>
        <b/>
        <sz val="10"/>
        <rFont val="Arial Narrow"/>
        <family val="2"/>
      </rPr>
      <t>visible in birds-eye view</t>
    </r>
    <r>
      <rPr>
        <sz val="10"/>
        <rFont val="Arial Narrow"/>
        <family val="2"/>
      </rPr>
      <t>, herbaceous vegetation (</t>
    </r>
    <r>
      <rPr>
        <b/>
        <sz val="10"/>
        <rFont val="Arial Narrow"/>
        <family val="2"/>
      </rPr>
      <t xml:space="preserve">excluding </t>
    </r>
    <r>
      <rPr>
        <sz val="10"/>
        <rFont val="Arial Narrow"/>
        <family val="2"/>
      </rPr>
      <t>mosses and submerged and floating aquatics) comprises:</t>
    </r>
  </si>
  <si>
    <t>Stress Potential</t>
  </si>
  <si>
    <t>D’Amore, D. V., R. T. Edwards, P. A. Herendeen, E. Hood, and J. B. Fellman.  2015a.  Dissolved organic carbon fluxes from hydropedologic units in Alaskan coastal temperate rainforest watersheds. Soil Science Society of America Journal 79.  doi:10.2136/sssaj2014.09.0380</t>
  </si>
  <si>
    <t>D’Amore, D. V., C.-L. Ping, and P. A. Herendeen. 2015b. Hydromorphic soil development in the coastal temperate rainforest of Alaska. Soil Science Society of America Journal 79:698-709.</t>
  </si>
  <si>
    <t>D'Amore, D. V., J. B. Fellman, R. T. Edwards, and E. Hood. 2010. Controls on dissolved organic matter concentrations in soils and streams from a forested wetland and sloping bog in Southeast Alaska. Ecohydrology 3:249-261.</t>
  </si>
  <si>
    <t>Devito, K. J., P. J. Dillon, and B. D. Lazerte. 1989. Phosphorus and nitrogen retention in five Precambrian Shield wetlands. Biogeochemistry 8:185–204.</t>
  </si>
  <si>
    <t xml:space="preserve">Carbon from marshes and fens is often more biodegradable (and thus more exportable and valuable to food chains over a wider area) than bog and forested wetland carbon (D’Amore et al. 2010). The same may be true of riparian shrub/forest wetlands, and their connectivity to other water bodies is usually greater, potentially leading to greater export. Forested peatlands and open peatlands usually have the largest amounts of carbon in storage, and also tend to fix carbon more readily than more fertile wetlands (fens) (Glenn et al. 2006), but connectivity to other water bodies is generally less than other wetland types. Nonetheless they export significant amounts of carbon mainly in dissolved form via groundwater (D' Amore et al. 2015a, b). </t>
  </si>
  <si>
    <t>outside the AA and 0.5 to 2 miles away, in a generally similar wetland.</t>
  </si>
  <si>
    <t>outside the AA but within 0.5 mile, in a generally similar wetland.</t>
  </si>
  <si>
    <t>Function Score raw</t>
  </si>
  <si>
    <t>Value Score raw</t>
  </si>
  <si>
    <t>Fmin raw</t>
  </si>
  <si>
    <t>Fmax raw</t>
  </si>
  <si>
    <t>Vmin raw</t>
  </si>
  <si>
    <t>Vmax raw</t>
  </si>
  <si>
    <t>High is &gt;</t>
  </si>
  <si>
    <t>Low is &lt; or =</t>
  </si>
  <si>
    <t>Site Name or ID #:</t>
  </si>
  <si>
    <t>HYDROLOGIC Group (WS)</t>
  </si>
  <si>
    <t xml:space="preserve">DIRECTIONS:  Conduct an assessment only after reading the accompanying Manual and explanations in column E below.  In the Data column, change the 0 (false) to a 1 (true) for the best choice, or for multiple choices where allowed and so indicated.  Answer these questions primarily based on your onsite observations and interpretations.  Do not write in shaded parts of this data form.  Answering some questions accurately may require conferring with the landowner or other knowledgable persons, and/or reviewing aerial imagery.  For most wetlands, completing this field data form requires 1-2 hours on a site.  For a listing of functions to which each question pertains, see bracketed codes in column E.  For detailed descriptions of each WESPAK-SE model, see Appendix F of the accompanying Manual.  Codes for functions and values are: WS= Water Storage, SFS= Stream Flow Support, WC= Water Cooling, WW= Water Warming, SR= Sediment Retention, PR= Phosphorus Retention, NR= Nitrate Removal, CS= Carbon Sequestration, OE= Organic Export, INV= Invertebrates, FA= Anadromous Fish, FR= Resident Fish, AM= Amphibians, WBF= Feeding Waterbirds, WBN= Nesting Waterbirds, SBM= Songbirds, Mammals, &amp; Raptors, POL= Pollinators, PH= Plant Habitat, PU= Public Use &amp; Recognition, Subsis= Subsistence, EC= Ecological Condition, Sen= Sensitivity, STR= Stressors.                                                                                                                                                                                                                                                                                                      </t>
  </si>
  <si>
    <t xml:space="preserve">Surface water is more extensive, at least seasonally.  More emergent than tall (&gt;3 ft) woody plant cover.  Often sedges, deer cabbage, marsh marigold, horsetail, burreed, pond lily.  If ground is moss-covered, it is largely obscured by sedges or other herbaceous plants.  Soils often muck or peat, seldom coarse unless created by excavation.  Often beaver-created, or at base of steep slopes, or in depressions or adjoining larger water bodies. </t>
  </si>
  <si>
    <r>
      <t xml:space="preserve">Wetland Sensitivity (Sens) </t>
    </r>
    <r>
      <rPr>
        <sz val="10"/>
        <rFont val="Arial"/>
        <family val="2"/>
      </rPr>
      <t xml:space="preserve">- </t>
    </r>
    <r>
      <rPr>
        <i/>
        <sz val="10"/>
        <rFont val="Arial"/>
        <family val="2"/>
      </rPr>
      <t>not used in subsequent calculations</t>
    </r>
  </si>
  <si>
    <r>
      <t xml:space="preserve">Wetland Ecological Condition (EC) </t>
    </r>
    <r>
      <rPr>
        <sz val="10"/>
        <rFont val="Arial"/>
        <family val="2"/>
      </rPr>
      <t xml:space="preserve">- </t>
    </r>
    <r>
      <rPr>
        <i/>
        <sz val="10"/>
        <rFont val="Arial"/>
        <family val="2"/>
      </rPr>
      <t>not used in subsequent calculations</t>
    </r>
  </si>
  <si>
    <r>
      <t xml:space="preserve">Stress Potential (STR) </t>
    </r>
    <r>
      <rPr>
        <sz val="10"/>
        <rFont val="Arial"/>
        <family val="2"/>
      </rPr>
      <t xml:space="preserve">- </t>
    </r>
    <r>
      <rPr>
        <i/>
        <sz val="10"/>
        <rFont val="Arial"/>
        <family val="2"/>
      </rPr>
      <t>not used in subsequent calculations</t>
    </r>
  </si>
  <si>
    <t>Other Values or Attributes:</t>
  </si>
  <si>
    <t>IF((Fishless=1),0, ELSE 
AVERAGE(HydroRegime,Structure,Productivity,AnoxiaRisk, Stress))</t>
  </si>
  <si>
    <t>Boët, P, J. Belliard, and T.R. Berrebi. 1999. Multiple human impacts by the City of Paris on fish communities in the Seine River Basin, France. Hydrobiologia 410:59-68.</t>
  </si>
  <si>
    <r>
      <t xml:space="preserve">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t>
    </r>
    <r>
      <rPr>
        <b/>
        <sz val="10"/>
        <rFont val="Arial Narrow"/>
        <family val="2"/>
      </rPr>
      <t>SKIP to F28.</t>
    </r>
  </si>
  <si>
    <r>
      <t xml:space="preserve">&lt;1% or none, or largest pool occupies &lt;100 sq. ft.  Enter "1" and </t>
    </r>
    <r>
      <rPr>
        <b/>
        <sz val="10"/>
        <rFont val="Arial Narrow"/>
        <family val="2"/>
      </rPr>
      <t>SKIP to F19.</t>
    </r>
  </si>
  <si>
    <r>
      <t xml:space="preserve">1-5% of the ponded water.  Enter "1" and </t>
    </r>
    <r>
      <rPr>
        <b/>
        <sz val="10"/>
        <rFont val="Arial Narrow"/>
        <family val="2"/>
      </rPr>
      <t>SKIP to F19.</t>
    </r>
  </si>
  <si>
    <r>
      <t xml:space="preserve">&lt;1% or none, or occupies &lt;100 sq. ft cumulatively.  Enter "1" and </t>
    </r>
    <r>
      <rPr>
        <b/>
        <sz val="10"/>
        <rFont val="Arial Narrow"/>
        <family val="2"/>
      </rPr>
      <t>SKIP to F19.</t>
    </r>
  </si>
  <si>
    <r>
      <t xml:space="preserve">1-25% of the AA, and mainly in small fishless pools. </t>
    </r>
    <r>
      <rPr>
        <b/>
        <sz val="10"/>
        <rFont val="Arial Narrow"/>
        <family val="2"/>
      </rPr>
      <t>Enter "1" and SKIP to F19.</t>
    </r>
  </si>
  <si>
    <t>DeerHab14</t>
  </si>
  <si>
    <t>AVERAGE (Mainland, CUbuffNatPct, CUtypeLU, NatVegProx, NatVegPctScape, ScapeLU, NatVegSize,DeerHab)</t>
  </si>
  <si>
    <r>
      <t xml:space="preserve">In the CoverPg worksheet, write down the specific 12-digit HUC watershed in which the AA is located and the AA's elevation (obtained from GPS or a topographic map).  Get this by referring to the map in the online WESPAK-SE Wetlands Module:  </t>
    </r>
    <r>
      <rPr>
        <b/>
        <sz val="10"/>
        <rFont val="Arial Narrow"/>
        <family val="2"/>
      </rPr>
      <t>National Hydrography Dataset&gt; Watershed Boundary Dataset</t>
    </r>
    <r>
      <rPr>
        <sz val="10"/>
        <rFont val="Arial Narrow"/>
        <family val="2"/>
      </rPr>
      <t xml:space="preserve">.  Then in the </t>
    </r>
    <r>
      <rPr>
        <b/>
        <sz val="10"/>
        <rFont val="Arial Narrow"/>
        <family val="2"/>
      </rPr>
      <t>ShedData</t>
    </r>
    <r>
      <rPr>
        <sz val="10"/>
        <rFont val="Arial Narrow"/>
        <family val="2"/>
      </rPr>
      <t xml:space="preserve"> </t>
    </r>
    <r>
      <rPr>
        <b/>
        <sz val="10"/>
        <rFont val="Arial Narrow"/>
        <family val="2"/>
      </rPr>
      <t>worksheet</t>
    </r>
    <r>
      <rPr>
        <sz val="10"/>
        <rFont val="Arial Narrow"/>
        <family val="2"/>
      </rPr>
      <t xml:space="preserve"> (tab below) look up the AA's HUC codes and their cut-offs for upper, middle, and lower one-third elevations, and determine to which one-third the AA belongs, in </t>
    </r>
    <r>
      <rPr>
        <b/>
        <sz val="10"/>
        <rFont val="Arial Narrow"/>
        <family val="2"/>
      </rPr>
      <t xml:space="preserve">EACH </t>
    </r>
    <r>
      <rPr>
        <sz val="10"/>
        <rFont val="Arial Narrow"/>
        <family val="2"/>
      </rPr>
      <t>row below:</t>
    </r>
  </si>
  <si>
    <t>Determine this using historical aerial photography, old maps, soil maps, or permit files as available. Do not include wetlands created only by beaver dams. [CS, NR, OE, PH, PRv, Sens, SRv]</t>
  </si>
  <si>
    <r>
      <t xml:space="preserve">The AA is (or is within, or contains) a "new" wetland resulting from human actions (e.g., excavation, impoundment) or debris or lava flows, sea level rise, or other factors affecting what once was </t>
    </r>
    <r>
      <rPr>
        <b/>
        <sz val="10"/>
        <rFont val="Arial Narrow"/>
        <family val="2"/>
      </rPr>
      <t>upland (non-hydric) soil.</t>
    </r>
  </si>
  <si>
    <t>Dense Moss Extent</t>
  </si>
  <si>
    <t>The percent of the AA's vegetated cover that is nitrogen-fixing  plants -- e.g., alder, sweet clover (Meliolotus), sweetgale (Myrica gale), buffaloberry, clover, lupine, other legumes -- is:</t>
  </si>
  <si>
    <t>Do not include N-fixing algae (cyanobacteria), mosses, or lichens. Select only the first true statement. [FA, FR, INV, NRv, OE, PH, SBM, Sens]</t>
  </si>
  <si>
    <t>Snow tends to accumulate more on north-facing slopes due to less sun exposure and protection from maritime windstorms, during which winds typically blow from the south (Doerr et al. 2005). The gradual melting of a larger volume of accumulated snow helps lengthen the duration of seasonal streamflow.</t>
  </si>
  <si>
    <t>In boreal Alberta, both breeding and molting waterfowl densities increased with lake productivity, even in eutrophic and hypereutrophic lakes. Lake and wetland productivity tends to be greater at lower elevations due to milder temperatures (Epners et al. 2010).</t>
  </si>
  <si>
    <t>Occurrence, proximity, certainty of rare species or communities:</t>
  </si>
  <si>
    <t>Public Use &amp; Recognition</t>
  </si>
  <si>
    <t>Wetlands with maritime climate are more likely to have conditions favorable to feeding waterbirds in this region.  Most migratory waterbirds  in this region follow a coastal route.</t>
  </si>
  <si>
    <t>Lacus13a</t>
  </si>
  <si>
    <t>Water Storage &amp; Delay</t>
  </si>
  <si>
    <t>Songbird, Raptor, &amp; Mammal Habitat</t>
  </si>
  <si>
    <t>Larger ponded areas can serve as refugia for waterbirds, providing greater buffer against terrestrial predators as well as having productive fish populations. Thus, wetlands closer to lakes are more likely to support breeding waterbirds.</t>
  </si>
  <si>
    <t>AVERAGE[Woody, Mudflat,ABpct, Size, Interspers, EmPct)]</t>
  </si>
  <si>
    <r>
      <t xml:space="preserve">IF((AllSat=1),(3*Gradient +AVERAGE(Gcover,Girreg))/4, </t>
    </r>
    <r>
      <rPr>
        <b/>
        <sz val="10"/>
        <rFont val="Arial Narrow"/>
        <family val="2"/>
      </rPr>
      <t>ELSE:</t>
    </r>
    <r>
      <rPr>
        <sz val="10"/>
        <rFont val="Arial Narrow"/>
        <family val="2"/>
      </rPr>
      <t xml:space="preserve">  AVERAGE(OutDura,Gradient, AVERAGE(Constric,ThruFlo,PondWpctWet))  </t>
    </r>
  </si>
  <si>
    <r>
      <t xml:space="preserve">IF((AllSat=1),0, </t>
    </r>
    <r>
      <rPr>
        <b/>
        <sz val="10"/>
        <rFont val="Arial Narrow"/>
        <family val="2"/>
      </rPr>
      <t>ELSE</t>
    </r>
    <r>
      <rPr>
        <sz val="10"/>
        <rFont val="Arial Narrow"/>
        <family val="2"/>
      </rPr>
      <t>: AVERAGE(Fluctua,SeasPct))</t>
    </r>
  </si>
  <si>
    <r>
      <t>IF((NoOutlet=1), 1, IF((AllSat=1), AVERAGE(Gradient, Subsurface, AVERAGE(Freezing, Friction)),</t>
    </r>
    <r>
      <rPr>
        <b/>
        <sz val="10"/>
        <rFont val="Arial Narrow"/>
        <family val="2"/>
      </rPr>
      <t xml:space="preserve"> ELSE</t>
    </r>
    <r>
      <rPr>
        <sz val="10"/>
        <rFont val="Arial Narrow"/>
        <family val="2"/>
      </rPr>
      <t>: (4*LiveStore + 2*Friction + Subsurf)/7))</t>
    </r>
  </si>
  <si>
    <t xml:space="preserve">AVERAGE(FloodBdg, AVERAGE:
[Transport, (AVERAGE(CAunveg,Glacier,ShedPos,CApct)]
</t>
  </si>
  <si>
    <t xml:space="preserve">WESPAK-SE version 2.1 scores for this NON-tidal Wetland Assessment Area (AA):  </t>
  </si>
  <si>
    <r>
      <t xml:space="preserve">Data Form OF (Office) for Non-tidal Wetlands.  WESPAK-SE version 2.1. </t>
    </r>
    <r>
      <rPr>
        <sz val="10"/>
        <rFont val="Arial Narrow"/>
        <family val="2"/>
      </rPr>
      <t>Funded in part with qualified Outer Continental Shelf oil and gas revenues by the Coastal Impact Assistance Program, U.S. Fish &amp; Wildlife Service.</t>
    </r>
  </si>
  <si>
    <t>Data Form F (Field) for Non-tidal Wetlands.   WESPAK-SE version 2.1.</t>
  </si>
  <si>
    <t>Stressor (S) Data Form for Non-Tidal Wetlands. WESPAK-SE version 2.1</t>
  </si>
  <si>
    <t xml:space="preserve">Value Score (standard-ized) </t>
  </si>
  <si>
    <t>Function Score (standard-ized)</t>
  </si>
  <si>
    <t>WATER QUALITY Group (SR, PR, NR, CS)</t>
  </si>
  <si>
    <t>FISH Group (FA, FR)</t>
  </si>
  <si>
    <t>AQUATIC HABITAT Group (AM, WBF, WBN)</t>
  </si>
  <si>
    <t>TRANSITIONAL HABITAT Group (SBM, PH, POL)</t>
  </si>
  <si>
    <t>SOCIAL GROUP (PU, Subsis)</t>
  </si>
  <si>
    <r>
      <t xml:space="preserve">DIRECTIONS:  Most of the questions below will be answered by viewing aerial imagery, e.g., in Google Earth, or by accessing information in the online WESPAK-SE Wetlands Module: </t>
    </r>
    <r>
      <rPr>
        <b/>
        <sz val="11"/>
        <rFont val="Arial Narrow"/>
        <family val="2"/>
      </rPr>
      <t xml:space="preserve">http://seakgis.alaska.edu/flex/wetlands/ </t>
    </r>
    <r>
      <rPr>
        <sz val="11"/>
        <rFont val="Arial Narrow"/>
        <family val="2"/>
      </rPr>
      <t xml:space="preserve">   Conduct an assessment only after reading the accompanying Manual and explanations in column E below.  Except where instructed otherwise, in the Data column change the 0 (false) to a 1 (true) for the best choice, or for multiple choices where allowed and so indicated.  For most wetlands, completing this office data form requires 1-2 hours per site.  For a listing of functions to which each question pertains, see bracketed codes in column E.  For detailed descriptions of each WESPAK-SE model, see Appendix F of the accompanying Manual.  Codes for functions and values are: WS= Water Storage, SFS= Stream Flow Support, WC= Water Cooling, WW= Water Warming, SR= Sediment Retention, PR= Phosphorus Retention, NR= Nitrate Removal, CS= Carbon Sequestration, OE= Organic Export, INV= Invertebrates, FA= Anadromous Fish, FR= Resident Fish, AM= Amphibians, WBF= Feeding Waterbirds, WBN= Nesting Waterbirds, SBM= Songbirds, Mammals, &amp; Raptors, POL= Pollinators, PH= Plant Habitat, PU= Public Use &amp; Recognition, Subsis= Subsistence, EC= Ecological Condition, Sen= Sensitivity, STR= Stressors.                                                                                                                                                                                                                                                                                                      </t>
    </r>
  </si>
  <si>
    <t>AQUATIC SUPPORT Group (SFS, WC, WW, OE, INV)</t>
  </si>
  <si>
    <t>n/a</t>
  </si>
  <si>
    <r>
      <t xml:space="preserve">&gt;99% of the AA never contains surface water, and AA is not intersected by channels that have flow, not even for a few days per year. </t>
    </r>
    <r>
      <rPr>
        <b/>
        <sz val="10"/>
        <rFont val="Arial Narrow"/>
        <family val="2"/>
      </rPr>
      <t>SKIP to F28.</t>
    </r>
  </si>
  <si>
    <t>The cover of mosses that form a dense cushion many inches thick (i.e., Sphagnum and other peat-forming species forming &gt;3 inch thick mat), including the moss obscured by taller sedges, shrubs, and other plants rooted in it, is:</t>
  </si>
  <si>
    <r>
      <t xml:space="preserve">The percent of the vegetated ground cover that is </t>
    </r>
    <r>
      <rPr>
        <b/>
        <sz val="10"/>
        <rFont val="Arial Narrow"/>
        <family val="2"/>
      </rPr>
      <t>forbs</t>
    </r>
    <r>
      <rPr>
        <sz val="10"/>
        <rFont val="Arial Narrow"/>
        <family val="2"/>
      </rPr>
      <t xml:space="preserve"> (e.g., flowering herbaceous plants including skunk cabbage, buckbean, others) reaches an annual maximum of:</t>
    </r>
  </si>
  <si>
    <t>As viewed from above at mid-summer, the extent of bare ground (unvegetated mineral or organic soil or rock) within the AA, excluding parts not visible because under water, snow, or dense thatch) is:</t>
  </si>
  <si>
    <r>
      <t>During any 2 consecutive weeks of the growing season, the extent of waters shallower than 2 inches plus bare saturated substrate (e.g., mudflat),</t>
    </r>
    <r>
      <rPr>
        <sz val="10"/>
        <color rgb="FFFF0000"/>
        <rFont val="Arial Narrow"/>
        <family val="2"/>
      </rPr>
      <t xml:space="preserve"> </t>
    </r>
    <r>
      <rPr>
        <sz val="10"/>
        <rFont val="Arial Narrow"/>
        <family val="2"/>
      </rPr>
      <t>neither obscured by a vegetation canopy, is:</t>
    </r>
  </si>
  <si>
    <t>Consider the parts of the AA that lack surface water at some time of the year.  Excluding slash from logging, the number of small pits, raised mounds, hummocks, tussocks, boulders, upturned trees, animal burrows, gullies, natural levees, wide soil cracks, and microdepressions is:</t>
  </si>
  <si>
    <t>0.01 acre is about 20 ft on a side if square. This is the cumulative acreage of all areas in the AA between the annual high water mark and the annual low water mark.  Flood marks (algal mats, adventitious roots, debris lines, ice scour, etc.) are more evident when not fully inundated. Also, such areas often have a larger proportion of upland and annual (vs. perennial) plant species. In riverine systems, the extent of this zone can be estimated by multiplying by 2 the bankful height and visualizing where that would intercept the land along the river. Although useful only as a general guide, the NWI's water regime modifier code and NRCS soil survey descriptions of the predominant soil types usually include information on flooding frequency and saturation persistence. The wettest times in Southeast Alaska typically occur during late fall, during rain events after the ground is frozen, and/or during spring snowmelt. Near melting glaciers, surface water may be present mainly in summer. [CS, FA, INV, NR, OE, PH, SR, WBF, WBN, WS]</t>
  </si>
  <si>
    <t xml:space="preserve"> Water tables in fringe wetlands are maintained mainly by the water level in the abutting surface water body. [WBF, WBN, WC, WWv]</t>
  </si>
  <si>
    <t>Standar- dize</t>
  </si>
  <si>
    <t>Median of Standar- dized F Scores</t>
  </si>
  <si>
    <t>Thresholds for Function Rating (Standar- dized score)</t>
  </si>
  <si>
    <t>Median of Standar- dized V Scores</t>
  </si>
  <si>
    <t>Thresholds for Value Rating (Standar- dized score)</t>
  </si>
  <si>
    <t>Scores will appear below after data are entered in worksheets OF, F, and S.  See Manual for definitions and descriptions of how scores were computed. NOTE: A score of 0 does not mean the function or value is absent from the wetland. It means only that this wetland has a capacity that is equal or less than the lowest-scoring one, for that function or value, from among all the region's calibration wetlands that were assessed previously.</t>
  </si>
  <si>
    <t>The route to other wetlands need not be direct -- it may be circuitous to avoid the barrier, as long as the travel route remains entirely within the circle.  Many roads are mapped in the online WESPAK-SE Wetlands Module: http://seakgis.alaska.edu/flex/wetlands/   You must enable Adobe Flash Player to use that module. Click to close any pop-ups that say a layer is not available, and use an alternative data source or best judgment.  [AM, SBM]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</si>
</sst>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81" x14ac:knownFonts="1">
    <font>
      <sz val="10"/>
      <name val="Times New Roman"/>
    </font>
    <font>
      <sz val="11"/>
      <color theme="1"/>
      <name val="Arial Narrow"/>
      <family val="2"/>
      <scheme val="minor"/>
    </font>
    <font>
      <sz val="10"/>
      <color indexed="8"/>
      <name val="Arial Narrow"/>
      <family val="2"/>
    </font>
    <font>
      <sz val="8"/>
      <name val="Times New Roman"/>
      <family val="1"/>
    </font>
    <font>
      <sz val="10"/>
      <name val="Arial"/>
      <family val="2"/>
    </font>
    <font>
      <sz val="10"/>
      <name val="Arial Narrow"/>
      <family val="2"/>
    </font>
    <font>
      <b/>
      <sz val="10"/>
      <name val="Arial Narrow"/>
      <family val="2"/>
    </font>
    <font>
      <u/>
      <sz val="10"/>
      <name val="Arial Narrow"/>
      <family val="2"/>
    </font>
    <font>
      <b/>
      <sz val="12"/>
      <name val="Arial Narrow"/>
      <family val="2"/>
    </font>
    <font>
      <b/>
      <u/>
      <sz val="10"/>
      <name val="Arial Narrow"/>
      <family val="2"/>
    </font>
    <font>
      <sz val="10"/>
      <name val="Times New Roman"/>
      <family val="1"/>
    </font>
    <font>
      <sz val="12"/>
      <name val="Arial"/>
      <family val="2"/>
    </font>
    <font>
      <i/>
      <sz val="10"/>
      <name val="Arial Narrow"/>
      <family val="2"/>
    </font>
    <font>
      <b/>
      <sz val="16"/>
      <name val="Arial Narrow"/>
      <family val="2"/>
    </font>
    <font>
      <b/>
      <sz val="12"/>
      <name val="Arial"/>
      <family val="2"/>
    </font>
    <font>
      <b/>
      <i/>
      <sz val="12"/>
      <name val="Arial"/>
      <family val="2"/>
    </font>
    <font>
      <b/>
      <sz val="11"/>
      <name val="Arial Narrow"/>
      <family val="2"/>
    </font>
    <font>
      <sz val="11"/>
      <name val="Arial"/>
      <family val="2"/>
    </font>
    <font>
      <sz val="10"/>
      <color indexed="8"/>
      <name val="Arial Narrow"/>
      <family val="2"/>
    </font>
    <font>
      <sz val="11"/>
      <color indexed="8"/>
      <name val="Arial Narrow"/>
      <family val="2"/>
    </font>
    <font>
      <sz val="8"/>
      <name val="Times New Roman"/>
      <family val="1"/>
    </font>
    <font>
      <i/>
      <sz val="10"/>
      <color indexed="8"/>
      <name val="Arial Narrow"/>
      <family val="2"/>
    </font>
    <font>
      <sz val="10"/>
      <name val="Arial Narrow"/>
      <family val="2"/>
    </font>
    <font>
      <sz val="10"/>
      <name val="Arial Narrow"/>
      <family val="2"/>
    </font>
    <font>
      <b/>
      <sz val="10"/>
      <name val="Arial Narrow"/>
      <family val="2"/>
    </font>
    <font>
      <b/>
      <sz val="16"/>
      <name val="Arial Narrow"/>
      <family val="2"/>
    </font>
    <font>
      <sz val="11"/>
      <name val="Arial Narrow"/>
      <family val="2"/>
    </font>
    <font>
      <sz val="10"/>
      <name val="Arial Narrow"/>
      <family val="2"/>
    </font>
    <font>
      <sz val="10"/>
      <name val="Arial Narrow"/>
      <family val="2"/>
    </font>
    <font>
      <b/>
      <sz val="10"/>
      <name val="Arial Narrow"/>
      <family val="2"/>
    </font>
    <font>
      <b/>
      <sz val="16"/>
      <name val="Arial Narrow"/>
      <family val="2"/>
    </font>
    <font>
      <sz val="10"/>
      <name val="Arial Narrow"/>
      <family val="2"/>
    </font>
    <font>
      <b/>
      <sz val="10"/>
      <name val="Arial Narrow"/>
      <family val="2"/>
    </font>
    <font>
      <b/>
      <sz val="16"/>
      <name val="Arial Narrow"/>
      <family val="2"/>
    </font>
    <font>
      <sz val="11"/>
      <name val="Arial Narrow"/>
      <family val="2"/>
    </font>
    <font>
      <i/>
      <sz val="10"/>
      <name val="Arial"/>
      <family val="2"/>
    </font>
    <font>
      <sz val="12"/>
      <name val="Arial Narrow"/>
      <family val="2"/>
    </font>
    <font>
      <b/>
      <sz val="10"/>
      <name val="Arial"/>
      <family val="2"/>
    </font>
    <font>
      <sz val="10"/>
      <color indexed="10"/>
      <name val="Arial Narrow"/>
      <family val="2"/>
    </font>
    <font>
      <sz val="8"/>
      <name val="Times New Roman"/>
      <family val="1"/>
    </font>
    <font>
      <b/>
      <i/>
      <sz val="10"/>
      <name val="Arial Narrow"/>
      <family val="2"/>
    </font>
    <font>
      <i/>
      <sz val="10"/>
      <name val="Times New Roman"/>
      <family val="1"/>
    </font>
    <font>
      <b/>
      <sz val="13"/>
      <name val="Arial"/>
      <family val="2"/>
    </font>
    <font>
      <b/>
      <sz val="13"/>
      <name val="Arial Narrow"/>
      <family val="2"/>
    </font>
    <font>
      <b/>
      <sz val="10.5"/>
      <name val="Arial Narrow"/>
      <family val="2"/>
    </font>
    <font>
      <b/>
      <sz val="14"/>
      <name val="Arial"/>
      <family val="2"/>
    </font>
    <font>
      <sz val="12"/>
      <name val="Calibri"/>
      <family val="2"/>
    </font>
    <font>
      <sz val="10.5"/>
      <name val="Arial Narrow"/>
      <family val="2"/>
    </font>
    <font>
      <sz val="10"/>
      <color rgb="FFFF0000"/>
      <name val="Arial Narrow"/>
      <family val="2"/>
    </font>
    <font>
      <sz val="10"/>
      <name val="Arial Narrow"/>
      <family val="2"/>
      <scheme val="minor"/>
    </font>
    <font>
      <sz val="10"/>
      <color theme="0" tint="-0.34998626667073579"/>
      <name val="Arial Narrow"/>
      <family val="2"/>
    </font>
    <font>
      <sz val="10"/>
      <color theme="0" tint="-0.24994659260841701"/>
      <name val="Arial Narrow"/>
      <family val="2"/>
    </font>
    <font>
      <sz val="10"/>
      <name val="Calibri"/>
      <family val="2"/>
    </font>
    <font>
      <b/>
      <sz val="12"/>
      <name val="Calibri"/>
      <family val="2"/>
    </font>
    <font>
      <b/>
      <sz val="14"/>
      <name val="Times New Roman"/>
      <family val="1"/>
    </font>
    <font>
      <sz val="10"/>
      <name val="Arial Narrow"/>
      <family val="2"/>
      <scheme val="major"/>
    </font>
    <font>
      <sz val="11"/>
      <name val="Arial Narrow"/>
      <family val="2"/>
      <scheme val="major"/>
    </font>
    <font>
      <b/>
      <sz val="10"/>
      <color theme="1"/>
      <name val="Arial Narrow"/>
      <family val="2"/>
      <scheme val="minor"/>
    </font>
    <font>
      <b/>
      <sz val="10"/>
      <color indexed="8"/>
      <name val="Arial Narrow"/>
      <family val="2"/>
      <scheme val="minor"/>
    </font>
    <font>
      <b/>
      <sz val="10"/>
      <color indexed="8"/>
      <name val="Calibri"/>
      <family val="2"/>
    </font>
    <font>
      <sz val="9"/>
      <name val="Arial Narrow"/>
      <family val="2"/>
    </font>
    <font>
      <sz val="12"/>
      <name val="Arial Narrow"/>
      <family val="2"/>
      <scheme val="minor"/>
    </font>
    <font>
      <sz val="11"/>
      <name val="Calibri"/>
      <family val="2"/>
    </font>
    <font>
      <u/>
      <sz val="10"/>
      <color theme="10"/>
      <name val="Times New Roman"/>
      <family val="1"/>
    </font>
    <font>
      <b/>
      <sz val="18"/>
      <name val="Arial Narrow"/>
      <family val="2"/>
    </font>
    <font>
      <b/>
      <u/>
      <sz val="12"/>
      <name val="Arial Narrow"/>
      <family val="2"/>
    </font>
    <font>
      <b/>
      <sz val="11"/>
      <name val="Calibri"/>
      <family val="2"/>
    </font>
    <font>
      <b/>
      <sz val="10"/>
      <color indexed="8"/>
      <name val="Arial Narrow"/>
      <family val="2"/>
    </font>
    <font>
      <sz val="10"/>
      <color rgb="FF000000"/>
      <name val="Arial Narrow"/>
      <family val="2"/>
    </font>
    <font>
      <i/>
      <sz val="10"/>
      <color rgb="FFFF0000"/>
      <name val="Arial"/>
      <family val="2"/>
    </font>
    <font>
      <sz val="8"/>
      <name val="Arial"/>
      <family val="2"/>
    </font>
    <font>
      <b/>
      <sz val="10"/>
      <name val="Times New Roman"/>
      <family val="1"/>
    </font>
    <font>
      <sz val="10"/>
      <color theme="1"/>
      <name val="Arial Narrow"/>
      <family val="2"/>
    </font>
    <font>
      <sz val="8"/>
      <name val="Arial Narrow"/>
      <family val="2"/>
    </font>
    <font>
      <b/>
      <sz val="11"/>
      <name val="Arial"/>
      <family val="2"/>
    </font>
    <font>
      <sz val="8"/>
      <color rgb="FFFF0000"/>
      <name val="Arial"/>
      <family val="2"/>
    </font>
    <font>
      <sz val="10"/>
      <color theme="0" tint="-0.34998626667073579"/>
      <name val="Arial"/>
      <family val="2"/>
    </font>
    <font>
      <i/>
      <sz val="10"/>
      <color theme="0" tint="-0.34998626667073579"/>
      <name val="Arial"/>
      <family val="2"/>
    </font>
    <font>
      <sz val="10"/>
      <color theme="0" tint="-0.34998626667073579"/>
      <name val="Times New Roman"/>
      <family val="1"/>
    </font>
    <font>
      <sz val="8"/>
      <color theme="0" tint="-0.34998626667073579"/>
      <name val="Arial"/>
      <family val="2"/>
    </font>
    <font>
      <sz val="8"/>
      <color theme="0" tint="-0.34998626667073579"/>
      <name val="Times New Roman"/>
      <family val="1"/>
    </font>
  </fonts>
  <fills count="38">
    <fill>
      <patternFill patternType="none"/>
    </fill>
    <fill>
      <patternFill patternType="gray125"/>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indexed="23"/>
        <bgColor indexed="64"/>
      </patternFill>
    </fill>
    <fill>
      <patternFill patternType="solid">
        <fgColor indexed="11"/>
        <bgColor indexed="64"/>
      </patternFill>
    </fill>
    <fill>
      <patternFill patternType="solid">
        <fgColor indexed="13"/>
        <bgColor indexed="64"/>
      </patternFill>
    </fill>
    <fill>
      <patternFill patternType="solid">
        <fgColor indexed="51"/>
        <bgColor indexed="64"/>
      </patternFill>
    </fill>
    <fill>
      <patternFill patternType="solid">
        <fgColor indexed="40"/>
        <bgColor indexed="64"/>
      </patternFill>
    </fill>
    <fill>
      <patternFill patternType="solid">
        <fgColor indexed="45"/>
        <bgColor indexed="64"/>
      </patternFill>
    </fill>
    <fill>
      <patternFill patternType="solid">
        <fgColor indexed="15"/>
        <bgColor indexed="64"/>
      </patternFill>
    </fill>
    <fill>
      <patternFill patternType="solid">
        <fgColor indexed="63"/>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66FF33"/>
        <bgColor indexed="64"/>
      </patternFill>
    </fill>
    <fill>
      <patternFill patternType="solid">
        <fgColor rgb="FF00B0F0"/>
        <bgColor indexed="64"/>
      </patternFill>
    </fill>
    <fill>
      <patternFill patternType="solid">
        <fgColor theme="0"/>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rgb="FF80808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indexed="50"/>
        <bgColor indexed="64"/>
      </patternFill>
    </fill>
    <fill>
      <patternFill patternType="solid">
        <fgColor indexed="44"/>
        <bgColor indexed="64"/>
      </patternFill>
    </fill>
    <fill>
      <patternFill patternType="solid">
        <fgColor theme="6" tint="0.79998168889431442"/>
        <bgColor indexed="64"/>
      </patternFill>
    </fill>
    <fill>
      <patternFill patternType="solid">
        <fgColor rgb="FFFF99CC"/>
        <bgColor indexed="64"/>
      </patternFill>
    </fill>
    <fill>
      <patternFill patternType="solid">
        <fgColor rgb="FFE6B9B8"/>
        <bgColor indexed="64"/>
      </patternFill>
    </fill>
    <fill>
      <patternFill patternType="solid">
        <fgColor rgb="FF66FF66"/>
        <bgColor indexed="64"/>
      </patternFill>
    </fill>
    <fill>
      <patternFill patternType="solid">
        <fgColor rgb="FF93CDDD"/>
        <bgColor indexed="64"/>
      </patternFill>
    </fill>
    <fill>
      <patternFill patternType="solid">
        <fgColor theme="5" tint="0.79998168889431442"/>
        <bgColor indexed="64"/>
      </patternFill>
    </fill>
    <fill>
      <patternFill patternType="solid">
        <fgColor rgb="FFC0C0C0"/>
        <bgColor indexed="64"/>
      </patternFill>
    </fill>
    <fill>
      <patternFill patternType="solid">
        <fgColor theme="0" tint="-4.9989318521683403E-2"/>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bottom style="medium">
        <color rgb="FF000000"/>
      </bottom>
      <diagonal/>
    </border>
    <border>
      <left/>
      <right style="medium">
        <color indexed="64"/>
      </right>
      <top style="medium">
        <color rgb="FF000000"/>
      </top>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style="medium">
        <color indexed="64"/>
      </left>
      <right style="thin">
        <color indexed="64"/>
      </right>
      <top/>
      <bottom/>
      <diagonal/>
    </border>
  </borders>
  <cellStyleXfs count="4">
    <xf numFmtId="0" fontId="0" fillId="0" borderId="0">
      <alignment vertical="top"/>
    </xf>
    <xf numFmtId="0" fontId="10" fillId="0" borderId="0">
      <alignment vertical="top"/>
    </xf>
    <xf numFmtId="0" fontId="63" fillId="0" borderId="0" applyNumberFormat="0" applyFill="0" applyBorder="0" applyAlignment="0" applyProtection="0">
      <alignment vertical="top"/>
      <protection locked="0"/>
    </xf>
    <xf numFmtId="0" fontId="1" fillId="0" borderId="0"/>
  </cellStyleXfs>
  <cellXfs count="2354">
    <xf numFmtId="0" fontId="0" fillId="0" borderId="0" xfId="0">
      <alignment vertical="top"/>
    </xf>
    <xf numFmtId="0" fontId="5" fillId="0" borderId="1" xfId="0" applyFont="1" applyBorder="1" applyAlignment="1">
      <alignment vertical="top" wrapText="1"/>
    </xf>
    <xf numFmtId="0" fontId="5" fillId="0" borderId="0" xfId="0" applyFont="1" applyAlignment="1">
      <alignment wrapText="1"/>
    </xf>
    <xf numFmtId="0" fontId="5" fillId="0" borderId="0" xfId="0" applyFont="1" applyAlignment="1">
      <alignment vertical="top" wrapText="1"/>
    </xf>
    <xf numFmtId="0" fontId="5" fillId="0" borderId="0" xfId="0" applyFont="1">
      <alignment vertical="top"/>
    </xf>
    <xf numFmtId="0" fontId="5" fillId="0" borderId="5" xfId="0" applyFont="1" applyBorder="1" applyAlignment="1">
      <alignment vertical="top" wrapText="1"/>
    </xf>
    <xf numFmtId="0" fontId="5" fillId="0" borderId="6" xfId="0" applyFont="1" applyBorder="1" applyAlignment="1">
      <alignment vertical="top" wrapText="1"/>
    </xf>
    <xf numFmtId="0" fontId="4" fillId="0" borderId="0" xfId="0" applyFont="1">
      <alignment vertical="top"/>
    </xf>
    <xf numFmtId="2" fontId="5" fillId="0" borderId="0" xfId="0" applyNumberFormat="1" applyFont="1" applyAlignment="1">
      <alignment horizontal="right" vertical="top" wrapText="1"/>
    </xf>
    <xf numFmtId="0" fontId="5" fillId="0" borderId="8" xfId="0" applyFont="1" applyBorder="1" applyAlignment="1">
      <alignment vertical="top" wrapText="1"/>
    </xf>
    <xf numFmtId="0" fontId="5" fillId="0" borderId="9" xfId="0" applyFont="1" applyBorder="1" applyAlignment="1">
      <alignment vertical="top" wrapText="1"/>
    </xf>
    <xf numFmtId="49" fontId="5" fillId="0" borderId="0" xfId="0" applyNumberFormat="1" applyFont="1" applyAlignment="1">
      <alignment vertical="top" wrapText="1"/>
    </xf>
    <xf numFmtId="0" fontId="6" fillId="0" borderId="0" xfId="0" applyFont="1" applyAlignment="1">
      <alignment vertical="top" wrapText="1"/>
    </xf>
    <xf numFmtId="0" fontId="5" fillId="0" borderId="1" xfId="0" applyFont="1" applyBorder="1">
      <alignment vertical="top"/>
    </xf>
    <xf numFmtId="0" fontId="5" fillId="0" borderId="6" xfId="0" applyFont="1" applyBorder="1">
      <alignment vertical="top"/>
    </xf>
    <xf numFmtId="0" fontId="5" fillId="0" borderId="0" xfId="0" applyFont="1" applyAlignment="1">
      <alignment horizontal="left" vertical="top" wrapText="1"/>
    </xf>
    <xf numFmtId="2" fontId="5" fillId="0" borderId="0" xfId="0" applyNumberFormat="1" applyFont="1">
      <alignment vertical="top"/>
    </xf>
    <xf numFmtId="2" fontId="5" fillId="0" borderId="0" xfId="0" applyNumberFormat="1" applyFont="1" applyAlignment="1">
      <alignment horizontal="right" vertical="top"/>
    </xf>
    <xf numFmtId="0" fontId="5" fillId="0" borderId="0" xfId="0" applyFont="1" applyAlignment="1">
      <alignment horizontal="center" vertical="top" wrapText="1"/>
    </xf>
    <xf numFmtId="0" fontId="5" fillId="0" borderId="11" xfId="0" applyFont="1" applyBorder="1" applyAlignment="1">
      <alignment vertical="top" wrapText="1"/>
    </xf>
    <xf numFmtId="0" fontId="5" fillId="0" borderId="3" xfId="0" applyFont="1" applyBorder="1" applyAlignment="1">
      <alignment horizontal="center" vertical="top" wrapText="1"/>
    </xf>
    <xf numFmtId="0" fontId="5" fillId="0" borderId="12" xfId="0" applyFont="1" applyBorder="1" applyAlignment="1">
      <alignment vertical="top" wrapText="1"/>
    </xf>
    <xf numFmtId="0" fontId="5" fillId="0" borderId="0" xfId="1" applyFont="1">
      <alignment vertical="top"/>
    </xf>
    <xf numFmtId="0" fontId="10" fillId="0" borderId="0" xfId="1">
      <alignment vertical="top"/>
    </xf>
    <xf numFmtId="0" fontId="23" fillId="0" borderId="0" xfId="0" applyFont="1" applyAlignment="1">
      <alignment vertical="top" wrapText="1"/>
    </xf>
    <xf numFmtId="49" fontId="23" fillId="0" borderId="0" xfId="0" applyNumberFormat="1" applyFont="1" applyAlignment="1">
      <alignment vertical="top" wrapText="1"/>
    </xf>
    <xf numFmtId="0" fontId="23" fillId="0" borderId="0" xfId="0" applyFont="1" applyAlignment="1">
      <alignment horizontal="left" vertical="top" wrapText="1"/>
    </xf>
    <xf numFmtId="0" fontId="28" fillId="0" borderId="0" xfId="0" applyFont="1">
      <alignment vertical="top"/>
    </xf>
    <xf numFmtId="0" fontId="28" fillId="0" borderId="13" xfId="0" applyFont="1" applyBorder="1" applyAlignment="1">
      <alignment vertical="top" wrapText="1"/>
    </xf>
    <xf numFmtId="0" fontId="28" fillId="0" borderId="0" xfId="0" applyFont="1" applyAlignment="1">
      <alignment vertical="top" wrapText="1"/>
    </xf>
    <xf numFmtId="0" fontId="28" fillId="0" borderId="1" xfId="0" applyFont="1" applyBorder="1" applyAlignment="1">
      <alignment horizontal="center" vertical="top" wrapText="1"/>
    </xf>
    <xf numFmtId="0" fontId="28" fillId="0" borderId="0" xfId="0" applyFont="1" applyAlignment="1">
      <alignment horizontal="center" vertical="top" wrapText="1"/>
    </xf>
    <xf numFmtId="0" fontId="5" fillId="0" borderId="0" xfId="0" applyFont="1" applyAlignment="1">
      <alignment horizontal="left" vertical="top"/>
    </xf>
    <xf numFmtId="0" fontId="28" fillId="0" borderId="0" xfId="0" applyFont="1" applyAlignment="1">
      <alignment wrapText="1"/>
    </xf>
    <xf numFmtId="0" fontId="28" fillId="0" borderId="1" xfId="0" applyFont="1" applyBorder="1" applyAlignment="1">
      <alignment wrapText="1"/>
    </xf>
    <xf numFmtId="49" fontId="28" fillId="0" borderId="0" xfId="0" applyNumberFormat="1" applyFont="1" applyAlignment="1">
      <alignment vertical="top" wrapText="1"/>
    </xf>
    <xf numFmtId="0" fontId="28" fillId="0" borderId="0" xfId="0" applyFont="1" applyAlignment="1"/>
    <xf numFmtId="1" fontId="5" fillId="0" borderId="0" xfId="0" applyNumberFormat="1" applyFont="1" applyAlignment="1">
      <alignment horizontal="left" vertical="top" wrapText="1"/>
    </xf>
    <xf numFmtId="0" fontId="5" fillId="0" borderId="2" xfId="0" applyFont="1" applyBorder="1" applyAlignment="1">
      <alignment horizontal="left" vertical="top" wrapText="1"/>
    </xf>
    <xf numFmtId="0" fontId="31" fillId="0" borderId="0" xfId="0" applyFont="1" applyAlignment="1">
      <alignment vertical="top" wrapText="1"/>
    </xf>
    <xf numFmtId="0" fontId="31" fillId="0" borderId="0" xfId="0" applyFont="1" applyAlignment="1">
      <alignment horizontal="left" vertical="top" wrapText="1"/>
    </xf>
    <xf numFmtId="0" fontId="5" fillId="0" borderId="8" xfId="0" applyFont="1" applyBorder="1" applyAlignment="1">
      <alignment horizontal="left" vertical="top" wrapText="1"/>
    </xf>
    <xf numFmtId="0" fontId="5" fillId="0" borderId="13" xfId="0" applyFont="1" applyBorder="1" applyAlignment="1">
      <alignment horizontal="left" vertical="top" wrapText="1"/>
    </xf>
    <xf numFmtId="0" fontId="22" fillId="0" borderId="0" xfId="0" applyFont="1">
      <alignment vertical="top"/>
    </xf>
    <xf numFmtId="0" fontId="27" fillId="0" borderId="0" xfId="0" applyFont="1">
      <alignment vertical="top"/>
    </xf>
    <xf numFmtId="0" fontId="31" fillId="0" borderId="0" xfId="0" applyFont="1">
      <alignment vertical="top"/>
    </xf>
    <xf numFmtId="0" fontId="5" fillId="0" borderId="1" xfId="0" applyFont="1" applyBorder="1" applyAlignment="1">
      <alignment horizontal="center" vertical="top" wrapText="1"/>
    </xf>
    <xf numFmtId="0" fontId="5" fillId="2" borderId="3" xfId="0" applyFont="1" applyFill="1" applyBorder="1" applyAlignment="1">
      <alignment horizontal="center" vertical="top" wrapText="1"/>
    </xf>
    <xf numFmtId="0" fontId="5" fillId="2" borderId="1" xfId="0" applyFont="1" applyFill="1" applyBorder="1" applyAlignment="1">
      <alignment horizontal="center" vertical="top" wrapText="1"/>
    </xf>
    <xf numFmtId="0" fontId="5" fillId="0" borderId="5" xfId="0" applyFont="1" applyBorder="1" applyAlignment="1">
      <alignment horizontal="left" vertical="top" wrapText="1"/>
    </xf>
    <xf numFmtId="0" fontId="31" fillId="0" borderId="6" xfId="0" applyFont="1" applyBorder="1" applyAlignment="1">
      <alignment vertical="top" wrapText="1"/>
    </xf>
    <xf numFmtId="0" fontId="5" fillId="2" borderId="4" xfId="0" applyFont="1" applyFill="1" applyBorder="1" applyAlignment="1">
      <alignment horizontal="center" vertical="top" wrapText="1"/>
    </xf>
    <xf numFmtId="0" fontId="31" fillId="0" borderId="16" xfId="0" applyFont="1" applyBorder="1" applyAlignment="1">
      <alignment vertical="top" wrapText="1"/>
    </xf>
    <xf numFmtId="0" fontId="5" fillId="0" borderId="0" xfId="0" applyFont="1" applyAlignment="1">
      <alignment horizontal="left" wrapText="1"/>
    </xf>
    <xf numFmtId="1" fontId="28" fillId="2" borderId="1" xfId="0" applyNumberFormat="1" applyFont="1" applyFill="1" applyBorder="1" applyAlignment="1">
      <alignment horizontal="center" vertical="top" wrapText="1"/>
    </xf>
    <xf numFmtId="0" fontId="28" fillId="2" borderId="2" xfId="0" applyFont="1" applyFill="1" applyBorder="1" applyAlignment="1">
      <alignment horizontal="center" vertical="top" wrapText="1"/>
    </xf>
    <xf numFmtId="0" fontId="28" fillId="0" borderId="3" xfId="0" applyFont="1" applyBorder="1" applyAlignment="1">
      <alignment horizontal="center" vertical="top" wrapText="1"/>
    </xf>
    <xf numFmtId="1" fontId="28" fillId="2" borderId="2" xfId="0" applyNumberFormat="1" applyFont="1" applyFill="1" applyBorder="1" applyAlignment="1">
      <alignment horizontal="center" vertical="top" wrapText="1"/>
    </xf>
    <xf numFmtId="0" fontId="28" fillId="2" borderId="1" xfId="0" applyFont="1" applyFill="1" applyBorder="1" applyAlignment="1">
      <alignment horizontal="center" vertical="top" wrapText="1"/>
    </xf>
    <xf numFmtId="0" fontId="28" fillId="2" borderId="8" xfId="0" applyFont="1" applyFill="1" applyBorder="1" applyAlignment="1">
      <alignment horizontal="center" vertical="top" wrapText="1"/>
    </xf>
    <xf numFmtId="1" fontId="28" fillId="2" borderId="8" xfId="0" applyNumberFormat="1" applyFont="1" applyFill="1" applyBorder="1" applyAlignment="1">
      <alignment horizontal="center" vertical="top" wrapText="1"/>
    </xf>
    <xf numFmtId="1" fontId="28" fillId="2" borderId="9" xfId="0" applyNumberFormat="1" applyFont="1" applyFill="1" applyBorder="1" applyAlignment="1">
      <alignment horizontal="center" vertical="top" wrapText="1"/>
    </xf>
    <xf numFmtId="1" fontId="28" fillId="0" borderId="0" xfId="0" applyNumberFormat="1" applyFont="1" applyAlignment="1">
      <alignment horizontal="center" vertical="top" wrapText="1"/>
    </xf>
    <xf numFmtId="1" fontId="28" fillId="2" borderId="15" xfId="0" applyNumberFormat="1" applyFont="1" applyFill="1" applyBorder="1" applyAlignment="1">
      <alignment horizontal="center" vertical="top" wrapText="1"/>
    </xf>
    <xf numFmtId="0" fontId="28" fillId="0" borderId="4" xfId="0" applyFont="1" applyBorder="1" applyAlignment="1">
      <alignment horizontal="center" vertical="top" wrapText="1"/>
    </xf>
    <xf numFmtId="0" fontId="26" fillId="2" borderId="8" xfId="0" applyFont="1" applyFill="1" applyBorder="1" applyAlignment="1">
      <alignment horizontal="center" vertical="top" wrapText="1"/>
    </xf>
    <xf numFmtId="0" fontId="5" fillId="4" borderId="0" xfId="0" applyFont="1" applyFill="1" applyAlignment="1">
      <alignment vertical="top" wrapText="1"/>
    </xf>
    <xf numFmtId="0" fontId="5" fillId="2" borderId="8" xfId="0" applyFont="1" applyFill="1" applyBorder="1" applyAlignment="1">
      <alignment horizontal="center" vertical="top" wrapText="1"/>
    </xf>
    <xf numFmtId="0" fontId="28" fillId="0" borderId="0" xfId="0" applyFont="1" applyAlignment="1">
      <alignment horizontal="left" vertical="top" wrapText="1"/>
    </xf>
    <xf numFmtId="2" fontId="4" fillId="0" borderId="0" xfId="0" applyNumberFormat="1" applyFont="1" applyAlignment="1">
      <alignment horizontal="center"/>
    </xf>
    <xf numFmtId="164" fontId="4" fillId="0" borderId="0" xfId="0" applyNumberFormat="1" applyFont="1" applyAlignment="1" applyProtection="1">
      <alignment horizontal="center" vertical="top" wrapText="1"/>
      <protection locked="0"/>
    </xf>
    <xf numFmtId="164" fontId="0" fillId="0" borderId="0" xfId="0" applyNumberFormat="1" applyAlignment="1" applyProtection="1">
      <alignment horizontal="center" vertical="top" wrapText="1"/>
      <protection locked="0"/>
    </xf>
    <xf numFmtId="1" fontId="28" fillId="2" borderId="13" xfId="0" applyNumberFormat="1" applyFont="1" applyFill="1" applyBorder="1" applyAlignment="1">
      <alignment horizontal="center" vertical="top" wrapText="1"/>
    </xf>
    <xf numFmtId="2" fontId="4" fillId="0" borderId="0" xfId="0" applyNumberFormat="1" applyFont="1">
      <alignment vertical="top"/>
    </xf>
    <xf numFmtId="2" fontId="4" fillId="0" borderId="0" xfId="0" applyNumberFormat="1" applyFont="1" applyAlignment="1" applyProtection="1">
      <alignment horizontal="center" vertical="top" wrapText="1"/>
      <protection locked="0"/>
    </xf>
    <xf numFmtId="2" fontId="4" fillId="0" borderId="0" xfId="0" applyNumberFormat="1" applyFont="1" applyAlignment="1" applyProtection="1">
      <alignment vertical="top" wrapText="1"/>
      <protection locked="0"/>
    </xf>
    <xf numFmtId="2" fontId="4" fillId="0" borderId="0" xfId="0" applyNumberFormat="1" applyFont="1" applyAlignment="1" applyProtection="1">
      <alignment horizontal="left" vertical="top" wrapText="1"/>
      <protection locked="0"/>
    </xf>
    <xf numFmtId="0" fontId="48" fillId="0" borderId="0" xfId="0" applyFont="1" applyAlignment="1">
      <alignment vertical="top" wrapText="1"/>
    </xf>
    <xf numFmtId="0" fontId="8" fillId="0" borderId="23" xfId="0" applyFont="1" applyBorder="1" applyAlignment="1">
      <alignment horizontal="center" vertical="center" wrapText="1"/>
    </xf>
    <xf numFmtId="0" fontId="6" fillId="0" borderId="23" xfId="0" applyFont="1" applyBorder="1" applyAlignment="1">
      <alignment horizontal="center" vertical="center" wrapText="1"/>
    </xf>
    <xf numFmtId="0" fontId="8" fillId="0" borderId="5" xfId="0" applyFont="1" applyBorder="1" applyAlignment="1">
      <alignment horizontal="center" vertical="center" wrapText="1"/>
    </xf>
    <xf numFmtId="0" fontId="5" fillId="0" borderId="14" xfId="0" applyFont="1" applyBorder="1" applyAlignment="1">
      <alignment horizontal="left" vertical="top" wrapText="1"/>
    </xf>
    <xf numFmtId="0" fontId="5" fillId="0" borderId="0" xfId="0" applyFont="1" applyAlignment="1">
      <alignment vertical="center" wrapText="1"/>
    </xf>
    <xf numFmtId="0" fontId="6" fillId="0" borderId="0" xfId="0" applyFont="1" applyAlignment="1">
      <alignment wrapText="1"/>
    </xf>
    <xf numFmtId="0" fontId="5" fillId="0" borderId="0" xfId="0" applyFont="1" applyAlignment="1">
      <alignment horizontal="left" vertical="center" wrapText="1"/>
    </xf>
    <xf numFmtId="49" fontId="5" fillId="0" borderId="5" xfId="0" applyNumberFormat="1" applyFont="1" applyBorder="1" applyAlignment="1">
      <alignment horizontal="left" vertical="top" wrapText="1"/>
    </xf>
    <xf numFmtId="2" fontId="5" fillId="0" borderId="0" xfId="0" applyNumberFormat="1" applyFont="1" applyAlignment="1">
      <alignment horizontal="left" vertical="top" wrapText="1"/>
    </xf>
    <xf numFmtId="0" fontId="11" fillId="13" borderId="5" xfId="0" applyFont="1" applyFill="1" applyBorder="1" applyAlignment="1">
      <alignment vertical="top" wrapText="1"/>
    </xf>
    <xf numFmtId="0" fontId="11" fillId="13" borderId="23" xfId="0" applyFont="1" applyFill="1" applyBorder="1" applyAlignment="1">
      <alignment vertical="top" wrapText="1"/>
    </xf>
    <xf numFmtId="0" fontId="11" fillId="13" borderId="36" xfId="0" applyFont="1" applyFill="1" applyBorder="1" applyAlignment="1">
      <alignment vertical="top" wrapText="1"/>
    </xf>
    <xf numFmtId="0" fontId="11" fillId="13" borderId="30" xfId="0" applyFont="1" applyFill="1" applyBorder="1" applyAlignment="1">
      <alignment horizontal="left" vertical="top" wrapText="1"/>
    </xf>
    <xf numFmtId="0" fontId="36" fillId="0" borderId="0" xfId="0" applyFont="1" applyAlignment="1">
      <alignment vertical="top" wrapText="1"/>
    </xf>
    <xf numFmtId="0" fontId="36" fillId="0" borderId="0" xfId="0" applyFont="1">
      <alignment vertical="top"/>
    </xf>
    <xf numFmtId="0" fontId="36" fillId="0" borderId="0" xfId="0" applyFont="1" applyAlignment="1">
      <alignment horizontal="left" vertical="top" wrapText="1"/>
    </xf>
    <xf numFmtId="0" fontId="36" fillId="0" borderId="0" xfId="0" applyFont="1" applyAlignment="1">
      <alignment wrapText="1"/>
    </xf>
    <xf numFmtId="49" fontId="2" fillId="0" borderId="1" xfId="1" applyNumberFormat="1" applyFont="1" applyBorder="1" applyAlignment="1">
      <alignment horizontal="center" vertical="center" wrapText="1"/>
    </xf>
    <xf numFmtId="49" fontId="2" fillId="0" borderId="2" xfId="1" applyNumberFormat="1" applyFont="1" applyBorder="1" applyAlignment="1">
      <alignment horizontal="center" vertical="center" wrapText="1"/>
    </xf>
    <xf numFmtId="49" fontId="2" fillId="0" borderId="4" xfId="1" applyNumberFormat="1" applyFont="1" applyBorder="1" applyAlignment="1">
      <alignment horizontal="center" vertical="center" wrapText="1"/>
    </xf>
    <xf numFmtId="49" fontId="2" fillId="0" borderId="8" xfId="1" applyNumberFormat="1" applyFont="1" applyBorder="1" applyAlignment="1">
      <alignment horizontal="center" vertical="center" wrapText="1"/>
    </xf>
    <xf numFmtId="49" fontId="18" fillId="0" borderId="1" xfId="1" applyNumberFormat="1" applyFont="1" applyBorder="1" applyAlignment="1">
      <alignment horizontal="center" vertical="center" wrapText="1"/>
    </xf>
    <xf numFmtId="49" fontId="18" fillId="0" borderId="2" xfId="1" applyNumberFormat="1" applyFont="1" applyBorder="1" applyAlignment="1">
      <alignment horizontal="center" vertical="center" wrapText="1"/>
    </xf>
    <xf numFmtId="49" fontId="18" fillId="0" borderId="9" xfId="1" applyNumberFormat="1" applyFont="1" applyBorder="1" applyAlignment="1">
      <alignment horizontal="center" vertical="center" wrapText="1"/>
    </xf>
    <xf numFmtId="49" fontId="18" fillId="15" borderId="38" xfId="1" applyNumberFormat="1" applyFont="1" applyFill="1" applyBorder="1" applyAlignment="1">
      <alignment horizontal="center" vertical="center" wrapText="1"/>
    </xf>
    <xf numFmtId="49" fontId="2" fillId="15" borderId="5" xfId="1" applyNumberFormat="1" applyFont="1" applyFill="1" applyBorder="1" applyAlignment="1">
      <alignment horizontal="center" vertical="center" wrapText="1"/>
    </xf>
    <xf numFmtId="49" fontId="18" fillId="0" borderId="4" xfId="1" applyNumberFormat="1" applyFont="1" applyBorder="1" applyAlignment="1">
      <alignment horizontal="center" vertical="center" wrapText="1"/>
    </xf>
    <xf numFmtId="49" fontId="19" fillId="15" borderId="6" xfId="1" applyNumberFormat="1" applyFont="1" applyFill="1" applyBorder="1" applyAlignment="1">
      <alignment vertical="center" wrapText="1"/>
    </xf>
    <xf numFmtId="49" fontId="19" fillId="15" borderId="17" xfId="1" applyNumberFormat="1" applyFont="1" applyFill="1" applyBorder="1" applyAlignment="1">
      <alignment vertical="center" wrapText="1"/>
    </xf>
    <xf numFmtId="49" fontId="18" fillId="0" borderId="7" xfId="1" applyNumberFormat="1" applyFont="1" applyBorder="1" applyAlignment="1">
      <alignment horizontal="center" vertical="center" wrapText="1"/>
    </xf>
    <xf numFmtId="49" fontId="2" fillId="0" borderId="6" xfId="1" applyNumberFormat="1" applyFont="1" applyBorder="1" applyAlignment="1">
      <alignment horizontal="center" vertical="center" wrapText="1"/>
    </xf>
    <xf numFmtId="0" fontId="5" fillId="0" borderId="48" xfId="0" applyFont="1" applyBorder="1" applyAlignment="1">
      <alignment horizontal="left" vertical="top" wrapText="1"/>
    </xf>
    <xf numFmtId="0" fontId="5" fillId="0" borderId="44" xfId="0" applyFont="1" applyBorder="1" applyAlignment="1">
      <alignment horizontal="left" vertical="top" wrapText="1"/>
    </xf>
    <xf numFmtId="0" fontId="5" fillId="0" borderId="43" xfId="0" applyFont="1" applyBorder="1" applyAlignment="1">
      <alignment horizontal="left" vertical="top" wrapText="1"/>
    </xf>
    <xf numFmtId="0" fontId="28" fillId="0" borderId="5" xfId="0" applyFont="1" applyBorder="1" applyAlignment="1">
      <alignment horizontal="left" vertical="top" wrapText="1"/>
    </xf>
    <xf numFmtId="0" fontId="5" fillId="0" borderId="1" xfId="0" applyFont="1" applyBorder="1" applyAlignment="1">
      <alignment horizontal="left" vertical="top"/>
    </xf>
    <xf numFmtId="0" fontId="5" fillId="4" borderId="5" xfId="0" applyFont="1" applyFill="1" applyBorder="1" applyAlignment="1">
      <alignment horizontal="left" vertical="top" wrapText="1"/>
    </xf>
    <xf numFmtId="0" fontId="5" fillId="0" borderId="55" xfId="0" applyFont="1" applyBorder="1" applyAlignment="1">
      <alignment horizontal="left" vertical="top"/>
    </xf>
    <xf numFmtId="0" fontId="5" fillId="0" borderId="21" xfId="0" applyFont="1" applyBorder="1" applyAlignment="1">
      <alignment horizontal="left" vertical="top" wrapText="1"/>
    </xf>
    <xf numFmtId="0" fontId="49" fillId="0" borderId="21" xfId="0" applyFont="1" applyBorder="1" applyAlignment="1">
      <alignment vertical="top" wrapText="1"/>
    </xf>
    <xf numFmtId="0" fontId="5" fillId="0" borderId="21" xfId="0" applyFont="1" applyBorder="1" applyAlignment="1">
      <alignment vertical="top" wrapText="1"/>
    </xf>
    <xf numFmtId="0" fontId="5" fillId="0" borderId="24" xfId="0" applyFont="1" applyBorder="1" applyAlignment="1">
      <alignment horizontal="left" vertical="top" wrapText="1"/>
    </xf>
    <xf numFmtId="0" fontId="5" fillId="0" borderId="18" xfId="0" applyFont="1" applyBorder="1" applyAlignment="1">
      <alignment horizontal="left" vertical="top" wrapText="1"/>
    </xf>
    <xf numFmtId="0" fontId="5" fillId="0" borderId="44" xfId="0" applyFont="1" applyBorder="1" applyAlignment="1">
      <alignment vertical="top" wrapText="1"/>
    </xf>
    <xf numFmtId="0" fontId="44" fillId="0" borderId="6" xfId="0" applyFont="1" applyBorder="1" applyAlignment="1">
      <alignment vertical="top" wrapText="1"/>
    </xf>
    <xf numFmtId="0" fontId="44" fillId="0" borderId="0" xfId="0" applyFont="1" applyAlignment="1">
      <alignment vertical="top" wrapText="1"/>
    </xf>
    <xf numFmtId="0" fontId="31" fillId="0" borderId="5" xfId="0" applyFont="1" applyBorder="1" applyAlignment="1">
      <alignment vertical="top" wrapText="1"/>
    </xf>
    <xf numFmtId="0" fontId="31" fillId="0" borderId="5" xfId="0" applyFont="1" applyBorder="1" applyAlignment="1">
      <alignment horizontal="left" vertical="top" wrapText="1"/>
    </xf>
    <xf numFmtId="1" fontId="31" fillId="0" borderId="5" xfId="0" applyNumberFormat="1" applyFont="1" applyBorder="1" applyAlignment="1">
      <alignment horizontal="left" vertical="top" wrapText="1"/>
    </xf>
    <xf numFmtId="1" fontId="43" fillId="0" borderId="5" xfId="0" applyNumberFormat="1" applyFont="1" applyBorder="1" applyAlignment="1">
      <alignment horizontal="center" vertical="top" wrapText="1"/>
    </xf>
    <xf numFmtId="1" fontId="43" fillId="0" borderId="23" xfId="0" applyNumberFormat="1" applyFont="1" applyBorder="1" applyAlignment="1">
      <alignment horizontal="center" vertical="top"/>
    </xf>
    <xf numFmtId="0" fontId="43" fillId="13" borderId="23" xfId="0" applyFont="1" applyFill="1" applyBorder="1" applyAlignment="1">
      <alignment horizontal="center" vertical="top" wrapText="1"/>
    </xf>
    <xf numFmtId="1" fontId="43" fillId="0" borderId="23" xfId="0" applyNumberFormat="1" applyFont="1" applyBorder="1" applyAlignment="1">
      <alignment horizontal="center" vertical="top" wrapText="1"/>
    </xf>
    <xf numFmtId="1" fontId="42" fillId="0" borderId="5" xfId="0" applyNumberFormat="1" applyFont="1" applyBorder="1" applyAlignment="1">
      <alignment horizontal="center" vertical="top" wrapText="1"/>
    </xf>
    <xf numFmtId="1" fontId="42" fillId="0" borderId="5" xfId="0" applyNumberFormat="1" applyFont="1" applyBorder="1" applyAlignment="1">
      <alignment horizontal="center" vertical="top"/>
    </xf>
    <xf numFmtId="0" fontId="43" fillId="0" borderId="1" xfId="0" applyFont="1" applyBorder="1" applyAlignment="1">
      <alignment horizontal="center" vertical="top" wrapText="1"/>
    </xf>
    <xf numFmtId="2" fontId="5" fillId="0" borderId="0" xfId="0" applyNumberFormat="1" applyFont="1" applyAlignment="1">
      <alignment horizontal="center" vertical="center" wrapText="1"/>
    </xf>
    <xf numFmtId="1" fontId="5" fillId="0" borderId="0" xfId="0" applyNumberFormat="1" applyFont="1" applyAlignment="1">
      <alignment horizontal="center" vertical="center" wrapText="1"/>
    </xf>
    <xf numFmtId="1" fontId="5" fillId="2" borderId="1" xfId="0" applyNumberFormat="1" applyFont="1" applyFill="1" applyBorder="1" applyAlignment="1">
      <alignment horizontal="center" vertical="center" wrapText="1"/>
    </xf>
    <xf numFmtId="1" fontId="5" fillId="2" borderId="3"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1" fontId="5" fillId="2" borderId="4" xfId="0" applyNumberFormat="1" applyFont="1" applyFill="1" applyBorder="1" applyAlignment="1">
      <alignment horizontal="center" vertical="center" wrapText="1"/>
    </xf>
    <xf numFmtId="0" fontId="5" fillId="0" borderId="29" xfId="0" applyFont="1" applyBorder="1" applyAlignment="1">
      <alignment vertical="top" wrapText="1"/>
    </xf>
    <xf numFmtId="0" fontId="5" fillId="0" borderId="24" xfId="0" applyFont="1" applyBorder="1" applyAlignment="1">
      <alignment vertical="top" wrapText="1"/>
    </xf>
    <xf numFmtId="0" fontId="5" fillId="0" borderId="48" xfId="0" applyFont="1" applyBorder="1" applyAlignment="1">
      <alignment vertical="top" wrapText="1"/>
    </xf>
    <xf numFmtId="0" fontId="31" fillId="0" borderId="12" xfId="0" applyFont="1" applyBorder="1" applyAlignment="1">
      <alignment vertical="top" wrapText="1"/>
    </xf>
    <xf numFmtId="0" fontId="5" fillId="0" borderId="29" xfId="0" applyFont="1" applyBorder="1" applyAlignment="1">
      <alignment horizontal="left" vertical="top" wrapText="1"/>
    </xf>
    <xf numFmtId="1" fontId="5" fillId="0" borderId="13" xfId="0" applyNumberFormat="1" applyFont="1" applyBorder="1" applyAlignment="1">
      <alignment horizontal="left" vertical="top" wrapText="1"/>
    </xf>
    <xf numFmtId="0" fontId="5" fillId="0" borderId="9" xfId="0" applyFont="1" applyBorder="1" applyAlignment="1">
      <alignment horizontal="left" vertical="top" wrapText="1"/>
    </xf>
    <xf numFmtId="1" fontId="5" fillId="0" borderId="5" xfId="0" applyNumberFormat="1" applyFont="1" applyBorder="1" applyAlignment="1">
      <alignment horizontal="left" vertical="top" wrapText="1"/>
    </xf>
    <xf numFmtId="0" fontId="5" fillId="0" borderId="13" xfId="0" applyFont="1" applyBorder="1" applyAlignment="1">
      <alignment vertical="top" wrapText="1"/>
    </xf>
    <xf numFmtId="1" fontId="31" fillId="0" borderId="0" xfId="0" applyNumberFormat="1" applyFont="1" applyAlignment="1">
      <alignment horizontal="center" vertical="center" wrapText="1"/>
    </xf>
    <xf numFmtId="2" fontId="31" fillId="0" borderId="0" xfId="0" applyNumberFormat="1" applyFont="1" applyAlignment="1">
      <alignment horizontal="center" vertical="center" wrapText="1"/>
    </xf>
    <xf numFmtId="2" fontId="5" fillId="6" borderId="36" xfId="0" applyNumberFormat="1" applyFont="1" applyFill="1" applyBorder="1" applyAlignment="1">
      <alignment horizontal="center" vertical="center"/>
    </xf>
    <xf numFmtId="2" fontId="5" fillId="17" borderId="2" xfId="0" applyNumberFormat="1" applyFont="1" applyFill="1" applyBorder="1" applyAlignment="1">
      <alignment horizontal="center" vertical="center" wrapText="1"/>
    </xf>
    <xf numFmtId="2" fontId="5" fillId="17" borderId="50" xfId="0" applyNumberFormat="1" applyFont="1" applyFill="1" applyBorder="1" applyAlignment="1">
      <alignment horizontal="center" vertical="center" wrapText="1"/>
    </xf>
    <xf numFmtId="2" fontId="5" fillId="6" borderId="22" xfId="0" applyNumberFormat="1" applyFont="1" applyFill="1" applyBorder="1" applyAlignment="1">
      <alignment horizontal="center" vertical="center"/>
    </xf>
    <xf numFmtId="2" fontId="5" fillId="2" borderId="8" xfId="0" applyNumberFormat="1" applyFont="1" applyFill="1" applyBorder="1" applyAlignment="1">
      <alignment horizontal="center" vertical="center"/>
    </xf>
    <xf numFmtId="2" fontId="5" fillId="2" borderId="2" xfId="0" applyNumberFormat="1" applyFont="1" applyFill="1" applyBorder="1" applyAlignment="1">
      <alignment horizontal="center" vertical="center"/>
    </xf>
    <xf numFmtId="2" fontId="5" fillId="2" borderId="9" xfId="0" applyNumberFormat="1" applyFont="1" applyFill="1" applyBorder="1" applyAlignment="1">
      <alignment horizontal="center" vertical="center"/>
    </xf>
    <xf numFmtId="2" fontId="5" fillId="2" borderId="50" xfId="0" applyNumberFormat="1" applyFont="1" applyFill="1" applyBorder="1" applyAlignment="1">
      <alignment horizontal="center" vertical="center"/>
    </xf>
    <xf numFmtId="2" fontId="5" fillId="9" borderId="36" xfId="0" applyNumberFormat="1" applyFont="1" applyFill="1" applyBorder="1" applyAlignment="1">
      <alignment horizontal="center" vertical="center"/>
    </xf>
    <xf numFmtId="2" fontId="5" fillId="17" borderId="13" xfId="0" applyNumberFormat="1" applyFont="1" applyFill="1" applyBorder="1" applyAlignment="1">
      <alignment horizontal="center" vertical="center" wrapText="1"/>
    </xf>
    <xf numFmtId="2" fontId="5" fillId="17" borderId="9" xfId="0" applyNumberFormat="1" applyFont="1" applyFill="1" applyBorder="1" applyAlignment="1">
      <alignment horizontal="center" vertical="center" wrapText="1"/>
    </xf>
    <xf numFmtId="2" fontId="5" fillId="17" borderId="8" xfId="0" applyNumberFormat="1" applyFont="1" applyFill="1" applyBorder="1" applyAlignment="1">
      <alignment horizontal="center" vertical="center" wrapText="1"/>
    </xf>
    <xf numFmtId="2" fontId="5" fillId="9" borderId="22" xfId="0" applyNumberFormat="1" applyFont="1" applyFill="1" applyBorder="1" applyAlignment="1">
      <alignment horizontal="center" vertical="center"/>
    </xf>
    <xf numFmtId="2" fontId="5" fillId="17" borderId="8" xfId="0" applyNumberFormat="1" applyFont="1" applyFill="1" applyBorder="1" applyAlignment="1">
      <alignment horizontal="center" vertical="center"/>
    </xf>
    <xf numFmtId="2" fontId="5" fillId="17" borderId="2" xfId="0" applyNumberFormat="1" applyFont="1" applyFill="1" applyBorder="1" applyAlignment="1">
      <alignment horizontal="center" vertical="center"/>
    </xf>
    <xf numFmtId="2" fontId="5" fillId="9" borderId="66" xfId="0" applyNumberFormat="1" applyFont="1" applyFill="1" applyBorder="1" applyAlignment="1">
      <alignment horizontal="center" vertical="center" wrapText="1"/>
    </xf>
    <xf numFmtId="2" fontId="5" fillId="9" borderId="36" xfId="0" applyNumberFormat="1" applyFont="1" applyFill="1" applyBorder="1" applyAlignment="1">
      <alignment horizontal="center" vertical="center" wrapText="1"/>
    </xf>
    <xf numFmtId="2" fontId="5" fillId="0" borderId="0" xfId="0" applyNumberFormat="1" applyFont="1" applyAlignment="1">
      <alignment horizontal="center" vertical="center"/>
    </xf>
    <xf numFmtId="0" fontId="5" fillId="17" borderId="59" xfId="0" applyFont="1" applyFill="1" applyBorder="1" applyAlignment="1">
      <alignment horizontal="center" vertical="center" wrapText="1"/>
    </xf>
    <xf numFmtId="1" fontId="5" fillId="17" borderId="1" xfId="0" applyNumberFormat="1" applyFont="1" applyFill="1" applyBorder="1" applyAlignment="1">
      <alignment horizontal="center" vertical="center"/>
    </xf>
    <xf numFmtId="1" fontId="5" fillId="17" borderId="49" xfId="0" applyNumberFormat="1" applyFont="1" applyFill="1" applyBorder="1" applyAlignment="1">
      <alignment horizontal="center" vertical="center"/>
    </xf>
    <xf numFmtId="1" fontId="5" fillId="17" borderId="8" xfId="0" applyNumberFormat="1" applyFont="1" applyFill="1" applyBorder="1" applyAlignment="1">
      <alignment horizontal="center" vertical="center"/>
    </xf>
    <xf numFmtId="1" fontId="5" fillId="17" borderId="3" xfId="0" applyNumberFormat="1" applyFont="1" applyFill="1" applyBorder="1" applyAlignment="1">
      <alignment horizontal="center" vertical="center"/>
    </xf>
    <xf numFmtId="1" fontId="5" fillId="17" borderId="37" xfId="0" applyNumberFormat="1" applyFont="1" applyFill="1" applyBorder="1" applyAlignment="1">
      <alignment horizontal="center" vertical="center"/>
    </xf>
    <xf numFmtId="1" fontId="5" fillId="17" borderId="4" xfId="0" applyNumberFormat="1" applyFont="1" applyFill="1" applyBorder="1" applyAlignment="1">
      <alignment horizontal="center" vertical="center"/>
    </xf>
    <xf numFmtId="0" fontId="5" fillId="17" borderId="2"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7" borderId="3"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5" fillId="17" borderId="49" xfId="0" applyFont="1" applyFill="1" applyBorder="1" applyAlignment="1">
      <alignment horizontal="center" vertical="center" wrapText="1"/>
    </xf>
    <xf numFmtId="0" fontId="5" fillId="17" borderId="8" xfId="0" applyFont="1" applyFill="1" applyBorder="1" applyAlignment="1">
      <alignment horizontal="center" vertical="center" wrapText="1"/>
    </xf>
    <xf numFmtId="0" fontId="5" fillId="17" borderId="9" xfId="0" applyFont="1" applyFill="1" applyBorder="1" applyAlignment="1">
      <alignment horizontal="center" vertical="center" wrapText="1"/>
    </xf>
    <xf numFmtId="0" fontId="5" fillId="17" borderId="13" xfId="0" applyFont="1" applyFill="1" applyBorder="1" applyAlignment="1">
      <alignment horizontal="center" vertical="center" wrapText="1"/>
    </xf>
    <xf numFmtId="0" fontId="5" fillId="17" borderId="53" xfId="0" applyFont="1" applyFill="1" applyBorder="1" applyAlignment="1">
      <alignment horizontal="center" vertical="center" wrapText="1"/>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17" borderId="67" xfId="0" applyFont="1" applyFill="1" applyBorder="1" applyAlignment="1">
      <alignment horizontal="center" vertical="center" wrapText="1"/>
    </xf>
    <xf numFmtId="1" fontId="5" fillId="2" borderId="4" xfId="0" applyNumberFormat="1" applyFont="1" applyFill="1" applyBorder="1" applyAlignment="1">
      <alignment horizontal="center" vertical="center"/>
    </xf>
    <xf numFmtId="1" fontId="5" fillId="2" borderId="1" xfId="0" applyNumberFormat="1" applyFont="1" applyFill="1" applyBorder="1" applyAlignment="1">
      <alignment horizontal="center" vertical="center"/>
    </xf>
    <xf numFmtId="1" fontId="5" fillId="2" borderId="41" xfId="0" applyNumberFormat="1" applyFont="1" applyFill="1" applyBorder="1" applyAlignment="1">
      <alignment horizontal="center" vertical="center"/>
    </xf>
    <xf numFmtId="1" fontId="5" fillId="2" borderId="49" xfId="0" applyNumberFormat="1" applyFont="1" applyFill="1" applyBorder="1" applyAlignment="1">
      <alignment horizontal="center" vertical="center"/>
    </xf>
    <xf numFmtId="1" fontId="5" fillId="2" borderId="41" xfId="0" applyNumberFormat="1" applyFont="1" applyFill="1" applyBorder="1" applyAlignment="1">
      <alignment horizontal="center" vertical="center" wrapText="1"/>
    </xf>
    <xf numFmtId="1" fontId="5" fillId="2" borderId="49" xfId="0" applyNumberFormat="1" applyFont="1" applyFill="1" applyBorder="1" applyAlignment="1">
      <alignment horizontal="center" vertical="center" wrapText="1"/>
    </xf>
    <xf numFmtId="0" fontId="5" fillId="17" borderId="41" xfId="0" applyFont="1" applyFill="1" applyBorder="1" applyAlignment="1">
      <alignment horizontal="center" vertical="center" wrapText="1"/>
    </xf>
    <xf numFmtId="0" fontId="5" fillId="17" borderId="4" xfId="0" applyFont="1" applyFill="1" applyBorder="1" applyAlignment="1">
      <alignment horizontal="center" vertical="center" wrapText="1"/>
    </xf>
    <xf numFmtId="1" fontId="5" fillId="17" borderId="6" xfId="0" applyNumberFormat="1" applyFont="1" applyFill="1" applyBorder="1" applyAlignment="1">
      <alignment horizontal="center" vertical="center" wrapText="1"/>
    </xf>
    <xf numFmtId="1" fontId="5" fillId="17" borderId="17" xfId="0" applyNumberFormat="1" applyFont="1" applyFill="1" applyBorder="1" applyAlignment="1">
      <alignment horizontal="center" vertical="center" wrapText="1"/>
    </xf>
    <xf numFmtId="0" fontId="5" fillId="17" borderId="46" xfId="0" applyFont="1" applyFill="1" applyBorder="1" applyAlignment="1">
      <alignment horizontal="center" vertical="center" wrapText="1"/>
    </xf>
    <xf numFmtId="0" fontId="5" fillId="0" borderId="0" xfId="0" applyFont="1" applyAlignment="1">
      <alignment horizontal="center" vertical="center" wrapText="1"/>
    </xf>
    <xf numFmtId="2" fontId="5" fillId="6" borderId="36" xfId="0" applyNumberFormat="1" applyFont="1" applyFill="1" applyBorder="1" applyAlignment="1">
      <alignment horizontal="center" vertical="center" wrapText="1"/>
    </xf>
    <xf numFmtId="0" fontId="5" fillId="17" borderId="11" xfId="0" applyFont="1" applyFill="1" applyBorder="1" applyAlignment="1">
      <alignment horizontal="center" vertical="center" wrapText="1"/>
    </xf>
    <xf numFmtId="0" fontId="6" fillId="0" borderId="5" xfId="0" applyFont="1" applyBorder="1" applyAlignment="1">
      <alignment horizontal="center" vertical="center" wrapText="1"/>
    </xf>
    <xf numFmtId="0" fontId="31" fillId="0" borderId="17" xfId="0" applyFont="1" applyBorder="1" applyAlignment="1">
      <alignment vertical="top" wrapText="1"/>
    </xf>
    <xf numFmtId="0" fontId="5" fillId="0" borderId="47" xfId="0" applyFont="1" applyBorder="1" applyAlignment="1">
      <alignment vertical="top" wrapText="1"/>
    </xf>
    <xf numFmtId="0" fontId="5" fillId="8" borderId="57" xfId="0" applyFont="1" applyFill="1" applyBorder="1" applyAlignment="1">
      <alignment horizontal="left" vertical="center" wrapText="1"/>
    </xf>
    <xf numFmtId="0" fontId="5" fillId="8" borderId="27" xfId="0" applyFont="1" applyFill="1" applyBorder="1" applyAlignment="1">
      <alignment horizontal="left" vertical="center" wrapText="1"/>
    </xf>
    <xf numFmtId="0" fontId="5" fillId="8" borderId="42" xfId="0" applyFont="1" applyFill="1" applyBorder="1" applyAlignment="1">
      <alignment horizontal="left" vertical="center" wrapText="1"/>
    </xf>
    <xf numFmtId="0" fontId="5" fillId="0" borderId="5" xfId="0" applyFont="1" applyBorder="1" applyAlignment="1">
      <alignment horizontal="left" vertical="center" wrapText="1"/>
    </xf>
    <xf numFmtId="2" fontId="5" fillId="0" borderId="5" xfId="0" applyNumberFormat="1" applyFont="1" applyBorder="1" applyAlignment="1">
      <alignment horizontal="left" vertical="center" wrapText="1"/>
    </xf>
    <xf numFmtId="2" fontId="5" fillId="0" borderId="5" xfId="0" applyNumberFormat="1" applyFont="1" applyBorder="1" applyAlignment="1">
      <alignment horizontal="left" vertical="top" wrapText="1"/>
    </xf>
    <xf numFmtId="0" fontId="28" fillId="0" borderId="12" xfId="0" applyFont="1" applyBorder="1" applyAlignment="1">
      <alignment vertical="top" wrapText="1"/>
    </xf>
    <xf numFmtId="0" fontId="5" fillId="0" borderId="49" xfId="0" applyFont="1" applyBorder="1" applyAlignment="1">
      <alignment horizontal="center" vertical="top" wrapText="1"/>
    </xf>
    <xf numFmtId="0" fontId="5" fillId="0" borderId="52" xfId="0" applyFont="1" applyBorder="1" applyAlignment="1">
      <alignment vertical="top" wrapText="1"/>
    </xf>
    <xf numFmtId="0" fontId="5" fillId="2" borderId="41" xfId="0" applyFont="1" applyFill="1" applyBorder="1" applyAlignment="1">
      <alignment horizontal="center" vertical="center" wrapText="1"/>
    </xf>
    <xf numFmtId="0" fontId="5" fillId="8" borderId="27" xfId="0" applyFont="1" applyFill="1" applyBorder="1" applyAlignment="1">
      <alignment horizontal="left" vertical="top" wrapText="1"/>
    </xf>
    <xf numFmtId="0" fontId="5" fillId="0" borderId="36" xfId="0" applyFont="1" applyBorder="1" applyAlignment="1">
      <alignment vertical="top" wrapText="1"/>
    </xf>
    <xf numFmtId="0" fontId="5" fillId="0" borderId="53" xfId="0" applyFont="1" applyBorder="1" applyAlignment="1">
      <alignment horizontal="left" vertical="top" wrapText="1"/>
    </xf>
    <xf numFmtId="0" fontId="5" fillId="2" borderId="7"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0" borderId="55" xfId="0" applyFont="1" applyBorder="1" applyAlignment="1">
      <alignment vertical="top" wrapText="1"/>
    </xf>
    <xf numFmtId="49" fontId="49" fillId="0" borderId="29" xfId="0" applyNumberFormat="1" applyFont="1" applyBorder="1" applyAlignment="1">
      <alignment vertical="top" wrapText="1"/>
    </xf>
    <xf numFmtId="0" fontId="5" fillId="0" borderId="63" xfId="0" applyFont="1" applyBorder="1" applyAlignment="1">
      <alignment horizontal="left" vertical="top" wrapText="1"/>
    </xf>
    <xf numFmtId="2" fontId="28" fillId="0" borderId="5" xfId="0" applyNumberFormat="1" applyFont="1" applyBorder="1" applyAlignment="1">
      <alignment vertical="top" wrapText="1"/>
    </xf>
    <xf numFmtId="0" fontId="28" fillId="0" borderId="5" xfId="0" applyFont="1" applyBorder="1" applyAlignment="1">
      <alignment vertical="top" wrapText="1"/>
    </xf>
    <xf numFmtId="0" fontId="49" fillId="0" borderId="24" xfId="0" applyFont="1" applyBorder="1" applyAlignment="1">
      <alignment vertical="top" wrapText="1"/>
    </xf>
    <xf numFmtId="0" fontId="5" fillId="8" borderId="57" xfId="0" applyFont="1" applyFill="1" applyBorder="1" applyAlignment="1">
      <alignment horizontal="left" vertical="top" wrapText="1"/>
    </xf>
    <xf numFmtId="0" fontId="5" fillId="8" borderId="42" xfId="0" applyFont="1" applyFill="1" applyBorder="1" applyAlignment="1">
      <alignment horizontal="left" vertical="top" wrapText="1"/>
    </xf>
    <xf numFmtId="0" fontId="23" fillId="0" borderId="5" xfId="0" applyFont="1" applyBorder="1" applyAlignment="1">
      <alignment vertical="top" wrapText="1"/>
    </xf>
    <xf numFmtId="0" fontId="5" fillId="0" borderId="43" xfId="0" applyFont="1" applyBorder="1" applyAlignment="1">
      <alignment vertical="top" wrapText="1"/>
    </xf>
    <xf numFmtId="0" fontId="23" fillId="0" borderId="43" xfId="0" applyFont="1" applyBorder="1" applyAlignment="1">
      <alignment horizontal="left" vertical="top" wrapText="1"/>
    </xf>
    <xf numFmtId="0" fontId="23" fillId="0" borderId="11" xfId="0" applyFont="1" applyBorder="1" applyAlignment="1">
      <alignment vertical="top" wrapText="1"/>
    </xf>
    <xf numFmtId="0" fontId="28" fillId="0" borderId="46" xfId="0" applyFont="1" applyBorder="1" applyAlignment="1">
      <alignment horizontal="center" vertical="top" wrapText="1"/>
    </xf>
    <xf numFmtId="1" fontId="28" fillId="2" borderId="53" xfId="0" applyNumberFormat="1" applyFont="1" applyFill="1" applyBorder="1" applyAlignment="1">
      <alignment horizontal="center" vertical="top" wrapText="1"/>
    </xf>
    <xf numFmtId="1" fontId="28" fillId="2" borderId="7" xfId="0" applyNumberFormat="1" applyFont="1" applyFill="1" applyBorder="1" applyAlignment="1">
      <alignment horizontal="center" vertical="top" wrapText="1"/>
    </xf>
    <xf numFmtId="1" fontId="28" fillId="2" borderId="51" xfId="0" applyNumberFormat="1" applyFont="1" applyFill="1" applyBorder="1" applyAlignment="1">
      <alignment horizontal="center" vertical="top" wrapText="1"/>
    </xf>
    <xf numFmtId="0" fontId="28" fillId="0" borderId="49" xfId="0" applyFont="1" applyBorder="1" applyAlignment="1">
      <alignment horizontal="center" vertical="top" wrapText="1"/>
    </xf>
    <xf numFmtId="1" fontId="28" fillId="2" borderId="49" xfId="0" applyNumberFormat="1" applyFont="1" applyFill="1" applyBorder="1" applyAlignment="1">
      <alignment horizontal="center" vertical="top" wrapText="1"/>
    </xf>
    <xf numFmtId="0" fontId="28" fillId="2" borderId="3" xfId="0" applyFont="1" applyFill="1" applyBorder="1" applyAlignment="1">
      <alignment horizontal="center" vertical="top" wrapText="1"/>
    </xf>
    <xf numFmtId="1" fontId="28" fillId="2" borderId="37" xfId="0" applyNumberFormat="1" applyFont="1" applyFill="1" applyBorder="1" applyAlignment="1">
      <alignment horizontal="center" vertical="top" wrapText="1"/>
    </xf>
    <xf numFmtId="0" fontId="28" fillId="2" borderId="37" xfId="0" applyFont="1" applyFill="1" applyBorder="1" applyAlignment="1">
      <alignment horizontal="center" vertical="top" wrapText="1"/>
    </xf>
    <xf numFmtId="1" fontId="28" fillId="2" borderId="50" xfId="0" applyNumberFormat="1" applyFont="1" applyFill="1" applyBorder="1" applyAlignment="1">
      <alignment horizontal="center" vertical="top" wrapText="1"/>
    </xf>
    <xf numFmtId="0" fontId="28" fillId="2" borderId="49" xfId="0" applyFont="1" applyFill="1" applyBorder="1" applyAlignment="1">
      <alignment horizontal="center" vertical="top" wrapText="1"/>
    </xf>
    <xf numFmtId="1" fontId="28" fillId="2" borderId="16" xfId="0" applyNumberFormat="1" applyFont="1" applyFill="1" applyBorder="1" applyAlignment="1">
      <alignment horizontal="center" vertical="top" wrapText="1"/>
    </xf>
    <xf numFmtId="0" fontId="28" fillId="2" borderId="4" xfId="0" applyFont="1" applyFill="1" applyBorder="1" applyAlignment="1">
      <alignment horizontal="center" vertical="top" wrapText="1"/>
    </xf>
    <xf numFmtId="0" fontId="28" fillId="2" borderId="50" xfId="0" applyFont="1" applyFill="1" applyBorder="1" applyAlignment="1">
      <alignment horizontal="center" vertical="top" wrapText="1"/>
    </xf>
    <xf numFmtId="0" fontId="28" fillId="0" borderId="54" xfId="0" applyFont="1" applyBorder="1" applyAlignment="1">
      <alignment horizontal="center" vertical="top" wrapText="1"/>
    </xf>
    <xf numFmtId="0" fontId="28" fillId="0" borderId="11" xfId="0" applyFont="1" applyBorder="1" applyAlignment="1">
      <alignment vertical="top" wrapText="1"/>
    </xf>
    <xf numFmtId="0" fontId="28" fillId="0" borderId="36" xfId="0" applyFont="1" applyBorder="1" applyAlignment="1">
      <alignment vertical="top" wrapText="1"/>
    </xf>
    <xf numFmtId="1" fontId="28" fillId="0" borderId="13" xfId="0" applyNumberFormat="1" applyFont="1" applyBorder="1" applyAlignment="1">
      <alignment vertical="top" wrapText="1"/>
    </xf>
    <xf numFmtId="0" fontId="28" fillId="0" borderId="47" xfId="0" applyFont="1" applyBorder="1" applyAlignment="1">
      <alignment vertical="top" wrapText="1"/>
    </xf>
    <xf numFmtId="0" fontId="5" fillId="2" borderId="41" xfId="0" applyFont="1" applyFill="1" applyBorder="1" applyAlignment="1">
      <alignment horizontal="center" vertical="top" wrapText="1"/>
    </xf>
    <xf numFmtId="0" fontId="5" fillId="2" borderId="37" xfId="0" applyFont="1" applyFill="1" applyBorder="1" applyAlignment="1">
      <alignment horizontal="center" vertical="top" wrapText="1"/>
    </xf>
    <xf numFmtId="0" fontId="5" fillId="2" borderId="49" xfId="0" applyFont="1" applyFill="1" applyBorder="1" applyAlignment="1">
      <alignment horizontal="center" vertical="top" wrapText="1"/>
    </xf>
    <xf numFmtId="0" fontId="26" fillId="2" borderId="37" xfId="0" applyFont="1" applyFill="1" applyBorder="1" applyAlignment="1">
      <alignment horizontal="center" vertical="top" wrapText="1"/>
    </xf>
    <xf numFmtId="0" fontId="26" fillId="2" borderId="3" xfId="0" applyFont="1" applyFill="1" applyBorder="1" applyAlignment="1">
      <alignment horizontal="center" vertical="top" wrapText="1"/>
    </xf>
    <xf numFmtId="0" fontId="5" fillId="0" borderId="46" xfId="0" applyFont="1" applyBorder="1" applyAlignment="1">
      <alignment horizontal="center" vertical="top" wrapText="1"/>
    </xf>
    <xf numFmtId="0" fontId="5" fillId="2" borderId="46" xfId="0" applyFont="1" applyFill="1" applyBorder="1" applyAlignment="1">
      <alignment horizontal="center" vertical="top" wrapText="1"/>
    </xf>
    <xf numFmtId="0" fontId="5" fillId="2" borderId="53"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13" xfId="0" applyFont="1" applyFill="1" applyBorder="1" applyAlignment="1">
      <alignment horizontal="center" vertical="top" wrapText="1"/>
    </xf>
    <xf numFmtId="1" fontId="5" fillId="0" borderId="5" xfId="0" applyNumberFormat="1" applyFont="1" applyBorder="1" applyAlignment="1">
      <alignment vertical="top" wrapText="1"/>
    </xf>
    <xf numFmtId="0" fontId="5" fillId="0" borderId="23" xfId="0" applyFont="1" applyBorder="1" applyAlignment="1">
      <alignment horizontal="left" vertical="top" wrapText="1"/>
    </xf>
    <xf numFmtId="1" fontId="22" fillId="2" borderId="1" xfId="0" applyNumberFormat="1" applyFont="1" applyFill="1" applyBorder="1" applyAlignment="1">
      <alignment horizontal="center" vertical="center" wrapText="1"/>
    </xf>
    <xf numFmtId="1" fontId="22" fillId="2" borderId="1" xfId="0" applyNumberFormat="1" applyFont="1" applyFill="1" applyBorder="1" applyAlignment="1">
      <alignment horizontal="center" vertical="center"/>
    </xf>
    <xf numFmtId="0" fontId="22" fillId="0" borderId="5" xfId="0" applyFont="1" applyBorder="1" applyAlignment="1">
      <alignment vertical="top" wrapText="1"/>
    </xf>
    <xf numFmtId="0" fontId="5" fillId="0" borderId="63" xfId="0" applyFont="1" applyBorder="1" applyAlignment="1">
      <alignment vertical="top" wrapText="1"/>
    </xf>
    <xf numFmtId="1" fontId="5" fillId="0" borderId="46" xfId="0" applyNumberFormat="1" applyFont="1" applyBorder="1" applyAlignment="1">
      <alignment horizontal="center" vertical="top" wrapText="1"/>
    </xf>
    <xf numFmtId="0" fontId="28" fillId="0" borderId="7" xfId="0" applyFont="1" applyBorder="1" applyAlignment="1">
      <alignment horizontal="center" vertical="top" wrapText="1"/>
    </xf>
    <xf numFmtId="0" fontId="31" fillId="0" borderId="1" xfId="0" applyFont="1" applyBorder="1" applyAlignment="1">
      <alignment horizontal="center" vertical="top" wrapText="1"/>
    </xf>
    <xf numFmtId="0" fontId="31" fillId="0" borderId="49" xfId="0" applyFont="1" applyBorder="1" applyAlignment="1">
      <alignment horizontal="center" vertical="top" wrapText="1"/>
    </xf>
    <xf numFmtId="0" fontId="23" fillId="0" borderId="1" xfId="0" applyFont="1" applyBorder="1" applyAlignment="1">
      <alignment horizontal="center" vertical="top" wrapText="1"/>
    </xf>
    <xf numFmtId="0" fontId="23" fillId="0" borderId="49" xfId="0" applyFont="1" applyBorder="1" applyAlignment="1">
      <alignment horizontal="center" vertical="top" wrapText="1"/>
    </xf>
    <xf numFmtId="0" fontId="23" fillId="0" borderId="5" xfId="0" applyFont="1" applyBorder="1" applyAlignment="1">
      <alignment horizontal="left" vertical="top" wrapText="1"/>
    </xf>
    <xf numFmtId="0" fontId="5" fillId="4" borderId="23" xfId="0" applyFont="1" applyFill="1" applyBorder="1" applyAlignment="1">
      <alignment vertical="top" wrapText="1"/>
    </xf>
    <xf numFmtId="0" fontId="5" fillId="4" borderId="48" xfId="0" applyFont="1" applyFill="1" applyBorder="1" applyAlignment="1">
      <alignment vertical="top" wrapText="1"/>
    </xf>
    <xf numFmtId="1" fontId="28" fillId="2" borderId="41" xfId="0" applyNumberFormat="1" applyFont="1" applyFill="1" applyBorder="1" applyAlignment="1">
      <alignment horizontal="center" vertical="top" wrapText="1"/>
    </xf>
    <xf numFmtId="0" fontId="28" fillId="2" borderId="41" xfId="0" applyFont="1" applyFill="1" applyBorder="1" applyAlignment="1">
      <alignment horizontal="center" vertical="top" wrapText="1"/>
    </xf>
    <xf numFmtId="0" fontId="5" fillId="0" borderId="4" xfId="0" applyFont="1" applyBorder="1" applyAlignment="1">
      <alignment horizontal="center" vertical="top" wrapText="1"/>
    </xf>
    <xf numFmtId="0" fontId="5" fillId="0" borderId="5" xfId="0" applyFont="1" applyBorder="1" applyAlignment="1">
      <alignment horizontal="center" vertical="top" wrapText="1"/>
    </xf>
    <xf numFmtId="0" fontId="5" fillId="0" borderId="13" xfId="0" applyFont="1" applyBorder="1" applyAlignment="1">
      <alignment horizontal="center" vertical="top" wrapText="1"/>
    </xf>
    <xf numFmtId="1" fontId="5" fillId="0" borderId="4" xfId="0" applyNumberFormat="1" applyFont="1" applyBorder="1" applyAlignment="1">
      <alignment horizontal="center" vertical="top" wrapText="1"/>
    </xf>
    <xf numFmtId="1" fontId="5" fillId="0" borderId="1"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0" fontId="31" fillId="0" borderId="4" xfId="0" applyFont="1" applyBorder="1" applyAlignment="1">
      <alignment horizontal="center" vertical="top" wrapText="1"/>
    </xf>
    <xf numFmtId="0" fontId="31" fillId="0" borderId="7" xfId="0" applyFont="1" applyBorder="1" applyAlignment="1">
      <alignment horizontal="center" vertical="top" wrapText="1"/>
    </xf>
    <xf numFmtId="0" fontId="31" fillId="0" borderId="3" xfId="0" applyFont="1" applyBorder="1" applyAlignment="1">
      <alignment horizontal="center" vertical="top" wrapText="1"/>
    </xf>
    <xf numFmtId="1" fontId="31" fillId="0" borderId="4" xfId="0" applyNumberFormat="1" applyFont="1" applyBorder="1" applyAlignment="1">
      <alignment horizontal="center" vertical="top" wrapText="1"/>
    </xf>
    <xf numFmtId="1" fontId="31" fillId="0" borderId="1" xfId="0" applyNumberFormat="1" applyFont="1" applyBorder="1" applyAlignment="1">
      <alignment horizontal="center" vertical="top" wrapText="1"/>
    </xf>
    <xf numFmtId="1" fontId="31" fillId="0" borderId="49" xfId="0" applyNumberFormat="1" applyFont="1" applyBorder="1" applyAlignment="1">
      <alignment horizontal="center" vertical="top" wrapText="1"/>
    </xf>
    <xf numFmtId="0" fontId="31" fillId="0" borderId="46" xfId="0" applyFont="1" applyBorder="1" applyAlignment="1">
      <alignment horizontal="center" vertical="top" wrapText="1"/>
    </xf>
    <xf numFmtId="0" fontId="31" fillId="0" borderId="50" xfId="0" applyFont="1" applyBorder="1" applyAlignment="1">
      <alignment horizontal="center" vertical="top" wrapText="1"/>
    </xf>
    <xf numFmtId="1" fontId="31" fillId="0" borderId="53" xfId="0" applyNumberFormat="1" applyFont="1" applyBorder="1" applyAlignment="1">
      <alignment horizontal="center" vertical="top" wrapText="1"/>
    </xf>
    <xf numFmtId="49" fontId="31" fillId="0" borderId="7" xfId="0" applyNumberFormat="1" applyFont="1" applyBorder="1" applyAlignment="1">
      <alignment horizontal="center" vertical="top" wrapText="1"/>
    </xf>
    <xf numFmtId="49" fontId="31" fillId="0" borderId="3" xfId="0" applyNumberFormat="1" applyFont="1" applyBorder="1" applyAlignment="1">
      <alignment horizontal="center" vertical="top" wrapText="1"/>
    </xf>
    <xf numFmtId="1" fontId="31" fillId="0" borderId="13" xfId="0" applyNumberFormat="1" applyFont="1" applyBorder="1" applyAlignment="1">
      <alignment horizontal="center" vertical="top" wrapText="1"/>
    </xf>
    <xf numFmtId="1" fontId="31" fillId="0" borderId="9" xfId="0" applyNumberFormat="1" applyFont="1" applyBorder="1" applyAlignment="1">
      <alignment horizontal="center" vertical="top" wrapText="1"/>
    </xf>
    <xf numFmtId="1" fontId="31" fillId="0" borderId="3" xfId="0" applyNumberFormat="1" applyFont="1" applyBorder="1" applyAlignment="1">
      <alignment horizontal="center" vertical="top" wrapText="1"/>
    </xf>
    <xf numFmtId="0" fontId="31" fillId="0" borderId="12" xfId="0" applyFont="1" applyBorder="1" applyAlignment="1">
      <alignment horizontal="center" vertical="top" wrapText="1"/>
    </xf>
    <xf numFmtId="0" fontId="31" fillId="0" borderId="6" xfId="0" applyFont="1" applyBorder="1" applyAlignment="1">
      <alignment horizontal="center" vertical="top" wrapText="1"/>
    </xf>
    <xf numFmtId="0" fontId="31" fillId="0" borderId="17" xfId="0" applyFont="1" applyBorder="1" applyAlignment="1">
      <alignment horizontal="center" vertical="top" wrapText="1"/>
    </xf>
    <xf numFmtId="0" fontId="5" fillId="0" borderId="60" xfId="0" applyFont="1" applyBorder="1" applyAlignment="1">
      <alignment horizontal="center" vertical="top" wrapText="1"/>
    </xf>
    <xf numFmtId="0" fontId="5" fillId="0" borderId="8" xfId="0" applyFont="1" applyBorder="1" applyAlignment="1">
      <alignment horizontal="center" vertical="top" wrapText="1"/>
    </xf>
    <xf numFmtId="0" fontId="5" fillId="0" borderId="2" xfId="0" applyFont="1" applyBorder="1" applyAlignment="1">
      <alignment horizontal="center" vertical="top" wrapText="1"/>
    </xf>
    <xf numFmtId="0" fontId="5" fillId="0" borderId="9" xfId="0" applyFont="1" applyBorder="1" applyAlignment="1">
      <alignment horizontal="center" vertical="top" wrapText="1"/>
    </xf>
    <xf numFmtId="49" fontId="5" fillId="0" borderId="7" xfId="0" applyNumberFormat="1" applyFont="1" applyBorder="1" applyAlignment="1">
      <alignment horizontal="center" vertical="top" wrapText="1"/>
    </xf>
    <xf numFmtId="49" fontId="5" fillId="0" borderId="3" xfId="0" applyNumberFormat="1" applyFont="1" applyBorder="1" applyAlignment="1">
      <alignment horizontal="center" vertical="top" wrapText="1"/>
    </xf>
    <xf numFmtId="49" fontId="5" fillId="0" borderId="49" xfId="0" applyNumberFormat="1" applyFont="1" applyBorder="1" applyAlignment="1">
      <alignment horizontal="center" vertical="top" wrapText="1"/>
    </xf>
    <xf numFmtId="0" fontId="5" fillId="0" borderId="12" xfId="0" applyFont="1" applyBorder="1" applyAlignment="1">
      <alignment horizontal="center" vertical="top" wrapText="1"/>
    </xf>
    <xf numFmtId="0" fontId="5" fillId="0" borderId="6" xfId="0" applyFont="1" applyBorder="1" applyAlignment="1">
      <alignment horizontal="center" vertical="top" wrapText="1"/>
    </xf>
    <xf numFmtId="0" fontId="5" fillId="0" borderId="52" xfId="0" applyFont="1" applyBorder="1" applyAlignment="1">
      <alignment horizontal="center" vertical="top" wrapText="1"/>
    </xf>
    <xf numFmtId="1" fontId="5" fillId="0" borderId="49" xfId="0" applyNumberFormat="1" applyFont="1" applyBorder="1" applyAlignment="1">
      <alignment horizontal="center" vertical="top" wrapText="1"/>
    </xf>
    <xf numFmtId="0" fontId="5" fillId="0" borderId="53" xfId="0" applyFont="1" applyBorder="1" applyAlignment="1">
      <alignment horizontal="center" vertical="top" wrapText="1"/>
    </xf>
    <xf numFmtId="1" fontId="5" fillId="0" borderId="54" xfId="0" applyNumberFormat="1" applyFont="1" applyBorder="1" applyAlignment="1">
      <alignment horizontal="center" vertical="top" wrapText="1"/>
    </xf>
    <xf numFmtId="1" fontId="5" fillId="0" borderId="7" xfId="0" applyNumberFormat="1" applyFont="1" applyBorder="1" applyAlignment="1">
      <alignment horizontal="center" vertical="top" wrapText="1"/>
    </xf>
    <xf numFmtId="0" fontId="5" fillId="0" borderId="54" xfId="0" applyFont="1" applyBorder="1" applyAlignment="1">
      <alignment horizontal="center" vertical="top" wrapText="1"/>
    </xf>
    <xf numFmtId="0" fontId="5" fillId="0" borderId="50" xfId="0" applyFont="1" applyBorder="1" applyAlignment="1">
      <alignment horizontal="center" vertical="top" wrapText="1"/>
    </xf>
    <xf numFmtId="1" fontId="5" fillId="0" borderId="8" xfId="0" applyNumberFormat="1" applyFont="1" applyBorder="1" applyAlignment="1">
      <alignment horizontal="center" vertical="top" wrapText="1"/>
    </xf>
    <xf numFmtId="1" fontId="5" fillId="0" borderId="2" xfId="0" applyNumberFormat="1" applyFont="1" applyBorder="1" applyAlignment="1">
      <alignment horizontal="center" vertical="top" wrapText="1"/>
    </xf>
    <xf numFmtId="1" fontId="5" fillId="0" borderId="53" xfId="0" applyNumberFormat="1" applyFont="1" applyBorder="1" applyAlignment="1">
      <alignment horizontal="center" vertical="top" wrapText="1"/>
    </xf>
    <xf numFmtId="0" fontId="5" fillId="4" borderId="4" xfId="0" applyFont="1" applyFill="1" applyBorder="1" applyAlignment="1">
      <alignment horizontal="center" vertical="top" wrapText="1"/>
    </xf>
    <xf numFmtId="0" fontId="5" fillId="4" borderId="1" xfId="0" applyFont="1" applyFill="1" applyBorder="1" applyAlignment="1">
      <alignment horizontal="center" vertical="top" wrapText="1"/>
    </xf>
    <xf numFmtId="0" fontId="5" fillId="4" borderId="3" xfId="0" applyFont="1" applyFill="1" applyBorder="1" applyAlignment="1">
      <alignment horizontal="center" vertical="top" wrapText="1"/>
    </xf>
    <xf numFmtId="1" fontId="23" fillId="0" borderId="7" xfId="0" applyNumberFormat="1" applyFont="1" applyBorder="1" applyAlignment="1">
      <alignment horizontal="center" vertical="top" wrapText="1"/>
    </xf>
    <xf numFmtId="1" fontId="23" fillId="0" borderId="3" xfId="0" applyNumberFormat="1" applyFont="1" applyBorder="1" applyAlignment="1">
      <alignment horizontal="center" vertical="top" wrapText="1"/>
    </xf>
    <xf numFmtId="1" fontId="23" fillId="0" borderId="49" xfId="0" applyNumberFormat="1" applyFont="1" applyBorder="1" applyAlignment="1">
      <alignment horizontal="center" vertical="top" wrapText="1"/>
    </xf>
    <xf numFmtId="0" fontId="23" fillId="0" borderId="4" xfId="0" applyFont="1" applyBorder="1" applyAlignment="1">
      <alignment horizontal="center" vertical="top" wrapText="1"/>
    </xf>
    <xf numFmtId="0" fontId="23" fillId="0" borderId="7" xfId="0" applyFont="1" applyBorder="1" applyAlignment="1">
      <alignment horizontal="center" vertical="top" wrapText="1"/>
    </xf>
    <xf numFmtId="0" fontId="23" fillId="0" borderId="3" xfId="0" applyFont="1" applyBorder="1" applyAlignment="1">
      <alignment horizontal="center" vertical="top" wrapText="1"/>
    </xf>
    <xf numFmtId="1" fontId="23" fillId="0" borderId="4" xfId="0" applyNumberFormat="1" applyFont="1" applyBorder="1" applyAlignment="1">
      <alignment horizontal="center" vertical="top" wrapText="1"/>
    </xf>
    <xf numFmtId="1" fontId="23" fillId="0" borderId="54" xfId="0" applyNumberFormat="1" applyFont="1" applyBorder="1" applyAlignment="1">
      <alignment horizontal="center" vertical="top" wrapText="1"/>
    </xf>
    <xf numFmtId="0" fontId="23" fillId="0" borderId="53" xfId="0" applyFont="1" applyBorder="1" applyAlignment="1">
      <alignment horizontal="center" vertical="top" wrapText="1"/>
    </xf>
    <xf numFmtId="0" fontId="23" fillId="0" borderId="46" xfId="0" applyFont="1" applyBorder="1" applyAlignment="1">
      <alignment horizontal="center" vertical="top" wrapText="1"/>
    </xf>
    <xf numFmtId="0" fontId="23" fillId="0" borderId="13" xfId="0" applyFont="1" applyBorder="1" applyAlignment="1">
      <alignment horizontal="center" vertical="top" wrapText="1"/>
    </xf>
    <xf numFmtId="0" fontId="23" fillId="0" borderId="9" xfId="0" applyFont="1" applyBorder="1" applyAlignment="1">
      <alignment horizontal="center" vertical="top" wrapText="1"/>
    </xf>
    <xf numFmtId="0" fontId="23" fillId="0" borderId="54" xfId="0" applyFont="1" applyBorder="1" applyAlignment="1">
      <alignment horizontal="center" vertical="top" wrapText="1"/>
    </xf>
    <xf numFmtId="0" fontId="23" fillId="0" borderId="8" xfId="0" applyFont="1" applyBorder="1" applyAlignment="1">
      <alignment horizontal="center" vertical="top" wrapText="1"/>
    </xf>
    <xf numFmtId="0" fontId="23" fillId="0" borderId="2" xfId="0" applyFont="1" applyBorder="1" applyAlignment="1">
      <alignment horizontal="center" vertical="top" wrapText="1"/>
    </xf>
    <xf numFmtId="0" fontId="23" fillId="0" borderId="50" xfId="0" applyFont="1" applyBorder="1" applyAlignment="1">
      <alignment horizontal="center" vertical="top" wrapText="1"/>
    </xf>
    <xf numFmtId="0" fontId="28" fillId="0" borderId="53" xfId="0" applyFont="1" applyBorder="1" applyAlignment="1">
      <alignment horizontal="center" vertical="top" wrapText="1"/>
    </xf>
    <xf numFmtId="0" fontId="28" fillId="0" borderId="13" xfId="0" applyFont="1" applyBorder="1" applyAlignment="1">
      <alignment horizontal="center" vertical="top" wrapText="1"/>
    </xf>
    <xf numFmtId="0" fontId="28" fillId="0" borderId="8" xfId="0" applyFont="1" applyBorder="1" applyAlignment="1">
      <alignment horizontal="center" vertical="top" wrapText="1"/>
    </xf>
    <xf numFmtId="0" fontId="28" fillId="0" borderId="2" xfId="0" applyFont="1" applyBorder="1" applyAlignment="1">
      <alignment horizontal="center" vertical="top" wrapText="1"/>
    </xf>
    <xf numFmtId="0" fontId="28" fillId="0" borderId="50" xfId="0" applyFont="1" applyBorder="1" applyAlignment="1">
      <alignment horizontal="center" vertical="top" wrapText="1"/>
    </xf>
    <xf numFmtId="0" fontId="28" fillId="0" borderId="9" xfId="0" applyFont="1" applyBorder="1" applyAlignment="1">
      <alignment horizontal="center" vertical="top" wrapText="1"/>
    </xf>
    <xf numFmtId="49" fontId="28" fillId="0" borderId="4" xfId="0" applyNumberFormat="1" applyFont="1" applyBorder="1" applyAlignment="1">
      <alignment horizontal="center" vertical="top" wrapText="1"/>
    </xf>
    <xf numFmtId="49" fontId="28" fillId="0" borderId="1" xfId="0" applyNumberFormat="1" applyFont="1" applyBorder="1" applyAlignment="1">
      <alignment horizontal="center" vertical="top" wrapText="1"/>
    </xf>
    <xf numFmtId="49" fontId="28" fillId="0" borderId="3" xfId="0" applyNumberFormat="1" applyFont="1" applyBorder="1" applyAlignment="1">
      <alignment horizontal="center" vertical="top" wrapText="1"/>
    </xf>
    <xf numFmtId="0" fontId="22" fillId="0" borderId="4" xfId="0" applyFont="1" applyBorder="1" applyAlignment="1">
      <alignment horizontal="center" vertical="top" wrapText="1"/>
    </xf>
    <xf numFmtId="0" fontId="22" fillId="0" borderId="1" xfId="0" applyFont="1" applyBorder="1" applyAlignment="1">
      <alignment horizontal="center" vertical="top" wrapText="1"/>
    </xf>
    <xf numFmtId="0" fontId="22" fillId="0" borderId="49" xfId="0" applyFont="1" applyBorder="1" applyAlignment="1">
      <alignment horizontal="center" vertical="top" wrapText="1"/>
    </xf>
    <xf numFmtId="0" fontId="22" fillId="0" borderId="3" xfId="0" applyFont="1" applyBorder="1" applyAlignment="1">
      <alignment horizontal="center" vertical="top" wrapText="1"/>
    </xf>
    <xf numFmtId="0" fontId="22" fillId="0" borderId="54" xfId="0" applyFont="1" applyBorder="1" applyAlignment="1">
      <alignment horizontal="center" vertical="top" wrapText="1"/>
    </xf>
    <xf numFmtId="0" fontId="22" fillId="0" borderId="7" xfId="0" applyFont="1" applyBorder="1" applyAlignment="1">
      <alignment horizontal="center" vertical="top" wrapText="1"/>
    </xf>
    <xf numFmtId="49" fontId="22" fillId="0" borderId="4" xfId="0" applyNumberFormat="1" applyFont="1" applyBorder="1" applyAlignment="1">
      <alignment horizontal="center" vertical="top" wrapText="1"/>
    </xf>
    <xf numFmtId="49" fontId="22" fillId="0" borderId="1" xfId="0" applyNumberFormat="1" applyFont="1" applyBorder="1" applyAlignment="1">
      <alignment horizontal="center" vertical="top" wrapText="1"/>
    </xf>
    <xf numFmtId="49" fontId="22" fillId="0" borderId="49" xfId="0" applyNumberFormat="1" applyFont="1" applyBorder="1" applyAlignment="1">
      <alignment horizontal="center" vertical="top" wrapText="1"/>
    </xf>
    <xf numFmtId="0" fontId="31" fillId="0" borderId="54" xfId="0" applyFont="1" applyBorder="1" applyAlignment="1">
      <alignment horizontal="center" vertical="top" wrapText="1"/>
    </xf>
    <xf numFmtId="49" fontId="31" fillId="0" borderId="1" xfId="0" applyNumberFormat="1" applyFont="1" applyBorder="1" applyAlignment="1">
      <alignment horizontal="center" vertical="top" wrapText="1"/>
    </xf>
    <xf numFmtId="0" fontId="31" fillId="0" borderId="9" xfId="0" applyFont="1" applyBorder="1" applyAlignment="1">
      <alignment horizontal="center" vertical="top" wrapText="1"/>
    </xf>
    <xf numFmtId="1" fontId="5" fillId="0" borderId="36" xfId="0" applyNumberFormat="1" applyFont="1" applyBorder="1" applyAlignment="1">
      <alignment vertical="top" wrapText="1"/>
    </xf>
    <xf numFmtId="1" fontId="28" fillId="0" borderId="4" xfId="0" applyNumberFormat="1" applyFont="1" applyBorder="1" applyAlignment="1">
      <alignment horizontal="center" vertical="top" wrapText="1"/>
    </xf>
    <xf numFmtId="1" fontId="28" fillId="0" borderId="1" xfId="0" applyNumberFormat="1" applyFont="1" applyBorder="1" applyAlignment="1">
      <alignment horizontal="center" vertical="top" wrapText="1"/>
    </xf>
    <xf numFmtId="1" fontId="28" fillId="0" borderId="49" xfId="0" applyNumberFormat="1" applyFont="1" applyBorder="1" applyAlignment="1">
      <alignment horizontal="center" vertical="top" wrapText="1"/>
    </xf>
    <xf numFmtId="1" fontId="28" fillId="0" borderId="3" xfId="0" applyNumberFormat="1" applyFont="1" applyBorder="1" applyAlignment="1">
      <alignment horizontal="center" vertical="top" wrapText="1"/>
    </xf>
    <xf numFmtId="1" fontId="28" fillId="0" borderId="7" xfId="0" applyNumberFormat="1" applyFont="1" applyBorder="1" applyAlignment="1">
      <alignment horizontal="center" vertical="top" wrapText="1"/>
    </xf>
    <xf numFmtId="1" fontId="28" fillId="0" borderId="8" xfId="0" applyNumberFormat="1" applyFont="1" applyBorder="1" applyAlignment="1">
      <alignment horizontal="center" vertical="top" wrapText="1"/>
    </xf>
    <xf numFmtId="1" fontId="28" fillId="0" borderId="2" xfId="0" applyNumberFormat="1" applyFont="1" applyBorder="1" applyAlignment="1">
      <alignment horizontal="center" vertical="top" wrapText="1"/>
    </xf>
    <xf numFmtId="1" fontId="28" fillId="0" borderId="53" xfId="0" applyNumberFormat="1" applyFont="1" applyBorder="1" applyAlignment="1">
      <alignment horizontal="center" vertical="top" wrapText="1"/>
    </xf>
    <xf numFmtId="1" fontId="28" fillId="0" borderId="46" xfId="0" applyNumberFormat="1" applyFont="1" applyBorder="1" applyAlignment="1">
      <alignment horizontal="center" vertical="top" wrapText="1"/>
    </xf>
    <xf numFmtId="0" fontId="5" fillId="21" borderId="36" xfId="0" applyFont="1" applyFill="1" applyBorder="1" applyAlignment="1">
      <alignment horizontal="left" vertical="top" wrapText="1"/>
    </xf>
    <xf numFmtId="0" fontId="5" fillId="21" borderId="55" xfId="0" applyFont="1" applyFill="1" applyBorder="1" applyAlignment="1">
      <alignment horizontal="left" vertical="top" wrapText="1"/>
    </xf>
    <xf numFmtId="49" fontId="5" fillId="21" borderId="14" xfId="0" applyNumberFormat="1" applyFont="1" applyFill="1" applyBorder="1" applyAlignment="1">
      <alignment horizontal="left" vertical="top" wrapText="1"/>
    </xf>
    <xf numFmtId="49" fontId="5" fillId="21" borderId="15" xfId="0" applyNumberFormat="1" applyFont="1" applyFill="1" applyBorder="1" applyAlignment="1">
      <alignment horizontal="left" vertical="top" wrapText="1"/>
    </xf>
    <xf numFmtId="0" fontId="5" fillId="21" borderId="0" xfId="0" applyFont="1" applyFill="1" applyAlignment="1">
      <alignment horizontal="left" vertical="top" wrapText="1"/>
    </xf>
    <xf numFmtId="0" fontId="5" fillId="0" borderId="0" xfId="0" applyFont="1" applyAlignment="1">
      <alignment vertical="center"/>
    </xf>
    <xf numFmtId="0" fontId="5" fillId="21" borderId="14" xfId="0" applyFont="1" applyFill="1" applyBorder="1" applyAlignment="1">
      <alignment horizontal="left" vertical="top" wrapText="1"/>
    </xf>
    <xf numFmtId="0" fontId="5" fillId="0" borderId="17" xfId="0" applyFont="1" applyBorder="1" applyAlignment="1">
      <alignment horizontal="left" vertical="top" wrapText="1"/>
    </xf>
    <xf numFmtId="0" fontId="5" fillId="0" borderId="7" xfId="0" applyFont="1" applyBorder="1" applyAlignment="1">
      <alignment horizontal="center" vertical="top" wrapText="1"/>
    </xf>
    <xf numFmtId="0" fontId="5" fillId="0" borderId="73" xfId="0" applyFont="1" applyBorder="1" applyAlignment="1">
      <alignment horizontal="left" vertical="top" wrapText="1"/>
    </xf>
    <xf numFmtId="0" fontId="5" fillId="0" borderId="74" xfId="0" applyFont="1" applyBorder="1" applyAlignment="1">
      <alignmen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73" xfId="0" applyFont="1" applyBorder="1" applyAlignment="1">
      <alignment vertical="top" wrapText="1"/>
    </xf>
    <xf numFmtId="1" fontId="5" fillId="0" borderId="0" xfId="0" applyNumberFormat="1" applyFont="1" applyAlignment="1">
      <alignment horizontal="center" vertical="top"/>
    </xf>
    <xf numFmtId="1" fontId="5" fillId="2" borderId="4" xfId="0" applyNumberFormat="1" applyFont="1" applyFill="1" applyBorder="1" applyAlignment="1">
      <alignment horizontal="center" vertical="top" wrapText="1"/>
    </xf>
    <xf numFmtId="1" fontId="5" fillId="2" borderId="1" xfId="0" applyNumberFormat="1" applyFont="1" applyFill="1" applyBorder="1" applyAlignment="1">
      <alignment horizontal="center" vertical="top" wrapText="1"/>
    </xf>
    <xf numFmtId="1" fontId="5" fillId="2" borderId="49" xfId="0" applyNumberFormat="1" applyFont="1" applyFill="1" applyBorder="1" applyAlignment="1">
      <alignment horizontal="center" vertical="top" wrapText="1"/>
    </xf>
    <xf numFmtId="1" fontId="5" fillId="2" borderId="8" xfId="0" applyNumberFormat="1" applyFont="1" applyFill="1" applyBorder="1" applyAlignment="1">
      <alignment horizontal="center" vertical="top" wrapText="1"/>
    </xf>
    <xf numFmtId="1" fontId="5" fillId="2" borderId="3" xfId="0" applyNumberFormat="1" applyFont="1" applyFill="1" applyBorder="1" applyAlignment="1">
      <alignment horizontal="center" vertical="top" wrapText="1"/>
    </xf>
    <xf numFmtId="1" fontId="5" fillId="2" borderId="41" xfId="0" applyNumberFormat="1" applyFont="1" applyFill="1" applyBorder="1" applyAlignment="1">
      <alignment horizontal="center" vertical="top" wrapText="1"/>
    </xf>
    <xf numFmtId="1" fontId="5" fillId="2" borderId="37" xfId="0" applyNumberFormat="1" applyFont="1" applyFill="1" applyBorder="1" applyAlignment="1">
      <alignment horizontal="center" vertical="top" wrapText="1"/>
    </xf>
    <xf numFmtId="0" fontId="31" fillId="2" borderId="4" xfId="0" applyFont="1" applyFill="1" applyBorder="1" applyAlignment="1">
      <alignment horizontal="center" vertical="top" wrapText="1"/>
    </xf>
    <xf numFmtId="1" fontId="31" fillId="2" borderId="8" xfId="0" applyNumberFormat="1" applyFont="1" applyFill="1" applyBorder="1" applyAlignment="1">
      <alignment horizontal="center" vertical="top" wrapText="1"/>
    </xf>
    <xf numFmtId="0" fontId="31" fillId="2" borderId="1" xfId="0" applyFont="1" applyFill="1" applyBorder="1" applyAlignment="1">
      <alignment horizontal="center" vertical="top" wrapText="1"/>
    </xf>
    <xf numFmtId="1" fontId="31" fillId="2" borderId="1" xfId="0" applyNumberFormat="1" applyFont="1" applyFill="1" applyBorder="1" applyAlignment="1">
      <alignment horizontal="center" vertical="top" wrapText="1"/>
    </xf>
    <xf numFmtId="0" fontId="31" fillId="2" borderId="3" xfId="0" applyFont="1" applyFill="1" applyBorder="1" applyAlignment="1">
      <alignment horizontal="center" vertical="top" wrapText="1"/>
    </xf>
    <xf numFmtId="1" fontId="31" fillId="2" borderId="3" xfId="0" applyNumberFormat="1" applyFont="1" applyFill="1" applyBorder="1" applyAlignment="1">
      <alignment horizontal="center" vertical="top" wrapText="1"/>
    </xf>
    <xf numFmtId="1" fontId="5" fillId="2" borderId="53" xfId="0" applyNumberFormat="1" applyFont="1" applyFill="1" applyBorder="1" applyAlignment="1">
      <alignment horizontal="center" vertical="top" wrapText="1"/>
    </xf>
    <xf numFmtId="1" fontId="5" fillId="2" borderId="13" xfId="0" applyNumberFormat="1" applyFont="1" applyFill="1" applyBorder="1" applyAlignment="1">
      <alignment horizontal="center" vertical="top" wrapText="1"/>
    </xf>
    <xf numFmtId="1" fontId="5" fillId="2" borderId="54" xfId="0" applyNumberFormat="1" applyFont="1" applyFill="1" applyBorder="1" applyAlignment="1">
      <alignment horizontal="center" vertical="top" wrapText="1"/>
    </xf>
    <xf numFmtId="1" fontId="5" fillId="2" borderId="68" xfId="0" applyNumberFormat="1" applyFont="1" applyFill="1" applyBorder="1" applyAlignment="1">
      <alignment horizontal="center" vertical="top" wrapText="1"/>
    </xf>
    <xf numFmtId="1" fontId="5" fillId="2" borderId="6" xfId="0" applyNumberFormat="1" applyFont="1" applyFill="1" applyBorder="1" applyAlignment="1">
      <alignment horizontal="center" vertical="top" wrapText="1"/>
    </xf>
    <xf numFmtId="1" fontId="5" fillId="2" borderId="52" xfId="0" applyNumberFormat="1" applyFont="1" applyFill="1" applyBorder="1" applyAlignment="1">
      <alignment horizontal="center" vertical="top" wrapText="1"/>
    </xf>
    <xf numFmtId="1" fontId="5" fillId="2" borderId="12" xfId="0" applyNumberFormat="1" applyFont="1" applyFill="1" applyBorder="1" applyAlignment="1">
      <alignment horizontal="center" vertical="top" wrapText="1"/>
    </xf>
    <xf numFmtId="1" fontId="5" fillId="2" borderId="7" xfId="0" applyNumberFormat="1" applyFont="1" applyFill="1" applyBorder="1" applyAlignment="1">
      <alignment horizontal="center" vertical="top" wrapText="1"/>
    </xf>
    <xf numFmtId="1" fontId="5" fillId="2" borderId="47" xfId="0" applyNumberFormat="1" applyFont="1" applyFill="1" applyBorder="1" applyAlignment="1">
      <alignment horizontal="center" vertical="top" wrapText="1"/>
    </xf>
    <xf numFmtId="1" fontId="5" fillId="2" borderId="8" xfId="0" applyNumberFormat="1" applyFont="1" applyFill="1" applyBorder="1" applyAlignment="1">
      <alignment horizontal="center" vertical="top"/>
    </xf>
    <xf numFmtId="1" fontId="5" fillId="2" borderId="37" xfId="0" applyNumberFormat="1" applyFont="1" applyFill="1" applyBorder="1" applyAlignment="1">
      <alignment horizontal="center" vertical="top"/>
    </xf>
    <xf numFmtId="1" fontId="5" fillId="2" borderId="46" xfId="0" applyNumberFormat="1" applyFont="1" applyFill="1" applyBorder="1" applyAlignment="1">
      <alignment horizontal="center" vertical="top" wrapText="1"/>
    </xf>
    <xf numFmtId="1" fontId="5" fillId="2" borderId="1" xfId="0" applyNumberFormat="1" applyFont="1" applyFill="1" applyBorder="1" applyAlignment="1">
      <alignment horizontal="center" vertical="top"/>
    </xf>
    <xf numFmtId="1" fontId="5" fillId="2" borderId="2" xfId="0" applyNumberFormat="1" applyFont="1" applyFill="1" applyBorder="1" applyAlignment="1">
      <alignment horizontal="center" vertical="top" wrapText="1"/>
    </xf>
    <xf numFmtId="1" fontId="5" fillId="2" borderId="3" xfId="0" applyNumberFormat="1" applyFont="1" applyFill="1" applyBorder="1" applyAlignment="1">
      <alignment horizontal="center" vertical="top"/>
    </xf>
    <xf numFmtId="1" fontId="5" fillId="2" borderId="9" xfId="0" applyNumberFormat="1" applyFont="1" applyFill="1" applyBorder="1" applyAlignment="1">
      <alignment horizontal="center" vertical="top" wrapText="1"/>
    </xf>
    <xf numFmtId="1" fontId="5" fillId="2" borderId="49" xfId="0" applyNumberFormat="1" applyFont="1" applyFill="1" applyBorder="1" applyAlignment="1">
      <alignment horizontal="center" vertical="top"/>
    </xf>
    <xf numFmtId="1" fontId="5" fillId="2" borderId="50" xfId="0" applyNumberFormat="1" applyFont="1" applyFill="1" applyBorder="1" applyAlignment="1">
      <alignment horizontal="center" vertical="top" wrapText="1"/>
    </xf>
    <xf numFmtId="1" fontId="5" fillId="2" borderId="4" xfId="0" applyNumberFormat="1" applyFont="1" applyFill="1" applyBorder="1" applyAlignment="1">
      <alignment horizontal="center" vertical="top"/>
    </xf>
    <xf numFmtId="1" fontId="5" fillId="2" borderId="68" xfId="0" applyNumberFormat="1" applyFont="1" applyFill="1" applyBorder="1" applyAlignment="1">
      <alignment horizontal="center" vertical="top"/>
    </xf>
    <xf numFmtId="1" fontId="5" fillId="2" borderId="11" xfId="0" applyNumberFormat="1" applyFont="1" applyFill="1" applyBorder="1" applyAlignment="1">
      <alignment horizontal="center" vertical="top"/>
    </xf>
    <xf numFmtId="1" fontId="5" fillId="0" borderId="46" xfId="0" applyNumberFormat="1" applyFont="1" applyBorder="1" applyAlignment="1">
      <alignment horizontal="center" vertical="top"/>
    </xf>
    <xf numFmtId="1" fontId="5" fillId="2" borderId="46" xfId="0" applyNumberFormat="1" applyFont="1" applyFill="1" applyBorder="1" applyAlignment="1">
      <alignment horizontal="center" vertical="top"/>
    </xf>
    <xf numFmtId="1" fontId="13" fillId="0" borderId="5" xfId="0" applyNumberFormat="1" applyFont="1" applyBorder="1" applyAlignment="1">
      <alignment horizontal="center" vertical="top"/>
    </xf>
    <xf numFmtId="2" fontId="5" fillId="6" borderId="66" xfId="0" applyNumberFormat="1" applyFont="1" applyFill="1" applyBorder="1" applyAlignment="1">
      <alignment horizontal="center" vertical="top" wrapText="1"/>
    </xf>
    <xf numFmtId="0" fontId="5" fillId="0" borderId="23" xfId="0" applyFont="1" applyBorder="1" applyAlignment="1">
      <alignment vertical="top" wrapText="1"/>
    </xf>
    <xf numFmtId="0" fontId="31" fillId="0" borderId="48" xfId="0" applyFont="1" applyBorder="1" applyAlignment="1">
      <alignment horizontal="left" vertical="top" wrapText="1"/>
    </xf>
    <xf numFmtId="0" fontId="31" fillId="0" borderId="44" xfId="0" applyFont="1" applyBorder="1" applyAlignment="1">
      <alignment vertical="top" wrapText="1"/>
    </xf>
    <xf numFmtId="0" fontId="5" fillId="0" borderId="55" xfId="0" applyFont="1" applyBorder="1" applyAlignment="1">
      <alignment horizontal="left" vertical="top" wrapText="1"/>
    </xf>
    <xf numFmtId="0" fontId="5" fillId="0" borderId="10" xfId="0" applyFont="1" applyBorder="1" applyAlignment="1">
      <alignment horizontal="left" vertical="top" wrapText="1"/>
    </xf>
    <xf numFmtId="1" fontId="5" fillId="0" borderId="23" xfId="0" applyNumberFormat="1"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0" fontId="5" fillId="0" borderId="38" xfId="0" applyFont="1" applyBorder="1" applyAlignment="1">
      <alignment horizontal="left" vertical="top" wrapText="1"/>
    </xf>
    <xf numFmtId="0" fontId="5" fillId="0" borderId="15" xfId="0" applyFont="1" applyBorder="1" applyAlignment="1">
      <alignment vertical="top" wrapText="1"/>
    </xf>
    <xf numFmtId="0" fontId="5" fillId="0" borderId="10" xfId="0" applyFont="1" applyBorder="1" applyAlignment="1">
      <alignment horizontal="left" vertical="top"/>
    </xf>
    <xf numFmtId="0" fontId="5" fillId="0" borderId="61" xfId="0" applyFont="1" applyBorder="1">
      <alignment vertical="top"/>
    </xf>
    <xf numFmtId="0" fontId="5" fillId="0" borderId="10" xfId="0" applyFont="1" applyBorder="1">
      <alignment vertical="top"/>
    </xf>
    <xf numFmtId="0" fontId="5" fillId="0" borderId="41" xfId="0" applyFont="1" applyBorder="1" applyAlignment="1">
      <alignment horizontal="left" vertical="top"/>
    </xf>
    <xf numFmtId="0" fontId="5" fillId="0" borderId="61" xfId="0" applyFont="1" applyBorder="1" applyAlignment="1">
      <alignment horizontal="left" vertical="top"/>
    </xf>
    <xf numFmtId="0" fontId="5" fillId="21" borderId="15" xfId="0" applyFont="1" applyFill="1" applyBorder="1" applyAlignment="1">
      <alignment horizontal="left" vertical="center" wrapText="1"/>
    </xf>
    <xf numFmtId="0" fontId="5" fillId="21" borderId="38" xfId="0" applyFont="1" applyFill="1" applyBorder="1" applyAlignment="1">
      <alignment horizontal="left" vertical="center" wrapText="1"/>
    </xf>
    <xf numFmtId="0" fontId="5" fillId="21" borderId="5" xfId="0" applyFont="1" applyFill="1" applyBorder="1" applyAlignment="1">
      <alignment horizontal="left" vertical="top" wrapText="1"/>
    </xf>
    <xf numFmtId="0" fontId="5" fillId="21" borderId="23" xfId="0" applyFont="1" applyFill="1" applyBorder="1" applyAlignment="1">
      <alignment vertical="top" wrapText="1"/>
    </xf>
    <xf numFmtId="0" fontId="5" fillId="21" borderId="48" xfId="0" applyFont="1" applyFill="1" applyBorder="1" applyAlignment="1">
      <alignment vertical="top" wrapText="1"/>
    </xf>
    <xf numFmtId="0" fontId="5" fillId="21" borderId="44" xfId="0" applyFont="1" applyFill="1" applyBorder="1" applyAlignment="1">
      <alignment vertical="top" wrapText="1"/>
    </xf>
    <xf numFmtId="49" fontId="10" fillId="0" borderId="65" xfId="1" applyNumberFormat="1" applyBorder="1" applyAlignment="1">
      <alignment vertical="center"/>
    </xf>
    <xf numFmtId="0" fontId="10" fillId="0" borderId="61" xfId="1" applyBorder="1" applyAlignment="1">
      <alignment vertical="center"/>
    </xf>
    <xf numFmtId="0" fontId="10" fillId="0" borderId="0" xfId="1" applyAlignment="1">
      <alignment vertical="center"/>
    </xf>
    <xf numFmtId="0" fontId="5" fillId="0" borderId="0" xfId="1" applyFont="1" applyAlignment="1">
      <alignment vertical="center"/>
    </xf>
    <xf numFmtId="0" fontId="44" fillId="6" borderId="5"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31" fillId="0" borderId="36" xfId="0" applyFont="1" applyBorder="1" applyAlignment="1">
      <alignment horizontal="left" vertical="top" wrapText="1"/>
    </xf>
    <xf numFmtId="0" fontId="31" fillId="0" borderId="36" xfId="0" applyFont="1" applyBorder="1" applyAlignment="1">
      <alignment horizontal="left" vertical="top"/>
    </xf>
    <xf numFmtId="0" fontId="31" fillId="0" borderId="43" xfId="0" applyFont="1" applyBorder="1" applyAlignment="1">
      <alignment vertical="top" wrapText="1"/>
    </xf>
    <xf numFmtId="0" fontId="31" fillId="0" borderId="58" xfId="0" applyFont="1" applyBorder="1" applyAlignment="1">
      <alignment vertical="top" wrapText="1"/>
    </xf>
    <xf numFmtId="0" fontId="31" fillId="0" borderId="43" xfId="0" applyFont="1" applyBorder="1" applyAlignment="1">
      <alignment horizontal="left" vertical="top" wrapText="1"/>
    </xf>
    <xf numFmtId="0" fontId="31" fillId="0" borderId="12" xfId="0" applyFont="1" applyBorder="1" applyAlignment="1">
      <alignment horizontal="left" vertical="top" wrapText="1"/>
    </xf>
    <xf numFmtId="0" fontId="31" fillId="0" borderId="6" xfId="0" applyFont="1" applyBorder="1" applyAlignment="1">
      <alignment horizontal="left" vertical="top" wrapText="1"/>
    </xf>
    <xf numFmtId="0" fontId="31" fillId="0" borderId="52" xfId="0" applyFont="1" applyBorder="1" applyAlignment="1">
      <alignment horizontal="left" vertical="top" wrapText="1"/>
    </xf>
    <xf numFmtId="0" fontId="31" fillId="0" borderId="11" xfId="0" applyFont="1" applyBorder="1" applyAlignment="1">
      <alignment vertical="top" wrapText="1"/>
    </xf>
    <xf numFmtId="0" fontId="31" fillId="0" borderId="58" xfId="0" applyFont="1" applyBorder="1" applyAlignment="1">
      <alignment horizontal="left" vertical="top" wrapText="1"/>
    </xf>
    <xf numFmtId="0" fontId="31" fillId="0" borderId="52" xfId="0" applyFont="1" applyBorder="1" applyAlignment="1">
      <alignment vertical="top" wrapText="1"/>
    </xf>
    <xf numFmtId="0" fontId="31" fillId="0" borderId="47" xfId="0" applyFont="1" applyBorder="1" applyAlignment="1">
      <alignment vertical="top" wrapText="1"/>
    </xf>
    <xf numFmtId="49" fontId="31" fillId="0" borderId="6" xfId="0" applyNumberFormat="1" applyFont="1" applyBorder="1" applyAlignment="1">
      <alignment vertical="top" wrapText="1"/>
    </xf>
    <xf numFmtId="0" fontId="31" fillId="0" borderId="38" xfId="0" applyFont="1" applyBorder="1" applyAlignment="1">
      <alignment vertical="top" wrapText="1"/>
    </xf>
    <xf numFmtId="1" fontId="31" fillId="0" borderId="43" xfId="0" applyNumberFormat="1" applyFont="1" applyBorder="1" applyAlignment="1">
      <alignment horizontal="left" vertical="top" wrapText="1"/>
    </xf>
    <xf numFmtId="1" fontId="31" fillId="0" borderId="12" xfId="0" applyNumberFormat="1" applyFont="1" applyBorder="1" applyAlignment="1">
      <alignment horizontal="left" vertical="top" wrapText="1"/>
    </xf>
    <xf numFmtId="1" fontId="31" fillId="0" borderId="6" xfId="0" applyNumberFormat="1" applyFont="1" applyBorder="1" applyAlignment="1">
      <alignment horizontal="left" vertical="top" wrapText="1"/>
    </xf>
    <xf numFmtId="1" fontId="31" fillId="0" borderId="52" xfId="0" applyNumberFormat="1" applyFont="1" applyBorder="1" applyAlignment="1">
      <alignment horizontal="left" vertical="top" wrapText="1"/>
    </xf>
    <xf numFmtId="0" fontId="5" fillId="0" borderId="17" xfId="0" applyFont="1" applyBorder="1" applyAlignment="1">
      <alignment vertical="top" wrapText="1"/>
    </xf>
    <xf numFmtId="1" fontId="44" fillId="6" borderId="5" xfId="0" applyNumberFormat="1" applyFont="1" applyFill="1" applyBorder="1" applyAlignment="1" applyProtection="1">
      <alignment horizontal="center" vertical="center" wrapText="1"/>
      <protection hidden="1"/>
    </xf>
    <xf numFmtId="0" fontId="44" fillId="6" borderId="5" xfId="0" applyFont="1" applyFill="1" applyBorder="1" applyAlignment="1" applyProtection="1">
      <alignment horizontal="center" vertical="center" wrapText="1"/>
      <protection hidden="1"/>
    </xf>
    <xf numFmtId="0" fontId="44" fillId="6" borderId="43" xfId="0" applyFont="1" applyFill="1" applyBorder="1" applyAlignment="1">
      <alignment horizontal="center" vertical="center" wrapText="1"/>
    </xf>
    <xf numFmtId="49" fontId="44" fillId="16" borderId="5" xfId="0" applyNumberFormat="1" applyFont="1" applyFill="1" applyBorder="1" applyAlignment="1">
      <alignment horizontal="center" vertical="center" wrapText="1"/>
    </xf>
    <xf numFmtId="49" fontId="44" fillId="16" borderId="55" xfId="0" applyNumberFormat="1" applyFont="1" applyFill="1" applyBorder="1" applyAlignment="1">
      <alignment horizontal="center" vertical="center" wrapText="1"/>
    </xf>
    <xf numFmtId="1" fontId="44" fillId="16" borderId="5" xfId="0" applyNumberFormat="1" applyFont="1" applyFill="1" applyBorder="1" applyAlignment="1" applyProtection="1">
      <alignment horizontal="center" vertical="center" wrapText="1"/>
      <protection hidden="1"/>
    </xf>
    <xf numFmtId="0" fontId="44" fillId="16" borderId="55" xfId="0" applyFont="1" applyFill="1" applyBorder="1" applyAlignment="1" applyProtection="1">
      <alignment horizontal="center" vertical="center" wrapText="1"/>
      <protection hidden="1"/>
    </xf>
    <xf numFmtId="0" fontId="44" fillId="16" borderId="43" xfId="0" applyFont="1" applyFill="1" applyBorder="1" applyAlignment="1">
      <alignment horizontal="center" vertical="center" wrapText="1"/>
    </xf>
    <xf numFmtId="0" fontId="44" fillId="6" borderId="55" xfId="0" applyFont="1" applyFill="1" applyBorder="1" applyAlignment="1">
      <alignment horizontal="center" vertical="center" wrapText="1"/>
    </xf>
    <xf numFmtId="49" fontId="44" fillId="6" borderId="5" xfId="0" applyNumberFormat="1" applyFont="1" applyFill="1" applyBorder="1" applyAlignment="1">
      <alignment horizontal="center" vertical="center" wrapText="1"/>
    </xf>
    <xf numFmtId="0" fontId="44" fillId="6" borderId="55" xfId="0" applyFont="1" applyFill="1" applyBorder="1" applyAlignment="1" applyProtection="1">
      <alignment horizontal="center" vertical="center" wrapText="1"/>
      <protection hidden="1"/>
    </xf>
    <xf numFmtId="2" fontId="44" fillId="6" borderId="5" xfId="0" applyNumberFormat="1" applyFont="1" applyFill="1" applyBorder="1" applyAlignment="1" applyProtection="1">
      <alignment horizontal="center" vertical="center" wrapText="1"/>
      <protection hidden="1"/>
    </xf>
    <xf numFmtId="0" fontId="44" fillId="16" borderId="36" xfId="0" applyFont="1" applyFill="1" applyBorder="1" applyAlignment="1">
      <alignment horizontal="center" vertical="center" wrapText="1"/>
    </xf>
    <xf numFmtId="49" fontId="44" fillId="6" borderId="43" xfId="0" applyNumberFormat="1" applyFont="1" applyFill="1" applyBorder="1" applyAlignment="1">
      <alignment horizontal="center" vertical="center" wrapText="1"/>
    </xf>
    <xf numFmtId="0" fontId="31" fillId="0" borderId="16" xfId="0" applyFont="1" applyBorder="1" applyAlignment="1">
      <alignment horizontal="left" vertical="top" wrapText="1"/>
    </xf>
    <xf numFmtId="0" fontId="5" fillId="0" borderId="52" xfId="0" applyFont="1" applyBorder="1" applyAlignment="1">
      <alignment horizontal="left" vertical="top" wrapText="1"/>
    </xf>
    <xf numFmtId="0" fontId="5" fillId="0" borderId="6" xfId="0" applyFont="1" applyBorder="1" applyAlignment="1">
      <alignment horizontal="left" vertical="top" wrapText="1"/>
    </xf>
    <xf numFmtId="0" fontId="44" fillId="16" borderId="5" xfId="0" applyFont="1" applyFill="1" applyBorder="1" applyAlignment="1">
      <alignment horizontal="center" vertical="center" wrapText="1"/>
    </xf>
    <xf numFmtId="2" fontId="44" fillId="16" borderId="5" xfId="0" applyNumberFormat="1" applyFont="1" applyFill="1" applyBorder="1" applyAlignment="1" applyProtection="1">
      <alignment horizontal="center" vertical="center" wrapText="1"/>
      <protection hidden="1"/>
    </xf>
    <xf numFmtId="1" fontId="31" fillId="0" borderId="0" xfId="0" applyNumberFormat="1" applyFont="1" applyAlignment="1" applyProtection="1">
      <alignment horizontal="center" vertical="top" wrapText="1"/>
      <protection hidden="1"/>
    </xf>
    <xf numFmtId="0" fontId="31" fillId="0" borderId="0" xfId="0" applyFont="1" applyAlignment="1" applyProtection="1">
      <alignment horizontal="center" vertical="top" wrapText="1"/>
      <protection hidden="1"/>
    </xf>
    <xf numFmtId="2" fontId="31" fillId="0" borderId="0" xfId="0" applyNumberFormat="1" applyFont="1" applyAlignment="1">
      <alignment horizontal="center" vertical="top" wrapText="1"/>
    </xf>
    <xf numFmtId="1" fontId="44" fillId="6" borderId="5" xfId="0" applyNumberFormat="1" applyFont="1" applyFill="1" applyBorder="1" applyAlignment="1" applyProtection="1">
      <alignment horizontal="center" vertical="top" wrapText="1"/>
      <protection hidden="1"/>
    </xf>
    <xf numFmtId="1" fontId="31" fillId="2" borderId="41" xfId="0" applyNumberFormat="1" applyFont="1" applyFill="1" applyBorder="1" applyAlignment="1" applyProtection="1">
      <alignment horizontal="center" vertical="top" wrapText="1"/>
      <protection hidden="1"/>
    </xf>
    <xf numFmtId="0" fontId="31" fillId="2" borderId="51" xfId="0" applyFont="1" applyFill="1" applyBorder="1" applyAlignment="1" applyProtection="1">
      <alignment horizontal="center" vertical="top" wrapText="1"/>
      <protection hidden="1"/>
    </xf>
    <xf numFmtId="2" fontId="31" fillId="6" borderId="36" xfId="0" applyNumberFormat="1" applyFont="1" applyFill="1" applyBorder="1" applyAlignment="1">
      <alignment horizontal="center" vertical="top" wrapText="1"/>
    </xf>
    <xf numFmtId="1" fontId="31" fillId="2" borderId="1" xfId="0" applyNumberFormat="1" applyFont="1" applyFill="1" applyBorder="1" applyAlignment="1" applyProtection="1">
      <alignment horizontal="center" vertical="top" wrapText="1"/>
      <protection hidden="1"/>
    </xf>
    <xf numFmtId="0" fontId="31" fillId="2" borderId="1" xfId="0" applyFont="1" applyFill="1" applyBorder="1" applyAlignment="1" applyProtection="1">
      <alignment horizontal="center" vertical="top" wrapText="1"/>
      <protection hidden="1"/>
    </xf>
    <xf numFmtId="2" fontId="31" fillId="2" borderId="13" xfId="0" applyNumberFormat="1" applyFont="1" applyFill="1" applyBorder="1" applyAlignment="1">
      <alignment horizontal="center" vertical="top" wrapText="1"/>
    </xf>
    <xf numFmtId="2" fontId="31" fillId="2" borderId="9" xfId="0" applyNumberFormat="1" applyFont="1" applyFill="1" applyBorder="1" applyAlignment="1">
      <alignment horizontal="center" vertical="top" wrapText="1"/>
    </xf>
    <xf numFmtId="1" fontId="31" fillId="2" borderId="3" xfId="0" applyNumberFormat="1" applyFont="1" applyFill="1" applyBorder="1" applyAlignment="1" applyProtection="1">
      <alignment horizontal="center" vertical="top" wrapText="1"/>
      <protection hidden="1"/>
    </xf>
    <xf numFmtId="1" fontId="31" fillId="2" borderId="49" xfId="0" applyNumberFormat="1" applyFont="1" applyFill="1" applyBorder="1" applyAlignment="1" applyProtection="1">
      <alignment horizontal="center" vertical="top" wrapText="1"/>
      <protection hidden="1"/>
    </xf>
    <xf numFmtId="0" fontId="31" fillId="2" borderId="49" xfId="0" applyFont="1" applyFill="1" applyBorder="1" applyAlignment="1" applyProtection="1">
      <alignment horizontal="center" vertical="top" wrapText="1"/>
      <protection hidden="1"/>
    </xf>
    <xf numFmtId="2" fontId="31" fillId="2" borderId="50" xfId="0" applyNumberFormat="1" applyFont="1" applyFill="1" applyBorder="1" applyAlignment="1">
      <alignment horizontal="center" vertical="top" wrapText="1"/>
    </xf>
    <xf numFmtId="2" fontId="31" fillId="6" borderId="5" xfId="0" applyNumberFormat="1" applyFont="1" applyFill="1" applyBorder="1" applyAlignment="1">
      <alignment horizontal="center" vertical="top" wrapText="1"/>
    </xf>
    <xf numFmtId="2" fontId="31" fillId="2" borderId="40" xfId="0" applyNumberFormat="1" applyFont="1" applyFill="1" applyBorder="1" applyAlignment="1">
      <alignment horizontal="center" vertical="top" wrapText="1"/>
    </xf>
    <xf numFmtId="2" fontId="31" fillId="2" borderId="27" xfId="0" applyNumberFormat="1" applyFont="1" applyFill="1" applyBorder="1" applyAlignment="1">
      <alignment horizontal="center" vertical="top" wrapText="1"/>
    </xf>
    <xf numFmtId="2" fontId="31" fillId="2" borderId="64" xfId="0" applyNumberFormat="1" applyFont="1" applyFill="1" applyBorder="1" applyAlignment="1">
      <alignment horizontal="center" vertical="top" wrapText="1"/>
    </xf>
    <xf numFmtId="2" fontId="31" fillId="2" borderId="42" xfId="0" applyNumberFormat="1" applyFont="1" applyFill="1" applyBorder="1" applyAlignment="1">
      <alignment horizontal="center" vertical="top" wrapText="1"/>
    </xf>
    <xf numFmtId="1" fontId="31" fillId="2" borderId="4" xfId="0" applyNumberFormat="1" applyFont="1" applyFill="1" applyBorder="1" applyAlignment="1" applyProtection="1">
      <alignment horizontal="center" vertical="top" wrapText="1"/>
      <protection hidden="1"/>
    </xf>
    <xf numFmtId="0" fontId="31" fillId="2" borderId="13" xfId="0" applyFont="1" applyFill="1" applyBorder="1" applyAlignment="1" applyProtection="1">
      <alignment horizontal="center" vertical="top" wrapText="1"/>
      <protection hidden="1"/>
    </xf>
    <xf numFmtId="2" fontId="31" fillId="6" borderId="22" xfId="0" applyNumberFormat="1" applyFont="1" applyFill="1" applyBorder="1" applyAlignment="1">
      <alignment horizontal="center" vertical="top" wrapText="1"/>
    </xf>
    <xf numFmtId="0" fontId="31" fillId="2" borderId="3" xfId="0" applyFont="1" applyFill="1" applyBorder="1" applyAlignment="1" applyProtection="1">
      <alignment horizontal="center" vertical="top" wrapText="1"/>
      <protection hidden="1"/>
    </xf>
    <xf numFmtId="0" fontId="31" fillId="2" borderId="37" xfId="0" applyFont="1" applyFill="1" applyBorder="1" applyAlignment="1" applyProtection="1">
      <alignment horizontal="center" vertical="top" wrapText="1"/>
      <protection hidden="1"/>
    </xf>
    <xf numFmtId="2" fontId="31" fillId="2" borderId="2" xfId="0" applyNumberFormat="1" applyFont="1" applyFill="1" applyBorder="1" applyAlignment="1">
      <alignment horizontal="center" vertical="top" wrapText="1"/>
    </xf>
    <xf numFmtId="2" fontId="31" fillId="2" borderId="13" xfId="0" applyNumberFormat="1" applyFont="1" applyFill="1" applyBorder="1" applyAlignment="1" applyProtection="1">
      <alignment horizontal="center" vertical="top" wrapText="1"/>
      <protection hidden="1"/>
    </xf>
    <xf numFmtId="2" fontId="31" fillId="2" borderId="51" xfId="0" applyNumberFormat="1" applyFont="1" applyFill="1" applyBorder="1" applyAlignment="1" applyProtection="1">
      <alignment horizontal="center" vertical="top" wrapText="1"/>
      <protection hidden="1"/>
    </xf>
    <xf numFmtId="1" fontId="31" fillId="2" borderId="46" xfId="0" applyNumberFormat="1" applyFont="1" applyFill="1" applyBorder="1" applyAlignment="1" applyProtection="1">
      <alignment horizontal="center" vertical="top" wrapText="1"/>
      <protection hidden="1"/>
    </xf>
    <xf numFmtId="0" fontId="31" fillId="2" borderId="53" xfId="0" applyFont="1" applyFill="1" applyBorder="1" applyAlignment="1" applyProtection="1">
      <alignment horizontal="center" vertical="top" wrapText="1"/>
      <protection hidden="1"/>
    </xf>
    <xf numFmtId="0" fontId="31" fillId="2" borderId="8" xfId="0" applyFont="1" applyFill="1" applyBorder="1" applyAlignment="1" applyProtection="1">
      <alignment horizontal="center" vertical="top" wrapText="1"/>
      <protection hidden="1"/>
    </xf>
    <xf numFmtId="2" fontId="31" fillId="2" borderId="8" xfId="0" applyNumberFormat="1" applyFont="1" applyFill="1" applyBorder="1" applyAlignment="1">
      <alignment horizontal="center" vertical="top" wrapText="1"/>
    </xf>
    <xf numFmtId="1" fontId="31" fillId="2" borderId="6" xfId="0" applyNumberFormat="1" applyFont="1" applyFill="1" applyBorder="1" applyAlignment="1" applyProtection="1">
      <alignment horizontal="center" vertical="top" wrapText="1"/>
      <protection hidden="1"/>
    </xf>
    <xf numFmtId="2" fontId="31" fillId="2" borderId="28" xfId="0" applyNumberFormat="1" applyFont="1" applyFill="1" applyBorder="1" applyAlignment="1">
      <alignment horizontal="center" vertical="top" wrapText="1"/>
    </xf>
    <xf numFmtId="49" fontId="44" fillId="16" borderId="55" xfId="0" applyNumberFormat="1" applyFont="1" applyFill="1" applyBorder="1" applyAlignment="1">
      <alignment horizontal="center" vertical="top" wrapText="1"/>
    </xf>
    <xf numFmtId="1" fontId="44" fillId="16" borderId="5" xfId="0" applyNumberFormat="1" applyFont="1" applyFill="1" applyBorder="1" applyAlignment="1" applyProtection="1">
      <alignment horizontal="center" vertical="top" wrapText="1"/>
      <protection hidden="1"/>
    </xf>
    <xf numFmtId="0" fontId="44" fillId="16" borderId="55" xfId="0" applyFont="1" applyFill="1" applyBorder="1" applyAlignment="1" applyProtection="1">
      <alignment horizontal="center" vertical="top" wrapText="1"/>
      <protection hidden="1"/>
    </xf>
    <xf numFmtId="2" fontId="31" fillId="16" borderId="36" xfId="0" applyNumberFormat="1" applyFont="1" applyFill="1" applyBorder="1" applyAlignment="1">
      <alignment horizontal="center" vertical="top" wrapText="1"/>
    </xf>
    <xf numFmtId="2" fontId="31" fillId="2" borderId="4" xfId="0" applyNumberFormat="1" applyFont="1" applyFill="1" applyBorder="1" applyAlignment="1" applyProtection="1">
      <alignment horizontal="center" vertical="top" wrapText="1"/>
      <protection hidden="1"/>
    </xf>
    <xf numFmtId="2" fontId="31" fillId="2" borderId="8" xfId="0" applyNumberFormat="1" applyFont="1" applyFill="1" applyBorder="1" applyAlignment="1" applyProtection="1">
      <alignment horizontal="center" vertical="top" wrapText="1"/>
      <protection hidden="1"/>
    </xf>
    <xf numFmtId="2" fontId="31" fillId="9" borderId="22" xfId="0" applyNumberFormat="1" applyFont="1" applyFill="1" applyBorder="1" applyAlignment="1">
      <alignment horizontal="center" vertical="top" wrapText="1"/>
    </xf>
    <xf numFmtId="1" fontId="31" fillId="2" borderId="7" xfId="0" applyNumberFormat="1" applyFont="1" applyFill="1" applyBorder="1" applyAlignment="1" applyProtection="1">
      <alignment horizontal="center" vertical="top" wrapText="1"/>
      <protection hidden="1"/>
    </xf>
    <xf numFmtId="2" fontId="5" fillId="8" borderId="65" xfId="0" applyNumberFormat="1" applyFont="1" applyFill="1" applyBorder="1" applyAlignment="1">
      <alignment horizontal="center" vertical="top" wrapText="1"/>
    </xf>
    <xf numFmtId="2" fontId="31" fillId="8" borderId="15" xfId="0" applyNumberFormat="1" applyFont="1" applyFill="1" applyBorder="1" applyAlignment="1">
      <alignment horizontal="center" vertical="top" wrapText="1"/>
    </xf>
    <xf numFmtId="2" fontId="5" fillId="8" borderId="15" xfId="0" applyNumberFormat="1" applyFont="1" applyFill="1" applyBorder="1" applyAlignment="1">
      <alignment horizontal="center" vertical="top" wrapText="1"/>
    </xf>
    <xf numFmtId="2" fontId="5" fillId="8" borderId="49" xfId="0" applyNumberFormat="1" applyFont="1" applyFill="1" applyBorder="1" applyAlignment="1">
      <alignment horizontal="center" vertical="top" wrapText="1"/>
    </xf>
    <xf numFmtId="0" fontId="31" fillId="0" borderId="0" xfId="0" applyFont="1" applyAlignment="1">
      <alignment horizontal="center" vertical="top" wrapText="1"/>
    </xf>
    <xf numFmtId="0" fontId="33" fillId="0" borderId="5" xfId="0" applyFont="1" applyBorder="1" applyAlignment="1" applyProtection="1">
      <alignment horizontal="center" vertical="top"/>
      <protection hidden="1"/>
    </xf>
    <xf numFmtId="2" fontId="31" fillId="9" borderId="5" xfId="0" applyNumberFormat="1" applyFont="1" applyFill="1" applyBorder="1" applyAlignment="1">
      <alignment horizontal="center" vertical="top" wrapText="1"/>
    </xf>
    <xf numFmtId="2" fontId="5" fillId="8" borderId="41" xfId="0" applyNumberFormat="1" applyFont="1" applyFill="1" applyBorder="1" applyAlignment="1">
      <alignment horizontal="center" vertical="top" wrapText="1"/>
    </xf>
    <xf numFmtId="2" fontId="5" fillId="8" borderId="1" xfId="0" applyNumberFormat="1" applyFont="1" applyFill="1" applyBorder="1" applyAlignment="1">
      <alignment horizontal="center" vertical="top" wrapText="1"/>
    </xf>
    <xf numFmtId="0" fontId="5" fillId="0" borderId="36" xfId="0" applyFont="1" applyBorder="1" applyAlignment="1">
      <alignment horizontal="left" vertical="top" wrapText="1"/>
    </xf>
    <xf numFmtId="1" fontId="5" fillId="0" borderId="73" xfId="0" applyNumberFormat="1" applyFont="1" applyBorder="1" applyAlignment="1">
      <alignment vertical="top" wrapText="1"/>
    </xf>
    <xf numFmtId="1" fontId="5" fillId="0" borderId="12" xfId="0" applyNumberFormat="1" applyFont="1" applyBorder="1" applyAlignment="1">
      <alignment vertical="top" wrapText="1"/>
    </xf>
    <xf numFmtId="1" fontId="5" fillId="0" borderId="6" xfId="0" applyNumberFormat="1" applyFont="1" applyBorder="1" applyAlignment="1">
      <alignment vertical="top" wrapText="1"/>
    </xf>
    <xf numFmtId="1" fontId="5" fillId="0" borderId="17" xfId="0" applyNumberFormat="1" applyFont="1" applyBorder="1" applyAlignment="1">
      <alignment vertical="top" wrapText="1"/>
    </xf>
    <xf numFmtId="0" fontId="13" fillId="0" borderId="5" xfId="0" applyFont="1" applyBorder="1" applyAlignment="1">
      <alignment horizontal="center" vertical="top"/>
    </xf>
    <xf numFmtId="2" fontId="5" fillId="6" borderId="5" xfId="0" applyNumberFormat="1" applyFont="1" applyFill="1" applyBorder="1" applyAlignment="1">
      <alignment horizontal="center" vertical="top"/>
    </xf>
    <xf numFmtId="2" fontId="5" fillId="9" borderId="5" xfId="0" applyNumberFormat="1" applyFont="1" applyFill="1" applyBorder="1" applyAlignment="1">
      <alignment horizontal="center" vertical="top"/>
    </xf>
    <xf numFmtId="1" fontId="5" fillId="2" borderId="41" xfId="0" applyNumberFormat="1" applyFont="1" applyFill="1" applyBorder="1" applyAlignment="1">
      <alignment horizontal="center" vertical="top"/>
    </xf>
    <xf numFmtId="2" fontId="5" fillId="6" borderId="36" xfId="0" applyNumberFormat="1" applyFont="1" applyFill="1" applyBorder="1" applyAlignment="1">
      <alignment horizontal="center" vertical="top"/>
    </xf>
    <xf numFmtId="2" fontId="5" fillId="2" borderId="8" xfId="0" applyNumberFormat="1" applyFont="1" applyFill="1" applyBorder="1" applyAlignment="1">
      <alignment horizontal="center" vertical="top"/>
    </xf>
    <xf numFmtId="2" fontId="5" fillId="2" borderId="2" xfId="0" applyNumberFormat="1" applyFont="1" applyFill="1" applyBorder="1" applyAlignment="1">
      <alignment horizontal="center" vertical="top"/>
    </xf>
    <xf numFmtId="2" fontId="5" fillId="2" borderId="50" xfId="0" applyNumberFormat="1" applyFont="1" applyFill="1" applyBorder="1" applyAlignment="1">
      <alignment horizontal="center" vertical="top"/>
    </xf>
    <xf numFmtId="0" fontId="5" fillId="17" borderId="12" xfId="0" applyFont="1" applyFill="1" applyBorder="1" applyAlignment="1">
      <alignment horizontal="center" vertical="top" wrapText="1"/>
    </xf>
    <xf numFmtId="0" fontId="5" fillId="17" borderId="4" xfId="0" applyFont="1" applyFill="1" applyBorder="1" applyAlignment="1">
      <alignment horizontal="center" vertical="top" wrapText="1"/>
    </xf>
    <xf numFmtId="2" fontId="5" fillId="6" borderId="22" xfId="0" applyNumberFormat="1" applyFont="1" applyFill="1" applyBorder="1" applyAlignment="1">
      <alignment horizontal="center" vertical="top"/>
    </xf>
    <xf numFmtId="0" fontId="5" fillId="17" borderId="6" xfId="0" applyFont="1" applyFill="1" applyBorder="1" applyAlignment="1">
      <alignment horizontal="center" vertical="top" wrapText="1"/>
    </xf>
    <xf numFmtId="1" fontId="5" fillId="17" borderId="1" xfId="0" applyNumberFormat="1" applyFont="1" applyFill="1" applyBorder="1" applyAlignment="1">
      <alignment horizontal="center" vertical="top"/>
    </xf>
    <xf numFmtId="2" fontId="5" fillId="17" borderId="2" xfId="0" applyNumberFormat="1" applyFont="1" applyFill="1" applyBorder="1" applyAlignment="1">
      <alignment horizontal="center" vertical="top" wrapText="1"/>
    </xf>
    <xf numFmtId="0" fontId="5" fillId="17" borderId="17" xfId="0" applyFont="1" applyFill="1" applyBorder="1" applyAlignment="1">
      <alignment horizontal="center" vertical="top" wrapText="1"/>
    </xf>
    <xf numFmtId="1" fontId="5" fillId="17" borderId="3" xfId="0" applyNumberFormat="1" applyFont="1" applyFill="1" applyBorder="1" applyAlignment="1">
      <alignment horizontal="center" vertical="top"/>
    </xf>
    <xf numFmtId="2" fontId="5" fillId="17" borderId="9" xfId="0" applyNumberFormat="1" applyFont="1" applyFill="1" applyBorder="1" applyAlignment="1">
      <alignment horizontal="center" vertical="top" wrapText="1"/>
    </xf>
    <xf numFmtId="2" fontId="5" fillId="2" borderId="9" xfId="0" applyNumberFormat="1" applyFont="1" applyFill="1" applyBorder="1" applyAlignment="1">
      <alignment horizontal="center" vertical="top"/>
    </xf>
    <xf numFmtId="2" fontId="44" fillId="16" borderId="5" xfId="0" applyNumberFormat="1" applyFont="1" applyFill="1" applyBorder="1" applyAlignment="1" applyProtection="1">
      <alignment horizontal="center" vertical="top" wrapText="1"/>
      <protection hidden="1"/>
    </xf>
    <xf numFmtId="0" fontId="5" fillId="17" borderId="8" xfId="0" applyFont="1" applyFill="1" applyBorder="1" applyAlignment="1">
      <alignment horizontal="center" vertical="top" wrapText="1"/>
    </xf>
    <xf numFmtId="2" fontId="5" fillId="9" borderId="22" xfId="0" applyNumberFormat="1" applyFont="1" applyFill="1" applyBorder="1" applyAlignment="1">
      <alignment horizontal="center" vertical="top"/>
    </xf>
    <xf numFmtId="0" fontId="5" fillId="17" borderId="1" xfId="0" applyFont="1" applyFill="1" applyBorder="1" applyAlignment="1">
      <alignment horizontal="center" vertical="top" wrapText="1"/>
    </xf>
    <xf numFmtId="2" fontId="5" fillId="17" borderId="8" xfId="0" applyNumberFormat="1" applyFont="1" applyFill="1" applyBorder="1" applyAlignment="1">
      <alignment horizontal="center" vertical="top" wrapText="1"/>
    </xf>
    <xf numFmtId="0" fontId="5" fillId="17" borderId="3" xfId="0" applyFont="1" applyFill="1" applyBorder="1" applyAlignment="1">
      <alignment horizontal="center" vertical="top" wrapText="1"/>
    </xf>
    <xf numFmtId="0" fontId="5" fillId="17" borderId="41" xfId="0" applyFont="1" applyFill="1" applyBorder="1" applyAlignment="1">
      <alignment horizontal="center" vertical="top" wrapText="1"/>
    </xf>
    <xf numFmtId="0" fontId="5" fillId="17" borderId="37" xfId="0" applyFont="1" applyFill="1" applyBorder="1" applyAlignment="1">
      <alignment horizontal="center" vertical="top" wrapText="1"/>
    </xf>
    <xf numFmtId="2" fontId="5" fillId="9" borderId="36" xfId="0" applyNumberFormat="1" applyFont="1" applyFill="1" applyBorder="1" applyAlignment="1">
      <alignment horizontal="center" vertical="top"/>
    </xf>
    <xf numFmtId="0" fontId="5" fillId="17" borderId="49" xfId="0" applyFont="1" applyFill="1" applyBorder="1" applyAlignment="1">
      <alignment horizontal="center" vertical="top" wrapText="1"/>
    </xf>
    <xf numFmtId="2" fontId="5" fillId="17" borderId="50" xfId="0" applyNumberFormat="1" applyFont="1" applyFill="1" applyBorder="1" applyAlignment="1">
      <alignment horizontal="center" vertical="top" wrapText="1"/>
    </xf>
    <xf numFmtId="1" fontId="5" fillId="17" borderId="37" xfId="0" applyNumberFormat="1" applyFont="1" applyFill="1" applyBorder="1" applyAlignment="1">
      <alignment horizontal="center" vertical="top"/>
    </xf>
    <xf numFmtId="2" fontId="5" fillId="17" borderId="8" xfId="0" applyNumberFormat="1" applyFont="1" applyFill="1" applyBorder="1" applyAlignment="1">
      <alignment horizontal="center" vertical="top"/>
    </xf>
    <xf numFmtId="2" fontId="5" fillId="17" borderId="2" xfId="0" applyNumberFormat="1" applyFont="1" applyFill="1" applyBorder="1" applyAlignment="1">
      <alignment horizontal="center" vertical="top"/>
    </xf>
    <xf numFmtId="1" fontId="5" fillId="17" borderId="49" xfId="0" applyNumberFormat="1" applyFont="1" applyFill="1" applyBorder="1" applyAlignment="1">
      <alignment horizontal="center" vertical="top"/>
    </xf>
    <xf numFmtId="0" fontId="5" fillId="17" borderId="53" xfId="0" applyFont="1" applyFill="1" applyBorder="1" applyAlignment="1">
      <alignment horizontal="center" vertical="top" wrapText="1"/>
    </xf>
    <xf numFmtId="2" fontId="5" fillId="9" borderId="36" xfId="0" applyNumberFormat="1" applyFont="1" applyFill="1" applyBorder="1" applyAlignment="1">
      <alignment horizontal="center" vertical="top" wrapText="1"/>
    </xf>
    <xf numFmtId="0" fontId="5" fillId="17" borderId="13" xfId="0" applyFont="1" applyFill="1" applyBorder="1" applyAlignment="1">
      <alignment horizontal="center" vertical="top" wrapText="1"/>
    </xf>
    <xf numFmtId="2" fontId="5" fillId="17" borderId="13" xfId="0" applyNumberFormat="1" applyFont="1" applyFill="1" applyBorder="1" applyAlignment="1">
      <alignment horizontal="center" vertical="top" wrapText="1"/>
    </xf>
    <xf numFmtId="1" fontId="5" fillId="2" borderId="17" xfId="0" applyNumberFormat="1" applyFont="1" applyFill="1" applyBorder="1" applyAlignment="1">
      <alignment horizontal="center" vertical="top" wrapText="1"/>
    </xf>
    <xf numFmtId="0" fontId="5" fillId="17" borderId="46" xfId="0" applyFont="1" applyFill="1" applyBorder="1" applyAlignment="1">
      <alignment horizontal="center" vertical="top" wrapText="1"/>
    </xf>
    <xf numFmtId="1" fontId="5" fillId="0" borderId="36" xfId="0" applyNumberFormat="1" applyFont="1" applyBorder="1" applyAlignment="1">
      <alignment horizontal="left" vertical="top" wrapText="1"/>
    </xf>
    <xf numFmtId="1" fontId="5" fillId="0" borderId="43" xfId="0" applyNumberFormat="1" applyFont="1" applyBorder="1" applyAlignment="1">
      <alignment horizontal="left" vertical="top" wrapText="1"/>
    </xf>
    <xf numFmtId="1" fontId="5" fillId="0" borderId="12" xfId="0" applyNumberFormat="1" applyFont="1" applyBorder="1" applyAlignment="1">
      <alignment horizontal="left" vertical="top" wrapText="1"/>
    </xf>
    <xf numFmtId="1" fontId="5" fillId="0" borderId="6" xfId="0" applyNumberFormat="1" applyFont="1" applyBorder="1" applyAlignment="1">
      <alignment horizontal="left" vertical="top" wrapText="1"/>
    </xf>
    <xf numFmtId="1" fontId="5" fillId="0" borderId="17" xfId="0" applyNumberFormat="1" applyFont="1" applyBorder="1" applyAlignment="1">
      <alignment horizontal="left" vertical="top" wrapText="1"/>
    </xf>
    <xf numFmtId="1" fontId="5" fillId="0" borderId="47" xfId="0" applyNumberFormat="1" applyFont="1" applyBorder="1" applyAlignment="1">
      <alignment horizontal="left" vertical="top" wrapText="1"/>
    </xf>
    <xf numFmtId="49" fontId="5" fillId="0" borderId="5" xfId="0" applyNumberFormat="1" applyFont="1" applyBorder="1" applyAlignment="1">
      <alignment vertical="top" wrapText="1"/>
    </xf>
    <xf numFmtId="1" fontId="44" fillId="6" borderId="55" xfId="0" applyNumberFormat="1" applyFont="1" applyFill="1" applyBorder="1" applyAlignment="1" applyProtection="1">
      <alignment horizontal="center" vertical="center" wrapText="1"/>
      <protection hidden="1"/>
    </xf>
    <xf numFmtId="2" fontId="44" fillId="6" borderId="55" xfId="0" applyNumberFormat="1" applyFont="1" applyFill="1" applyBorder="1" applyAlignment="1" applyProtection="1">
      <alignment horizontal="center" vertical="center" wrapText="1"/>
      <protection hidden="1"/>
    </xf>
    <xf numFmtId="1" fontId="5" fillId="17" borderId="50" xfId="0" applyNumberFormat="1" applyFont="1" applyFill="1" applyBorder="1" applyAlignment="1">
      <alignment horizontal="center" vertical="center"/>
    </xf>
    <xf numFmtId="2" fontId="5" fillId="17" borderId="46" xfId="0" applyNumberFormat="1" applyFont="1" applyFill="1" applyBorder="1" applyAlignment="1">
      <alignment horizontal="center" vertical="center"/>
    </xf>
    <xf numFmtId="0" fontId="5" fillId="17" borderId="47" xfId="0" applyFont="1" applyFill="1" applyBorder="1" applyAlignment="1">
      <alignment horizontal="center" vertical="center" wrapText="1"/>
    </xf>
    <xf numFmtId="0" fontId="5" fillId="8" borderId="26" xfId="0" applyFont="1" applyFill="1" applyBorder="1" applyAlignment="1">
      <alignment vertical="top" wrapText="1"/>
    </xf>
    <xf numFmtId="0" fontId="5" fillId="8" borderId="15" xfId="0" applyFont="1" applyFill="1" applyBorder="1" applyAlignment="1">
      <alignment vertical="top" wrapText="1"/>
    </xf>
    <xf numFmtId="0" fontId="5" fillId="8" borderId="6" xfId="0" applyFont="1" applyFill="1" applyBorder="1" applyAlignment="1">
      <alignment vertical="top" wrapText="1"/>
    </xf>
    <xf numFmtId="2" fontId="5" fillId="6" borderId="36" xfId="0" applyNumberFormat="1" applyFont="1" applyFill="1" applyBorder="1" applyAlignment="1">
      <alignment horizontal="center" vertical="top" wrapText="1"/>
    </xf>
    <xf numFmtId="2" fontId="5" fillId="6" borderId="22" xfId="0" applyNumberFormat="1" applyFont="1" applyFill="1" applyBorder="1" applyAlignment="1">
      <alignment horizontal="center" vertical="top" wrapText="1"/>
    </xf>
    <xf numFmtId="0" fontId="5" fillId="17" borderId="68" xfId="0" applyFont="1" applyFill="1" applyBorder="1" applyAlignment="1">
      <alignment horizontal="center" vertical="top" wrapText="1"/>
    </xf>
    <xf numFmtId="0" fontId="5" fillId="17" borderId="52" xfId="0" applyFont="1" applyFill="1" applyBorder="1" applyAlignment="1">
      <alignment horizontal="center" vertical="top" wrapText="1"/>
    </xf>
    <xf numFmtId="2" fontId="5" fillId="18" borderId="22" xfId="0" applyNumberFormat="1" applyFont="1" applyFill="1" applyBorder="1" applyAlignment="1">
      <alignment horizontal="center" vertical="top" wrapText="1"/>
    </xf>
    <xf numFmtId="0" fontId="5" fillId="17" borderId="2" xfId="0" applyFont="1" applyFill="1" applyBorder="1" applyAlignment="1">
      <alignment horizontal="center" vertical="top" wrapText="1"/>
    </xf>
    <xf numFmtId="2" fontId="5" fillId="9" borderId="22" xfId="0" applyNumberFormat="1" applyFont="1" applyFill="1" applyBorder="1" applyAlignment="1">
      <alignment horizontal="center" vertical="top" wrapText="1"/>
    </xf>
    <xf numFmtId="1" fontId="5" fillId="17" borderId="41" xfId="0" applyNumberFormat="1" applyFont="1" applyFill="1" applyBorder="1" applyAlignment="1">
      <alignment horizontal="center" vertical="center"/>
    </xf>
    <xf numFmtId="2" fontId="5" fillId="17" borderId="50" xfId="0" applyNumberFormat="1" applyFont="1" applyFill="1" applyBorder="1" applyAlignment="1">
      <alignment horizontal="center" vertical="center"/>
    </xf>
    <xf numFmtId="1" fontId="43" fillId="0" borderId="5" xfId="0" applyNumberFormat="1" applyFont="1" applyBorder="1" applyAlignment="1">
      <alignment horizontal="center" vertical="top"/>
    </xf>
    <xf numFmtId="1" fontId="5" fillId="0" borderId="48" xfId="0" applyNumberFormat="1" applyFont="1" applyBorder="1" applyAlignment="1">
      <alignment horizontal="left" vertical="top" wrapText="1"/>
    </xf>
    <xf numFmtId="0" fontId="5" fillId="0" borderId="18" xfId="0" applyFont="1" applyBorder="1" applyAlignment="1">
      <alignment vertical="top" wrapText="1"/>
    </xf>
    <xf numFmtId="0" fontId="44" fillId="6" borderId="53" xfId="0" applyFont="1" applyFill="1" applyBorder="1" applyAlignment="1">
      <alignment horizontal="center" vertical="center" wrapText="1"/>
    </xf>
    <xf numFmtId="1" fontId="31" fillId="0" borderId="36" xfId="0" applyNumberFormat="1" applyFont="1" applyBorder="1" applyAlignment="1">
      <alignment horizontal="left" vertical="top" wrapText="1"/>
    </xf>
    <xf numFmtId="0" fontId="31" fillId="0" borderId="36" xfId="0" applyFont="1" applyBorder="1" applyAlignment="1">
      <alignment vertical="top" wrapText="1"/>
    </xf>
    <xf numFmtId="0" fontId="31" fillId="0" borderId="73" xfId="0" applyFont="1" applyBorder="1" applyAlignment="1">
      <alignment vertical="top" wrapText="1"/>
    </xf>
    <xf numFmtId="1" fontId="31" fillId="0" borderId="43" xfId="0" applyNumberFormat="1" applyFont="1" applyBorder="1" applyAlignment="1">
      <alignment vertical="top" wrapText="1"/>
    </xf>
    <xf numFmtId="1" fontId="31" fillId="0" borderId="12" xfId="0" applyNumberFormat="1" applyFont="1" applyBorder="1" applyAlignment="1">
      <alignment vertical="top" wrapText="1"/>
    </xf>
    <xf numFmtId="1" fontId="31" fillId="0" borderId="6" xfId="0" applyNumberFormat="1" applyFont="1" applyBorder="1" applyAlignment="1">
      <alignment vertical="top" wrapText="1"/>
    </xf>
    <xf numFmtId="1" fontId="31" fillId="0" borderId="52" xfId="0" applyNumberFormat="1" applyFont="1" applyBorder="1" applyAlignment="1">
      <alignment vertical="top" wrapText="1"/>
    </xf>
    <xf numFmtId="1" fontId="31" fillId="0" borderId="73" xfId="0" applyNumberFormat="1" applyFont="1" applyBorder="1" applyAlignment="1">
      <alignment vertical="top" wrapText="1"/>
    </xf>
    <xf numFmtId="1" fontId="31" fillId="0" borderId="55" xfId="0" applyNumberFormat="1" applyFont="1" applyBorder="1" applyAlignment="1">
      <alignment horizontal="left" vertical="top" wrapText="1"/>
    </xf>
    <xf numFmtId="0" fontId="31" fillId="0" borderId="73" xfId="0" applyFont="1" applyBorder="1" applyAlignment="1">
      <alignment horizontal="left" vertical="top" wrapText="1"/>
    </xf>
    <xf numFmtId="0" fontId="31" fillId="0" borderId="17" xfId="0" applyFont="1" applyBorder="1" applyAlignment="1">
      <alignment horizontal="left" vertical="top" wrapText="1"/>
    </xf>
    <xf numFmtId="49" fontId="31" fillId="0" borderId="11" xfId="0" applyNumberFormat="1" applyFont="1" applyBorder="1" applyAlignment="1">
      <alignment horizontal="left" vertical="top" wrapText="1"/>
    </xf>
    <xf numFmtId="49" fontId="31" fillId="0" borderId="17" xfId="0" applyNumberFormat="1" applyFont="1" applyBorder="1" applyAlignment="1">
      <alignment horizontal="left" vertical="top" wrapText="1"/>
    </xf>
    <xf numFmtId="1" fontId="44" fillId="16" borderId="55" xfId="0" applyNumberFormat="1" applyFont="1" applyFill="1" applyBorder="1" applyAlignment="1" applyProtection="1">
      <alignment horizontal="center" vertical="center" wrapText="1"/>
      <protection hidden="1"/>
    </xf>
    <xf numFmtId="0" fontId="44" fillId="16" borderId="5" xfId="0" applyFont="1" applyFill="1" applyBorder="1" applyAlignment="1" applyProtection="1">
      <alignment horizontal="center" vertical="center" wrapText="1"/>
      <protection hidden="1"/>
    </xf>
    <xf numFmtId="2" fontId="44" fillId="16" borderId="55" xfId="0" applyNumberFormat="1" applyFont="1" applyFill="1" applyBorder="1" applyAlignment="1" applyProtection="1">
      <alignment horizontal="center" vertical="center" wrapText="1"/>
      <protection hidden="1"/>
    </xf>
    <xf numFmtId="0" fontId="33" fillId="0" borderId="5" xfId="0" applyFont="1" applyBorder="1" applyAlignment="1">
      <alignment horizontal="center" vertical="top"/>
    </xf>
    <xf numFmtId="2" fontId="31" fillId="6" borderId="36" xfId="0" applyNumberFormat="1" applyFont="1" applyFill="1" applyBorder="1" applyAlignment="1">
      <alignment horizontal="center" vertical="top"/>
    </xf>
    <xf numFmtId="2" fontId="31" fillId="9" borderId="36" xfId="0" applyNumberFormat="1" applyFont="1" applyFill="1" applyBorder="1" applyAlignment="1">
      <alignment horizontal="center" vertical="top" wrapText="1"/>
    </xf>
    <xf numFmtId="2" fontId="31" fillId="8" borderId="51" xfId="0" applyNumberFormat="1" applyFont="1" applyFill="1" applyBorder="1" applyAlignment="1">
      <alignment horizontal="center" vertical="top" wrapText="1"/>
    </xf>
    <xf numFmtId="2" fontId="31" fillId="8" borderId="9" xfId="0" applyNumberFormat="1" applyFont="1" applyFill="1" applyBorder="1" applyAlignment="1">
      <alignment horizontal="center" vertical="top" wrapText="1"/>
    </xf>
    <xf numFmtId="2" fontId="31" fillId="8" borderId="50" xfId="0" applyNumberFormat="1" applyFont="1" applyFill="1" applyBorder="1" applyAlignment="1">
      <alignment horizontal="center" vertical="top" wrapText="1"/>
    </xf>
    <xf numFmtId="0" fontId="31" fillId="2" borderId="41" xfId="0" applyFont="1" applyFill="1" applyBorder="1" applyAlignment="1">
      <alignment horizontal="center" vertical="top" wrapText="1"/>
    </xf>
    <xf numFmtId="1" fontId="31" fillId="2" borderId="65" xfId="0" applyNumberFormat="1" applyFont="1" applyFill="1" applyBorder="1" applyAlignment="1">
      <alignment horizontal="center" vertical="top" wrapText="1"/>
    </xf>
    <xf numFmtId="0" fontId="31" fillId="2" borderId="49" xfId="0" applyFont="1" applyFill="1" applyBorder="1" applyAlignment="1">
      <alignment horizontal="center" vertical="top" wrapText="1"/>
    </xf>
    <xf numFmtId="1" fontId="31" fillId="2" borderId="49" xfId="0" applyNumberFormat="1" applyFont="1" applyFill="1" applyBorder="1" applyAlignment="1">
      <alignment horizontal="center" vertical="top" wrapText="1"/>
    </xf>
    <xf numFmtId="1" fontId="31" fillId="2" borderId="37" xfId="0" applyNumberFormat="1" applyFont="1" applyFill="1" applyBorder="1" applyAlignment="1">
      <alignment horizontal="center" vertical="top" wrapText="1"/>
    </xf>
    <xf numFmtId="1" fontId="31" fillId="2" borderId="14" xfId="0" applyNumberFormat="1" applyFont="1" applyFill="1" applyBorder="1" applyAlignment="1">
      <alignment horizontal="center" vertical="top" wrapText="1"/>
    </xf>
    <xf numFmtId="0" fontId="50" fillId="2" borderId="3" xfId="0" applyFont="1" applyFill="1" applyBorder="1" applyAlignment="1">
      <alignment horizontal="center" vertical="top" wrapText="1"/>
    </xf>
    <xf numFmtId="0" fontId="50" fillId="2" borderId="41" xfId="0" applyFont="1" applyFill="1" applyBorder="1" applyAlignment="1">
      <alignment horizontal="center" vertical="top" wrapText="1"/>
    </xf>
    <xf numFmtId="2" fontId="31" fillId="6" borderId="37" xfId="0" applyNumberFormat="1" applyFont="1" applyFill="1" applyBorder="1" applyAlignment="1">
      <alignment horizontal="center" vertical="top" wrapText="1"/>
    </xf>
    <xf numFmtId="1" fontId="31" fillId="2" borderId="41" xfId="0" applyNumberFormat="1" applyFont="1" applyFill="1" applyBorder="1" applyAlignment="1">
      <alignment horizontal="center" vertical="top" wrapText="1"/>
    </xf>
    <xf numFmtId="1" fontId="31" fillId="2" borderId="4" xfId="0" applyNumberFormat="1" applyFont="1" applyFill="1" applyBorder="1" applyAlignment="1">
      <alignment horizontal="center" vertical="top" wrapText="1"/>
    </xf>
    <xf numFmtId="2" fontId="31" fillId="6" borderId="22" xfId="0" applyNumberFormat="1" applyFont="1" applyFill="1" applyBorder="1" applyAlignment="1">
      <alignment horizontal="center" vertical="top"/>
    </xf>
    <xf numFmtId="1" fontId="31" fillId="2" borderId="46" xfId="0" applyNumberFormat="1" applyFont="1" applyFill="1" applyBorder="1" applyAlignment="1">
      <alignment horizontal="center" vertical="top" wrapText="1"/>
    </xf>
    <xf numFmtId="1" fontId="31" fillId="2" borderId="53" xfId="0" applyNumberFormat="1" applyFont="1" applyFill="1" applyBorder="1" applyAlignment="1">
      <alignment horizontal="center" vertical="top"/>
    </xf>
    <xf numFmtId="1" fontId="31" fillId="2" borderId="6" xfId="0" applyNumberFormat="1" applyFont="1" applyFill="1" applyBorder="1" applyAlignment="1">
      <alignment horizontal="center" vertical="top" wrapText="1"/>
    </xf>
    <xf numFmtId="1" fontId="31" fillId="2" borderId="52" xfId="0" applyNumberFormat="1" applyFont="1" applyFill="1" applyBorder="1" applyAlignment="1">
      <alignment horizontal="center" vertical="top" wrapText="1"/>
    </xf>
    <xf numFmtId="1" fontId="31" fillId="2" borderId="2" xfId="0" applyNumberFormat="1" applyFont="1" applyFill="1" applyBorder="1" applyAlignment="1">
      <alignment horizontal="center" vertical="top" wrapText="1"/>
    </xf>
    <xf numFmtId="1" fontId="31" fillId="2" borderId="50" xfId="0" applyNumberFormat="1" applyFont="1" applyFill="1" applyBorder="1" applyAlignment="1">
      <alignment horizontal="center" vertical="top" wrapText="1"/>
    </xf>
    <xf numFmtId="1" fontId="51" fillId="2" borderId="1" xfId="0" applyNumberFormat="1" applyFont="1" applyFill="1" applyBorder="1" applyAlignment="1">
      <alignment horizontal="center" vertical="top" wrapText="1"/>
    </xf>
    <xf numFmtId="1" fontId="51" fillId="2" borderId="49" xfId="0" applyNumberFormat="1" applyFont="1" applyFill="1" applyBorder="1" applyAlignment="1">
      <alignment horizontal="center" vertical="top" wrapText="1"/>
    </xf>
    <xf numFmtId="1" fontId="31" fillId="2" borderId="53" xfId="0" applyNumberFormat="1" applyFont="1" applyFill="1" applyBorder="1" applyAlignment="1">
      <alignment horizontal="center" vertical="top" wrapText="1"/>
    </xf>
    <xf numFmtId="1" fontId="31" fillId="2" borderId="9" xfId="0" applyNumberFormat="1" applyFont="1" applyFill="1" applyBorder="1" applyAlignment="1">
      <alignment horizontal="center" vertical="top" wrapText="1"/>
    </xf>
    <xf numFmtId="2" fontId="31" fillId="0" borderId="46" xfId="0" applyNumberFormat="1" applyFont="1" applyBorder="1" applyAlignment="1">
      <alignment horizontal="center" vertical="top" wrapText="1"/>
    </xf>
    <xf numFmtId="0" fontId="33" fillId="0" borderId="5" xfId="0" applyFont="1" applyBorder="1" applyAlignment="1">
      <alignment horizontal="center" vertical="top" wrapText="1"/>
    </xf>
    <xf numFmtId="2" fontId="31" fillId="8" borderId="37" xfId="0" applyNumberFormat="1" applyFont="1" applyFill="1" applyBorder="1" applyAlignment="1">
      <alignment horizontal="center" vertical="top" wrapText="1"/>
    </xf>
    <xf numFmtId="2" fontId="31" fillId="8" borderId="2" xfId="0" applyNumberFormat="1" applyFont="1" applyFill="1" applyBorder="1" applyAlignment="1">
      <alignment horizontal="center" vertical="top" wrapText="1"/>
    </xf>
    <xf numFmtId="0" fontId="5" fillId="8" borderId="21" xfId="0" applyFont="1" applyFill="1" applyBorder="1" applyAlignment="1">
      <alignment horizontal="left" vertical="top" wrapText="1"/>
    </xf>
    <xf numFmtId="0" fontId="5" fillId="8" borderId="29" xfId="0" applyFont="1" applyFill="1" applyBorder="1" applyAlignment="1">
      <alignment horizontal="left" vertical="top" wrapText="1"/>
    </xf>
    <xf numFmtId="0" fontId="5" fillId="8" borderId="24" xfId="0" applyFont="1" applyFill="1" applyBorder="1" applyAlignment="1">
      <alignment horizontal="left" vertical="top" wrapText="1"/>
    </xf>
    <xf numFmtId="0" fontId="31" fillId="2" borderId="8" xfId="0" applyFont="1" applyFill="1" applyBorder="1" applyAlignment="1">
      <alignment horizontal="center" vertical="top" wrapText="1"/>
    </xf>
    <xf numFmtId="1" fontId="31" fillId="2" borderId="11" xfId="0" applyNumberFormat="1" applyFont="1" applyFill="1" applyBorder="1" applyAlignment="1">
      <alignment horizontal="center" vertical="top" wrapText="1"/>
    </xf>
    <xf numFmtId="1" fontId="31" fillId="2" borderId="7" xfId="0" applyNumberFormat="1" applyFont="1" applyFill="1" applyBorder="1" applyAlignment="1">
      <alignment horizontal="center" vertical="top" wrapText="1"/>
    </xf>
    <xf numFmtId="1" fontId="31" fillId="2" borderId="13" xfId="0" applyNumberFormat="1" applyFont="1" applyFill="1" applyBorder="1" applyAlignment="1">
      <alignment horizontal="center" vertical="top" wrapText="1"/>
    </xf>
    <xf numFmtId="2" fontId="31" fillId="6" borderId="66" xfId="0" applyNumberFormat="1" applyFont="1" applyFill="1" applyBorder="1" applyAlignment="1">
      <alignment horizontal="center" vertical="top" wrapText="1"/>
    </xf>
    <xf numFmtId="2" fontId="5" fillId="6" borderId="46" xfId="0" applyNumberFormat="1" applyFont="1" applyFill="1" applyBorder="1" applyAlignment="1">
      <alignment horizontal="center" vertical="top" wrapText="1"/>
    </xf>
    <xf numFmtId="2" fontId="31" fillId="17" borderId="8" xfId="0" applyNumberFormat="1" applyFont="1" applyFill="1" applyBorder="1" applyAlignment="1">
      <alignment horizontal="center" vertical="top" wrapText="1"/>
    </xf>
    <xf numFmtId="2" fontId="31" fillId="17" borderId="2" xfId="0" applyNumberFormat="1" applyFont="1" applyFill="1" applyBorder="1" applyAlignment="1">
      <alignment horizontal="center" vertical="top" wrapText="1"/>
    </xf>
    <xf numFmtId="2" fontId="31" fillId="17" borderId="50" xfId="0" applyNumberFormat="1" applyFont="1" applyFill="1" applyBorder="1" applyAlignment="1">
      <alignment horizontal="center" vertical="top" wrapText="1"/>
    </xf>
    <xf numFmtId="1" fontId="31" fillId="17" borderId="1" xfId="0" applyNumberFormat="1" applyFont="1" applyFill="1" applyBorder="1" applyAlignment="1">
      <alignment horizontal="center" vertical="top" wrapText="1"/>
    </xf>
    <xf numFmtId="1" fontId="31" fillId="17" borderId="49" xfId="0" applyNumberFormat="1" applyFont="1" applyFill="1" applyBorder="1" applyAlignment="1">
      <alignment horizontal="center" vertical="top" wrapText="1"/>
    </xf>
    <xf numFmtId="2" fontId="31" fillId="0" borderId="53" xfId="0" applyNumberFormat="1" applyFont="1" applyBorder="1" applyAlignment="1">
      <alignment horizontal="center" vertical="top" wrapText="1"/>
    </xf>
    <xf numFmtId="1" fontId="31" fillId="2" borderId="45" xfId="0" applyNumberFormat="1" applyFont="1" applyFill="1" applyBorder="1" applyAlignment="1">
      <alignment horizontal="center" vertical="top" wrapText="1"/>
    </xf>
    <xf numFmtId="1" fontId="31" fillId="0" borderId="0" xfId="0" applyNumberFormat="1" applyFont="1" applyAlignment="1">
      <alignment horizontal="center" vertical="top" wrapText="1"/>
    </xf>
    <xf numFmtId="0" fontId="34" fillId="2" borderId="37" xfId="0" applyFont="1" applyFill="1" applyBorder="1" applyAlignment="1">
      <alignment horizontal="center" vertical="top" wrapText="1"/>
    </xf>
    <xf numFmtId="1" fontId="5" fillId="0" borderId="51" xfId="0" applyNumberFormat="1" applyFont="1" applyBorder="1" applyAlignment="1">
      <alignment horizontal="center" vertical="top" wrapText="1"/>
    </xf>
    <xf numFmtId="1" fontId="31" fillId="17" borderId="3" xfId="0" applyNumberFormat="1" applyFont="1" applyFill="1" applyBorder="1" applyAlignment="1">
      <alignment horizontal="center" vertical="top" wrapText="1"/>
    </xf>
    <xf numFmtId="1" fontId="31" fillId="17" borderId="59" xfId="0" applyNumberFormat="1" applyFont="1" applyFill="1" applyBorder="1" applyAlignment="1">
      <alignment horizontal="center" vertical="top" wrapText="1"/>
    </xf>
    <xf numFmtId="2" fontId="31" fillId="9" borderId="66" xfId="0" applyNumberFormat="1" applyFont="1" applyFill="1" applyBorder="1" applyAlignment="1">
      <alignment horizontal="center" vertical="top" wrapText="1"/>
    </xf>
    <xf numFmtId="1" fontId="31" fillId="17" borderId="4" xfId="0" applyNumberFormat="1" applyFont="1" applyFill="1" applyBorder="1" applyAlignment="1">
      <alignment horizontal="center" vertical="top" wrapText="1"/>
    </xf>
    <xf numFmtId="1" fontId="31" fillId="0" borderId="36" xfId="0" applyNumberFormat="1" applyFont="1" applyBorder="1" applyAlignment="1">
      <alignment vertical="top" wrapText="1"/>
    </xf>
    <xf numFmtId="0" fontId="31" fillId="0" borderId="13" xfId="0" applyFont="1" applyBorder="1" applyAlignment="1">
      <alignment vertical="top" wrapText="1"/>
    </xf>
    <xf numFmtId="1" fontId="5" fillId="0" borderId="70" xfId="0" applyNumberFormat="1" applyFont="1" applyBorder="1" applyAlignment="1">
      <alignment vertical="top" wrapText="1"/>
    </xf>
    <xf numFmtId="0" fontId="31" fillId="0" borderId="11" xfId="0" applyFont="1" applyBorder="1" applyAlignment="1">
      <alignment horizontal="left" vertical="top" wrapText="1"/>
    </xf>
    <xf numFmtId="1" fontId="31" fillId="0" borderId="0" xfId="0" applyNumberFormat="1" applyFont="1" applyAlignment="1">
      <alignment vertical="top" wrapText="1"/>
    </xf>
    <xf numFmtId="1" fontId="31" fillId="0" borderId="16" xfId="0" applyNumberFormat="1" applyFont="1" applyBorder="1" applyAlignment="1">
      <alignment vertical="top" wrapText="1"/>
    </xf>
    <xf numFmtId="1" fontId="31" fillId="0" borderId="55" xfId="0" applyNumberFormat="1" applyFont="1" applyBorder="1" applyAlignment="1">
      <alignment vertical="top" wrapText="1"/>
    </xf>
    <xf numFmtId="1" fontId="31" fillId="0" borderId="17" xfId="0" applyNumberFormat="1" applyFont="1" applyBorder="1" applyAlignment="1">
      <alignment vertical="top" wrapText="1"/>
    </xf>
    <xf numFmtId="0" fontId="31" fillId="0" borderId="47" xfId="0" applyFont="1" applyBorder="1" applyAlignment="1">
      <alignment horizontal="left" vertical="top" wrapText="1"/>
    </xf>
    <xf numFmtId="0" fontId="5" fillId="0" borderId="47" xfId="0" applyFont="1" applyBorder="1" applyAlignment="1">
      <alignment horizontal="left" vertical="top" wrapText="1"/>
    </xf>
    <xf numFmtId="1" fontId="5" fillId="0" borderId="61" xfId="0" applyNumberFormat="1" applyFont="1" applyBorder="1" applyAlignment="1">
      <alignment horizontal="left" vertical="top" wrapText="1"/>
    </xf>
    <xf numFmtId="2" fontId="31" fillId="2" borderId="41" xfId="0" applyNumberFormat="1" applyFont="1" applyFill="1" applyBorder="1" applyAlignment="1">
      <alignment horizontal="center" vertical="top" wrapText="1"/>
    </xf>
    <xf numFmtId="2" fontId="31" fillId="2" borderId="37" xfId="0" applyNumberFormat="1" applyFont="1" applyFill="1" applyBorder="1" applyAlignment="1">
      <alignment horizontal="center" vertical="top" wrapText="1"/>
    </xf>
    <xf numFmtId="1" fontId="31" fillId="0" borderId="46" xfId="0" applyNumberFormat="1" applyFont="1" applyBorder="1" applyAlignment="1">
      <alignment horizontal="center" vertical="top" wrapText="1"/>
    </xf>
    <xf numFmtId="0" fontId="31" fillId="2" borderId="59" xfId="0" applyFont="1" applyFill="1" applyBorder="1" applyAlignment="1">
      <alignment horizontal="center" vertical="top" wrapText="1"/>
    </xf>
    <xf numFmtId="0" fontId="31" fillId="2" borderId="12" xfId="0" applyFont="1" applyFill="1" applyBorder="1" applyAlignment="1">
      <alignment horizontal="center" vertical="top" wrapText="1"/>
    </xf>
    <xf numFmtId="0" fontId="5" fillId="0" borderId="14" xfId="0" applyFont="1" applyBorder="1" applyAlignment="1">
      <alignment vertical="top" wrapText="1"/>
    </xf>
    <xf numFmtId="0" fontId="5" fillId="0" borderId="16" xfId="0" applyFont="1" applyBorder="1" applyAlignment="1">
      <alignment vertical="top" wrapText="1"/>
    </xf>
    <xf numFmtId="0" fontId="5" fillId="0" borderId="58" xfId="0" applyFont="1" applyBorder="1" applyAlignment="1">
      <alignment vertical="top" wrapText="1"/>
    </xf>
    <xf numFmtId="49" fontId="5" fillId="0" borderId="43" xfId="0" applyNumberFormat="1" applyFont="1" applyBorder="1" applyAlignment="1">
      <alignment horizontal="left" vertical="top" wrapText="1"/>
    </xf>
    <xf numFmtId="49" fontId="5" fillId="0" borderId="11" xfId="0" applyNumberFormat="1" applyFont="1" applyBorder="1" applyAlignment="1">
      <alignment horizontal="left" vertical="top" wrapText="1"/>
    </xf>
    <xf numFmtId="49" fontId="5" fillId="0" borderId="17" xfId="0" applyNumberFormat="1" applyFont="1" applyBorder="1" applyAlignment="1">
      <alignment horizontal="left" vertical="top" wrapText="1"/>
    </xf>
    <xf numFmtId="49" fontId="5" fillId="0" borderId="52" xfId="0" applyNumberFormat="1" applyFont="1" applyBorder="1" applyAlignment="1">
      <alignment horizontal="left" vertical="top" wrapText="1"/>
    </xf>
    <xf numFmtId="1" fontId="5" fillId="0" borderId="47" xfId="0" applyNumberFormat="1" applyFont="1" applyBorder="1" applyAlignment="1">
      <alignment vertical="top" wrapText="1"/>
    </xf>
    <xf numFmtId="2" fontId="5" fillId="2" borderId="8" xfId="0" applyNumberFormat="1" applyFont="1" applyFill="1" applyBorder="1" applyAlignment="1">
      <alignment horizontal="center" vertical="top" wrapText="1"/>
    </xf>
    <xf numFmtId="2" fontId="5" fillId="2" borderId="2" xfId="0" applyNumberFormat="1" applyFont="1" applyFill="1" applyBorder="1" applyAlignment="1">
      <alignment horizontal="center" vertical="top" wrapText="1"/>
    </xf>
    <xf numFmtId="2" fontId="5" fillId="2" borderId="50" xfId="0" applyNumberFormat="1" applyFont="1" applyFill="1" applyBorder="1" applyAlignment="1">
      <alignment horizontal="center" vertical="top" wrapText="1"/>
    </xf>
    <xf numFmtId="1" fontId="51" fillId="2" borderId="41" xfId="0" applyNumberFormat="1" applyFont="1" applyFill="1" applyBorder="1" applyAlignment="1">
      <alignment horizontal="center" vertical="top" wrapText="1"/>
    </xf>
    <xf numFmtId="1" fontId="5" fillId="17" borderId="4" xfId="0" applyNumberFormat="1" applyFont="1" applyFill="1" applyBorder="1" applyAlignment="1">
      <alignment horizontal="center" vertical="top" wrapText="1"/>
    </xf>
    <xf numFmtId="1" fontId="5" fillId="17" borderId="8" xfId="0" applyNumberFormat="1" applyFont="1" applyFill="1" applyBorder="1" applyAlignment="1">
      <alignment horizontal="center" vertical="top" wrapText="1"/>
    </xf>
    <xf numFmtId="1" fontId="5" fillId="17" borderId="1" xfId="0" applyNumberFormat="1" applyFont="1" applyFill="1" applyBorder="1" applyAlignment="1">
      <alignment horizontal="center" vertical="top" wrapText="1"/>
    </xf>
    <xf numFmtId="1" fontId="5" fillId="17" borderId="3" xfId="0" applyNumberFormat="1" applyFont="1" applyFill="1" applyBorder="1" applyAlignment="1">
      <alignment horizontal="center" vertical="top" wrapText="1"/>
    </xf>
    <xf numFmtId="1" fontId="5" fillId="2" borderId="67" xfId="0" applyNumberFormat="1" applyFont="1" applyFill="1" applyBorder="1" applyAlignment="1">
      <alignment horizontal="center" vertical="top"/>
    </xf>
    <xf numFmtId="1" fontId="5" fillId="2" borderId="59" xfId="0" applyNumberFormat="1" applyFont="1" applyFill="1" applyBorder="1" applyAlignment="1">
      <alignment horizontal="center" vertical="top" wrapText="1"/>
    </xf>
    <xf numFmtId="2" fontId="5" fillId="2" borderId="9" xfId="0" applyNumberFormat="1" applyFont="1" applyFill="1" applyBorder="1" applyAlignment="1">
      <alignment horizontal="center" vertical="top" wrapText="1"/>
    </xf>
    <xf numFmtId="2" fontId="5" fillId="6" borderId="8" xfId="0" applyNumberFormat="1" applyFont="1" applyFill="1" applyBorder="1" applyAlignment="1">
      <alignment horizontal="center" vertical="top" wrapText="1"/>
    </xf>
    <xf numFmtId="2" fontId="5" fillId="2" borderId="13" xfId="0" applyNumberFormat="1" applyFont="1" applyFill="1" applyBorder="1" applyAlignment="1">
      <alignment horizontal="center" vertical="top" wrapText="1"/>
    </xf>
    <xf numFmtId="1" fontId="5" fillId="2" borderId="51" xfId="0" applyNumberFormat="1" applyFont="1" applyFill="1" applyBorder="1" applyAlignment="1">
      <alignment horizontal="center" vertical="top" wrapText="1"/>
    </xf>
    <xf numFmtId="1" fontId="5" fillId="2" borderId="60" xfId="0" applyNumberFormat="1" applyFont="1" applyFill="1" applyBorder="1" applyAlignment="1">
      <alignment horizontal="center" vertical="top" wrapText="1"/>
    </xf>
    <xf numFmtId="2" fontId="5" fillId="2" borderId="37" xfId="0" applyNumberFormat="1" applyFont="1" applyFill="1" applyBorder="1" applyAlignment="1">
      <alignment horizontal="center" vertical="top" wrapText="1"/>
    </xf>
    <xf numFmtId="1" fontId="5" fillId="0" borderId="0" xfId="0" applyNumberFormat="1" applyFont="1" applyAlignment="1">
      <alignment horizontal="center" vertical="top" wrapText="1"/>
    </xf>
    <xf numFmtId="0" fontId="6" fillId="0" borderId="5" xfId="0" applyFont="1" applyBorder="1" applyAlignment="1">
      <alignment horizontal="center" vertical="top"/>
    </xf>
    <xf numFmtId="2" fontId="5" fillId="11" borderId="5" xfId="0" applyNumberFormat="1" applyFont="1" applyFill="1" applyBorder="1" applyAlignment="1">
      <alignment horizontal="center" vertical="top" wrapText="1"/>
    </xf>
    <xf numFmtId="2" fontId="5" fillId="0" borderId="0" xfId="0" applyNumberFormat="1" applyFont="1" applyAlignment="1">
      <alignment horizontal="center" vertical="top" wrapText="1"/>
    </xf>
    <xf numFmtId="0" fontId="5" fillId="8" borderId="31" xfId="0" applyFont="1" applyFill="1" applyBorder="1" applyAlignment="1">
      <alignment horizontal="left" vertical="top" wrapText="1"/>
    </xf>
    <xf numFmtId="0" fontId="5" fillId="8" borderId="32" xfId="0" applyFont="1" applyFill="1" applyBorder="1" applyAlignment="1">
      <alignment horizontal="left" vertical="top" wrapText="1"/>
    </xf>
    <xf numFmtId="0" fontId="5" fillId="8" borderId="33" xfId="0" applyFont="1" applyFill="1" applyBorder="1" applyAlignment="1">
      <alignment horizontal="left" vertical="top" wrapText="1"/>
    </xf>
    <xf numFmtId="0" fontId="5" fillId="0" borderId="17" xfId="0" applyFont="1" applyBorder="1" applyAlignment="1">
      <alignment horizontal="center" vertical="top" wrapText="1"/>
    </xf>
    <xf numFmtId="0" fontId="5" fillId="0" borderId="34" xfId="0" applyFont="1" applyBorder="1" applyAlignment="1">
      <alignment vertical="top" wrapText="1"/>
    </xf>
    <xf numFmtId="0" fontId="5" fillId="0" borderId="32" xfId="0" applyFont="1" applyBorder="1" applyAlignment="1">
      <alignment vertical="top" wrapText="1"/>
    </xf>
    <xf numFmtId="0" fontId="5" fillId="0" borderId="33" xfId="0" applyFont="1" applyBorder="1" applyAlignment="1">
      <alignment vertical="top" wrapText="1"/>
    </xf>
    <xf numFmtId="0" fontId="5" fillId="0" borderId="66" xfId="0" applyFont="1" applyBorder="1" applyAlignment="1">
      <alignment vertical="top" wrapText="1"/>
    </xf>
    <xf numFmtId="0" fontId="5" fillId="0" borderId="70" xfId="0" applyFont="1" applyBorder="1" applyAlignment="1">
      <alignment vertical="top" wrapText="1"/>
    </xf>
    <xf numFmtId="2" fontId="28" fillId="0" borderId="13" xfId="0" applyNumberFormat="1" applyFont="1" applyBorder="1" applyAlignment="1">
      <alignment vertical="top" wrapText="1"/>
    </xf>
    <xf numFmtId="0" fontId="23" fillId="0" borderId="13" xfId="0" applyFont="1" applyBorder="1" applyAlignment="1">
      <alignment vertical="top" wrapText="1"/>
    </xf>
    <xf numFmtId="0" fontId="23" fillId="0" borderId="73" xfId="0" applyFont="1" applyBorder="1" applyAlignment="1">
      <alignment vertical="top" wrapText="1"/>
    </xf>
    <xf numFmtId="0" fontId="28" fillId="0" borderId="48" xfId="0" applyFont="1" applyBorder="1" applyAlignment="1">
      <alignment vertical="top" wrapText="1"/>
    </xf>
    <xf numFmtId="0" fontId="5" fillId="0" borderId="19" xfId="0" applyFont="1" applyBorder="1" applyAlignment="1">
      <alignment vertical="top" wrapText="1"/>
    </xf>
    <xf numFmtId="0" fontId="5" fillId="0" borderId="26" xfId="0" applyFont="1" applyBorder="1" applyAlignment="1">
      <alignment vertical="top" wrapText="1"/>
    </xf>
    <xf numFmtId="0" fontId="5" fillId="0" borderId="20" xfId="0" applyFont="1" applyBorder="1" applyAlignment="1">
      <alignment vertical="top" wrapText="1"/>
    </xf>
    <xf numFmtId="2" fontId="5" fillId="8" borderId="31" xfId="0" applyNumberFormat="1" applyFont="1" applyFill="1" applyBorder="1" applyAlignment="1">
      <alignment horizontal="left" vertical="top" wrapText="1"/>
    </xf>
    <xf numFmtId="2" fontId="5" fillId="6" borderId="5" xfId="0" applyNumberFormat="1" applyFont="1" applyFill="1" applyBorder="1" applyAlignment="1">
      <alignment horizontal="center" vertical="top" wrapText="1"/>
    </xf>
    <xf numFmtId="2" fontId="5" fillId="12" borderId="14" xfId="0" applyNumberFormat="1" applyFont="1" applyFill="1" applyBorder="1" applyAlignment="1">
      <alignment horizontal="center" vertical="top" wrapText="1"/>
    </xf>
    <xf numFmtId="49" fontId="5" fillId="0" borderId="71" xfId="0" applyNumberFormat="1" applyFont="1" applyBorder="1" applyAlignment="1">
      <alignment horizontal="left" vertical="top" wrapText="1"/>
    </xf>
    <xf numFmtId="1" fontId="5" fillId="0" borderId="52" xfId="0" applyNumberFormat="1" applyFont="1" applyBorder="1" applyAlignment="1">
      <alignment horizontal="left" vertical="top" wrapText="1"/>
    </xf>
    <xf numFmtId="1" fontId="5" fillId="0" borderId="43" xfId="0" applyNumberFormat="1" applyFont="1" applyBorder="1" applyAlignment="1">
      <alignment vertical="top" wrapText="1"/>
    </xf>
    <xf numFmtId="1" fontId="5" fillId="0" borderId="58" xfId="0" applyNumberFormat="1" applyFont="1" applyBorder="1" applyAlignment="1">
      <alignment horizontal="left" vertical="top" wrapText="1"/>
    </xf>
    <xf numFmtId="1" fontId="5" fillId="0" borderId="11" xfId="0" applyNumberFormat="1" applyFont="1" applyBorder="1" applyAlignment="1">
      <alignment horizontal="left" vertical="top" wrapText="1"/>
    </xf>
    <xf numFmtId="1" fontId="5" fillId="0" borderId="58" xfId="0" applyNumberFormat="1" applyFont="1" applyBorder="1" applyAlignment="1">
      <alignment vertical="top" wrapText="1"/>
    </xf>
    <xf numFmtId="2" fontId="5" fillId="8" borderId="68" xfId="0" applyNumberFormat="1" applyFont="1" applyFill="1" applyBorder="1" applyAlignment="1">
      <alignment horizontal="center" vertical="top" wrapText="1"/>
    </xf>
    <xf numFmtId="2" fontId="5" fillId="8" borderId="6" xfId="0" applyNumberFormat="1" applyFont="1" applyFill="1" applyBorder="1" applyAlignment="1">
      <alignment horizontal="center" vertical="top" wrapText="1"/>
    </xf>
    <xf numFmtId="2" fontId="5" fillId="8" borderId="52" xfId="0" applyNumberFormat="1" applyFont="1" applyFill="1" applyBorder="1" applyAlignment="1">
      <alignment horizontal="center" vertical="top" wrapText="1"/>
    </xf>
    <xf numFmtId="2" fontId="5" fillId="8" borderId="57" xfId="0" applyNumberFormat="1" applyFont="1" applyFill="1" applyBorder="1" applyAlignment="1">
      <alignment horizontal="left" vertical="top" wrapText="1"/>
    </xf>
    <xf numFmtId="2" fontId="5" fillId="2" borderId="1" xfId="0" applyNumberFormat="1" applyFont="1" applyFill="1" applyBorder="1" applyAlignment="1">
      <alignment horizontal="center" vertical="top" wrapText="1"/>
    </xf>
    <xf numFmtId="2" fontId="5" fillId="2" borderId="49" xfId="0" applyNumberFormat="1" applyFont="1" applyFill="1" applyBorder="1" applyAlignment="1">
      <alignment horizontal="center" vertical="top" wrapText="1"/>
    </xf>
    <xf numFmtId="0" fontId="5" fillId="2" borderId="47" xfId="0" applyFont="1" applyFill="1" applyBorder="1" applyAlignment="1">
      <alignment horizontal="center" vertical="top" wrapText="1"/>
    </xf>
    <xf numFmtId="0" fontId="5" fillId="6" borderId="36" xfId="0" applyFont="1" applyFill="1" applyBorder="1" applyAlignment="1">
      <alignment horizontal="center" vertical="top" wrapText="1"/>
    </xf>
    <xf numFmtId="1" fontId="5" fillId="2" borderId="0" xfId="0" applyNumberFormat="1" applyFont="1" applyFill="1" applyAlignment="1">
      <alignment horizontal="center" vertical="top" wrapText="1"/>
    </xf>
    <xf numFmtId="2" fontId="5" fillId="19" borderId="22" xfId="0" applyNumberFormat="1" applyFont="1" applyFill="1" applyBorder="1" applyAlignment="1">
      <alignment horizontal="center" vertical="top" wrapText="1"/>
    </xf>
    <xf numFmtId="2" fontId="5" fillId="6" borderId="44" xfId="0" applyNumberFormat="1" applyFont="1" applyFill="1" applyBorder="1" applyAlignment="1">
      <alignment horizontal="center" vertical="top" wrapText="1"/>
    </xf>
    <xf numFmtId="2" fontId="5" fillId="0" borderId="7" xfId="0" applyNumberFormat="1" applyFont="1" applyBorder="1" applyAlignment="1">
      <alignment horizontal="center" vertical="top" wrapText="1"/>
    </xf>
    <xf numFmtId="2" fontId="5" fillId="0" borderId="46" xfId="0" applyNumberFormat="1" applyFont="1" applyBorder="1" applyAlignment="1">
      <alignment horizontal="center" vertical="top" wrapText="1"/>
    </xf>
    <xf numFmtId="0" fontId="44" fillId="6" borderId="70" xfId="0" applyFont="1" applyFill="1" applyBorder="1" applyAlignment="1">
      <alignment horizontal="center" vertical="center" wrapText="1"/>
    </xf>
    <xf numFmtId="0" fontId="44" fillId="16" borderId="70" xfId="0" applyFont="1" applyFill="1" applyBorder="1" applyAlignment="1">
      <alignment horizontal="center" vertical="center" wrapText="1"/>
    </xf>
    <xf numFmtId="0" fontId="5" fillId="0" borderId="58" xfId="0" applyFont="1" applyBorder="1" applyAlignment="1">
      <alignment horizontal="left" vertical="top" wrapText="1"/>
    </xf>
    <xf numFmtId="0" fontId="5" fillId="0" borderId="38" xfId="0" applyFont="1" applyBorder="1" applyAlignment="1">
      <alignment vertical="top" wrapText="1"/>
    </xf>
    <xf numFmtId="1" fontId="5" fillId="0" borderId="73" xfId="0" applyNumberFormat="1" applyFont="1" applyBorder="1" applyAlignment="1">
      <alignment horizontal="left" vertical="top" wrapText="1"/>
    </xf>
    <xf numFmtId="1" fontId="5" fillId="0" borderId="11" xfId="0" applyNumberFormat="1" applyFont="1" applyBorder="1" applyAlignment="1">
      <alignment vertical="top" wrapText="1"/>
    </xf>
    <xf numFmtId="0" fontId="44" fillId="6" borderId="23" xfId="0" applyFont="1" applyFill="1" applyBorder="1" applyAlignment="1">
      <alignment horizontal="center" vertical="center" wrapText="1"/>
    </xf>
    <xf numFmtId="1" fontId="5" fillId="0" borderId="48" xfId="0" applyNumberFormat="1" applyFont="1" applyBorder="1" applyAlignment="1">
      <alignment vertical="top" wrapText="1"/>
    </xf>
    <xf numFmtId="0" fontId="44" fillId="16" borderId="23" xfId="0" applyFont="1" applyFill="1" applyBorder="1" applyAlignment="1">
      <alignment horizontal="center" vertical="center" wrapText="1"/>
    </xf>
    <xf numFmtId="1" fontId="44" fillId="6" borderId="61" xfId="0" applyNumberFormat="1" applyFont="1" applyFill="1" applyBorder="1" applyAlignment="1" applyProtection="1">
      <alignment horizontal="center" vertical="center" wrapText="1"/>
      <protection hidden="1"/>
    </xf>
    <xf numFmtId="2" fontId="44" fillId="6" borderId="61" xfId="0" applyNumberFormat="1" applyFont="1" applyFill="1" applyBorder="1" applyAlignment="1" applyProtection="1">
      <alignment horizontal="center" vertical="center" wrapText="1"/>
      <protection hidden="1"/>
    </xf>
    <xf numFmtId="2" fontId="5" fillId="6" borderId="66" xfId="0" applyNumberFormat="1" applyFont="1" applyFill="1" applyBorder="1" applyAlignment="1">
      <alignment horizontal="center" vertical="top"/>
    </xf>
    <xf numFmtId="1" fontId="5" fillId="2" borderId="14" xfId="0" applyNumberFormat="1" applyFont="1" applyFill="1" applyBorder="1" applyAlignment="1">
      <alignment horizontal="center" vertical="top" wrapText="1"/>
    </xf>
    <xf numFmtId="1" fontId="5" fillId="2" borderId="15" xfId="0" applyNumberFormat="1" applyFont="1" applyFill="1" applyBorder="1" applyAlignment="1">
      <alignment horizontal="center" vertical="top" wrapText="1"/>
    </xf>
    <xf numFmtId="1" fontId="5" fillId="2" borderId="16" xfId="0" applyNumberFormat="1" applyFont="1" applyFill="1" applyBorder="1" applyAlignment="1">
      <alignment horizontal="center" vertical="top" wrapText="1"/>
    </xf>
    <xf numFmtId="1" fontId="5" fillId="2" borderId="11" xfId="0" applyNumberFormat="1" applyFont="1" applyFill="1" applyBorder="1" applyAlignment="1">
      <alignment horizontal="center" vertical="top" wrapText="1"/>
    </xf>
    <xf numFmtId="2" fontId="5" fillId="2" borderId="13" xfId="0" applyNumberFormat="1" applyFont="1" applyFill="1" applyBorder="1" applyAlignment="1">
      <alignment horizontal="center" vertical="top"/>
    </xf>
    <xf numFmtId="1" fontId="5" fillId="2" borderId="7" xfId="0" applyNumberFormat="1" applyFont="1" applyFill="1" applyBorder="1" applyAlignment="1">
      <alignment horizontal="center" vertical="top"/>
    </xf>
    <xf numFmtId="2" fontId="5" fillId="2" borderId="41" xfId="0" applyNumberFormat="1" applyFont="1" applyFill="1" applyBorder="1" applyAlignment="1">
      <alignment horizontal="center" vertical="top"/>
    </xf>
    <xf numFmtId="2" fontId="5" fillId="2" borderId="4" xfId="0" applyNumberFormat="1" applyFont="1" applyFill="1" applyBorder="1" applyAlignment="1">
      <alignment horizontal="center" vertical="top"/>
    </xf>
    <xf numFmtId="1" fontId="5" fillId="2" borderId="47" xfId="0" applyNumberFormat="1" applyFont="1" applyFill="1" applyBorder="1" applyAlignment="1">
      <alignment horizontal="center" vertical="top"/>
    </xf>
    <xf numFmtId="1" fontId="5" fillId="2" borderId="13" xfId="0" applyNumberFormat="1" applyFont="1" applyFill="1" applyBorder="1" applyAlignment="1">
      <alignment horizontal="center" vertical="top"/>
    </xf>
    <xf numFmtId="2" fontId="5" fillId="2" borderId="46" xfId="0" applyNumberFormat="1" applyFont="1" applyFill="1" applyBorder="1" applyAlignment="1">
      <alignment horizontal="center" vertical="top"/>
    </xf>
    <xf numFmtId="2" fontId="5" fillId="9" borderId="53" xfId="0" applyNumberFormat="1" applyFont="1" applyFill="1" applyBorder="1" applyAlignment="1">
      <alignment horizontal="center" vertical="top" wrapText="1"/>
    </xf>
    <xf numFmtId="2" fontId="5" fillId="8" borderId="41" xfId="0" applyNumberFormat="1" applyFont="1" applyFill="1" applyBorder="1" applyAlignment="1">
      <alignment horizontal="center" vertical="top"/>
    </xf>
    <xf numFmtId="2" fontId="5" fillId="8" borderId="1" xfId="0" applyNumberFormat="1" applyFont="1" applyFill="1" applyBorder="1" applyAlignment="1">
      <alignment horizontal="center" vertical="top"/>
    </xf>
    <xf numFmtId="2" fontId="5" fillId="8" borderId="49" xfId="0" applyNumberFormat="1" applyFont="1" applyFill="1" applyBorder="1" applyAlignment="1">
      <alignment horizontal="center" vertical="top"/>
    </xf>
    <xf numFmtId="1" fontId="44" fillId="16" borderId="61" xfId="0" applyNumberFormat="1" applyFont="1" applyFill="1" applyBorder="1" applyAlignment="1" applyProtection="1">
      <alignment horizontal="center" vertical="center" wrapText="1"/>
      <protection hidden="1"/>
    </xf>
    <xf numFmtId="2" fontId="44" fillId="16" borderId="61" xfId="0" applyNumberFormat="1" applyFont="1" applyFill="1" applyBorder="1" applyAlignment="1" applyProtection="1">
      <alignment horizontal="center" vertical="center" wrapText="1"/>
      <protection hidden="1"/>
    </xf>
    <xf numFmtId="1" fontId="5" fillId="0" borderId="14" xfId="0" applyNumberFormat="1" applyFont="1" applyBorder="1" applyAlignment="1">
      <alignment horizontal="left" vertical="top" wrapText="1"/>
    </xf>
    <xf numFmtId="1" fontId="5" fillId="0" borderId="15" xfId="0" applyNumberFormat="1" applyFont="1" applyBorder="1" applyAlignment="1">
      <alignment horizontal="left" vertical="top" wrapText="1"/>
    </xf>
    <xf numFmtId="0" fontId="5" fillId="0" borderId="47" xfId="0" applyFont="1" applyBorder="1">
      <alignment vertical="top"/>
    </xf>
    <xf numFmtId="0" fontId="5" fillId="0" borderId="25" xfId="0" applyFont="1" applyBorder="1" applyAlignment="1">
      <alignment vertical="top" wrapText="1"/>
    </xf>
    <xf numFmtId="1" fontId="5" fillId="0" borderId="38" xfId="0" applyNumberFormat="1" applyFont="1" applyBorder="1" applyAlignment="1">
      <alignment horizontal="left" vertical="top" wrapText="1"/>
    </xf>
    <xf numFmtId="1" fontId="5" fillId="0" borderId="50" xfId="0" applyNumberFormat="1" applyFont="1" applyBorder="1" applyAlignment="1">
      <alignment horizontal="center" vertical="top" wrapText="1"/>
    </xf>
    <xf numFmtId="1" fontId="5" fillId="2" borderId="12" xfId="0" applyNumberFormat="1" applyFont="1" applyFill="1" applyBorder="1" applyAlignment="1">
      <alignment horizontal="center" vertical="top"/>
    </xf>
    <xf numFmtId="0" fontId="44" fillId="6" borderId="53" xfId="0" applyFont="1" applyFill="1" applyBorder="1" applyAlignment="1">
      <alignment horizontal="center" vertical="top" wrapText="1"/>
    </xf>
    <xf numFmtId="0" fontId="44" fillId="6" borderId="55" xfId="0" applyFont="1" applyFill="1" applyBorder="1" applyAlignment="1" applyProtection="1">
      <alignment horizontal="center" vertical="top" wrapText="1"/>
      <protection hidden="1"/>
    </xf>
    <xf numFmtId="2" fontId="5" fillId="2" borderId="14" xfId="0" applyNumberFormat="1" applyFont="1" applyFill="1" applyBorder="1" applyAlignment="1">
      <alignment horizontal="center" vertical="top" wrapText="1"/>
    </xf>
    <xf numFmtId="2" fontId="5" fillId="2" borderId="15" xfId="0" applyNumberFormat="1" applyFont="1" applyFill="1" applyBorder="1" applyAlignment="1">
      <alignment horizontal="center" vertical="top" wrapText="1"/>
    </xf>
    <xf numFmtId="2" fontId="5" fillId="2" borderId="38" xfId="0" applyNumberFormat="1" applyFont="1" applyFill="1" applyBorder="1" applyAlignment="1">
      <alignment horizontal="center" vertical="top" wrapText="1"/>
    </xf>
    <xf numFmtId="2" fontId="5" fillId="2" borderId="60" xfId="0" applyNumberFormat="1" applyFont="1" applyFill="1" applyBorder="1" applyAlignment="1">
      <alignment horizontal="center" vertical="top" wrapText="1"/>
    </xf>
    <xf numFmtId="2" fontId="5" fillId="2" borderId="53" xfId="0" applyNumberFormat="1" applyFont="1" applyFill="1" applyBorder="1" applyAlignment="1">
      <alignment horizontal="center" vertical="top"/>
    </xf>
    <xf numFmtId="0" fontId="5" fillId="0" borderId="70" xfId="0" applyFont="1" applyBorder="1" applyAlignment="1">
      <alignment horizontal="left" vertical="top" wrapText="1"/>
    </xf>
    <xf numFmtId="0" fontId="28" fillId="0" borderId="18" xfId="0" applyFont="1" applyBorder="1" applyAlignment="1">
      <alignment vertical="top" wrapText="1"/>
    </xf>
    <xf numFmtId="0" fontId="22" fillId="0" borderId="13" xfId="0" applyFont="1" applyBorder="1" applyAlignment="1">
      <alignment vertical="top" wrapText="1"/>
    </xf>
    <xf numFmtId="0" fontId="5" fillId="4" borderId="70" xfId="0" applyFont="1" applyFill="1" applyBorder="1" applyAlignment="1">
      <alignment vertical="top" wrapText="1"/>
    </xf>
    <xf numFmtId="0" fontId="5" fillId="4" borderId="66" xfId="0" applyFont="1" applyFill="1" applyBorder="1" applyAlignment="1">
      <alignment vertical="top" wrapText="1"/>
    </xf>
    <xf numFmtId="1" fontId="5" fillId="0" borderId="55" xfId="0" applyNumberFormat="1" applyFont="1" applyBorder="1" applyAlignment="1">
      <alignment horizontal="left" vertical="top" wrapText="1"/>
    </xf>
    <xf numFmtId="1" fontId="5" fillId="0" borderId="55" xfId="0" applyNumberFormat="1" applyFont="1" applyBorder="1" applyAlignment="1">
      <alignment vertical="top" wrapText="1"/>
    </xf>
    <xf numFmtId="0" fontId="5" fillId="4" borderId="43" xfId="0" applyFont="1" applyFill="1" applyBorder="1" applyAlignment="1">
      <alignment horizontal="left" vertical="top" wrapText="1"/>
    </xf>
    <xf numFmtId="0" fontId="5" fillId="4" borderId="12" xfId="0" applyFont="1" applyFill="1" applyBorder="1" applyAlignment="1">
      <alignment horizontal="left" vertical="top" wrapText="1"/>
    </xf>
    <xf numFmtId="0" fontId="5" fillId="4" borderId="6" xfId="0" applyFont="1" applyFill="1" applyBorder="1" applyAlignment="1">
      <alignment horizontal="left" vertical="top" wrapText="1"/>
    </xf>
    <xf numFmtId="0" fontId="5" fillId="4" borderId="17" xfId="0" applyFont="1" applyFill="1" applyBorder="1" applyAlignment="1">
      <alignment horizontal="left" vertical="top" wrapText="1"/>
    </xf>
    <xf numFmtId="49" fontId="5" fillId="0" borderId="12" xfId="0" applyNumberFormat="1" applyFont="1" applyBorder="1" applyAlignment="1">
      <alignment vertical="top" wrapText="1"/>
    </xf>
    <xf numFmtId="49" fontId="5" fillId="0" borderId="6" xfId="0" applyNumberFormat="1" applyFont="1" applyBorder="1" applyAlignment="1">
      <alignment vertical="top" wrapText="1"/>
    </xf>
    <xf numFmtId="49" fontId="5" fillId="0" borderId="6" xfId="0" applyNumberFormat="1" applyFont="1" applyBorder="1">
      <alignment vertical="top"/>
    </xf>
    <xf numFmtId="49" fontId="5" fillId="0" borderId="52" xfId="0" applyNumberFormat="1" applyFont="1" applyBorder="1" applyAlignment="1">
      <alignment vertical="top" wrapText="1"/>
    </xf>
    <xf numFmtId="49" fontId="5" fillId="0" borderId="18" xfId="0" applyNumberFormat="1" applyFont="1" applyBorder="1" applyAlignment="1">
      <alignment vertical="top" wrapText="1"/>
    </xf>
    <xf numFmtId="49" fontId="5" fillId="0" borderId="21" xfId="0" applyNumberFormat="1" applyFont="1" applyBorder="1" applyAlignment="1">
      <alignment vertical="top" wrapText="1"/>
    </xf>
    <xf numFmtId="49" fontId="5" fillId="0" borderId="44" xfId="0" applyNumberFormat="1" applyFont="1" applyBorder="1" applyAlignment="1">
      <alignment vertical="top" wrapText="1"/>
    </xf>
    <xf numFmtId="0" fontId="5" fillId="4" borderId="52" xfId="0" applyFont="1" applyFill="1" applyBorder="1" applyAlignment="1">
      <alignment horizontal="left" vertical="top" wrapText="1"/>
    </xf>
    <xf numFmtId="0" fontId="5" fillId="4" borderId="49" xfId="0" applyFont="1" applyFill="1" applyBorder="1" applyAlignment="1">
      <alignment horizontal="center" vertical="top" wrapText="1"/>
    </xf>
    <xf numFmtId="2" fontId="5" fillId="2" borderId="51" xfId="0" applyNumberFormat="1" applyFont="1" applyFill="1" applyBorder="1" applyAlignment="1">
      <alignment horizontal="center" vertical="top" wrapText="1"/>
    </xf>
    <xf numFmtId="1" fontId="5" fillId="2" borderId="58" xfId="0" applyNumberFormat="1" applyFont="1" applyFill="1" applyBorder="1" applyAlignment="1">
      <alignment horizontal="center" vertical="top" wrapText="1"/>
    </xf>
    <xf numFmtId="0" fontId="5" fillId="2" borderId="2" xfId="0" applyFont="1" applyFill="1" applyBorder="1" applyAlignment="1">
      <alignment horizontal="center" vertical="top" wrapText="1"/>
    </xf>
    <xf numFmtId="0" fontId="5" fillId="2" borderId="50" xfId="0" applyFont="1" applyFill="1" applyBorder="1" applyAlignment="1">
      <alignment horizontal="center" vertical="top" wrapText="1"/>
    </xf>
    <xf numFmtId="0" fontId="5" fillId="2" borderId="9" xfId="0" applyFont="1" applyFill="1" applyBorder="1" applyAlignment="1">
      <alignment horizontal="center" vertical="top" wrapText="1"/>
    </xf>
    <xf numFmtId="1" fontId="5" fillId="2" borderId="27" xfId="0" applyNumberFormat="1" applyFont="1" applyFill="1" applyBorder="1" applyAlignment="1">
      <alignment horizontal="center" vertical="top" wrapText="1"/>
    </xf>
    <xf numFmtId="1" fontId="5" fillId="2" borderId="42" xfId="0" applyNumberFormat="1" applyFont="1" applyFill="1" applyBorder="1" applyAlignment="1">
      <alignment horizontal="center" vertical="top" wrapText="1"/>
    </xf>
    <xf numFmtId="2" fontId="22" fillId="9" borderId="36" xfId="0" applyNumberFormat="1" applyFont="1" applyFill="1" applyBorder="1" applyAlignment="1">
      <alignment horizontal="center" vertical="top"/>
    </xf>
    <xf numFmtId="0" fontId="5" fillId="2" borderId="60" xfId="0" applyFont="1" applyFill="1" applyBorder="1" applyAlignment="1">
      <alignment horizontal="center" vertical="top" wrapText="1"/>
    </xf>
    <xf numFmtId="2" fontId="5" fillId="9" borderId="44" xfId="0" applyNumberFormat="1" applyFont="1" applyFill="1" applyBorder="1" applyAlignment="1">
      <alignment horizontal="center" vertical="top" wrapText="1"/>
    </xf>
    <xf numFmtId="2" fontId="5" fillId="9" borderId="5" xfId="0" applyNumberFormat="1" applyFont="1" applyFill="1" applyBorder="1" applyAlignment="1">
      <alignment horizontal="center" vertical="top" wrapText="1"/>
    </xf>
    <xf numFmtId="2" fontId="5" fillId="8" borderId="4" xfId="0" applyNumberFormat="1" applyFont="1" applyFill="1" applyBorder="1" applyAlignment="1">
      <alignment horizontal="center" vertical="top" wrapText="1"/>
    </xf>
    <xf numFmtId="2" fontId="5" fillId="8" borderId="54" xfId="0" applyNumberFormat="1" applyFont="1" applyFill="1" applyBorder="1" applyAlignment="1">
      <alignment horizontal="center" vertical="top" wrapText="1"/>
    </xf>
    <xf numFmtId="16" fontId="5" fillId="0" borderId="6" xfId="0" applyNumberFormat="1" applyFont="1" applyBorder="1" applyAlignment="1">
      <alignment horizontal="left" vertical="top" wrapText="1"/>
    </xf>
    <xf numFmtId="49" fontId="5" fillId="0" borderId="68" xfId="0" applyNumberFormat="1" applyFont="1" applyBorder="1" applyAlignment="1">
      <alignment horizontal="left" vertical="top" wrapText="1"/>
    </xf>
    <xf numFmtId="49" fontId="5" fillId="0" borderId="29" xfId="0" applyNumberFormat="1" applyFont="1" applyBorder="1" applyAlignment="1">
      <alignment vertical="top" wrapText="1"/>
    </xf>
    <xf numFmtId="49" fontId="5" fillId="0" borderId="24" xfId="0" applyNumberFormat="1" applyFont="1" applyBorder="1" applyAlignment="1">
      <alignment vertical="top" wrapText="1"/>
    </xf>
    <xf numFmtId="0" fontId="5" fillId="2" borderId="54" xfId="0" applyFont="1" applyFill="1" applyBorder="1" applyAlignment="1">
      <alignment horizontal="center" vertical="top" wrapText="1"/>
    </xf>
    <xf numFmtId="0" fontId="26" fillId="2" borderId="53" xfId="0" applyFont="1" applyFill="1" applyBorder="1" applyAlignment="1">
      <alignment horizontal="center" vertical="top" wrapText="1"/>
    </xf>
    <xf numFmtId="1" fontId="5" fillId="2" borderId="54" xfId="0" applyNumberFormat="1" applyFont="1" applyFill="1" applyBorder="1" applyAlignment="1">
      <alignment horizontal="center" vertical="top"/>
    </xf>
    <xf numFmtId="2" fontId="5" fillId="2" borderId="37" xfId="0" applyNumberFormat="1" applyFont="1" applyFill="1" applyBorder="1" applyAlignment="1">
      <alignment horizontal="center" vertical="top"/>
    </xf>
    <xf numFmtId="2" fontId="5" fillId="2" borderId="60" xfId="0" applyNumberFormat="1" applyFont="1" applyFill="1" applyBorder="1" applyAlignment="1">
      <alignment horizontal="center" vertical="top"/>
    </xf>
    <xf numFmtId="2" fontId="5" fillId="2" borderId="51" xfId="0" applyNumberFormat="1" applyFont="1" applyFill="1" applyBorder="1" applyAlignment="1">
      <alignment horizontal="center" vertical="top"/>
    </xf>
    <xf numFmtId="1" fontId="5" fillId="2" borderId="6" xfId="0" applyNumberFormat="1" applyFont="1" applyFill="1" applyBorder="1" applyAlignment="1">
      <alignment horizontal="center" vertical="top"/>
    </xf>
    <xf numFmtId="2" fontId="5" fillId="2" borderId="28" xfId="0" applyNumberFormat="1" applyFont="1" applyFill="1" applyBorder="1" applyAlignment="1">
      <alignment horizontal="center" vertical="top"/>
    </xf>
    <xf numFmtId="2" fontId="5" fillId="2" borderId="27" xfId="0" applyNumberFormat="1" applyFont="1" applyFill="1" applyBorder="1" applyAlignment="1">
      <alignment horizontal="center" vertical="top"/>
    </xf>
    <xf numFmtId="2" fontId="5" fillId="2" borderId="42" xfId="0" applyNumberFormat="1" applyFont="1" applyFill="1" applyBorder="1" applyAlignment="1">
      <alignment horizontal="center" vertical="top"/>
    </xf>
    <xf numFmtId="0" fontId="5" fillId="17" borderId="57" xfId="0" applyFont="1" applyFill="1" applyBorder="1" applyAlignment="1">
      <alignment horizontal="center" vertical="top" wrapText="1"/>
    </xf>
    <xf numFmtId="1" fontId="5" fillId="17" borderId="42" xfId="0" applyNumberFormat="1" applyFont="1" applyFill="1" applyBorder="1" applyAlignment="1">
      <alignment horizontal="center" vertical="top"/>
    </xf>
    <xf numFmtId="2" fontId="5" fillId="0" borderId="0" xfId="0" applyNumberFormat="1" applyFont="1" applyAlignment="1">
      <alignment horizontal="center" vertical="top"/>
    </xf>
    <xf numFmtId="1" fontId="5" fillId="2" borderId="0" xfId="0" applyNumberFormat="1" applyFont="1" applyFill="1" applyAlignment="1">
      <alignment horizontal="center" vertical="top"/>
    </xf>
    <xf numFmtId="2" fontId="5" fillId="2" borderId="0" xfId="0" applyNumberFormat="1" applyFont="1" applyFill="1" applyAlignment="1">
      <alignment horizontal="center" vertical="top"/>
    </xf>
    <xf numFmtId="0" fontId="5" fillId="0" borderId="47" xfId="0" applyFont="1" applyBorder="1" applyAlignment="1">
      <alignment horizontal="center" vertical="top" wrapText="1"/>
    </xf>
    <xf numFmtId="0" fontId="5" fillId="0" borderId="75" xfId="0" applyFont="1" applyBorder="1" applyAlignment="1">
      <alignment vertical="top" wrapText="1"/>
    </xf>
    <xf numFmtId="2" fontId="5" fillId="2" borderId="28" xfId="0" applyNumberFormat="1" applyFont="1" applyFill="1" applyBorder="1" applyAlignment="1">
      <alignment horizontal="center" vertical="top" wrapText="1"/>
    </xf>
    <xf numFmtId="2" fontId="5" fillId="2" borderId="27" xfId="0" applyNumberFormat="1" applyFont="1" applyFill="1" applyBorder="1" applyAlignment="1">
      <alignment horizontal="center" vertical="top" wrapText="1"/>
    </xf>
    <xf numFmtId="2" fontId="5" fillId="2" borderId="42" xfId="0" applyNumberFormat="1" applyFont="1" applyFill="1" applyBorder="1" applyAlignment="1">
      <alignment horizontal="center" vertical="top" wrapText="1"/>
    </xf>
    <xf numFmtId="0" fontId="5" fillId="2" borderId="12" xfId="0" applyFont="1" applyFill="1" applyBorder="1" applyAlignment="1">
      <alignment horizontal="center" vertical="top" wrapText="1"/>
    </xf>
    <xf numFmtId="0" fontId="5" fillId="2" borderId="6" xfId="0" applyFont="1" applyFill="1" applyBorder="1" applyAlignment="1">
      <alignment horizontal="center" vertical="top" wrapText="1"/>
    </xf>
    <xf numFmtId="0" fontId="5" fillId="2" borderId="17" xfId="0" applyFont="1" applyFill="1" applyBorder="1" applyAlignment="1">
      <alignment horizontal="center" vertical="top" wrapText="1"/>
    </xf>
    <xf numFmtId="1" fontId="5" fillId="2" borderId="2" xfId="0" applyNumberFormat="1" applyFont="1" applyFill="1" applyBorder="1" applyAlignment="1">
      <alignment horizontal="center" vertical="top"/>
    </xf>
    <xf numFmtId="1" fontId="5" fillId="2" borderId="50" xfId="0" applyNumberFormat="1" applyFont="1" applyFill="1" applyBorder="1" applyAlignment="1">
      <alignment horizontal="center" vertical="top"/>
    </xf>
    <xf numFmtId="2" fontId="5" fillId="16" borderId="36" xfId="0" applyNumberFormat="1" applyFont="1" applyFill="1" applyBorder="1" applyAlignment="1">
      <alignment horizontal="center" vertical="top"/>
    </xf>
    <xf numFmtId="1" fontId="5" fillId="2" borderId="58" xfId="0" applyNumberFormat="1" applyFont="1" applyFill="1" applyBorder="1" applyAlignment="1">
      <alignment horizontal="center" vertical="top"/>
    </xf>
    <xf numFmtId="2" fontId="5" fillId="2" borderId="1" xfId="0" applyNumberFormat="1" applyFont="1" applyFill="1" applyBorder="1" applyAlignment="1">
      <alignment horizontal="center" vertical="top"/>
    </xf>
    <xf numFmtId="2" fontId="5" fillId="2" borderId="49" xfId="0" applyNumberFormat="1" applyFont="1" applyFill="1" applyBorder="1" applyAlignment="1">
      <alignment horizontal="center" vertical="top"/>
    </xf>
    <xf numFmtId="2" fontId="5" fillId="9" borderId="66" xfId="0" applyNumberFormat="1" applyFont="1" applyFill="1" applyBorder="1" applyAlignment="1">
      <alignment horizontal="center" vertical="top"/>
    </xf>
    <xf numFmtId="1" fontId="5" fillId="2" borderId="14" xfId="0" applyNumberFormat="1" applyFont="1" applyFill="1" applyBorder="1" applyAlignment="1">
      <alignment horizontal="center" vertical="top"/>
    </xf>
    <xf numFmtId="2" fontId="5" fillId="20" borderId="22" xfId="0" applyNumberFormat="1" applyFont="1" applyFill="1" applyBorder="1" applyAlignment="1">
      <alignment horizontal="center" vertical="top"/>
    </xf>
    <xf numFmtId="1" fontId="5" fillId="8" borderId="25" xfId="0" applyNumberFormat="1" applyFont="1" applyFill="1" applyBorder="1">
      <alignment vertical="top"/>
    </xf>
    <xf numFmtId="1" fontId="5" fillId="8" borderId="65" xfId="0" applyNumberFormat="1" applyFont="1" applyFill="1" applyBorder="1">
      <alignment vertical="top"/>
    </xf>
    <xf numFmtId="1" fontId="5" fillId="8" borderId="68" xfId="0" applyNumberFormat="1" applyFont="1" applyFill="1" applyBorder="1">
      <alignment vertical="top"/>
    </xf>
    <xf numFmtId="1" fontId="5" fillId="8" borderId="26" xfId="0" applyNumberFormat="1" applyFont="1" applyFill="1" applyBorder="1">
      <alignment vertical="top"/>
    </xf>
    <xf numFmtId="1" fontId="5" fillId="8" borderId="15" xfId="0" applyNumberFormat="1" applyFont="1" applyFill="1" applyBorder="1">
      <alignment vertical="top"/>
    </xf>
    <xf numFmtId="1" fontId="5" fillId="8" borderId="6" xfId="0" applyNumberFormat="1" applyFont="1" applyFill="1" applyBorder="1">
      <alignment vertical="top"/>
    </xf>
    <xf numFmtId="0" fontId="5" fillId="8" borderId="26" xfId="0" applyFont="1" applyFill="1" applyBorder="1">
      <alignment vertical="top"/>
    </xf>
    <xf numFmtId="0" fontId="5" fillId="8" borderId="15" xfId="0" applyFont="1" applyFill="1" applyBorder="1">
      <alignment vertical="top"/>
    </xf>
    <xf numFmtId="0" fontId="5" fillId="8" borderId="6" xfId="0" applyFont="1" applyFill="1" applyBorder="1">
      <alignment vertical="top"/>
    </xf>
    <xf numFmtId="1" fontId="5" fillId="8" borderId="20" xfId="0" applyNumberFormat="1" applyFont="1" applyFill="1" applyBorder="1">
      <alignment vertical="top"/>
    </xf>
    <xf numFmtId="1" fontId="5" fillId="8" borderId="38" xfId="0" applyNumberFormat="1" applyFont="1" applyFill="1" applyBorder="1">
      <alignment vertical="top"/>
    </xf>
    <xf numFmtId="1" fontId="5" fillId="8" borderId="52" xfId="0" applyNumberFormat="1" applyFont="1" applyFill="1" applyBorder="1">
      <alignment vertical="top"/>
    </xf>
    <xf numFmtId="2" fontId="28" fillId="0" borderId="70" xfId="0" applyNumberFormat="1" applyFont="1" applyBorder="1" applyAlignment="1">
      <alignment vertical="top" wrapText="1"/>
    </xf>
    <xf numFmtId="2" fontId="28" fillId="0" borderId="75" xfId="0" applyNumberFormat="1" applyFont="1" applyBorder="1" applyAlignment="1">
      <alignment vertical="top" wrapText="1"/>
    </xf>
    <xf numFmtId="2" fontId="28" fillId="0" borderId="20" xfId="0" applyNumberFormat="1" applyFont="1" applyBorder="1" applyAlignment="1">
      <alignment vertical="top" wrapText="1"/>
    </xf>
    <xf numFmtId="2" fontId="28" fillId="0" borderId="36" xfId="0" applyNumberFormat="1" applyFont="1" applyBorder="1" applyAlignment="1">
      <alignment vertical="top" wrapText="1"/>
    </xf>
    <xf numFmtId="2" fontId="28" fillId="0" borderId="43" xfId="0" applyNumberFormat="1" applyFont="1" applyBorder="1" applyAlignment="1">
      <alignment vertical="top" wrapText="1"/>
    </xf>
    <xf numFmtId="2" fontId="28" fillId="0" borderId="12" xfId="0" applyNumberFormat="1" applyFont="1" applyBorder="1" applyAlignment="1">
      <alignment vertical="top" wrapText="1"/>
    </xf>
    <xf numFmtId="2" fontId="28" fillId="0" borderId="6" xfId="0" applyNumberFormat="1" applyFont="1" applyBorder="1" applyAlignment="1">
      <alignment vertical="top" wrapText="1"/>
    </xf>
    <xf numFmtId="2" fontId="28" fillId="0" borderId="52" xfId="0" applyNumberFormat="1" applyFont="1" applyBorder="1" applyAlignment="1">
      <alignment vertical="top" wrapText="1"/>
    </xf>
    <xf numFmtId="2" fontId="28" fillId="0" borderId="73" xfId="0" applyNumberFormat="1" applyFont="1" applyBorder="1" applyAlignment="1">
      <alignment vertical="top" wrapText="1"/>
    </xf>
    <xf numFmtId="2" fontId="28" fillId="0" borderId="17" xfId="0" applyNumberFormat="1" applyFont="1" applyBorder="1" applyAlignment="1">
      <alignment vertical="top" wrapText="1"/>
    </xf>
    <xf numFmtId="0" fontId="28" fillId="0" borderId="43" xfId="0" applyFont="1" applyBorder="1" applyAlignment="1">
      <alignment vertical="top" wrapText="1"/>
    </xf>
    <xf numFmtId="0" fontId="28" fillId="0" borderId="6" xfId="0" applyFont="1" applyBorder="1" applyAlignment="1">
      <alignment vertical="top" wrapText="1"/>
    </xf>
    <xf numFmtId="0" fontId="28" fillId="0" borderId="52" xfId="0" applyFont="1" applyBorder="1" applyAlignment="1">
      <alignment vertical="top" wrapText="1"/>
    </xf>
    <xf numFmtId="1" fontId="28" fillId="0" borderId="43" xfId="0" applyNumberFormat="1" applyFont="1" applyBorder="1" applyAlignment="1">
      <alignment vertical="top" wrapText="1"/>
    </xf>
    <xf numFmtId="1" fontId="28" fillId="0" borderId="12" xfId="0" applyNumberFormat="1" applyFont="1" applyBorder="1" applyAlignment="1">
      <alignment vertical="top" wrapText="1"/>
    </xf>
    <xf numFmtId="1" fontId="28" fillId="0" borderId="6" xfId="0" applyNumberFormat="1" applyFont="1" applyBorder="1" applyAlignment="1">
      <alignment vertical="top" wrapText="1"/>
    </xf>
    <xf numFmtId="1" fontId="28" fillId="0" borderId="17" xfId="0" applyNumberFormat="1" applyFont="1" applyBorder="1" applyAlignment="1">
      <alignment vertical="top" wrapText="1"/>
    </xf>
    <xf numFmtId="1" fontId="28" fillId="0" borderId="43" xfId="0" applyNumberFormat="1" applyFont="1" applyBorder="1" applyAlignment="1">
      <alignment horizontal="left" vertical="top" wrapText="1"/>
    </xf>
    <xf numFmtId="1" fontId="28" fillId="0" borderId="12" xfId="0" applyNumberFormat="1" applyFont="1" applyBorder="1" applyAlignment="1">
      <alignment horizontal="left" vertical="top" wrapText="1"/>
    </xf>
    <xf numFmtId="1" fontId="28" fillId="0" borderId="6" xfId="0" applyNumberFormat="1" applyFont="1" applyBorder="1" applyAlignment="1">
      <alignment horizontal="left" vertical="top" wrapText="1"/>
    </xf>
    <xf numFmtId="1" fontId="28" fillId="0" borderId="52" xfId="0" applyNumberFormat="1" applyFont="1" applyBorder="1" applyAlignment="1">
      <alignment horizontal="left" vertical="top" wrapText="1"/>
    </xf>
    <xf numFmtId="0" fontId="28" fillId="0" borderId="73" xfId="0" applyFont="1" applyBorder="1" applyAlignment="1">
      <alignment vertical="top" wrapText="1"/>
    </xf>
    <xf numFmtId="0" fontId="28" fillId="0" borderId="17" xfId="0" applyFont="1" applyBorder="1" applyAlignment="1">
      <alignment vertical="top" wrapText="1"/>
    </xf>
    <xf numFmtId="2" fontId="28" fillId="0" borderId="11" xfId="0" applyNumberFormat="1" applyFont="1" applyBorder="1" applyAlignment="1">
      <alignment vertical="top" wrapText="1"/>
    </xf>
    <xf numFmtId="1" fontId="28" fillId="0" borderId="14" xfId="0" applyNumberFormat="1" applyFont="1" applyBorder="1" applyAlignment="1">
      <alignment horizontal="left" vertical="top" wrapText="1"/>
    </xf>
    <xf numFmtId="1" fontId="28" fillId="0" borderId="15" xfId="0" applyNumberFormat="1" applyFont="1" applyBorder="1" applyAlignment="1">
      <alignment horizontal="left" vertical="top" wrapText="1"/>
    </xf>
    <xf numFmtId="1" fontId="28" fillId="0" borderId="11" xfId="0" applyNumberFormat="1" applyFont="1" applyBorder="1" applyAlignment="1">
      <alignment vertical="top" wrapText="1"/>
    </xf>
    <xf numFmtId="1" fontId="28" fillId="0" borderId="52" xfId="0" applyNumberFormat="1" applyFont="1" applyBorder="1" applyAlignment="1">
      <alignment vertical="top" wrapText="1"/>
    </xf>
    <xf numFmtId="2" fontId="28" fillId="0" borderId="55" xfId="0" applyNumberFormat="1" applyFont="1" applyBorder="1" applyAlignment="1">
      <alignment vertical="top" wrapText="1"/>
    </xf>
    <xf numFmtId="2" fontId="28" fillId="0" borderId="47" xfId="0" applyNumberFormat="1" applyFont="1" applyBorder="1" applyAlignment="1">
      <alignment vertical="top" wrapText="1"/>
    </xf>
    <xf numFmtId="0" fontId="47" fillId="0" borderId="6" xfId="0" applyFont="1" applyBorder="1" applyAlignment="1">
      <alignment horizontal="left" vertical="center" wrapText="1"/>
    </xf>
    <xf numFmtId="16" fontId="47" fillId="0" borderId="6" xfId="0" applyNumberFormat="1" applyFont="1" applyBorder="1" applyAlignment="1">
      <alignment horizontal="left" vertical="center" wrapText="1"/>
    </xf>
    <xf numFmtId="0" fontId="47" fillId="0" borderId="52" xfId="0" applyFont="1" applyBorder="1" applyAlignment="1">
      <alignment horizontal="left" vertical="center" wrapText="1"/>
    </xf>
    <xf numFmtId="2" fontId="28" fillId="0" borderId="48" xfId="0" applyNumberFormat="1" applyFont="1" applyBorder="1" applyAlignment="1">
      <alignment vertical="top" wrapText="1"/>
    </xf>
    <xf numFmtId="2" fontId="28" fillId="0" borderId="38" xfId="0" applyNumberFormat="1" applyFont="1" applyBorder="1" applyAlignment="1">
      <alignment vertical="top" wrapText="1"/>
    </xf>
    <xf numFmtId="1" fontId="28" fillId="0" borderId="50" xfId="0" applyNumberFormat="1" applyFont="1" applyBorder="1" applyAlignment="1">
      <alignment horizontal="center" vertical="top" wrapText="1"/>
    </xf>
    <xf numFmtId="2" fontId="28" fillId="0" borderId="58" xfId="0" applyNumberFormat="1" applyFont="1" applyBorder="1" applyAlignment="1">
      <alignment vertical="top" wrapText="1"/>
    </xf>
    <xf numFmtId="1" fontId="28" fillId="0" borderId="54" xfId="0" applyNumberFormat="1" applyFont="1" applyBorder="1" applyAlignment="1">
      <alignment horizontal="center" vertical="top" wrapText="1"/>
    </xf>
    <xf numFmtId="2" fontId="28" fillId="6" borderId="36" xfId="0" applyNumberFormat="1" applyFont="1" applyFill="1" applyBorder="1" applyAlignment="1">
      <alignment horizontal="center" vertical="top"/>
    </xf>
    <xf numFmtId="2" fontId="28" fillId="2" borderId="8" xfId="0" applyNumberFormat="1" applyFont="1" applyFill="1" applyBorder="1" applyAlignment="1">
      <alignment horizontal="center" vertical="top"/>
    </xf>
    <xf numFmtId="2" fontId="28" fillId="2" borderId="2" xfId="0" applyNumberFormat="1" applyFont="1" applyFill="1" applyBorder="1" applyAlignment="1">
      <alignment horizontal="center" vertical="top"/>
    </xf>
    <xf numFmtId="2" fontId="28" fillId="2" borderId="50" xfId="0" applyNumberFormat="1" applyFont="1" applyFill="1" applyBorder="1" applyAlignment="1">
      <alignment horizontal="center" vertical="top"/>
    </xf>
    <xf numFmtId="1" fontId="28" fillId="2" borderId="4" xfId="0" applyNumberFormat="1" applyFont="1" applyFill="1" applyBorder="1" applyAlignment="1">
      <alignment horizontal="center" vertical="top" wrapText="1"/>
    </xf>
    <xf numFmtId="2" fontId="28" fillId="6" borderId="22" xfId="0" applyNumberFormat="1" applyFont="1" applyFill="1" applyBorder="1" applyAlignment="1">
      <alignment horizontal="center" vertical="top" wrapText="1"/>
    </xf>
    <xf numFmtId="1" fontId="28" fillId="2" borderId="3" xfId="0" applyNumberFormat="1" applyFont="1" applyFill="1" applyBorder="1" applyAlignment="1">
      <alignment horizontal="center" vertical="top" wrapText="1"/>
    </xf>
    <xf numFmtId="2" fontId="28" fillId="2" borderId="9" xfId="0" applyNumberFormat="1" applyFont="1" applyFill="1" applyBorder="1" applyAlignment="1">
      <alignment horizontal="center" vertical="top"/>
    </xf>
    <xf numFmtId="1" fontId="28" fillId="2" borderId="37" xfId="0" applyNumberFormat="1" applyFont="1" applyFill="1" applyBorder="1" applyAlignment="1">
      <alignment horizontal="center" vertical="top"/>
    </xf>
    <xf numFmtId="1" fontId="28" fillId="2" borderId="8" xfId="0" applyNumberFormat="1" applyFont="1" applyFill="1" applyBorder="1" applyAlignment="1">
      <alignment horizontal="center" vertical="top"/>
    </xf>
    <xf numFmtId="2" fontId="28" fillId="6" borderId="22" xfId="0" applyNumberFormat="1" applyFont="1" applyFill="1" applyBorder="1" applyAlignment="1">
      <alignment horizontal="center" vertical="top"/>
    </xf>
    <xf numFmtId="2" fontId="28" fillId="19" borderId="36" xfId="0" applyNumberFormat="1" applyFont="1" applyFill="1" applyBorder="1" applyAlignment="1">
      <alignment horizontal="center" vertical="top"/>
    </xf>
    <xf numFmtId="2" fontId="28" fillId="2" borderId="27" xfId="0" applyNumberFormat="1" applyFont="1" applyFill="1" applyBorder="1" applyAlignment="1">
      <alignment horizontal="center" vertical="top"/>
    </xf>
    <xf numFmtId="2" fontId="28" fillId="2" borderId="42" xfId="0" applyNumberFormat="1" applyFont="1" applyFill="1" applyBorder="1" applyAlignment="1">
      <alignment horizontal="center" vertical="top"/>
    </xf>
    <xf numFmtId="1" fontId="28" fillId="2" borderId="52" xfId="0" applyNumberFormat="1" applyFont="1" applyFill="1" applyBorder="1" applyAlignment="1">
      <alignment horizontal="center" vertical="top" wrapText="1"/>
    </xf>
    <xf numFmtId="2" fontId="28" fillId="2" borderId="49" xfId="0" applyNumberFormat="1" applyFont="1" applyFill="1" applyBorder="1" applyAlignment="1">
      <alignment horizontal="center" vertical="top" wrapText="1"/>
    </xf>
    <xf numFmtId="2" fontId="28" fillId="2" borderId="50" xfId="0" applyNumberFormat="1" applyFont="1" applyFill="1" applyBorder="1" applyAlignment="1">
      <alignment horizontal="center" vertical="top" wrapText="1"/>
    </xf>
    <xf numFmtId="1" fontId="28" fillId="2" borderId="12" xfId="0" applyNumberFormat="1" applyFont="1" applyFill="1" applyBorder="1" applyAlignment="1">
      <alignment horizontal="center" vertical="top" wrapText="1"/>
    </xf>
    <xf numFmtId="2" fontId="28" fillId="2" borderId="9" xfId="0" applyNumberFormat="1" applyFont="1" applyFill="1" applyBorder="1" applyAlignment="1">
      <alignment horizontal="center" vertical="top" wrapText="1"/>
    </xf>
    <xf numFmtId="2" fontId="28" fillId="6" borderId="36" xfId="0" applyNumberFormat="1" applyFont="1" applyFill="1" applyBorder="1" applyAlignment="1">
      <alignment horizontal="center" vertical="top" wrapText="1"/>
    </xf>
    <xf numFmtId="1" fontId="28" fillId="2" borderId="58" xfId="0" applyNumberFormat="1" applyFont="1" applyFill="1" applyBorder="1" applyAlignment="1">
      <alignment horizontal="center" vertical="top" wrapText="1"/>
    </xf>
    <xf numFmtId="1" fontId="28" fillId="2" borderId="68" xfId="0" applyNumberFormat="1" applyFont="1" applyFill="1" applyBorder="1" applyAlignment="1">
      <alignment horizontal="center" vertical="top" wrapText="1"/>
    </xf>
    <xf numFmtId="1" fontId="28" fillId="2" borderId="11" xfId="0" applyNumberFormat="1" applyFont="1" applyFill="1" applyBorder="1" applyAlignment="1">
      <alignment horizontal="center" vertical="top" wrapText="1"/>
    </xf>
    <xf numFmtId="1" fontId="28" fillId="2" borderId="13" xfId="0" applyNumberFormat="1" applyFont="1" applyFill="1" applyBorder="1" applyAlignment="1">
      <alignment horizontal="center" vertical="top"/>
    </xf>
    <xf numFmtId="1" fontId="28" fillId="2" borderId="46" xfId="0" applyNumberFormat="1" applyFont="1" applyFill="1" applyBorder="1" applyAlignment="1">
      <alignment horizontal="center" vertical="top" wrapText="1"/>
    </xf>
    <xf numFmtId="2" fontId="28" fillId="6" borderId="66" xfId="0" applyNumberFormat="1" applyFont="1" applyFill="1" applyBorder="1" applyAlignment="1">
      <alignment horizontal="center" vertical="top"/>
    </xf>
    <xf numFmtId="1" fontId="28" fillId="2" borderId="4" xfId="0" applyNumberFormat="1" applyFont="1" applyFill="1" applyBorder="1" applyAlignment="1">
      <alignment horizontal="center" vertical="top"/>
    </xf>
    <xf numFmtId="1" fontId="28" fillId="2" borderId="1" xfId="0" applyNumberFormat="1" applyFont="1" applyFill="1" applyBorder="1" applyAlignment="1">
      <alignment horizontal="center" vertical="top"/>
    </xf>
    <xf numFmtId="1" fontId="28" fillId="2" borderId="3" xfId="0" applyNumberFormat="1" applyFont="1" applyFill="1" applyBorder="1" applyAlignment="1">
      <alignment horizontal="center" vertical="top"/>
    </xf>
    <xf numFmtId="1" fontId="28" fillId="2" borderId="41" xfId="0" applyNumberFormat="1" applyFont="1" applyFill="1" applyBorder="1" applyAlignment="1">
      <alignment horizontal="center" vertical="top"/>
    </xf>
    <xf numFmtId="1" fontId="28" fillId="2" borderId="49" xfId="0" applyNumberFormat="1" applyFont="1" applyFill="1" applyBorder="1" applyAlignment="1">
      <alignment horizontal="center" vertical="top"/>
    </xf>
    <xf numFmtId="1" fontId="47" fillId="0" borderId="1" xfId="0" applyNumberFormat="1" applyFont="1" applyBorder="1" applyAlignment="1">
      <alignment horizontal="center" vertical="top" wrapText="1"/>
    </xf>
    <xf numFmtId="1" fontId="47" fillId="0" borderId="49" xfId="0" applyNumberFormat="1" applyFont="1" applyBorder="1" applyAlignment="1">
      <alignment horizontal="center" vertical="top" wrapText="1"/>
    </xf>
    <xf numFmtId="1" fontId="28" fillId="2" borderId="7" xfId="0" applyNumberFormat="1" applyFont="1" applyFill="1" applyBorder="1" applyAlignment="1">
      <alignment horizontal="center" vertical="top"/>
    </xf>
    <xf numFmtId="2" fontId="28" fillId="2" borderId="13" xfId="0" applyNumberFormat="1" applyFont="1" applyFill="1" applyBorder="1" applyAlignment="1">
      <alignment horizontal="center" vertical="top"/>
    </xf>
    <xf numFmtId="2" fontId="28" fillId="9" borderId="66" xfId="0" applyNumberFormat="1" applyFont="1" applyFill="1" applyBorder="1" applyAlignment="1">
      <alignment horizontal="center" vertical="top"/>
    </xf>
    <xf numFmtId="1" fontId="28" fillId="2" borderId="46" xfId="0" applyNumberFormat="1" applyFont="1" applyFill="1" applyBorder="1" applyAlignment="1">
      <alignment horizontal="center" vertical="top"/>
    </xf>
    <xf numFmtId="2" fontId="28" fillId="2" borderId="53" xfId="0" applyNumberFormat="1" applyFont="1" applyFill="1" applyBorder="1" applyAlignment="1">
      <alignment horizontal="center" vertical="top"/>
    </xf>
    <xf numFmtId="2" fontId="28" fillId="9" borderId="36" xfId="0" applyNumberFormat="1" applyFont="1" applyFill="1" applyBorder="1" applyAlignment="1">
      <alignment horizontal="center" vertical="top"/>
    </xf>
    <xf numFmtId="2" fontId="28" fillId="2" borderId="37" xfId="0" applyNumberFormat="1" applyFont="1" applyFill="1" applyBorder="1" applyAlignment="1">
      <alignment horizontal="center" vertical="top"/>
    </xf>
    <xf numFmtId="1" fontId="28" fillId="0" borderId="0" xfId="0" applyNumberFormat="1" applyFont="1" applyAlignment="1">
      <alignment horizontal="center" vertical="top"/>
    </xf>
    <xf numFmtId="2" fontId="28" fillId="0" borderId="0" xfId="0" applyNumberFormat="1" applyFont="1" applyAlignment="1">
      <alignment horizontal="center" vertical="top"/>
    </xf>
    <xf numFmtId="0" fontId="30" fillId="0" borderId="5" xfId="0" applyFont="1" applyBorder="1" applyAlignment="1">
      <alignment horizontal="center" vertical="top"/>
    </xf>
    <xf numFmtId="2" fontId="28" fillId="6" borderId="5" xfId="0" applyNumberFormat="1" applyFont="1" applyFill="1" applyBorder="1" applyAlignment="1">
      <alignment horizontal="center" vertical="top"/>
    </xf>
    <xf numFmtId="2" fontId="28" fillId="9" borderId="5" xfId="0" applyNumberFormat="1" applyFont="1" applyFill="1" applyBorder="1" applyAlignment="1">
      <alignment horizontal="center" vertical="top"/>
    </xf>
    <xf numFmtId="1" fontId="44" fillId="6" borderId="53" xfId="0" applyNumberFormat="1" applyFont="1" applyFill="1" applyBorder="1" applyAlignment="1">
      <alignment horizontal="center" vertical="center" wrapText="1"/>
    </xf>
    <xf numFmtId="2" fontId="44" fillId="16" borderId="5" xfId="0" applyNumberFormat="1" applyFont="1" applyFill="1" applyBorder="1" applyAlignment="1">
      <alignment horizontal="center" vertical="center" wrapText="1"/>
    </xf>
    <xf numFmtId="2" fontId="44" fillId="6" borderId="5" xfId="0" applyNumberFormat="1" applyFont="1" applyFill="1" applyBorder="1" applyAlignment="1">
      <alignment horizontal="center" vertical="center" wrapText="1"/>
    </xf>
    <xf numFmtId="0" fontId="47" fillId="0" borderId="12" xfId="0" applyFont="1" applyBorder="1" applyAlignment="1">
      <alignment horizontal="left" vertical="center" wrapText="1"/>
    </xf>
    <xf numFmtId="0" fontId="47" fillId="0" borderId="5" xfId="0" applyFont="1" applyBorder="1" applyAlignment="1">
      <alignment horizontal="left" vertical="center" wrapText="1"/>
    </xf>
    <xf numFmtId="1" fontId="28" fillId="0" borderId="38" xfId="0" applyNumberFormat="1" applyFont="1" applyBorder="1" applyAlignment="1">
      <alignment horizontal="left" vertical="top" wrapText="1"/>
    </xf>
    <xf numFmtId="1" fontId="23" fillId="0" borderId="13" xfId="0" applyNumberFormat="1" applyFont="1" applyBorder="1" applyAlignment="1">
      <alignment vertical="top" wrapText="1"/>
    </xf>
    <xf numFmtId="0" fontId="23" fillId="0" borderId="36" xfId="0" applyFont="1" applyBorder="1" applyAlignment="1">
      <alignment vertical="top" wrapText="1"/>
    </xf>
    <xf numFmtId="1" fontId="23" fillId="0" borderId="43" xfId="0" applyNumberFormat="1" applyFont="1" applyBorder="1" applyAlignment="1">
      <alignment vertical="top" wrapText="1"/>
    </xf>
    <xf numFmtId="1" fontId="23" fillId="0" borderId="11" xfId="0" applyNumberFormat="1" applyFont="1" applyBorder="1" applyAlignment="1">
      <alignment vertical="top" wrapText="1"/>
    </xf>
    <xf numFmtId="1" fontId="23" fillId="0" borderId="17" xfId="0" applyNumberFormat="1" applyFont="1" applyBorder="1" applyAlignment="1">
      <alignment vertical="top" wrapText="1"/>
    </xf>
    <xf numFmtId="1" fontId="23" fillId="0" borderId="52" xfId="0" applyNumberFormat="1" applyFont="1" applyBorder="1" applyAlignment="1">
      <alignment vertical="top" wrapText="1"/>
    </xf>
    <xf numFmtId="0" fontId="23" fillId="0" borderId="43" xfId="0" applyFont="1" applyBorder="1" applyAlignment="1">
      <alignment vertical="top" wrapText="1"/>
    </xf>
    <xf numFmtId="0" fontId="23" fillId="0" borderId="12" xfId="0" applyFont="1" applyBorder="1" applyAlignment="1">
      <alignment vertical="top" wrapText="1"/>
    </xf>
    <xf numFmtId="0" fontId="23" fillId="0" borderId="6" xfId="0" applyFont="1" applyBorder="1" applyAlignment="1">
      <alignment vertical="top" wrapText="1"/>
    </xf>
    <xf numFmtId="0" fontId="23" fillId="0" borderId="52" xfId="0" applyFont="1" applyBorder="1" applyAlignment="1">
      <alignment vertical="top" wrapText="1"/>
    </xf>
    <xf numFmtId="0" fontId="23" fillId="0" borderId="17" xfId="0" applyFont="1" applyBorder="1" applyAlignment="1">
      <alignment vertical="top" wrapText="1"/>
    </xf>
    <xf numFmtId="1" fontId="23" fillId="0" borderId="43" xfId="0" applyNumberFormat="1" applyFont="1" applyBorder="1" applyAlignment="1">
      <alignment horizontal="left" vertical="top" wrapText="1"/>
    </xf>
    <xf numFmtId="1" fontId="23" fillId="0" borderId="12" xfId="0" applyNumberFormat="1" applyFont="1" applyBorder="1" applyAlignment="1">
      <alignment horizontal="left" vertical="top" wrapText="1"/>
    </xf>
    <xf numFmtId="1" fontId="23" fillId="0" borderId="58" xfId="0" applyNumberFormat="1" applyFont="1" applyBorder="1" applyAlignment="1">
      <alignment horizontal="left" vertical="top" wrapText="1"/>
    </xf>
    <xf numFmtId="0" fontId="23" fillId="0" borderId="55" xfId="0" applyFont="1" applyBorder="1" applyAlignment="1">
      <alignment vertical="top" wrapText="1"/>
    </xf>
    <xf numFmtId="0" fontId="23" fillId="0" borderId="47" xfId="0" applyFont="1" applyBorder="1" applyAlignment="1">
      <alignment horizontal="left" vertical="top" wrapText="1"/>
    </xf>
    <xf numFmtId="0" fontId="23" fillId="0" borderId="47" xfId="0" applyFont="1" applyBorder="1" applyAlignment="1">
      <alignment vertical="top" wrapText="1"/>
    </xf>
    <xf numFmtId="0" fontId="23" fillId="0" borderId="16" xfId="0" applyFont="1" applyBorder="1" applyAlignment="1">
      <alignment vertical="top" wrapText="1"/>
    </xf>
    <xf numFmtId="0" fontId="23" fillId="0" borderId="73" xfId="0" applyFont="1" applyBorder="1" applyAlignment="1">
      <alignment horizontal="left" vertical="top" wrapText="1"/>
    </xf>
    <xf numFmtId="0" fontId="23" fillId="0" borderId="11" xfId="0" applyFont="1" applyBorder="1" applyAlignment="1">
      <alignment horizontal="left" vertical="top" wrapText="1"/>
    </xf>
    <xf numFmtId="0" fontId="23" fillId="0" borderId="17" xfId="0" applyFont="1" applyBorder="1" applyAlignment="1">
      <alignment horizontal="left" vertical="top" wrapText="1"/>
    </xf>
    <xf numFmtId="0" fontId="23" fillId="0" borderId="6" xfId="0" applyFont="1" applyBorder="1" applyAlignment="1">
      <alignment horizontal="left" vertical="top" wrapText="1"/>
    </xf>
    <xf numFmtId="0" fontId="23" fillId="0" borderId="12" xfId="0" applyFont="1" applyBorder="1" applyAlignment="1">
      <alignment horizontal="left" vertical="top" wrapText="1"/>
    </xf>
    <xf numFmtId="0" fontId="23" fillId="0" borderId="52" xfId="0" applyFont="1" applyBorder="1" applyAlignment="1">
      <alignment horizontal="left" vertical="top" wrapText="1"/>
    </xf>
    <xf numFmtId="0" fontId="23" fillId="0" borderId="58" xfId="0" applyFont="1" applyBorder="1" applyAlignment="1">
      <alignment vertical="top" wrapText="1"/>
    </xf>
    <xf numFmtId="0" fontId="23" fillId="0" borderId="14" xfId="0" applyFont="1" applyBorder="1" applyAlignment="1">
      <alignment vertical="top" wrapText="1"/>
    </xf>
    <xf numFmtId="0" fontId="23" fillId="0" borderId="15" xfId="0" applyFont="1" applyBorder="1" applyAlignment="1">
      <alignment vertical="top" wrapText="1"/>
    </xf>
    <xf numFmtId="0" fontId="23" fillId="0" borderId="38" xfId="0" applyFont="1" applyBorder="1" applyAlignment="1">
      <alignment vertical="top" wrapText="1"/>
    </xf>
    <xf numFmtId="1" fontId="23" fillId="0" borderId="48" xfId="0" applyNumberFormat="1" applyFont="1" applyBorder="1" applyAlignment="1">
      <alignment vertical="top" wrapText="1"/>
    </xf>
    <xf numFmtId="0" fontId="23" fillId="0" borderId="48" xfId="0" applyFont="1" applyBorder="1" applyAlignment="1">
      <alignment vertical="top" wrapText="1"/>
    </xf>
    <xf numFmtId="0" fontId="25" fillId="0" borderId="5" xfId="0" applyFont="1" applyBorder="1" applyAlignment="1">
      <alignment horizontal="center" vertical="top"/>
    </xf>
    <xf numFmtId="2" fontId="23" fillId="6" borderId="5" xfId="0" applyNumberFormat="1" applyFont="1" applyFill="1" applyBorder="1" applyAlignment="1">
      <alignment horizontal="center" vertical="top" wrapText="1"/>
    </xf>
    <xf numFmtId="2" fontId="23" fillId="9" borderId="5" xfId="0" applyNumberFormat="1" applyFont="1" applyFill="1" applyBorder="1" applyAlignment="1">
      <alignment horizontal="center" vertical="top"/>
    </xf>
    <xf numFmtId="0" fontId="23" fillId="0" borderId="0" xfId="0" applyFont="1" applyAlignment="1">
      <alignment horizontal="center" vertical="top" wrapText="1"/>
    </xf>
    <xf numFmtId="2" fontId="23" fillId="8" borderId="41" xfId="0" applyNumberFormat="1" applyFont="1" applyFill="1" applyBorder="1" applyAlignment="1">
      <alignment horizontal="center" vertical="top" wrapText="1"/>
    </xf>
    <xf numFmtId="2" fontId="23" fillId="8" borderId="1" xfId="0" applyNumberFormat="1" applyFont="1" applyFill="1" applyBorder="1" applyAlignment="1">
      <alignment horizontal="center" vertical="top" wrapText="1"/>
    </xf>
    <xf numFmtId="2" fontId="23" fillId="8" borderId="1" xfId="0" applyNumberFormat="1" applyFont="1" applyFill="1" applyBorder="1" applyAlignment="1">
      <alignment horizontal="center" vertical="top"/>
    </xf>
    <xf numFmtId="2" fontId="23" fillId="8" borderId="49" xfId="0" applyNumberFormat="1" applyFont="1" applyFill="1" applyBorder="1" applyAlignment="1">
      <alignment horizontal="center" vertical="top"/>
    </xf>
    <xf numFmtId="1" fontId="23" fillId="2" borderId="41" xfId="0" applyNumberFormat="1" applyFont="1" applyFill="1" applyBorder="1" applyAlignment="1">
      <alignment horizontal="center" vertical="top" wrapText="1"/>
    </xf>
    <xf numFmtId="1" fontId="23" fillId="2" borderId="51" xfId="0" applyNumberFormat="1" applyFont="1" applyFill="1" applyBorder="1" applyAlignment="1">
      <alignment horizontal="center" vertical="top" wrapText="1"/>
    </xf>
    <xf numFmtId="1" fontId="23" fillId="2" borderId="1" xfId="0" applyNumberFormat="1" applyFont="1" applyFill="1" applyBorder="1" applyAlignment="1">
      <alignment horizontal="center" vertical="top" wrapText="1"/>
    </xf>
    <xf numFmtId="1" fontId="23" fillId="2" borderId="2" xfId="0" applyNumberFormat="1" applyFont="1" applyFill="1" applyBorder="1" applyAlignment="1">
      <alignment horizontal="center" vertical="top" wrapText="1"/>
    </xf>
    <xf numFmtId="2" fontId="23" fillId="2" borderId="4" xfId="0" applyNumberFormat="1" applyFont="1" applyFill="1" applyBorder="1" applyAlignment="1">
      <alignment horizontal="center" vertical="top" wrapText="1"/>
    </xf>
    <xf numFmtId="2" fontId="23" fillId="2" borderId="1" xfId="0" applyNumberFormat="1" applyFont="1" applyFill="1" applyBorder="1" applyAlignment="1">
      <alignment horizontal="center" vertical="top" wrapText="1"/>
    </xf>
    <xf numFmtId="1" fontId="23" fillId="2" borderId="49" xfId="0" applyNumberFormat="1" applyFont="1" applyFill="1" applyBorder="1" applyAlignment="1">
      <alignment horizontal="center" vertical="top" wrapText="1"/>
    </xf>
    <xf numFmtId="1" fontId="23" fillId="2" borderId="50" xfId="0" applyNumberFormat="1" applyFont="1" applyFill="1" applyBorder="1" applyAlignment="1">
      <alignment horizontal="center" vertical="top" wrapText="1"/>
    </xf>
    <xf numFmtId="2" fontId="23" fillId="2" borderId="49" xfId="0" applyNumberFormat="1" applyFont="1" applyFill="1" applyBorder="1" applyAlignment="1">
      <alignment horizontal="center" vertical="top" wrapText="1"/>
    </xf>
    <xf numFmtId="1" fontId="23" fillId="2" borderId="7" xfId="0" applyNumberFormat="1" applyFont="1" applyFill="1" applyBorder="1" applyAlignment="1">
      <alignment horizontal="center" vertical="top" wrapText="1"/>
    </xf>
    <xf numFmtId="1" fontId="23" fillId="2" borderId="13" xfId="0" applyNumberFormat="1" applyFont="1" applyFill="1" applyBorder="1" applyAlignment="1">
      <alignment horizontal="center" vertical="top" wrapText="1"/>
    </xf>
    <xf numFmtId="2" fontId="23" fillId="6" borderId="48" xfId="0" applyNumberFormat="1" applyFont="1" applyFill="1" applyBorder="1" applyAlignment="1">
      <alignment horizontal="center" vertical="top" wrapText="1"/>
    </xf>
    <xf numFmtId="1" fontId="23" fillId="2" borderId="4" xfId="0" applyNumberFormat="1" applyFont="1" applyFill="1" applyBorder="1" applyAlignment="1">
      <alignment horizontal="center" vertical="top" wrapText="1"/>
    </xf>
    <xf numFmtId="1" fontId="23" fillId="2" borderId="8" xfId="0" applyNumberFormat="1" applyFont="1" applyFill="1" applyBorder="1" applyAlignment="1">
      <alignment horizontal="center" vertical="top" wrapText="1"/>
    </xf>
    <xf numFmtId="2" fontId="23" fillId="6" borderId="44" xfId="0" applyNumberFormat="1" applyFont="1" applyFill="1" applyBorder="1" applyAlignment="1">
      <alignment horizontal="center" vertical="top" wrapText="1"/>
    </xf>
    <xf numFmtId="1" fontId="23" fillId="2" borderId="3" xfId="0" applyNumberFormat="1" applyFont="1" applyFill="1" applyBorder="1" applyAlignment="1">
      <alignment horizontal="center" vertical="top" wrapText="1"/>
    </xf>
    <xf numFmtId="2" fontId="23" fillId="2" borderId="3" xfId="0" applyNumberFormat="1" applyFont="1" applyFill="1" applyBorder="1" applyAlignment="1">
      <alignment horizontal="center" vertical="top" wrapText="1"/>
    </xf>
    <xf numFmtId="1" fontId="23" fillId="2" borderId="37" xfId="0" applyNumberFormat="1" applyFont="1" applyFill="1" applyBorder="1" applyAlignment="1">
      <alignment horizontal="center" vertical="top" wrapText="1"/>
    </xf>
    <xf numFmtId="1" fontId="23" fillId="2" borderId="68" xfId="0" applyNumberFormat="1" applyFont="1" applyFill="1" applyBorder="1" applyAlignment="1">
      <alignment horizontal="center" vertical="top" wrapText="1"/>
    </xf>
    <xf numFmtId="1" fontId="23" fillId="2" borderId="12" xfId="0" applyNumberFormat="1" applyFont="1" applyFill="1" applyBorder="1" applyAlignment="1">
      <alignment horizontal="center" vertical="top" wrapText="1"/>
    </xf>
    <xf numFmtId="2" fontId="23" fillId="2" borderId="7" xfId="0" applyNumberFormat="1" applyFont="1" applyFill="1" applyBorder="1" applyAlignment="1">
      <alignment horizontal="center" vertical="top" wrapText="1"/>
    </xf>
    <xf numFmtId="1" fontId="23" fillId="2" borderId="58" xfId="0" applyNumberFormat="1" applyFont="1" applyFill="1" applyBorder="1" applyAlignment="1">
      <alignment horizontal="center" vertical="top" wrapText="1"/>
    </xf>
    <xf numFmtId="1" fontId="23" fillId="2" borderId="46" xfId="0" applyNumberFormat="1" applyFont="1" applyFill="1" applyBorder="1" applyAlignment="1">
      <alignment horizontal="center" vertical="top"/>
    </xf>
    <xf numFmtId="1" fontId="23" fillId="2" borderId="4" xfId="0" applyNumberFormat="1" applyFont="1" applyFill="1" applyBorder="1" applyAlignment="1">
      <alignment horizontal="center" vertical="top"/>
    </xf>
    <xf numFmtId="1" fontId="23" fillId="2" borderId="8" xfId="0" applyNumberFormat="1" applyFont="1" applyFill="1" applyBorder="1" applyAlignment="1">
      <alignment horizontal="center" vertical="top"/>
    </xf>
    <xf numFmtId="2" fontId="23" fillId="6" borderId="44" xfId="0" applyNumberFormat="1" applyFont="1" applyFill="1" applyBorder="1" applyAlignment="1">
      <alignment horizontal="center" vertical="top"/>
    </xf>
    <xf numFmtId="1" fontId="23" fillId="2" borderId="3" xfId="0" applyNumberFormat="1" applyFont="1" applyFill="1" applyBorder="1" applyAlignment="1">
      <alignment horizontal="center" vertical="top"/>
    </xf>
    <xf numFmtId="2" fontId="23" fillId="2" borderId="3" xfId="0" applyNumberFormat="1" applyFont="1" applyFill="1" applyBorder="1" applyAlignment="1">
      <alignment horizontal="center" vertical="top"/>
    </xf>
    <xf numFmtId="1" fontId="23" fillId="2" borderId="37" xfId="0" applyNumberFormat="1" applyFont="1" applyFill="1" applyBorder="1" applyAlignment="1">
      <alignment horizontal="center" vertical="top"/>
    </xf>
    <xf numFmtId="1" fontId="23" fillId="2" borderId="1" xfId="0" applyNumberFormat="1" applyFont="1" applyFill="1" applyBorder="1" applyAlignment="1">
      <alignment horizontal="center" vertical="top"/>
    </xf>
    <xf numFmtId="2" fontId="23" fillId="2" borderId="8" xfId="0" applyNumberFormat="1" applyFont="1" applyFill="1" applyBorder="1" applyAlignment="1">
      <alignment horizontal="center" vertical="top" wrapText="1"/>
    </xf>
    <xf numFmtId="2" fontId="23" fillId="2" borderId="2" xfId="0" applyNumberFormat="1" applyFont="1" applyFill="1" applyBorder="1" applyAlignment="1">
      <alignment horizontal="center" vertical="top" wrapText="1"/>
    </xf>
    <xf numFmtId="1" fontId="23" fillId="2" borderId="49" xfId="0" applyNumberFormat="1" applyFont="1" applyFill="1" applyBorder="1" applyAlignment="1">
      <alignment horizontal="center" vertical="top"/>
    </xf>
    <xf numFmtId="2" fontId="23" fillId="2" borderId="60" xfId="0" applyNumberFormat="1" applyFont="1" applyFill="1" applyBorder="1" applyAlignment="1">
      <alignment horizontal="center" vertical="top" wrapText="1"/>
    </xf>
    <xf numFmtId="1" fontId="23" fillId="2" borderId="46" xfId="0" applyNumberFormat="1" applyFont="1" applyFill="1" applyBorder="1" applyAlignment="1">
      <alignment horizontal="center" vertical="top" wrapText="1"/>
    </xf>
    <xf numFmtId="1" fontId="23" fillId="2" borderId="53" xfId="0" applyNumberFormat="1" applyFont="1" applyFill="1" applyBorder="1" applyAlignment="1">
      <alignment horizontal="center" vertical="top"/>
    </xf>
    <xf numFmtId="1" fontId="23" fillId="2" borderId="52" xfId="0" applyNumberFormat="1" applyFont="1" applyFill="1" applyBorder="1" applyAlignment="1">
      <alignment horizontal="center" vertical="top" wrapText="1"/>
    </xf>
    <xf numFmtId="2" fontId="23" fillId="6" borderId="22" xfId="0" applyNumberFormat="1" applyFont="1" applyFill="1" applyBorder="1" applyAlignment="1">
      <alignment horizontal="center" vertical="top" wrapText="1"/>
    </xf>
    <xf numFmtId="1" fontId="23" fillId="2" borderId="6" xfId="0" applyNumberFormat="1" applyFont="1" applyFill="1" applyBorder="1" applyAlignment="1">
      <alignment horizontal="center" vertical="top" wrapText="1"/>
    </xf>
    <xf numFmtId="2" fontId="23" fillId="2" borderId="0" xfId="0" applyNumberFormat="1" applyFont="1" applyFill="1" applyAlignment="1">
      <alignment horizontal="center" vertical="top" wrapText="1"/>
    </xf>
    <xf numFmtId="1" fontId="23" fillId="2" borderId="17" xfId="0" applyNumberFormat="1" applyFont="1" applyFill="1" applyBorder="1" applyAlignment="1">
      <alignment horizontal="center" vertical="top" wrapText="1"/>
    </xf>
    <xf numFmtId="2" fontId="23" fillId="2" borderId="9" xfId="0" applyNumberFormat="1" applyFont="1" applyFill="1" applyBorder="1" applyAlignment="1">
      <alignment horizontal="center" vertical="top" wrapText="1"/>
    </xf>
    <xf numFmtId="2" fontId="23" fillId="6" borderId="36" xfId="0" applyNumberFormat="1" applyFont="1" applyFill="1" applyBorder="1" applyAlignment="1">
      <alignment horizontal="center" vertical="top" wrapText="1"/>
    </xf>
    <xf numFmtId="1" fontId="23" fillId="2" borderId="54" xfId="0" applyNumberFormat="1" applyFont="1" applyFill="1" applyBorder="1" applyAlignment="1">
      <alignment horizontal="center" vertical="top" wrapText="1"/>
    </xf>
    <xf numFmtId="2" fontId="23" fillId="2" borderId="41" xfId="0" applyNumberFormat="1" applyFont="1" applyFill="1" applyBorder="1" applyAlignment="1">
      <alignment horizontal="center" vertical="top" wrapText="1"/>
    </xf>
    <xf numFmtId="2" fontId="23" fillId="2" borderId="37" xfId="0" applyNumberFormat="1" applyFont="1" applyFill="1" applyBorder="1" applyAlignment="1">
      <alignment horizontal="center" vertical="top" wrapText="1"/>
    </xf>
    <xf numFmtId="1" fontId="23" fillId="2" borderId="53" xfId="0" applyNumberFormat="1" applyFont="1" applyFill="1" applyBorder="1" applyAlignment="1">
      <alignment horizontal="center" vertical="top" wrapText="1"/>
    </xf>
    <xf numFmtId="1" fontId="23" fillId="2" borderId="41" xfId="0" applyNumberFormat="1" applyFont="1" applyFill="1" applyBorder="1" applyAlignment="1">
      <alignment horizontal="center" vertical="top"/>
    </xf>
    <xf numFmtId="2" fontId="23" fillId="2" borderId="37" xfId="0" applyNumberFormat="1" applyFont="1" applyFill="1" applyBorder="1" applyAlignment="1">
      <alignment horizontal="center" vertical="top"/>
    </xf>
    <xf numFmtId="2" fontId="23" fillId="2" borderId="4" xfId="0" applyNumberFormat="1" applyFont="1" applyFill="1" applyBorder="1" applyAlignment="1">
      <alignment horizontal="center" vertical="top"/>
    </xf>
    <xf numFmtId="2" fontId="23" fillId="2" borderId="1" xfId="0" applyNumberFormat="1" applyFont="1" applyFill="1" applyBorder="1" applyAlignment="1">
      <alignment horizontal="center" vertical="top"/>
    </xf>
    <xf numFmtId="1" fontId="23" fillId="2" borderId="59" xfId="0" applyNumberFormat="1" applyFont="1" applyFill="1" applyBorder="1" applyAlignment="1">
      <alignment horizontal="center" vertical="top"/>
    </xf>
    <xf numFmtId="1" fontId="22" fillId="2" borderId="1" xfId="0" applyNumberFormat="1" applyFont="1" applyFill="1" applyBorder="1" applyAlignment="1">
      <alignment horizontal="center" vertical="top" wrapText="1"/>
    </xf>
    <xf numFmtId="1" fontId="22" fillId="2" borderId="1" xfId="0" applyNumberFormat="1" applyFont="1" applyFill="1" applyBorder="1" applyAlignment="1">
      <alignment horizontal="center" vertical="top"/>
    </xf>
    <xf numFmtId="2" fontId="23" fillId="2" borderId="7" xfId="0" applyNumberFormat="1" applyFont="1" applyFill="1" applyBorder="1" applyAlignment="1">
      <alignment horizontal="center" vertical="top"/>
    </xf>
    <xf numFmtId="2" fontId="23" fillId="2" borderId="49" xfId="0" applyNumberFormat="1" applyFont="1" applyFill="1" applyBorder="1" applyAlignment="1">
      <alignment horizontal="center" vertical="top"/>
    </xf>
    <xf numFmtId="1" fontId="23" fillId="2" borderId="7" xfId="0" applyNumberFormat="1" applyFont="1" applyFill="1" applyBorder="1" applyAlignment="1">
      <alignment horizontal="center" vertical="top"/>
    </xf>
    <xf numFmtId="2" fontId="23" fillId="2" borderId="13" xfId="0" applyNumberFormat="1" applyFont="1" applyFill="1" applyBorder="1" applyAlignment="1">
      <alignment horizontal="center" vertical="top"/>
    </xf>
    <xf numFmtId="2" fontId="23" fillId="9" borderId="48" xfId="0" applyNumberFormat="1" applyFont="1" applyFill="1" applyBorder="1" applyAlignment="1">
      <alignment horizontal="center" vertical="top"/>
    </xf>
    <xf numFmtId="2" fontId="23" fillId="2" borderId="46" xfId="0" applyNumberFormat="1" applyFont="1" applyFill="1" applyBorder="1" applyAlignment="1">
      <alignment horizontal="center" vertical="top"/>
    </xf>
    <xf numFmtId="1" fontId="23" fillId="0" borderId="0" xfId="0" applyNumberFormat="1" applyFont="1" applyAlignment="1">
      <alignment horizontal="center" vertical="top" wrapText="1"/>
    </xf>
    <xf numFmtId="2" fontId="23" fillId="0" borderId="0" xfId="0" applyNumberFormat="1" applyFont="1" applyAlignment="1">
      <alignment horizontal="center" vertical="top" wrapText="1"/>
    </xf>
    <xf numFmtId="0" fontId="5" fillId="21" borderId="23" xfId="0" applyFont="1" applyFill="1" applyBorder="1" applyAlignment="1">
      <alignment horizontal="left" vertical="top" wrapText="1"/>
    </xf>
    <xf numFmtId="0" fontId="5" fillId="21" borderId="48" xfId="0" applyFont="1" applyFill="1" applyBorder="1" applyAlignment="1">
      <alignment horizontal="left" vertical="top" wrapText="1"/>
    </xf>
    <xf numFmtId="0" fontId="5" fillId="21" borderId="44" xfId="0" applyFont="1" applyFill="1" applyBorder="1" applyAlignment="1">
      <alignment horizontal="left" vertical="top" wrapText="1"/>
    </xf>
    <xf numFmtId="0" fontId="28" fillId="0" borderId="8" xfId="0" applyFont="1" applyBorder="1" applyAlignment="1">
      <alignment vertical="top" wrapText="1"/>
    </xf>
    <xf numFmtId="0" fontId="28" fillId="0" borderId="58" xfId="0" applyFont="1" applyBorder="1" applyAlignment="1">
      <alignment vertical="top" wrapText="1"/>
    </xf>
    <xf numFmtId="1" fontId="28" fillId="2" borderId="65" xfId="0" applyNumberFormat="1" applyFont="1" applyFill="1" applyBorder="1" applyAlignment="1">
      <alignment horizontal="center" vertical="top" wrapText="1"/>
    </xf>
    <xf numFmtId="2" fontId="28" fillId="8" borderId="41" xfId="0" applyNumberFormat="1" applyFont="1" applyFill="1" applyBorder="1" applyAlignment="1">
      <alignment horizontal="center" vertical="top" wrapText="1"/>
    </xf>
    <xf numFmtId="2" fontId="28" fillId="8" borderId="58" xfId="0" applyNumberFormat="1" applyFont="1" applyFill="1" applyBorder="1" applyAlignment="1">
      <alignment horizontal="center" vertical="top" wrapText="1"/>
    </xf>
    <xf numFmtId="2" fontId="28" fillId="6" borderId="5" xfId="0" applyNumberFormat="1" applyFont="1" applyFill="1" applyBorder="1" applyAlignment="1">
      <alignment horizontal="center" vertical="top" wrapText="1"/>
    </xf>
    <xf numFmtId="2" fontId="28" fillId="9" borderId="5" xfId="0" applyNumberFormat="1" applyFont="1" applyFill="1" applyBorder="1" applyAlignment="1">
      <alignment horizontal="center" vertical="top" wrapText="1"/>
    </xf>
    <xf numFmtId="1" fontId="28" fillId="0" borderId="0" xfId="0" applyNumberFormat="1" applyFont="1" applyAlignment="1">
      <alignment vertical="top" wrapText="1"/>
    </xf>
    <xf numFmtId="2" fontId="28" fillId="2" borderId="1" xfId="0" applyNumberFormat="1" applyFont="1" applyFill="1" applyBorder="1" applyAlignment="1">
      <alignment horizontal="center" vertical="top" wrapText="1"/>
    </xf>
    <xf numFmtId="2" fontId="28" fillId="2" borderId="15" xfId="0" applyNumberFormat="1" applyFont="1" applyFill="1" applyBorder="1" applyAlignment="1">
      <alignment horizontal="center" vertical="top" wrapText="1"/>
    </xf>
    <xf numFmtId="2" fontId="28" fillId="2" borderId="38" xfId="0" applyNumberFormat="1" applyFont="1" applyFill="1" applyBorder="1" applyAlignment="1">
      <alignment horizontal="center" vertical="top" wrapText="1"/>
    </xf>
    <xf numFmtId="2" fontId="28" fillId="2" borderId="8" xfId="0" applyNumberFormat="1" applyFont="1" applyFill="1" applyBorder="1" applyAlignment="1">
      <alignment horizontal="center" vertical="top" wrapText="1"/>
    </xf>
    <xf numFmtId="2" fontId="28" fillId="2" borderId="2" xfId="0" applyNumberFormat="1" applyFont="1" applyFill="1" applyBorder="1" applyAlignment="1">
      <alignment horizontal="center" vertical="top" wrapText="1"/>
    </xf>
    <xf numFmtId="2" fontId="28" fillId="2" borderId="14" xfId="0" applyNumberFormat="1" applyFont="1" applyFill="1" applyBorder="1" applyAlignment="1">
      <alignment horizontal="center" vertical="top" wrapText="1"/>
    </xf>
    <xf numFmtId="2" fontId="28" fillId="2" borderId="16" xfId="0" applyNumberFormat="1" applyFont="1" applyFill="1" applyBorder="1" applyAlignment="1">
      <alignment horizontal="center" vertical="top" wrapText="1"/>
    </xf>
    <xf numFmtId="2" fontId="28" fillId="2" borderId="0" xfId="0" applyNumberFormat="1" applyFont="1" applyFill="1" applyAlignment="1">
      <alignment horizontal="center" vertical="top" wrapText="1"/>
    </xf>
    <xf numFmtId="2" fontId="28" fillId="2" borderId="28" xfId="0" applyNumberFormat="1" applyFont="1" applyFill="1" applyBorder="1" applyAlignment="1">
      <alignment horizontal="center" vertical="top" wrapText="1"/>
    </xf>
    <xf numFmtId="2" fontId="28" fillId="2" borderId="27" xfId="0" applyNumberFormat="1" applyFont="1" applyFill="1" applyBorder="1" applyAlignment="1">
      <alignment horizontal="center" vertical="top" wrapText="1"/>
    </xf>
    <xf numFmtId="2" fontId="28" fillId="2" borderId="42" xfId="0" applyNumberFormat="1" applyFont="1" applyFill="1" applyBorder="1" applyAlignment="1">
      <alignment horizontal="center" vertical="top" wrapText="1"/>
    </xf>
    <xf numFmtId="2" fontId="28" fillId="9" borderId="66" xfId="0" applyNumberFormat="1" applyFont="1" applyFill="1" applyBorder="1" applyAlignment="1">
      <alignment horizontal="center" vertical="top" wrapText="1"/>
    </xf>
    <xf numFmtId="2" fontId="28" fillId="9" borderId="36" xfId="0" applyNumberFormat="1" applyFont="1" applyFill="1" applyBorder="1" applyAlignment="1">
      <alignment horizontal="center" vertical="top" wrapText="1"/>
    </xf>
    <xf numFmtId="2" fontId="28" fillId="0" borderId="0" xfId="0" applyNumberFormat="1" applyFont="1" applyAlignment="1">
      <alignment horizontal="center" vertical="top" wrapText="1"/>
    </xf>
    <xf numFmtId="0" fontId="5" fillId="0" borderId="31" xfId="0" applyFont="1" applyBorder="1" applyAlignment="1">
      <alignment horizontal="left" vertical="top" wrapText="1"/>
    </xf>
    <xf numFmtId="0" fontId="5" fillId="0" borderId="33" xfId="0" applyFont="1" applyBorder="1" applyAlignment="1">
      <alignment horizontal="left" vertical="top" wrapText="1"/>
    </xf>
    <xf numFmtId="0" fontId="30" fillId="0" borderId="44" xfId="0" applyFont="1" applyBorder="1" applyAlignment="1">
      <alignment horizontal="center" vertical="top"/>
    </xf>
    <xf numFmtId="0" fontId="42" fillId="0" borderId="5" xfId="0" applyFont="1" applyBorder="1" applyAlignment="1">
      <alignment horizontal="center" vertical="top"/>
    </xf>
    <xf numFmtId="49" fontId="28" fillId="0" borderId="36" xfId="0" applyNumberFormat="1" applyFont="1" applyBorder="1" applyAlignment="1">
      <alignment vertical="top" wrapText="1"/>
    </xf>
    <xf numFmtId="49" fontId="28" fillId="0" borderId="22" xfId="0" applyNumberFormat="1" applyFont="1" applyBorder="1" applyAlignment="1">
      <alignment vertical="top" wrapText="1"/>
    </xf>
    <xf numFmtId="0" fontId="28" fillId="0" borderId="55" xfId="0" applyFont="1" applyBorder="1" applyAlignment="1">
      <alignment vertical="top" wrapText="1"/>
    </xf>
    <xf numFmtId="0" fontId="28" fillId="0" borderId="43" xfId="0" applyFont="1" applyBorder="1" applyAlignment="1">
      <alignment horizontal="left" vertical="top" wrapText="1"/>
    </xf>
    <xf numFmtId="0" fontId="28" fillId="0" borderId="58" xfId="0" applyFont="1" applyBorder="1" applyAlignment="1">
      <alignment horizontal="left" vertical="top" wrapText="1"/>
    </xf>
    <xf numFmtId="0" fontId="28" fillId="0" borderId="12" xfId="0" applyFont="1" applyBorder="1" applyAlignment="1">
      <alignment horizontal="left" vertical="top" wrapText="1"/>
    </xf>
    <xf numFmtId="0" fontId="28" fillId="0" borderId="6" xfId="0" applyFont="1" applyBorder="1" applyAlignment="1">
      <alignment horizontal="left" vertical="top" wrapText="1"/>
    </xf>
    <xf numFmtId="0" fontId="28" fillId="0" borderId="17" xfId="0" applyFont="1" applyBorder="1" applyAlignment="1">
      <alignment horizontal="left" vertical="top" wrapText="1"/>
    </xf>
    <xf numFmtId="0" fontId="28" fillId="0" borderId="14" xfId="0" applyFont="1" applyBorder="1" applyAlignment="1">
      <alignment vertical="top" wrapText="1"/>
    </xf>
    <xf numFmtId="0" fontId="28" fillId="0" borderId="15" xfId="0" applyFont="1" applyBorder="1" applyAlignment="1">
      <alignment vertical="top" wrapText="1"/>
    </xf>
    <xf numFmtId="0" fontId="28" fillId="0" borderId="38" xfId="0" applyFont="1" applyBorder="1" applyAlignment="1">
      <alignment vertical="top" wrapText="1"/>
    </xf>
    <xf numFmtId="0" fontId="28" fillId="0" borderId="16" xfId="0" applyFont="1" applyBorder="1" applyAlignment="1">
      <alignment vertical="top" wrapText="1"/>
    </xf>
    <xf numFmtId="0" fontId="28" fillId="0" borderId="52" xfId="0" applyFont="1" applyBorder="1" applyAlignment="1">
      <alignment horizontal="left" vertical="top" wrapText="1"/>
    </xf>
    <xf numFmtId="49" fontId="28" fillId="0" borderId="43" xfId="0" applyNumberFormat="1" applyFont="1" applyBorder="1" applyAlignment="1">
      <alignment horizontal="left" vertical="top" wrapText="1"/>
    </xf>
    <xf numFmtId="49" fontId="28" fillId="0" borderId="12" xfId="0" applyNumberFormat="1" applyFont="1" applyBorder="1" applyAlignment="1">
      <alignment horizontal="left" vertical="top" wrapText="1"/>
    </xf>
    <xf numFmtId="49" fontId="28" fillId="0" borderId="6" xfId="0" applyNumberFormat="1" applyFont="1" applyBorder="1" applyAlignment="1">
      <alignment horizontal="left" vertical="top" wrapText="1"/>
    </xf>
    <xf numFmtId="49" fontId="28" fillId="0" borderId="17" xfId="0" applyNumberFormat="1" applyFont="1" applyBorder="1" applyAlignment="1">
      <alignment horizontal="left" vertical="top" wrapText="1"/>
    </xf>
    <xf numFmtId="49" fontId="28" fillId="0" borderId="47" xfId="0" applyNumberFormat="1" applyFont="1" applyBorder="1" applyAlignment="1">
      <alignment vertical="top" wrapText="1"/>
    </xf>
    <xf numFmtId="0" fontId="28" fillId="0" borderId="58" xfId="0" applyFont="1" applyBorder="1">
      <alignment vertical="top"/>
    </xf>
    <xf numFmtId="0" fontId="28" fillId="0" borderId="47" xfId="0" applyFont="1" applyBorder="1">
      <alignment vertical="top"/>
    </xf>
    <xf numFmtId="1" fontId="28" fillId="0" borderId="48" xfId="0" applyNumberFormat="1" applyFont="1" applyBorder="1" applyAlignment="1">
      <alignment vertical="top" wrapText="1"/>
    </xf>
    <xf numFmtId="49" fontId="28" fillId="0" borderId="5" xfId="0" applyNumberFormat="1" applyFont="1" applyBorder="1" applyAlignment="1">
      <alignment vertical="top" wrapText="1"/>
    </xf>
    <xf numFmtId="0" fontId="28" fillId="0" borderId="0" xfId="0" applyFont="1" applyAlignment="1">
      <alignment horizontal="center" vertical="top"/>
    </xf>
    <xf numFmtId="1" fontId="28" fillId="2" borderId="54" xfId="0" applyNumberFormat="1" applyFont="1" applyFill="1" applyBorder="1" applyAlignment="1">
      <alignment horizontal="center" vertical="top" wrapText="1"/>
    </xf>
    <xf numFmtId="2" fontId="28" fillId="2" borderId="53" xfId="0" applyNumberFormat="1" applyFont="1" applyFill="1" applyBorder="1" applyAlignment="1">
      <alignment horizontal="center" vertical="top" wrapText="1"/>
    </xf>
    <xf numFmtId="2" fontId="28" fillId="2" borderId="59" xfId="0" applyNumberFormat="1" applyFont="1" applyFill="1" applyBorder="1" applyAlignment="1">
      <alignment horizontal="center" vertical="top" wrapText="1"/>
    </xf>
    <xf numFmtId="2" fontId="28" fillId="2" borderId="37" xfId="0" applyNumberFormat="1" applyFont="1" applyFill="1" applyBorder="1" applyAlignment="1">
      <alignment horizontal="center" vertical="top" wrapText="1"/>
    </xf>
    <xf numFmtId="1" fontId="28" fillId="2" borderId="6" xfId="0" applyNumberFormat="1" applyFont="1" applyFill="1" applyBorder="1" applyAlignment="1">
      <alignment horizontal="center" vertical="top" wrapText="1"/>
    </xf>
    <xf numFmtId="1" fontId="28" fillId="2" borderId="17" xfId="0" applyNumberFormat="1" applyFont="1" applyFill="1" applyBorder="1" applyAlignment="1">
      <alignment horizontal="center" vertical="top" wrapText="1"/>
    </xf>
    <xf numFmtId="0" fontId="28" fillId="2" borderId="46" xfId="0" applyFont="1" applyFill="1" applyBorder="1" applyAlignment="1">
      <alignment horizontal="center" vertical="top" wrapText="1"/>
    </xf>
    <xf numFmtId="2" fontId="28" fillId="2" borderId="13" xfId="0" applyNumberFormat="1" applyFont="1" applyFill="1" applyBorder="1" applyAlignment="1">
      <alignment horizontal="center" vertical="top" wrapText="1"/>
    </xf>
    <xf numFmtId="0" fontId="28" fillId="2" borderId="13" xfId="0" applyFont="1" applyFill="1" applyBorder="1" applyAlignment="1">
      <alignment horizontal="center" vertical="top" wrapText="1"/>
    </xf>
    <xf numFmtId="0" fontId="28" fillId="2" borderId="9" xfId="0" applyFont="1" applyFill="1" applyBorder="1" applyAlignment="1">
      <alignment horizontal="center" vertical="top" wrapText="1"/>
    </xf>
    <xf numFmtId="2" fontId="28" fillId="6" borderId="66" xfId="0" applyNumberFormat="1" applyFont="1" applyFill="1" applyBorder="1" applyAlignment="1">
      <alignment horizontal="center" vertical="top" wrapText="1"/>
    </xf>
    <xf numFmtId="0" fontId="28" fillId="2" borderId="54" xfId="0" applyFont="1" applyFill="1" applyBorder="1" applyAlignment="1">
      <alignment horizontal="center" vertical="top" wrapText="1"/>
    </xf>
    <xf numFmtId="0" fontId="28" fillId="2" borderId="60" xfId="0" applyFont="1" applyFill="1" applyBorder="1" applyAlignment="1">
      <alignment horizontal="center" vertical="top" wrapText="1"/>
    </xf>
    <xf numFmtId="0" fontId="28" fillId="2" borderId="53" xfId="0" applyFont="1" applyFill="1" applyBorder="1" applyAlignment="1">
      <alignment horizontal="center" vertical="top" wrapText="1"/>
    </xf>
    <xf numFmtId="0" fontId="30" fillId="0" borderId="5" xfId="0" applyFont="1" applyBorder="1" applyAlignment="1">
      <alignment horizontal="center" vertical="top" wrapText="1"/>
    </xf>
    <xf numFmtId="2" fontId="5" fillId="9" borderId="66" xfId="0" applyNumberFormat="1" applyFont="1" applyFill="1" applyBorder="1" applyAlignment="1">
      <alignment horizontal="center" vertical="top" wrapText="1"/>
    </xf>
    <xf numFmtId="0" fontId="43" fillId="0" borderId="5" xfId="0" applyFont="1" applyBorder="1" applyAlignment="1">
      <alignment horizontal="center" vertical="top" wrapText="1"/>
    </xf>
    <xf numFmtId="0" fontId="5" fillId="0" borderId="59" xfId="0" applyFont="1" applyBorder="1" applyAlignment="1">
      <alignment horizontal="center" vertical="top" wrapText="1"/>
    </xf>
    <xf numFmtId="0" fontId="5" fillId="0" borderId="67" xfId="0" applyFont="1" applyBorder="1" applyAlignment="1">
      <alignment vertical="top" wrapText="1"/>
    </xf>
    <xf numFmtId="0" fontId="5" fillId="2" borderId="59" xfId="0" applyFont="1" applyFill="1" applyBorder="1" applyAlignment="1">
      <alignment horizontal="center" vertical="top" wrapText="1"/>
    </xf>
    <xf numFmtId="0" fontId="5" fillId="2" borderId="51" xfId="0" applyFont="1" applyFill="1" applyBorder="1" applyAlignment="1">
      <alignment horizontal="center" vertical="top" wrapText="1"/>
    </xf>
    <xf numFmtId="2" fontId="5" fillId="9" borderId="70" xfId="0" applyNumberFormat="1" applyFont="1" applyFill="1" applyBorder="1" applyAlignment="1">
      <alignment horizontal="center" vertical="top" wrapText="1"/>
    </xf>
    <xf numFmtId="1" fontId="5" fillId="0" borderId="52" xfId="0" applyNumberFormat="1" applyFont="1" applyBorder="1" applyAlignment="1">
      <alignment vertical="top" wrapText="1"/>
    </xf>
    <xf numFmtId="0" fontId="22" fillId="0" borderId="43" xfId="0" applyFont="1" applyBorder="1" applyAlignment="1">
      <alignment vertical="top" wrapText="1"/>
    </xf>
    <xf numFmtId="0" fontId="22" fillId="0" borderId="12" xfId="0" applyFont="1" applyBorder="1" applyAlignment="1">
      <alignment vertical="top" wrapText="1"/>
    </xf>
    <xf numFmtId="0" fontId="22" fillId="0" borderId="6" xfId="0" applyFont="1" applyBorder="1" applyAlignment="1">
      <alignment vertical="top" wrapText="1"/>
    </xf>
    <xf numFmtId="0" fontId="22" fillId="0" borderId="52" xfId="0" applyFont="1" applyBorder="1" applyAlignment="1">
      <alignment vertical="top" wrapText="1"/>
    </xf>
    <xf numFmtId="0" fontId="22" fillId="0" borderId="73" xfId="0" applyFont="1" applyBorder="1" applyAlignment="1">
      <alignment vertical="top" wrapText="1"/>
    </xf>
    <xf numFmtId="0" fontId="22" fillId="0" borderId="17" xfId="0" applyFont="1" applyBorder="1" applyAlignment="1">
      <alignment vertical="top" wrapText="1"/>
    </xf>
    <xf numFmtId="0" fontId="22" fillId="0" borderId="43" xfId="0" applyFont="1" applyBorder="1" applyAlignment="1">
      <alignment horizontal="left" vertical="top" wrapText="1"/>
    </xf>
    <xf numFmtId="0" fontId="22" fillId="0" borderId="12" xfId="0" applyFont="1" applyBorder="1" applyAlignment="1">
      <alignment horizontal="left" vertical="top" wrapText="1"/>
    </xf>
    <xf numFmtId="0" fontId="22" fillId="0" borderId="58" xfId="0" applyFont="1" applyBorder="1" applyAlignment="1">
      <alignment horizontal="left" vertical="top" wrapText="1"/>
    </xf>
    <xf numFmtId="0" fontId="22" fillId="0" borderId="58" xfId="0" applyFont="1" applyBorder="1" applyAlignment="1">
      <alignment vertical="top" wrapText="1"/>
    </xf>
    <xf numFmtId="0" fontId="22" fillId="0" borderId="11" xfId="0" applyFont="1" applyBorder="1" applyAlignment="1">
      <alignment vertical="top" wrapText="1"/>
    </xf>
    <xf numFmtId="49" fontId="22" fillId="0" borderId="43" xfId="0" applyNumberFormat="1" applyFont="1" applyBorder="1" applyAlignment="1">
      <alignment vertical="top" wrapText="1"/>
    </xf>
    <xf numFmtId="49" fontId="22" fillId="0" borderId="12" xfId="0" applyNumberFormat="1" applyFont="1" applyBorder="1" applyAlignment="1">
      <alignment vertical="top" wrapText="1"/>
    </xf>
    <xf numFmtId="49" fontId="22" fillId="0" borderId="6" xfId="0" applyNumberFormat="1" applyFont="1" applyBorder="1" applyAlignment="1">
      <alignment vertical="top" wrapText="1"/>
    </xf>
    <xf numFmtId="49" fontId="22" fillId="0" borderId="52" xfId="0" applyNumberFormat="1" applyFont="1" applyBorder="1" applyAlignment="1">
      <alignment vertical="top" wrapText="1"/>
    </xf>
    <xf numFmtId="0" fontId="22" fillId="0" borderId="48" xfId="0" applyFont="1" applyBorder="1" applyAlignment="1">
      <alignment vertical="top" wrapText="1"/>
    </xf>
    <xf numFmtId="1" fontId="22" fillId="2" borderId="41" xfId="0" applyNumberFormat="1" applyFont="1" applyFill="1" applyBorder="1" applyAlignment="1">
      <alignment horizontal="center" vertical="top" wrapText="1"/>
    </xf>
    <xf numFmtId="1" fontId="22" fillId="2" borderId="37" xfId="0" applyNumberFormat="1" applyFont="1" applyFill="1" applyBorder="1" applyAlignment="1">
      <alignment horizontal="center" vertical="top"/>
    </xf>
    <xf numFmtId="0" fontId="22" fillId="2" borderId="1" xfId="0" applyFont="1" applyFill="1" applyBorder="1" applyAlignment="1">
      <alignment horizontal="center" vertical="top" wrapText="1"/>
    </xf>
    <xf numFmtId="2" fontId="22" fillId="2" borderId="8" xfId="0" applyNumberFormat="1" applyFont="1" applyFill="1" applyBorder="1" applyAlignment="1">
      <alignment horizontal="center" vertical="top"/>
    </xf>
    <xf numFmtId="2" fontId="22" fillId="2" borderId="2" xfId="0" applyNumberFormat="1" applyFont="1" applyFill="1" applyBorder="1" applyAlignment="1">
      <alignment horizontal="center" vertical="top"/>
    </xf>
    <xf numFmtId="1" fontId="22" fillId="2" borderId="49" xfId="0" applyNumberFormat="1" applyFont="1" applyFill="1" applyBorder="1" applyAlignment="1">
      <alignment horizontal="center" vertical="top" wrapText="1"/>
    </xf>
    <xf numFmtId="1" fontId="22" fillId="2" borderId="49" xfId="0" applyNumberFormat="1" applyFont="1" applyFill="1" applyBorder="1" applyAlignment="1">
      <alignment horizontal="center" vertical="top"/>
    </xf>
    <xf numFmtId="2" fontId="22" fillId="2" borderId="50" xfId="0" applyNumberFormat="1" applyFont="1" applyFill="1" applyBorder="1" applyAlignment="1">
      <alignment horizontal="center" vertical="top"/>
    </xf>
    <xf numFmtId="1" fontId="22" fillId="2" borderId="4" xfId="0" applyNumberFormat="1" applyFont="1" applyFill="1" applyBorder="1" applyAlignment="1">
      <alignment horizontal="center" vertical="top" wrapText="1"/>
    </xf>
    <xf numFmtId="1" fontId="22" fillId="2" borderId="8" xfId="0" applyNumberFormat="1" applyFont="1" applyFill="1" applyBorder="1" applyAlignment="1">
      <alignment horizontal="center" vertical="top"/>
    </xf>
    <xf numFmtId="2" fontId="22" fillId="9" borderId="22" xfId="0" applyNumberFormat="1" applyFont="1" applyFill="1" applyBorder="1" applyAlignment="1">
      <alignment horizontal="center" vertical="top"/>
    </xf>
    <xf numFmtId="0" fontId="22" fillId="2" borderId="3" xfId="0" applyFont="1" applyFill="1" applyBorder="1" applyAlignment="1">
      <alignment horizontal="center" vertical="top" wrapText="1"/>
    </xf>
    <xf numFmtId="1" fontId="22" fillId="2" borderId="3" xfId="0" applyNumberFormat="1" applyFont="1" applyFill="1" applyBorder="1" applyAlignment="1">
      <alignment horizontal="center" vertical="top"/>
    </xf>
    <xf numFmtId="2" fontId="22" fillId="2" borderId="9" xfId="0" applyNumberFormat="1" applyFont="1" applyFill="1" applyBorder="1" applyAlignment="1">
      <alignment horizontal="center" vertical="top"/>
    </xf>
    <xf numFmtId="1" fontId="22" fillId="2" borderId="37" xfId="0" applyNumberFormat="1" applyFont="1" applyFill="1" applyBorder="1" applyAlignment="1">
      <alignment horizontal="center" vertical="top" wrapText="1"/>
    </xf>
    <xf numFmtId="2" fontId="22" fillId="9" borderId="36" xfId="0" applyNumberFormat="1" applyFont="1" applyFill="1" applyBorder="1" applyAlignment="1">
      <alignment horizontal="center" vertical="top" wrapText="1"/>
    </xf>
    <xf numFmtId="2" fontId="22" fillId="2" borderId="8" xfId="0" applyNumberFormat="1" applyFont="1" applyFill="1" applyBorder="1" applyAlignment="1">
      <alignment horizontal="center" vertical="top" wrapText="1"/>
    </xf>
    <xf numFmtId="2" fontId="22" fillId="2" borderId="2" xfId="0" applyNumberFormat="1" applyFont="1" applyFill="1" applyBorder="1" applyAlignment="1">
      <alignment horizontal="center" vertical="top" wrapText="1"/>
    </xf>
    <xf numFmtId="2" fontId="22" fillId="2" borderId="50" xfId="0" applyNumberFormat="1" applyFont="1" applyFill="1" applyBorder="1" applyAlignment="1">
      <alignment horizontal="center" vertical="top" wrapText="1"/>
    </xf>
    <xf numFmtId="1" fontId="22" fillId="2" borderId="8" xfId="0" applyNumberFormat="1" applyFont="1" applyFill="1" applyBorder="1" applyAlignment="1">
      <alignment horizontal="center" vertical="top" wrapText="1"/>
    </xf>
    <xf numFmtId="2" fontId="22" fillId="9" borderId="22" xfId="0" applyNumberFormat="1" applyFont="1" applyFill="1" applyBorder="1" applyAlignment="1">
      <alignment horizontal="center" vertical="top" wrapText="1"/>
    </xf>
    <xf numFmtId="1" fontId="22" fillId="2" borderId="3" xfId="0" applyNumberFormat="1" applyFont="1" applyFill="1" applyBorder="1" applyAlignment="1">
      <alignment horizontal="center" vertical="top" wrapText="1"/>
    </xf>
    <xf numFmtId="2" fontId="22" fillId="2" borderId="9" xfId="0" applyNumberFormat="1" applyFont="1" applyFill="1" applyBorder="1" applyAlignment="1">
      <alignment horizontal="center" vertical="top" wrapText="1"/>
    </xf>
    <xf numFmtId="1" fontId="22" fillId="2" borderId="59" xfId="0" applyNumberFormat="1" applyFont="1" applyFill="1" applyBorder="1" applyAlignment="1">
      <alignment horizontal="center" vertical="top" wrapText="1"/>
    </xf>
    <xf numFmtId="0" fontId="22" fillId="2" borderId="49" xfId="0" applyFont="1" applyFill="1" applyBorder="1" applyAlignment="1">
      <alignment horizontal="center" vertical="top" wrapText="1"/>
    </xf>
    <xf numFmtId="0" fontId="22" fillId="2" borderId="4" xfId="0" applyFont="1" applyFill="1" applyBorder="1" applyAlignment="1">
      <alignment horizontal="center" vertical="top" wrapText="1"/>
    </xf>
    <xf numFmtId="1" fontId="22" fillId="2" borderId="4" xfId="0" applyNumberFormat="1" applyFont="1" applyFill="1" applyBorder="1" applyAlignment="1">
      <alignment horizontal="center" vertical="top"/>
    </xf>
    <xf numFmtId="0" fontId="22" fillId="2" borderId="41" xfId="0" applyFont="1" applyFill="1" applyBorder="1" applyAlignment="1">
      <alignment horizontal="center" vertical="top" wrapText="1"/>
    </xf>
    <xf numFmtId="0" fontId="22" fillId="2" borderId="54" xfId="0" applyFont="1" applyFill="1" applyBorder="1" applyAlignment="1">
      <alignment horizontal="center" vertical="top" wrapText="1"/>
    </xf>
    <xf numFmtId="1" fontId="31" fillId="2" borderId="13" xfId="0" applyNumberFormat="1" applyFont="1" applyFill="1" applyBorder="1" applyAlignment="1">
      <alignment horizontal="center" vertical="top"/>
    </xf>
    <xf numFmtId="2" fontId="31" fillId="9" borderId="66" xfId="0" applyNumberFormat="1" applyFont="1" applyFill="1" applyBorder="1" applyAlignment="1">
      <alignment horizontal="center" vertical="top"/>
    </xf>
    <xf numFmtId="1" fontId="31" fillId="2" borderId="3" xfId="0" applyNumberFormat="1" applyFont="1" applyFill="1" applyBorder="1" applyAlignment="1">
      <alignment horizontal="center" vertical="top"/>
    </xf>
    <xf numFmtId="2" fontId="31" fillId="2" borderId="9" xfId="0" applyNumberFormat="1" applyFont="1" applyFill="1" applyBorder="1" applyAlignment="1">
      <alignment horizontal="center" vertical="top"/>
    </xf>
    <xf numFmtId="1" fontId="31" fillId="2" borderId="46" xfId="0" applyNumberFormat="1" applyFont="1" applyFill="1" applyBorder="1" applyAlignment="1">
      <alignment horizontal="center" vertical="top"/>
    </xf>
    <xf numFmtId="2" fontId="31" fillId="9" borderId="36" xfId="0" applyNumberFormat="1" applyFont="1" applyFill="1" applyBorder="1" applyAlignment="1">
      <alignment horizontal="center" vertical="top"/>
    </xf>
    <xf numFmtId="1" fontId="31" fillId="2" borderId="8" xfId="0" applyNumberFormat="1" applyFont="1" applyFill="1" applyBorder="1" applyAlignment="1">
      <alignment horizontal="center" vertical="top"/>
    </xf>
    <xf numFmtId="2" fontId="31" fillId="9" borderId="22" xfId="0" applyNumberFormat="1" applyFont="1" applyFill="1" applyBorder="1" applyAlignment="1">
      <alignment horizontal="center" vertical="top"/>
    </xf>
    <xf numFmtId="1" fontId="31" fillId="2" borderId="1" xfId="0" applyNumberFormat="1" applyFont="1" applyFill="1" applyBorder="1" applyAlignment="1">
      <alignment horizontal="center" vertical="top"/>
    </xf>
    <xf numFmtId="2" fontId="31" fillId="2" borderId="8" xfId="0" applyNumberFormat="1" applyFont="1" applyFill="1" applyBorder="1" applyAlignment="1">
      <alignment horizontal="center" vertical="top"/>
    </xf>
    <xf numFmtId="2" fontId="31" fillId="2" borderId="2" xfId="0" applyNumberFormat="1" applyFont="1" applyFill="1" applyBorder="1" applyAlignment="1">
      <alignment horizontal="center" vertical="top"/>
    </xf>
    <xf numFmtId="1" fontId="31" fillId="2" borderId="41" xfId="0" applyNumberFormat="1" applyFont="1" applyFill="1" applyBorder="1" applyAlignment="1">
      <alignment horizontal="center" vertical="top"/>
    </xf>
    <xf numFmtId="1" fontId="31" fillId="2" borderId="49" xfId="0" applyNumberFormat="1" applyFont="1" applyFill="1" applyBorder="1" applyAlignment="1">
      <alignment horizontal="center" vertical="top"/>
    </xf>
    <xf numFmtId="2" fontId="31" fillId="2" borderId="50" xfId="0" applyNumberFormat="1" applyFont="1" applyFill="1" applyBorder="1" applyAlignment="1">
      <alignment horizontal="center" vertical="top"/>
    </xf>
    <xf numFmtId="0" fontId="22" fillId="2" borderId="12" xfId="0" applyFont="1" applyFill="1" applyBorder="1" applyAlignment="1">
      <alignment horizontal="center" vertical="top" wrapText="1"/>
    </xf>
    <xf numFmtId="0" fontId="22" fillId="2" borderId="8" xfId="0" applyFont="1" applyFill="1" applyBorder="1" applyAlignment="1">
      <alignment horizontal="center" vertical="top" wrapText="1"/>
    </xf>
    <xf numFmtId="0" fontId="22" fillId="2" borderId="6" xfId="0" applyFont="1" applyFill="1" applyBorder="1" applyAlignment="1">
      <alignment horizontal="center" vertical="top" wrapText="1"/>
    </xf>
    <xf numFmtId="0" fontId="22" fillId="2" borderId="17" xfId="0" applyFont="1" applyFill="1" applyBorder="1" applyAlignment="1">
      <alignment horizontal="center" vertical="top" wrapText="1"/>
    </xf>
    <xf numFmtId="0" fontId="22" fillId="2" borderId="68" xfId="0" applyFont="1" applyFill="1" applyBorder="1" applyAlignment="1">
      <alignment horizontal="center" vertical="top" wrapText="1"/>
    </xf>
    <xf numFmtId="0" fontId="22" fillId="2" borderId="37" xfId="0" applyFont="1" applyFill="1" applyBorder="1" applyAlignment="1">
      <alignment horizontal="center" vertical="top" wrapText="1"/>
    </xf>
    <xf numFmtId="0" fontId="22" fillId="2" borderId="52" xfId="0" applyFont="1" applyFill="1" applyBorder="1" applyAlignment="1">
      <alignment horizontal="center" vertical="top" wrapText="1"/>
    </xf>
    <xf numFmtId="1" fontId="22" fillId="2" borderId="41" xfId="0" applyNumberFormat="1" applyFont="1" applyFill="1" applyBorder="1" applyAlignment="1">
      <alignment horizontal="center" vertical="top"/>
    </xf>
    <xf numFmtId="1" fontId="22" fillId="2" borderId="12" xfId="0" applyNumberFormat="1" applyFont="1" applyFill="1" applyBorder="1" applyAlignment="1">
      <alignment horizontal="center" vertical="top"/>
    </xf>
    <xf numFmtId="1" fontId="22" fillId="2" borderId="7" xfId="0" applyNumberFormat="1" applyFont="1" applyFill="1" applyBorder="1" applyAlignment="1">
      <alignment horizontal="center" vertical="top"/>
    </xf>
    <xf numFmtId="1" fontId="22" fillId="2" borderId="7" xfId="0" applyNumberFormat="1" applyFont="1" applyFill="1" applyBorder="1" applyAlignment="1">
      <alignment horizontal="center" vertical="top" wrapText="1"/>
    </xf>
    <xf numFmtId="1" fontId="22" fillId="2" borderId="13" xfId="0" applyNumberFormat="1" applyFont="1" applyFill="1" applyBorder="1" applyAlignment="1">
      <alignment horizontal="center" vertical="top"/>
    </xf>
    <xf numFmtId="2" fontId="22" fillId="9" borderId="66" xfId="0" applyNumberFormat="1" applyFont="1" applyFill="1" applyBorder="1" applyAlignment="1">
      <alignment horizontal="center" vertical="top"/>
    </xf>
    <xf numFmtId="1" fontId="22" fillId="2" borderId="2" xfId="0" applyNumberFormat="1" applyFont="1" applyFill="1" applyBorder="1" applyAlignment="1">
      <alignment horizontal="center" vertical="top"/>
    </xf>
    <xf numFmtId="1" fontId="22" fillId="2" borderId="17" xfId="0" applyNumberFormat="1" applyFont="1" applyFill="1" applyBorder="1" applyAlignment="1">
      <alignment horizontal="center" vertical="top" wrapText="1"/>
    </xf>
    <xf numFmtId="2" fontId="22" fillId="2" borderId="13" xfId="0" applyNumberFormat="1" applyFont="1" applyFill="1" applyBorder="1" applyAlignment="1">
      <alignment horizontal="center" vertical="top"/>
    </xf>
    <xf numFmtId="1" fontId="22" fillId="2" borderId="68" xfId="0" applyNumberFormat="1" applyFont="1" applyFill="1" applyBorder="1" applyAlignment="1">
      <alignment horizontal="center" vertical="top" wrapText="1"/>
    </xf>
    <xf numFmtId="1" fontId="22" fillId="2" borderId="12" xfId="0" applyNumberFormat="1" applyFont="1" applyFill="1" applyBorder="1" applyAlignment="1">
      <alignment horizontal="center" vertical="top" wrapText="1"/>
    </xf>
    <xf numFmtId="1" fontId="22" fillId="2" borderId="6" xfId="0" applyNumberFormat="1" applyFont="1" applyFill="1" applyBorder="1" applyAlignment="1">
      <alignment horizontal="center" vertical="top" wrapText="1"/>
    </xf>
    <xf numFmtId="1" fontId="22" fillId="2" borderId="52" xfId="0" applyNumberFormat="1" applyFont="1" applyFill="1" applyBorder="1" applyAlignment="1">
      <alignment horizontal="center" vertical="top" wrapText="1"/>
    </xf>
    <xf numFmtId="2" fontId="31" fillId="8" borderId="51" xfId="0" applyNumberFormat="1" applyFont="1" applyFill="1" applyBorder="1" applyAlignment="1">
      <alignment horizontal="center" vertical="top"/>
    </xf>
    <xf numFmtId="2" fontId="5" fillId="8" borderId="9" xfId="0" applyNumberFormat="1" applyFont="1" applyFill="1" applyBorder="1" applyAlignment="1">
      <alignment horizontal="center" vertical="top"/>
    </xf>
    <xf numFmtId="2" fontId="31" fillId="8" borderId="9" xfId="0" applyNumberFormat="1" applyFont="1" applyFill="1" applyBorder="1" applyAlignment="1">
      <alignment horizontal="center" vertical="top"/>
    </xf>
    <xf numFmtId="2" fontId="31" fillId="8" borderId="50" xfId="0" applyNumberFormat="1" applyFont="1" applyFill="1" applyBorder="1" applyAlignment="1">
      <alignment horizontal="center" vertical="top"/>
    </xf>
    <xf numFmtId="1" fontId="42" fillId="0" borderId="23" xfId="0" applyNumberFormat="1" applyFont="1" applyBorder="1" applyAlignment="1">
      <alignment horizontal="center" vertical="top"/>
    </xf>
    <xf numFmtId="2" fontId="5" fillId="10" borderId="5" xfId="0" applyNumberFormat="1" applyFont="1" applyFill="1" applyBorder="1" applyAlignment="1">
      <alignment horizontal="center" vertical="top" wrapText="1"/>
    </xf>
    <xf numFmtId="2" fontId="5" fillId="10" borderId="48" xfId="0" applyNumberFormat="1" applyFont="1" applyFill="1" applyBorder="1" applyAlignment="1">
      <alignment horizontal="center" vertical="top" wrapText="1"/>
    </xf>
    <xf numFmtId="2" fontId="5" fillId="10" borderId="44" xfId="0" applyNumberFormat="1" applyFont="1" applyFill="1" applyBorder="1" applyAlignment="1">
      <alignment horizontal="center" vertical="top" wrapText="1"/>
    </xf>
    <xf numFmtId="2" fontId="5" fillId="2" borderId="64" xfId="0" applyNumberFormat="1" applyFont="1" applyFill="1" applyBorder="1" applyAlignment="1">
      <alignment horizontal="center" vertical="top" wrapText="1"/>
    </xf>
    <xf numFmtId="0" fontId="5" fillId="2" borderId="28" xfId="0" applyFont="1" applyFill="1" applyBorder="1" applyAlignment="1">
      <alignment horizontal="center" vertical="top" wrapText="1"/>
    </xf>
    <xf numFmtId="0" fontId="5" fillId="2" borderId="27" xfId="0" applyFont="1" applyFill="1" applyBorder="1" applyAlignment="1">
      <alignment horizontal="center" vertical="top" wrapText="1"/>
    </xf>
    <xf numFmtId="0" fontId="5" fillId="2" borderId="42" xfId="0" applyFont="1" applyFill="1" applyBorder="1" applyAlignment="1">
      <alignment horizontal="center" vertical="top" wrapText="1"/>
    </xf>
    <xf numFmtId="0" fontId="5" fillId="2" borderId="64" xfId="0" applyFont="1" applyFill="1" applyBorder="1" applyAlignment="1">
      <alignment horizontal="center" vertical="top" wrapText="1"/>
    </xf>
    <xf numFmtId="1" fontId="5" fillId="0" borderId="66" xfId="0" applyNumberFormat="1" applyFont="1" applyBorder="1" applyAlignment="1">
      <alignment vertical="top" wrapText="1"/>
    </xf>
    <xf numFmtId="0" fontId="6" fillId="10" borderId="5" xfId="0" applyFont="1" applyFill="1" applyBorder="1" applyAlignment="1">
      <alignment horizontal="center" vertical="center" wrapText="1"/>
    </xf>
    <xf numFmtId="1" fontId="6" fillId="10" borderId="5" xfId="0" applyNumberFormat="1" applyFont="1" applyFill="1" applyBorder="1" applyAlignment="1">
      <alignment horizontal="center" vertical="center" wrapText="1"/>
    </xf>
    <xf numFmtId="1" fontId="6" fillId="10" borderId="55" xfId="0" applyNumberFormat="1" applyFont="1" applyFill="1" applyBorder="1" applyAlignment="1">
      <alignment horizontal="center" vertical="center" wrapText="1"/>
    </xf>
    <xf numFmtId="0" fontId="5" fillId="0" borderId="42" xfId="0" applyFont="1" applyBorder="1" applyAlignment="1">
      <alignment horizontal="left" vertical="top" wrapText="1"/>
    </xf>
    <xf numFmtId="49" fontId="6" fillId="10" borderId="36" xfId="0" applyNumberFormat="1" applyFont="1" applyFill="1" applyBorder="1" applyAlignment="1">
      <alignment horizontal="center" vertical="center" wrapText="1"/>
    </xf>
    <xf numFmtId="0" fontId="12" fillId="21" borderId="48" xfId="0" applyFont="1" applyFill="1" applyBorder="1" applyAlignment="1">
      <alignment vertical="top" wrapText="1"/>
    </xf>
    <xf numFmtId="0" fontId="12" fillId="21" borderId="44" xfId="0" applyFont="1" applyFill="1" applyBorder="1" applyAlignment="1">
      <alignment vertical="top" wrapText="1"/>
    </xf>
    <xf numFmtId="49" fontId="5" fillId="21" borderId="48" xfId="0" applyNumberFormat="1" applyFont="1" applyFill="1" applyBorder="1" applyAlignment="1">
      <alignment vertical="top" wrapText="1"/>
    </xf>
    <xf numFmtId="49" fontId="5" fillId="21" borderId="44" xfId="0" applyNumberFormat="1" applyFont="1" applyFill="1" applyBorder="1" applyAlignment="1">
      <alignment vertical="top" wrapText="1"/>
    </xf>
    <xf numFmtId="0" fontId="5" fillId="0" borderId="1" xfId="0" applyFont="1" applyBorder="1" applyAlignment="1">
      <alignment horizontal="center" vertical="top"/>
    </xf>
    <xf numFmtId="0" fontId="5" fillId="0" borderId="6" xfId="0" applyFont="1" applyBorder="1" applyAlignment="1">
      <alignment horizontal="center" vertical="top"/>
    </xf>
    <xf numFmtId="0" fontId="5" fillId="0" borderId="10" xfId="0" applyFont="1" applyBorder="1" applyAlignment="1">
      <alignment horizontal="center" vertical="top"/>
    </xf>
    <xf numFmtId="0" fontId="5" fillId="0" borderId="0" xfId="0" applyFont="1" applyAlignment="1">
      <alignment horizontal="center" vertical="top"/>
    </xf>
    <xf numFmtId="0" fontId="5" fillId="0" borderId="61" xfId="0" applyFont="1" applyBorder="1" applyAlignment="1">
      <alignment horizontal="center" vertical="top"/>
    </xf>
    <xf numFmtId="0" fontId="5" fillId="21" borderId="0" xfId="0" applyFont="1" applyFill="1" applyAlignment="1">
      <alignment horizontal="center" vertical="top"/>
    </xf>
    <xf numFmtId="0" fontId="5" fillId="21" borderId="55" xfId="0" applyFont="1" applyFill="1" applyBorder="1" applyAlignment="1">
      <alignment horizontal="center" vertical="top"/>
    </xf>
    <xf numFmtId="0" fontId="5" fillId="0" borderId="55" xfId="0" applyFont="1" applyBorder="1" applyAlignment="1">
      <alignment horizontal="center" vertical="top"/>
    </xf>
    <xf numFmtId="2" fontId="10" fillId="0" borderId="10" xfId="1" applyNumberFormat="1" applyBorder="1" applyAlignment="1">
      <alignment vertical="center"/>
    </xf>
    <xf numFmtId="2" fontId="10" fillId="0" borderId="10" xfId="1" applyNumberFormat="1" applyBorder="1">
      <alignment vertical="top"/>
    </xf>
    <xf numFmtId="0" fontId="5" fillId="0" borderId="27" xfId="0" applyFont="1" applyBorder="1" applyAlignment="1">
      <alignment horizontal="center" vertical="top"/>
    </xf>
    <xf numFmtId="1" fontId="51" fillId="2" borderId="3" xfId="0" applyNumberFormat="1" applyFont="1" applyFill="1" applyBorder="1" applyAlignment="1">
      <alignment horizontal="center" vertical="top" wrapText="1"/>
    </xf>
    <xf numFmtId="1" fontId="5" fillId="0" borderId="45" xfId="0" applyNumberFormat="1" applyFont="1" applyBorder="1" applyAlignment="1">
      <alignment horizontal="left" vertical="top" wrapText="1"/>
    </xf>
    <xf numFmtId="1" fontId="5" fillId="0" borderId="46" xfId="0" applyNumberFormat="1" applyFont="1" applyBorder="1" applyAlignment="1">
      <alignment horizontal="left" vertical="top" wrapText="1"/>
    </xf>
    <xf numFmtId="2" fontId="5" fillId="20" borderId="14" xfId="0" applyNumberFormat="1" applyFont="1" applyFill="1" applyBorder="1" applyAlignment="1">
      <alignment horizontal="center" vertical="top" wrapText="1"/>
    </xf>
    <xf numFmtId="0" fontId="5" fillId="0" borderId="49" xfId="0" applyFont="1" applyBorder="1" applyAlignment="1">
      <alignment horizontal="center" vertical="top"/>
    </xf>
    <xf numFmtId="0" fontId="5" fillId="0" borderId="42" xfId="0" applyFont="1" applyBorder="1" applyAlignment="1">
      <alignment horizontal="center" vertical="top"/>
    </xf>
    <xf numFmtId="0" fontId="5" fillId="0" borderId="46" xfId="0" applyFont="1" applyBorder="1" applyAlignment="1">
      <alignment horizontal="center" vertical="top"/>
    </xf>
    <xf numFmtId="2" fontId="28" fillId="0" borderId="47" xfId="0" applyNumberFormat="1" applyFont="1" applyBorder="1" applyAlignment="1">
      <alignment horizontal="center" vertical="top" wrapText="1"/>
    </xf>
    <xf numFmtId="2" fontId="28" fillId="0" borderId="13" xfId="0" applyNumberFormat="1" applyFont="1" applyBorder="1" applyAlignment="1">
      <alignment horizontal="center" vertical="top" wrapText="1"/>
    </xf>
    <xf numFmtId="2" fontId="5" fillId="0" borderId="47" xfId="0" applyNumberFormat="1" applyFont="1" applyBorder="1" applyAlignment="1">
      <alignment horizontal="center" vertical="top" wrapText="1"/>
    </xf>
    <xf numFmtId="2" fontId="5" fillId="0" borderId="4" xfId="0" applyNumberFormat="1" applyFont="1" applyBorder="1" applyAlignment="1">
      <alignment horizontal="center" vertical="top" wrapText="1"/>
    </xf>
    <xf numFmtId="1" fontId="49" fillId="0" borderId="0" xfId="0" applyNumberFormat="1" applyFont="1" applyAlignment="1"/>
    <xf numFmtId="0" fontId="49" fillId="0" borderId="0" xfId="0" applyFont="1">
      <alignment vertical="top"/>
    </xf>
    <xf numFmtId="1" fontId="49" fillId="0" borderId="1" xfId="0" applyNumberFormat="1" applyFont="1" applyBorder="1" applyAlignment="1"/>
    <xf numFmtId="1" fontId="49" fillId="0" borderId="1" xfId="0" applyNumberFormat="1" applyFont="1" applyBorder="1" applyAlignment="1">
      <alignment horizontal="center"/>
    </xf>
    <xf numFmtId="1" fontId="52" fillId="0" borderId="1" xfId="0" applyNumberFormat="1" applyFont="1" applyBorder="1" applyAlignment="1">
      <alignment horizontal="center"/>
    </xf>
    <xf numFmtId="0" fontId="49" fillId="0" borderId="1" xfId="0" applyFont="1" applyBorder="1" applyAlignment="1"/>
    <xf numFmtId="1" fontId="49" fillId="0" borderId="0" xfId="0" applyNumberFormat="1" applyFont="1" applyAlignment="1">
      <alignment horizontal="center"/>
    </xf>
    <xf numFmtId="0" fontId="6" fillId="0" borderId="0" xfId="0" applyFont="1">
      <alignment vertical="top"/>
    </xf>
    <xf numFmtId="0" fontId="6" fillId="29" borderId="3" xfId="0" applyFont="1" applyFill="1" applyBorder="1">
      <alignment vertical="top"/>
    </xf>
    <xf numFmtId="0" fontId="6" fillId="28" borderId="76" xfId="0" applyFont="1" applyFill="1" applyBorder="1" applyAlignment="1">
      <alignment horizontal="center" vertical="top"/>
    </xf>
    <xf numFmtId="0" fontId="6" fillId="28" borderId="3" xfId="0" applyFont="1" applyFill="1" applyBorder="1" applyAlignment="1">
      <alignment horizontal="center" vertical="top"/>
    </xf>
    <xf numFmtId="0" fontId="6" fillId="28" borderId="64" xfId="0" applyFont="1" applyFill="1" applyBorder="1" applyAlignment="1">
      <alignment horizontal="center" vertical="top"/>
    </xf>
    <xf numFmtId="0" fontId="6" fillId="8" borderId="17" xfId="0" applyFont="1" applyFill="1" applyBorder="1" applyAlignment="1">
      <alignment horizontal="center" vertical="top"/>
    </xf>
    <xf numFmtId="0" fontId="6" fillId="8" borderId="3" xfId="0" applyFont="1" applyFill="1" applyBorder="1" applyAlignment="1">
      <alignment horizontal="center" vertical="top"/>
    </xf>
    <xf numFmtId="0" fontId="5" fillId="0" borderId="56" xfId="0" applyFont="1" applyBorder="1">
      <alignment vertical="top"/>
    </xf>
    <xf numFmtId="0" fontId="60" fillId="0" borderId="41" xfId="0" applyFont="1" applyBorder="1" applyAlignment="1"/>
    <xf numFmtId="0" fontId="60" fillId="0" borderId="37" xfId="0" applyFont="1" applyBorder="1" applyAlignment="1">
      <alignment horizontal="center"/>
    </xf>
    <xf numFmtId="0" fontId="60" fillId="0" borderId="56" xfId="0" applyFont="1" applyBorder="1" applyAlignment="1">
      <alignment horizontal="center"/>
    </xf>
    <xf numFmtId="0" fontId="60" fillId="0" borderId="41" xfId="0" applyFont="1" applyBorder="1" applyAlignment="1">
      <alignment horizontal="center"/>
    </xf>
    <xf numFmtId="0" fontId="60" fillId="0" borderId="57" xfId="0" applyFont="1" applyBorder="1" applyAlignment="1">
      <alignment horizontal="center"/>
    </xf>
    <xf numFmtId="0" fontId="60" fillId="0" borderId="68" xfId="0" applyFont="1" applyBorder="1" applyAlignment="1">
      <alignment horizontal="center"/>
    </xf>
    <xf numFmtId="0" fontId="5" fillId="0" borderId="35" xfId="0" applyFont="1" applyBorder="1">
      <alignment vertical="top"/>
    </xf>
    <xf numFmtId="0" fontId="60" fillId="0" borderId="1" xfId="0" applyFont="1" applyBorder="1" applyAlignment="1"/>
    <xf numFmtId="0" fontId="60" fillId="0" borderId="2" xfId="0" applyFont="1" applyBorder="1" applyAlignment="1">
      <alignment horizontal="center"/>
    </xf>
    <xf numFmtId="0" fontId="60" fillId="0" borderId="35" xfId="0" applyFont="1" applyBorder="1" applyAlignment="1">
      <alignment horizontal="center"/>
    </xf>
    <xf numFmtId="0" fontId="60" fillId="0" borderId="1" xfId="0" applyFont="1" applyBorder="1" applyAlignment="1">
      <alignment horizontal="center"/>
    </xf>
    <xf numFmtId="0" fontId="60" fillId="0" borderId="27" xfId="0" applyFont="1" applyBorder="1" applyAlignment="1">
      <alignment horizontal="center"/>
    </xf>
    <xf numFmtId="0" fontId="60" fillId="0" borderId="6" xfId="0" applyFont="1" applyBorder="1" applyAlignment="1">
      <alignment horizontal="center"/>
    </xf>
    <xf numFmtId="0" fontId="5" fillId="0" borderId="35" xfId="0" applyFont="1" applyBorder="1" applyAlignment="1">
      <alignment horizontal="center" vertical="top"/>
    </xf>
    <xf numFmtId="0" fontId="5" fillId="30" borderId="35" xfId="0" applyFont="1" applyFill="1" applyBorder="1">
      <alignment vertical="top"/>
    </xf>
    <xf numFmtId="0" fontId="5" fillId="30" borderId="1" xfId="0" applyFont="1" applyFill="1" applyBorder="1">
      <alignment vertical="top"/>
    </xf>
    <xf numFmtId="0" fontId="60" fillId="30" borderId="2" xfId="0" applyFont="1" applyFill="1" applyBorder="1" applyAlignment="1">
      <alignment horizontal="center"/>
    </xf>
    <xf numFmtId="0" fontId="5" fillId="30" borderId="35" xfId="0" applyFont="1" applyFill="1" applyBorder="1" applyAlignment="1">
      <alignment horizontal="center" vertical="top"/>
    </xf>
    <xf numFmtId="0" fontId="60" fillId="30" borderId="1" xfId="0" applyFont="1" applyFill="1" applyBorder="1" applyAlignment="1">
      <alignment horizontal="center"/>
    </xf>
    <xf numFmtId="0" fontId="5" fillId="30" borderId="1" xfId="0" applyFont="1" applyFill="1" applyBorder="1" applyAlignment="1">
      <alignment horizontal="center" vertical="top"/>
    </xf>
    <xf numFmtId="0" fontId="5" fillId="30" borderId="27" xfId="0" applyFont="1" applyFill="1" applyBorder="1" applyAlignment="1">
      <alignment horizontal="center" vertical="top"/>
    </xf>
    <xf numFmtId="0" fontId="5" fillId="30" borderId="6" xfId="0" applyFont="1" applyFill="1" applyBorder="1" applyAlignment="1">
      <alignment horizontal="center" vertical="top"/>
    </xf>
    <xf numFmtId="0" fontId="5" fillId="30" borderId="2" xfId="0" applyFont="1" applyFill="1" applyBorder="1" applyAlignment="1">
      <alignment horizontal="center" vertical="top"/>
    </xf>
    <xf numFmtId="0" fontId="5" fillId="30" borderId="3" xfId="0" applyFont="1" applyFill="1" applyBorder="1">
      <alignment vertical="top"/>
    </xf>
    <xf numFmtId="0" fontId="60" fillId="0" borderId="15" xfId="0" applyFont="1" applyBorder="1" applyAlignment="1">
      <alignment horizontal="center"/>
    </xf>
    <xf numFmtId="0" fontId="2" fillId="0" borderId="27" xfId="0" applyFont="1" applyBorder="1">
      <alignment vertical="top"/>
    </xf>
    <xf numFmtId="0" fontId="5" fillId="0" borderId="4" xfId="0" applyFont="1" applyBorder="1">
      <alignment vertical="top"/>
    </xf>
    <xf numFmtId="0" fontId="2" fillId="0" borderId="35" xfId="0" applyFont="1" applyBorder="1" applyAlignment="1">
      <alignment horizontal="center" vertical="top"/>
    </xf>
    <xf numFmtId="0" fontId="2" fillId="0" borderId="27" xfId="0" applyFont="1" applyBorder="1" applyAlignment="1">
      <alignment horizontal="center" vertical="top"/>
    </xf>
    <xf numFmtId="0" fontId="5" fillId="0" borderId="62" xfId="0" applyFont="1" applyBorder="1">
      <alignment vertical="top"/>
    </xf>
    <xf numFmtId="0" fontId="5" fillId="0" borderId="49" xfId="0" applyFont="1" applyBorder="1">
      <alignment vertical="top"/>
    </xf>
    <xf numFmtId="0" fontId="60" fillId="0" borderId="50" xfId="0" applyFont="1" applyBorder="1" applyAlignment="1">
      <alignment horizontal="center"/>
    </xf>
    <xf numFmtId="0" fontId="2" fillId="0" borderId="62" xfId="0" applyFont="1" applyBorder="1" applyAlignment="1">
      <alignment horizontal="center" vertical="top"/>
    </xf>
    <xf numFmtId="0" fontId="2" fillId="0" borderId="42" xfId="0" applyFont="1" applyBorder="1">
      <alignment vertical="top"/>
    </xf>
    <xf numFmtId="0" fontId="5" fillId="0" borderId="52" xfId="0" applyFont="1" applyBorder="1" applyAlignment="1">
      <alignment horizontal="center" vertical="top"/>
    </xf>
    <xf numFmtId="0" fontId="0" fillId="0" borderId="0" xfId="0" applyAlignment="1">
      <alignment vertical="top" wrapText="1"/>
    </xf>
    <xf numFmtId="0" fontId="5" fillId="21" borderId="66" xfId="0" applyFont="1" applyFill="1" applyBorder="1" applyAlignment="1">
      <alignment vertical="top" wrapText="1"/>
    </xf>
    <xf numFmtId="0" fontId="12" fillId="21" borderId="66" xfId="0" applyFont="1" applyFill="1" applyBorder="1" applyAlignment="1">
      <alignment vertical="top" wrapText="1"/>
    </xf>
    <xf numFmtId="0" fontId="10" fillId="0" borderId="0" xfId="1" applyAlignment="1">
      <alignment horizontal="center" vertical="center" textRotation="180"/>
    </xf>
    <xf numFmtId="0" fontId="52" fillId="0" borderId="0" xfId="0" applyFont="1" applyAlignment="1">
      <alignment horizontal="right" vertical="center"/>
    </xf>
    <xf numFmtId="0" fontId="52" fillId="0" borderId="55" xfId="0" applyFont="1" applyBorder="1" applyAlignment="1">
      <alignment horizontal="right" vertical="center"/>
    </xf>
    <xf numFmtId="0" fontId="5" fillId="21" borderId="22" xfId="0" applyFont="1" applyFill="1" applyBorder="1" applyAlignment="1">
      <alignment horizontal="left" vertical="top" wrapText="1"/>
    </xf>
    <xf numFmtId="0" fontId="5" fillId="21" borderId="36" xfId="0" applyFont="1" applyFill="1" applyBorder="1" applyAlignment="1">
      <alignment vertical="top" wrapText="1"/>
    </xf>
    <xf numFmtId="1" fontId="31" fillId="0" borderId="61" xfId="0" applyNumberFormat="1" applyFont="1" applyBorder="1" applyAlignment="1">
      <alignment horizontal="left" vertical="top" wrapText="1"/>
    </xf>
    <xf numFmtId="1" fontId="31" fillId="0" borderId="10" xfId="0" applyNumberFormat="1" applyFont="1" applyBorder="1" applyAlignment="1">
      <alignment horizontal="left" vertical="top" wrapText="1"/>
    </xf>
    <xf numFmtId="1" fontId="31" fillId="0" borderId="1" xfId="0" applyNumberFormat="1" applyFont="1" applyBorder="1" applyAlignment="1">
      <alignment horizontal="left" vertical="top" wrapText="1"/>
    </xf>
    <xf numFmtId="2" fontId="44" fillId="16" borderId="43" xfId="0" applyNumberFormat="1" applyFont="1" applyFill="1" applyBorder="1" applyAlignment="1" applyProtection="1">
      <alignment horizontal="center" vertical="center" wrapText="1"/>
      <protection hidden="1"/>
    </xf>
    <xf numFmtId="2" fontId="28" fillId="0" borderId="44" xfId="0" applyNumberFormat="1" applyFont="1" applyBorder="1" applyAlignment="1">
      <alignment vertical="top" wrapText="1"/>
    </xf>
    <xf numFmtId="2" fontId="28" fillId="0" borderId="22" xfId="0" applyNumberFormat="1" applyFont="1" applyBorder="1" applyAlignment="1">
      <alignment vertical="top" wrapText="1"/>
    </xf>
    <xf numFmtId="0" fontId="5" fillId="21" borderId="19" xfId="0" applyFont="1" applyFill="1" applyBorder="1" applyAlignment="1">
      <alignment horizontal="left" vertical="top" wrapText="1"/>
    </xf>
    <xf numFmtId="0" fontId="5" fillId="21" borderId="26" xfId="0" applyFont="1" applyFill="1" applyBorder="1" applyAlignment="1">
      <alignment horizontal="left" vertical="top" wrapText="1"/>
    </xf>
    <xf numFmtId="0" fontId="5" fillId="21" borderId="75" xfId="0" applyFont="1" applyFill="1" applyBorder="1" applyAlignment="1">
      <alignment horizontal="left" vertical="top" wrapText="1"/>
    </xf>
    <xf numFmtId="0" fontId="5" fillId="21" borderId="20" xfId="0" applyFont="1" applyFill="1" applyBorder="1" applyAlignment="1">
      <alignment horizontal="left" vertical="top"/>
    </xf>
    <xf numFmtId="1" fontId="5" fillId="21" borderId="22" xfId="0" applyNumberFormat="1" applyFont="1" applyFill="1" applyBorder="1" applyAlignment="1">
      <alignment horizontal="left" vertical="top" wrapText="1"/>
    </xf>
    <xf numFmtId="0" fontId="5" fillId="21" borderId="66" xfId="0" applyFont="1" applyFill="1" applyBorder="1" applyAlignment="1">
      <alignment horizontal="left" vertical="top" wrapText="1"/>
    </xf>
    <xf numFmtId="0" fontId="5" fillId="21" borderId="36" xfId="0" applyFont="1" applyFill="1" applyBorder="1" applyAlignment="1">
      <alignment horizontal="left" vertical="top"/>
    </xf>
    <xf numFmtId="0" fontId="5" fillId="21" borderId="0" xfId="0" applyFont="1" applyFill="1" applyAlignment="1">
      <alignment horizontal="left" vertical="top"/>
    </xf>
    <xf numFmtId="49" fontId="2" fillId="15" borderId="36" xfId="1" applyNumberFormat="1" applyFont="1" applyFill="1" applyBorder="1" applyAlignment="1">
      <alignment horizontal="center" vertical="center" wrapText="1"/>
    </xf>
    <xf numFmtId="49" fontId="2" fillId="0" borderId="37" xfId="1" applyNumberFormat="1" applyFont="1" applyBorder="1" applyAlignment="1">
      <alignment horizontal="center" vertical="center" wrapText="1"/>
    </xf>
    <xf numFmtId="49" fontId="18" fillId="0" borderId="37" xfId="1" applyNumberFormat="1" applyFont="1" applyBorder="1" applyAlignment="1">
      <alignment horizontal="center" vertical="center" wrapText="1"/>
    </xf>
    <xf numFmtId="0" fontId="5" fillId="17" borderId="47" xfId="0" applyFont="1" applyFill="1" applyBorder="1" applyAlignment="1">
      <alignment horizontal="center" vertical="top" wrapText="1"/>
    </xf>
    <xf numFmtId="0" fontId="5" fillId="0" borderId="45" xfId="0" applyFont="1" applyBorder="1" applyAlignment="1">
      <alignment vertical="top" wrapText="1"/>
    </xf>
    <xf numFmtId="2" fontId="5" fillId="2" borderId="46" xfId="0" applyNumberFormat="1" applyFont="1" applyFill="1" applyBorder="1" applyAlignment="1">
      <alignment horizontal="center" vertical="center"/>
    </xf>
    <xf numFmtId="2" fontId="47" fillId="16" borderId="5" xfId="0" applyNumberFormat="1" applyFont="1" applyFill="1" applyBorder="1" applyAlignment="1">
      <alignment horizontal="center" vertical="center" wrapText="1"/>
    </xf>
    <xf numFmtId="0" fontId="5" fillId="0" borderId="72" xfId="0" applyFont="1" applyBorder="1" applyAlignment="1">
      <alignment horizontal="left" vertical="top" wrapText="1"/>
    </xf>
    <xf numFmtId="0" fontId="5" fillId="0" borderId="22" xfId="0" applyFont="1" applyBorder="1" applyAlignment="1">
      <alignment horizontal="left" vertical="top" wrapText="1"/>
    </xf>
    <xf numFmtId="0" fontId="5" fillId="2" borderId="58" xfId="0" applyFont="1" applyFill="1" applyBorder="1" applyAlignment="1">
      <alignment horizontal="center" vertical="top" wrapText="1"/>
    </xf>
    <xf numFmtId="0" fontId="5" fillId="0" borderId="10" xfId="0" applyFont="1" applyBorder="1" applyAlignment="1">
      <alignment vertical="top" wrapText="1"/>
    </xf>
    <xf numFmtId="49" fontId="28" fillId="0" borderId="61" xfId="0" applyNumberFormat="1" applyFont="1" applyBorder="1" applyAlignment="1">
      <alignment vertical="top" wrapText="1"/>
    </xf>
    <xf numFmtId="1" fontId="28" fillId="2" borderId="60" xfId="0" applyNumberFormat="1" applyFont="1" applyFill="1" applyBorder="1" applyAlignment="1">
      <alignment horizontal="center" vertical="top" wrapText="1"/>
    </xf>
    <xf numFmtId="2" fontId="28" fillId="2" borderId="46" xfId="0" applyNumberFormat="1" applyFont="1" applyFill="1" applyBorder="1" applyAlignment="1">
      <alignment horizontal="center" vertical="top" wrapText="1"/>
    </xf>
    <xf numFmtId="0" fontId="55" fillId="0" borderId="48" xfId="0" applyFont="1" applyBorder="1" applyAlignment="1">
      <alignment vertical="top" wrapText="1"/>
    </xf>
    <xf numFmtId="2" fontId="28" fillId="9" borderId="44" xfId="0" applyNumberFormat="1" applyFont="1" applyFill="1" applyBorder="1" applyAlignment="1">
      <alignment horizontal="center" vertical="top" wrapText="1"/>
    </xf>
    <xf numFmtId="0" fontId="8" fillId="0" borderId="1" xfId="0" applyFont="1" applyBorder="1" applyAlignment="1">
      <alignment horizontal="center" vertical="top" wrapText="1"/>
    </xf>
    <xf numFmtId="0" fontId="6" fillId="0" borderId="36" xfId="0" applyFont="1" applyBorder="1" applyAlignment="1">
      <alignment horizontal="center" vertical="center" wrapText="1"/>
    </xf>
    <xf numFmtId="49" fontId="6" fillId="0" borderId="5" xfId="0" applyNumberFormat="1" applyFont="1" applyBorder="1" applyAlignment="1">
      <alignment horizontal="center" vertical="center" wrapText="1"/>
    </xf>
    <xf numFmtId="49" fontId="5" fillId="0" borderId="25" xfId="0" applyNumberFormat="1" applyFont="1" applyBorder="1" applyAlignment="1">
      <alignment vertical="top" wrapText="1"/>
    </xf>
    <xf numFmtId="0" fontId="0" fillId="0" borderId="0" xfId="0" applyAlignment="1">
      <alignment horizontal="center"/>
    </xf>
    <xf numFmtId="1" fontId="49" fillId="0" borderId="4" xfId="0" applyNumberFormat="1" applyFont="1" applyBorder="1" applyAlignment="1"/>
    <xf numFmtId="1" fontId="52" fillId="0" borderId="4" xfId="0" applyNumberFormat="1" applyFont="1" applyBorder="1" applyAlignment="1">
      <alignment horizontal="center"/>
    </xf>
    <xf numFmtId="1" fontId="49" fillId="0" borderId="4" xfId="0" applyNumberFormat="1" applyFont="1" applyBorder="1" applyAlignment="1">
      <alignment horizontal="center"/>
    </xf>
    <xf numFmtId="0" fontId="58" fillId="13" borderId="46" xfId="0" applyFont="1" applyFill="1" applyBorder="1" applyAlignment="1">
      <alignment wrapText="1"/>
    </xf>
    <xf numFmtId="0" fontId="59" fillId="8" borderId="46" xfId="0" applyFont="1" applyFill="1" applyBorder="1" applyAlignment="1">
      <alignment horizontal="center" wrapText="1"/>
    </xf>
    <xf numFmtId="49" fontId="58" fillId="22" borderId="46" xfId="0" applyNumberFormat="1" applyFont="1" applyFill="1" applyBorder="1" applyAlignment="1">
      <alignment horizontal="center" wrapText="1"/>
    </xf>
    <xf numFmtId="49" fontId="58" fillId="27" borderId="46" xfId="0" applyNumberFormat="1" applyFont="1" applyFill="1" applyBorder="1" applyAlignment="1">
      <alignment horizontal="center" wrapText="1"/>
    </xf>
    <xf numFmtId="1" fontId="57" fillId="26" borderId="46" xfId="0" applyNumberFormat="1" applyFont="1" applyFill="1" applyBorder="1" applyAlignment="1">
      <alignment horizontal="center" wrapText="1"/>
    </xf>
    <xf numFmtId="49" fontId="58" fillId="26" borderId="46" xfId="0" applyNumberFormat="1" applyFont="1" applyFill="1" applyBorder="1" applyAlignment="1">
      <alignment horizontal="center" wrapText="1"/>
    </xf>
    <xf numFmtId="1" fontId="57" fillId="25" borderId="46" xfId="0" applyNumberFormat="1" applyFont="1" applyFill="1" applyBorder="1" applyAlignment="1">
      <alignment horizontal="center" wrapText="1"/>
    </xf>
    <xf numFmtId="0" fontId="61" fillId="0" borderId="0" xfId="0" applyFont="1">
      <alignment vertical="top"/>
    </xf>
    <xf numFmtId="0" fontId="5" fillId="0" borderId="0" xfId="0" applyFont="1" applyAlignment="1">
      <alignment horizontal="right" vertical="top"/>
    </xf>
    <xf numFmtId="0" fontId="31" fillId="0" borderId="0" xfId="0" applyFont="1" applyAlignment="1">
      <alignment horizontal="right" vertical="top"/>
    </xf>
    <xf numFmtId="0" fontId="5" fillId="8" borderId="57" xfId="0" applyFont="1" applyFill="1" applyBorder="1" applyAlignment="1">
      <alignment vertical="top" wrapText="1"/>
    </xf>
    <xf numFmtId="0" fontId="5" fillId="8" borderId="28" xfId="0" applyFont="1" applyFill="1" applyBorder="1" applyAlignment="1">
      <alignment vertical="top" wrapText="1"/>
    </xf>
    <xf numFmtId="0" fontId="5" fillId="8" borderId="72" xfId="0" applyFont="1" applyFill="1" applyBorder="1" applyAlignment="1">
      <alignment vertical="top" wrapText="1"/>
    </xf>
    <xf numFmtId="2" fontId="5" fillId="0" borderId="1" xfId="0" applyNumberFormat="1" applyFont="1" applyBorder="1" applyAlignment="1">
      <alignment horizontal="center" vertical="top" wrapText="1"/>
    </xf>
    <xf numFmtId="2" fontId="5" fillId="0" borderId="41" xfId="0" applyNumberFormat="1" applyFont="1" applyBorder="1" applyAlignment="1">
      <alignment horizontal="center" vertical="top" wrapText="1"/>
    </xf>
    <xf numFmtId="0" fontId="5" fillId="0" borderId="57" xfId="0" applyFont="1" applyBorder="1" applyAlignment="1">
      <alignment horizontal="left" vertical="top" wrapText="1"/>
    </xf>
    <xf numFmtId="0" fontId="5" fillId="0" borderId="27" xfId="0" applyFont="1" applyBorder="1" applyAlignment="1">
      <alignment horizontal="left" vertical="top" wrapText="1"/>
    </xf>
    <xf numFmtId="2" fontId="5" fillId="0" borderId="49" xfId="0" applyNumberFormat="1" applyFont="1" applyBorder="1" applyAlignment="1">
      <alignment horizontal="center" vertical="top" wrapText="1"/>
    </xf>
    <xf numFmtId="49" fontId="6" fillId="31" borderId="55" xfId="0" applyNumberFormat="1" applyFont="1" applyFill="1" applyBorder="1" applyAlignment="1">
      <alignment horizontal="center" vertical="center" wrapText="1"/>
    </xf>
    <xf numFmtId="0" fontId="5" fillId="31" borderId="5" xfId="0" applyFont="1" applyFill="1" applyBorder="1" applyAlignment="1">
      <alignment vertical="top" wrapText="1"/>
    </xf>
    <xf numFmtId="2" fontId="10" fillId="0" borderId="0" xfId="1" applyNumberFormat="1" applyAlignment="1">
      <alignment vertical="center"/>
    </xf>
    <xf numFmtId="2" fontId="10" fillId="0" borderId="0" xfId="1" applyNumberFormat="1">
      <alignment vertical="top"/>
    </xf>
    <xf numFmtId="0" fontId="62" fillId="0" borderId="0" xfId="0" applyFont="1" applyAlignment="1">
      <alignment vertical="top" wrapText="1"/>
    </xf>
    <xf numFmtId="0" fontId="5" fillId="0" borderId="5" xfId="2" applyFont="1" applyBorder="1" applyAlignment="1" applyProtection="1">
      <alignment vertical="top" wrapText="1"/>
    </xf>
    <xf numFmtId="0" fontId="5" fillId="0" borderId="5" xfId="2" applyFont="1" applyBorder="1" applyAlignment="1" applyProtection="1">
      <alignment horizontal="left" vertical="top" wrapText="1"/>
    </xf>
    <xf numFmtId="0" fontId="5" fillId="21" borderId="70" xfId="0" applyFont="1" applyFill="1" applyBorder="1" applyAlignment="1">
      <alignment horizontal="left" vertical="top" wrapText="1"/>
    </xf>
    <xf numFmtId="0" fontId="5" fillId="21" borderId="70" xfId="0" applyFont="1" applyFill="1" applyBorder="1" applyAlignment="1">
      <alignment horizontal="left" vertical="top"/>
    </xf>
    <xf numFmtId="0" fontId="46" fillId="0" borderId="0" xfId="0" applyFont="1" applyAlignment="1">
      <alignment horizontal="center"/>
    </xf>
    <xf numFmtId="0" fontId="46" fillId="0" borderId="46" xfId="0" applyFont="1" applyBorder="1" applyAlignment="1">
      <alignment horizontal="center"/>
    </xf>
    <xf numFmtId="0" fontId="5" fillId="21" borderId="25" xfId="0" applyFont="1" applyFill="1" applyBorder="1" applyAlignment="1">
      <alignment horizontal="left" vertical="top" wrapText="1"/>
    </xf>
    <xf numFmtId="0" fontId="65" fillId="0" borderId="5" xfId="1" applyFont="1" applyBorder="1" applyAlignment="1">
      <alignment vertical="center" wrapText="1"/>
    </xf>
    <xf numFmtId="0" fontId="5" fillId="0" borderId="0" xfId="0" applyFont="1" applyAlignment="1">
      <alignment horizontal="left" vertical="center"/>
    </xf>
    <xf numFmtId="49" fontId="5" fillId="23" borderId="1" xfId="1" applyNumberFormat="1" applyFont="1" applyFill="1" applyBorder="1" applyAlignment="1" applyProtection="1">
      <alignment horizontal="center" vertical="center" wrapText="1"/>
      <protection locked="0"/>
    </xf>
    <xf numFmtId="49" fontId="2" fillId="0" borderId="16" xfId="1" applyNumberFormat="1" applyFont="1" applyBorder="1" applyAlignment="1">
      <alignment horizontal="right" vertical="center" wrapText="1"/>
    </xf>
    <xf numFmtId="0" fontId="10" fillId="0" borderId="0" xfId="1" applyAlignment="1">
      <alignment horizontal="center" vertical="center"/>
    </xf>
    <xf numFmtId="0" fontId="5" fillId="0" borderId="74" xfId="0" applyFont="1" applyBorder="1" applyAlignment="1">
      <alignment horizontal="left" vertical="top" wrapText="1"/>
    </xf>
    <xf numFmtId="0" fontId="53" fillId="33" borderId="23" xfId="0" applyFont="1" applyFill="1" applyBorder="1" applyAlignment="1">
      <alignment horizontal="center" wrapText="1"/>
    </xf>
    <xf numFmtId="0" fontId="46" fillId="33" borderId="5" xfId="0" applyFont="1" applyFill="1" applyBorder="1" applyAlignment="1" applyProtection="1">
      <alignment horizontal="center" textRotation="180"/>
      <protection locked="0"/>
    </xf>
    <xf numFmtId="0" fontId="53" fillId="33" borderId="5" xfId="0" applyFont="1" applyFill="1" applyBorder="1" applyAlignment="1">
      <alignment horizontal="center"/>
    </xf>
    <xf numFmtId="1" fontId="46" fillId="34" borderId="36" xfId="0" applyNumberFormat="1" applyFont="1" applyFill="1" applyBorder="1" applyAlignment="1">
      <alignment horizontal="center" vertical="center" wrapText="1"/>
    </xf>
    <xf numFmtId="0" fontId="53" fillId="34" borderId="5" xfId="0" applyFont="1" applyFill="1" applyBorder="1" applyAlignment="1">
      <alignment horizontal="center" wrapText="1"/>
    </xf>
    <xf numFmtId="0" fontId="53" fillId="34" borderId="43" xfId="0" applyFont="1" applyFill="1" applyBorder="1" applyAlignment="1">
      <alignment horizontal="center" wrapText="1"/>
    </xf>
    <xf numFmtId="49" fontId="49" fillId="0" borderId="21" xfId="0" applyNumberFormat="1" applyFont="1" applyBorder="1" applyAlignment="1">
      <alignment vertical="top" wrapText="1"/>
    </xf>
    <xf numFmtId="0" fontId="55" fillId="0" borderId="21" xfId="0" applyFont="1" applyBorder="1" applyAlignment="1">
      <alignment vertical="top" wrapText="1"/>
    </xf>
    <xf numFmtId="0" fontId="13" fillId="0" borderId="0" xfId="0" applyFont="1" applyAlignment="1">
      <alignment horizontal="left" vertical="top" wrapText="1"/>
    </xf>
    <xf numFmtId="0" fontId="0" fillId="0" borderId="55" xfId="0" applyBorder="1" applyAlignment="1">
      <alignment vertical="top" wrapText="1"/>
    </xf>
    <xf numFmtId="0" fontId="5" fillId="0" borderId="66" xfId="0" applyFont="1" applyBorder="1" applyAlignment="1">
      <alignment horizontal="left"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0" xfId="0" applyFont="1" applyBorder="1" applyAlignment="1">
      <alignment horizontal="left" vertical="top" wrapText="1"/>
    </xf>
    <xf numFmtId="0" fontId="5" fillId="0" borderId="19" xfId="0" applyFont="1" applyBorder="1" applyAlignment="1">
      <alignment horizontal="left" vertical="top" wrapText="1"/>
    </xf>
    <xf numFmtId="2" fontId="35" fillId="0" borderId="0" xfId="0" applyNumberFormat="1" applyFont="1" applyAlignment="1">
      <alignment vertical="center" wrapText="1"/>
    </xf>
    <xf numFmtId="0" fontId="35" fillId="0" borderId="0" xfId="0" applyFont="1" applyAlignment="1">
      <alignment horizontal="left" vertical="center" wrapText="1"/>
    </xf>
    <xf numFmtId="0" fontId="4" fillId="0" borderId="0" xfId="0" applyFont="1" applyAlignment="1">
      <alignment vertical="center"/>
    </xf>
    <xf numFmtId="0" fontId="5" fillId="0" borderId="23" xfId="0" applyFont="1" applyBorder="1" applyAlignment="1" applyProtection="1">
      <alignment vertical="top" wrapText="1"/>
      <protection locked="0"/>
    </xf>
    <xf numFmtId="0" fontId="5" fillId="0" borderId="44" xfId="0" applyFont="1" applyBorder="1" applyAlignment="1" applyProtection="1">
      <alignment vertical="top" wrapText="1"/>
      <protection locked="0"/>
    </xf>
    <xf numFmtId="0" fontId="5" fillId="0" borderId="61" xfId="0" applyFont="1" applyBorder="1" applyAlignment="1" applyProtection="1">
      <alignment horizontal="center" vertical="top"/>
      <protection locked="0"/>
    </xf>
    <xf numFmtId="0" fontId="5"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49" fontId="67" fillId="15" borderId="5" xfId="1" applyNumberFormat="1" applyFont="1" applyFill="1" applyBorder="1" applyAlignment="1">
      <alignment horizontal="center" vertical="center" wrapText="1"/>
    </xf>
    <xf numFmtId="49" fontId="67" fillId="15" borderId="38" xfId="1" applyNumberFormat="1" applyFont="1" applyFill="1" applyBorder="1" applyAlignment="1">
      <alignment horizontal="center" vertical="center" wrapText="1"/>
    </xf>
    <xf numFmtId="2" fontId="2" fillId="0" borderId="36" xfId="1" applyNumberFormat="1" applyFont="1" applyBorder="1" applyAlignment="1">
      <alignment horizontal="right" vertical="center" wrapText="1"/>
    </xf>
    <xf numFmtId="2" fontId="18" fillId="0" borderId="36" xfId="1" applyNumberFormat="1" applyFont="1" applyBorder="1" applyAlignment="1">
      <alignment horizontal="right" vertical="center" wrapText="1"/>
    </xf>
    <xf numFmtId="0" fontId="31" fillId="0" borderId="71" xfId="0" applyFont="1" applyBorder="1" applyAlignment="1">
      <alignment vertical="top" wrapText="1"/>
    </xf>
    <xf numFmtId="0" fontId="5" fillId="0" borderId="5" xfId="0" applyFont="1" applyBorder="1" applyAlignment="1">
      <alignment horizontal="left" vertical="top"/>
    </xf>
    <xf numFmtId="0" fontId="53" fillId="33" borderId="36" xfId="0" applyFont="1" applyFill="1" applyBorder="1" applyAlignment="1">
      <alignment horizontal="center" wrapText="1"/>
    </xf>
    <xf numFmtId="0" fontId="5" fillId="0" borderId="75" xfId="0" applyFont="1" applyBorder="1" applyAlignment="1">
      <alignment horizontal="left" vertical="top" wrapText="1"/>
    </xf>
    <xf numFmtId="0" fontId="5" fillId="0" borderId="26" xfId="0" applyFont="1" applyBorder="1" applyAlignment="1">
      <alignment horizontal="left" vertical="top"/>
    </xf>
    <xf numFmtId="0" fontId="5" fillId="0" borderId="20" xfId="0" applyFont="1" applyBorder="1" applyAlignment="1">
      <alignment horizontal="left" vertical="top"/>
    </xf>
    <xf numFmtId="16" fontId="5" fillId="0" borderId="26" xfId="0" applyNumberFormat="1" applyFont="1" applyBorder="1" applyAlignment="1">
      <alignment horizontal="left" vertical="top" wrapText="1"/>
    </xf>
    <xf numFmtId="0" fontId="5" fillId="0" borderId="22" xfId="0" applyFont="1" applyBorder="1" applyAlignment="1">
      <alignment horizontal="left" vertical="top"/>
    </xf>
    <xf numFmtId="0" fontId="5" fillId="0" borderId="66" xfId="0" applyFont="1" applyBorder="1" applyAlignment="1">
      <alignment horizontal="left" vertical="top"/>
    </xf>
    <xf numFmtId="0" fontId="5" fillId="0" borderId="25" xfId="0" applyFont="1" applyBorder="1" applyAlignment="1">
      <alignment horizontal="left" vertical="top"/>
    </xf>
    <xf numFmtId="0" fontId="53" fillId="34" borderId="55" xfId="0" applyFont="1" applyFill="1" applyBorder="1" applyAlignment="1">
      <alignment horizontal="center" wrapText="1"/>
    </xf>
    <xf numFmtId="0" fontId="5" fillId="21" borderId="26" xfId="0" applyFont="1" applyFill="1" applyBorder="1" applyAlignment="1">
      <alignment horizontal="left" vertical="center" wrapText="1"/>
    </xf>
    <xf numFmtId="0" fontId="5" fillId="21" borderId="20" xfId="0" applyFont="1" applyFill="1" applyBorder="1" applyAlignment="1">
      <alignment horizontal="left" vertical="top" wrapText="1"/>
    </xf>
    <xf numFmtId="0" fontId="6" fillId="21" borderId="26" xfId="0" applyFont="1" applyFill="1" applyBorder="1" applyAlignment="1">
      <alignment horizontal="left" vertical="top" wrapText="1"/>
    </xf>
    <xf numFmtId="49" fontId="5" fillId="21" borderId="26" xfId="0" applyNumberFormat="1" applyFont="1" applyFill="1" applyBorder="1" applyAlignment="1">
      <alignment horizontal="left" vertical="top" wrapText="1"/>
    </xf>
    <xf numFmtId="0" fontId="5" fillId="21" borderId="25" xfId="0" applyFont="1" applyFill="1" applyBorder="1" applyAlignment="1">
      <alignment vertical="top" wrapText="1"/>
    </xf>
    <xf numFmtId="0" fontId="5" fillId="21" borderId="26" xfId="0" applyFont="1" applyFill="1" applyBorder="1" applyAlignment="1">
      <alignment vertical="top" wrapText="1"/>
    </xf>
    <xf numFmtId="0" fontId="5" fillId="21" borderId="22" xfId="0" applyFont="1" applyFill="1" applyBorder="1" applyAlignment="1">
      <alignment vertical="top" wrapText="1"/>
    </xf>
    <xf numFmtId="0" fontId="5" fillId="21" borderId="65" xfId="0" applyFont="1" applyFill="1" applyBorder="1" applyAlignment="1">
      <alignment horizontal="left" vertical="top" wrapText="1"/>
    </xf>
    <xf numFmtId="0" fontId="5" fillId="0" borderId="2" xfId="0" applyFont="1" applyBorder="1" applyAlignment="1">
      <alignment vertical="top" wrapText="1"/>
    </xf>
    <xf numFmtId="0" fontId="5" fillId="21" borderId="38" xfId="0" applyFont="1" applyFill="1" applyBorder="1" applyAlignment="1">
      <alignment horizontal="left" vertical="top" wrapText="1"/>
    </xf>
    <xf numFmtId="49" fontId="5" fillId="21" borderId="20" xfId="0" applyNumberFormat="1" applyFont="1" applyFill="1" applyBorder="1" applyAlignment="1">
      <alignment horizontal="left" vertical="top" wrapText="1"/>
    </xf>
    <xf numFmtId="16" fontId="5" fillId="21" borderId="25" xfId="0" applyNumberFormat="1" applyFont="1" applyFill="1" applyBorder="1" applyAlignment="1">
      <alignment horizontal="left" vertical="top" wrapText="1"/>
    </xf>
    <xf numFmtId="16" fontId="5" fillId="21" borderId="26" xfId="0" applyNumberFormat="1" applyFont="1" applyFill="1" applyBorder="1" applyAlignment="1">
      <alignment horizontal="left" vertical="top" wrapText="1"/>
    </xf>
    <xf numFmtId="49" fontId="5" fillId="21" borderId="75" xfId="0" applyNumberFormat="1" applyFont="1" applyFill="1" applyBorder="1" applyAlignment="1">
      <alignment horizontal="left" vertical="top" wrapText="1"/>
    </xf>
    <xf numFmtId="0" fontId="5" fillId="0" borderId="61" xfId="0" applyFont="1" applyBorder="1" applyAlignment="1">
      <alignment vertical="top" wrapText="1"/>
    </xf>
    <xf numFmtId="17" fontId="5" fillId="21" borderId="25" xfId="0" applyNumberFormat="1" applyFont="1" applyFill="1" applyBorder="1" applyAlignment="1">
      <alignment horizontal="left" vertical="top" wrapText="1"/>
    </xf>
    <xf numFmtId="17" fontId="5" fillId="21" borderId="26" xfId="0" applyNumberFormat="1" applyFont="1" applyFill="1" applyBorder="1" applyAlignment="1">
      <alignment horizontal="left" vertical="top" wrapText="1"/>
    </xf>
    <xf numFmtId="17" fontId="5" fillId="21" borderId="75" xfId="0" applyNumberFormat="1" applyFont="1" applyFill="1" applyBorder="1" applyAlignment="1">
      <alignment horizontal="left" vertical="top" wrapText="1"/>
    </xf>
    <xf numFmtId="0" fontId="5" fillId="0" borderId="30" xfId="0" applyFont="1" applyBorder="1">
      <alignment vertical="top"/>
    </xf>
    <xf numFmtId="0" fontId="6" fillId="0" borderId="73" xfId="0" applyFont="1" applyBorder="1" applyAlignment="1">
      <alignment vertical="top" wrapText="1"/>
    </xf>
    <xf numFmtId="0" fontId="5" fillId="0" borderId="71" xfId="0" applyFont="1" applyBorder="1" applyAlignment="1">
      <alignment vertical="top" wrapText="1"/>
    </xf>
    <xf numFmtId="0" fontId="5" fillId="0" borderId="43" xfId="0" applyFont="1" applyBorder="1">
      <alignment vertical="top"/>
    </xf>
    <xf numFmtId="0" fontId="5" fillId="0" borderId="48" xfId="0" applyFont="1" applyBorder="1" applyProtection="1">
      <alignment vertical="top"/>
      <protection locked="0"/>
    </xf>
    <xf numFmtId="0" fontId="5" fillId="0" borderId="44" xfId="0" applyFont="1" applyBorder="1" applyProtection="1">
      <alignment vertical="top"/>
      <protection locked="0"/>
    </xf>
    <xf numFmtId="0" fontId="66" fillId="34" borderId="29" xfId="0" applyFont="1" applyFill="1" applyBorder="1" applyAlignment="1" applyProtection="1">
      <alignment horizontal="center" wrapText="1"/>
      <protection locked="0"/>
    </xf>
    <xf numFmtId="2" fontId="4" fillId="0" borderId="53" xfId="0" applyNumberFormat="1" applyFont="1" applyBorder="1" applyAlignment="1">
      <alignment horizontal="center" wrapText="1"/>
    </xf>
    <xf numFmtId="0" fontId="37" fillId="0" borderId="0" xfId="0" applyFont="1" applyAlignment="1">
      <alignment vertical="center" wrapText="1"/>
    </xf>
    <xf numFmtId="0" fontId="4" fillId="0" borderId="35" xfId="0" applyFont="1" applyBorder="1" applyAlignment="1">
      <alignment vertical="top" wrapText="1"/>
    </xf>
    <xf numFmtId="0" fontId="4" fillId="0" borderId="62" xfId="0" applyFont="1" applyBorder="1" applyAlignment="1">
      <alignment vertical="top" wrapText="1"/>
    </xf>
    <xf numFmtId="0" fontId="14" fillId="0" borderId="36" xfId="0" applyFont="1" applyBorder="1" applyAlignment="1"/>
    <xf numFmtId="0" fontId="17" fillId="0" borderId="56" xfId="0" applyFont="1" applyBorder="1" applyAlignment="1">
      <alignment vertical="top" wrapText="1"/>
    </xf>
    <xf numFmtId="2" fontId="4" fillId="0" borderId="36" xfId="0" applyNumberFormat="1" applyFont="1" applyBorder="1" applyAlignment="1">
      <alignment horizontal="center" wrapText="1"/>
    </xf>
    <xf numFmtId="1" fontId="36" fillId="0" borderId="10" xfId="0" applyNumberFormat="1" applyFont="1" applyBorder="1" applyAlignment="1">
      <alignment vertical="top" wrapText="1"/>
    </xf>
    <xf numFmtId="1" fontId="5" fillId="0" borderId="1" xfId="0" applyNumberFormat="1" applyFont="1" applyBorder="1" applyAlignment="1">
      <alignment vertical="top" wrapText="1"/>
    </xf>
    <xf numFmtId="1" fontId="57" fillId="25" borderId="80" xfId="0" applyNumberFormat="1" applyFont="1" applyFill="1" applyBorder="1" applyAlignment="1">
      <alignment wrapText="1"/>
    </xf>
    <xf numFmtId="0" fontId="68" fillId="0" borderId="43" xfId="0" applyFont="1" applyBorder="1" applyAlignment="1">
      <alignment horizontal="center" vertical="top" wrapText="1"/>
    </xf>
    <xf numFmtId="2" fontId="0" fillId="0" borderId="0" xfId="0" applyNumberFormat="1" applyAlignment="1"/>
    <xf numFmtId="0" fontId="70" fillId="0" borderId="0" xfId="0" applyFont="1" applyAlignment="1">
      <alignment vertical="center"/>
    </xf>
    <xf numFmtId="2" fontId="37" fillId="6" borderId="5" xfId="0" applyNumberFormat="1" applyFont="1" applyFill="1" applyBorder="1" applyAlignment="1">
      <alignment horizontal="center" wrapText="1"/>
    </xf>
    <xf numFmtId="0" fontId="14" fillId="0" borderId="0" xfId="0" applyFont="1" applyAlignment="1">
      <alignment vertical="center" wrapText="1"/>
    </xf>
    <xf numFmtId="49" fontId="5" fillId="0" borderId="1" xfId="1" applyNumberFormat="1" applyFont="1" applyBorder="1" applyAlignment="1" applyProtection="1">
      <alignment horizontal="center" vertical="center" wrapText="1"/>
      <protection locked="0"/>
    </xf>
    <xf numFmtId="1" fontId="10" fillId="0" borderId="1" xfId="1" applyNumberFormat="1" applyBorder="1" applyAlignment="1" applyProtection="1">
      <alignment horizontal="center" vertical="center"/>
      <protection locked="0"/>
    </xf>
    <xf numFmtId="1" fontId="55" fillId="24" borderId="40" xfId="1" applyNumberFormat="1" applyFont="1" applyFill="1" applyBorder="1" applyAlignment="1">
      <alignment horizontal="center" vertical="center"/>
    </xf>
    <xf numFmtId="2" fontId="56" fillId="7" borderId="5" xfId="1" applyNumberFormat="1" applyFont="1" applyFill="1" applyBorder="1" applyAlignment="1">
      <alignment horizontal="center" vertical="center"/>
    </xf>
    <xf numFmtId="49" fontId="5" fillId="0" borderId="1" xfId="1" applyNumberFormat="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protection locked="0"/>
    </xf>
    <xf numFmtId="2" fontId="37" fillId="3" borderId="36" xfId="0" applyNumberFormat="1" applyFont="1" applyFill="1" applyBorder="1" applyAlignment="1">
      <alignment horizontal="center" wrapText="1"/>
    </xf>
    <xf numFmtId="2" fontId="37" fillId="3" borderId="63" xfId="0" applyNumberFormat="1" applyFont="1" applyFill="1" applyBorder="1" applyAlignment="1">
      <alignment horizontal="center" wrapText="1"/>
    </xf>
    <xf numFmtId="0" fontId="4" fillId="0" borderId="0" xfId="0" applyFont="1" applyAlignment="1">
      <alignment vertical="top" wrapText="1"/>
    </xf>
    <xf numFmtId="0" fontId="6" fillId="36" borderId="29" xfId="0" applyFont="1" applyFill="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0" fontId="5" fillId="0" borderId="74" xfId="0" applyFont="1" applyBorder="1" applyAlignment="1" applyProtection="1">
      <alignment horizontal="center" vertical="top" wrapText="1"/>
      <protection locked="0"/>
    </xf>
    <xf numFmtId="1" fontId="5" fillId="0" borderId="5" xfId="0" applyNumberFormat="1" applyFont="1" applyBorder="1" applyAlignment="1" applyProtection="1">
      <alignment horizontal="center" vertical="top" wrapText="1"/>
      <protection locked="0"/>
    </xf>
    <xf numFmtId="0" fontId="6" fillId="36" borderId="23" xfId="0" applyFont="1" applyFill="1" applyBorder="1" applyAlignment="1" applyProtection="1">
      <alignment horizontal="center" vertical="top" wrapText="1"/>
      <protection locked="0"/>
    </xf>
    <xf numFmtId="0" fontId="5" fillId="0" borderId="24" xfId="0" applyFont="1" applyBorder="1" applyAlignment="1" applyProtection="1">
      <alignment horizontal="center" vertical="top" wrapText="1"/>
      <protection locked="0"/>
    </xf>
    <xf numFmtId="0" fontId="6" fillId="36" borderId="48" xfId="0" applyFont="1" applyFill="1" applyBorder="1" applyAlignment="1" applyProtection="1">
      <alignment horizontal="center" vertical="top" wrapText="1"/>
      <protection locked="0"/>
    </xf>
    <xf numFmtId="0" fontId="5" fillId="0" borderId="21" xfId="0" applyFont="1" applyBorder="1" applyAlignment="1" applyProtection="1">
      <alignment horizontal="center" vertical="top"/>
      <protection locked="0"/>
    </xf>
    <xf numFmtId="0" fontId="5" fillId="0" borderId="74" xfId="0" applyFont="1" applyBorder="1" applyAlignment="1" applyProtection="1">
      <alignment horizontal="center" vertical="top"/>
      <protection locked="0"/>
    </xf>
    <xf numFmtId="1" fontId="5" fillId="0" borderId="21" xfId="0" applyNumberFormat="1" applyFont="1" applyBorder="1" applyAlignment="1" applyProtection="1">
      <alignment horizontal="center" vertical="top" wrapText="1"/>
      <protection locked="0"/>
    </xf>
    <xf numFmtId="1" fontId="5" fillId="0" borderId="74" xfId="0" applyNumberFormat="1"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1" fontId="5" fillId="0" borderId="18" xfId="0" applyNumberFormat="1" applyFont="1" applyBorder="1" applyAlignment="1" applyProtection="1">
      <alignment horizontal="center" vertical="top" wrapText="1"/>
      <protection locked="0"/>
    </xf>
    <xf numFmtId="0" fontId="5" fillId="0" borderId="48" xfId="0" applyFont="1" applyBorder="1" applyAlignment="1" applyProtection="1">
      <alignment horizontal="center" vertical="top"/>
      <protection locked="0"/>
    </xf>
    <xf numFmtId="0" fontId="5" fillId="0" borderId="5" xfId="0" applyFont="1" applyBorder="1" applyAlignment="1" applyProtection="1">
      <alignment horizontal="center" vertical="top"/>
      <protection locked="0"/>
    </xf>
    <xf numFmtId="0" fontId="6" fillId="36" borderId="5" xfId="0" applyFont="1" applyFill="1" applyBorder="1" applyAlignment="1" applyProtection="1">
      <alignment horizontal="center" vertical="top" wrapText="1"/>
      <protection locked="0"/>
    </xf>
    <xf numFmtId="0" fontId="5" fillId="0" borderId="29" xfId="0" applyFont="1" applyBorder="1" applyAlignment="1" applyProtection="1">
      <alignment horizontal="center" vertical="top" wrapText="1"/>
      <protection locked="0"/>
    </xf>
    <xf numFmtId="2" fontId="5" fillId="0" borderId="5" xfId="1" applyNumberFormat="1"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0" borderId="18" xfId="0" applyFont="1" applyBorder="1" applyAlignment="1" applyProtection="1">
      <alignment horizontal="center" vertical="top"/>
      <protection locked="0"/>
    </xf>
    <xf numFmtId="0" fontId="0" fillId="0" borderId="21" xfId="0" applyBorder="1" applyAlignment="1" applyProtection="1">
      <alignment horizontal="center" vertical="top"/>
      <protection locked="0"/>
    </xf>
    <xf numFmtId="2" fontId="5" fillId="0" borderId="5" xfId="0" applyNumberFormat="1" applyFont="1" applyBorder="1" applyAlignment="1" applyProtection="1">
      <alignment horizontal="center" vertical="top"/>
      <protection locked="0"/>
    </xf>
    <xf numFmtId="0" fontId="5" fillId="0" borderId="44" xfId="0" applyFont="1" applyBorder="1" applyAlignment="1" applyProtection="1">
      <alignment horizontal="center" vertical="top"/>
      <protection locked="0"/>
    </xf>
    <xf numFmtId="1" fontId="72" fillId="0" borderId="21" xfId="0" applyNumberFormat="1" applyFont="1" applyBorder="1" applyAlignment="1" applyProtection="1">
      <alignment horizontal="center" vertical="top" wrapText="1"/>
      <protection locked="0"/>
    </xf>
    <xf numFmtId="1" fontId="72" fillId="0" borderId="18" xfId="0" applyNumberFormat="1" applyFont="1" applyBorder="1" applyAlignment="1" applyProtection="1">
      <alignment horizontal="center" vertical="top" wrapText="1"/>
      <protection locked="0"/>
    </xf>
    <xf numFmtId="0" fontId="5" fillId="0" borderId="48" xfId="0" applyFont="1" applyBorder="1" applyAlignment="1" applyProtection="1">
      <alignment horizontal="center" vertical="top" wrapText="1"/>
      <protection locked="0"/>
    </xf>
    <xf numFmtId="0" fontId="5" fillId="0" borderId="21" xfId="0" applyFont="1" applyBorder="1" applyAlignment="1" applyProtection="1">
      <alignment horizontal="center" vertical="center"/>
      <protection locked="0"/>
    </xf>
    <xf numFmtId="0" fontId="5" fillId="0" borderId="24" xfId="0" applyFont="1" applyBorder="1" applyAlignment="1" applyProtection="1">
      <alignment horizontal="center" vertical="center"/>
      <protection locked="0"/>
    </xf>
    <xf numFmtId="0" fontId="5" fillId="0" borderId="21" xfId="0" applyFont="1" applyBorder="1" applyAlignment="1" applyProtection="1">
      <alignment horizontal="center" vertical="center" wrapText="1"/>
      <protection locked="0"/>
    </xf>
    <xf numFmtId="0" fontId="5" fillId="0" borderId="74" xfId="0" applyFont="1" applyBorder="1" applyAlignment="1" applyProtection="1">
      <alignment horizontal="center" vertical="center" wrapText="1"/>
      <protection locked="0"/>
    </xf>
    <xf numFmtId="0" fontId="5" fillId="0" borderId="74" xfId="0" applyFont="1" applyBorder="1" applyAlignment="1" applyProtection="1">
      <alignment horizontal="center" vertical="center"/>
      <protection locked="0"/>
    </xf>
    <xf numFmtId="1" fontId="5" fillId="0" borderId="5" xfId="0" applyNumberFormat="1" applyFont="1" applyBorder="1" applyAlignment="1" applyProtection="1">
      <alignment horizontal="center" vertical="center" wrapText="1"/>
      <protection locked="0"/>
    </xf>
    <xf numFmtId="0" fontId="5" fillId="0" borderId="48"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1" fontId="5" fillId="0" borderId="18" xfId="0" applyNumberFormat="1" applyFont="1" applyBorder="1" applyAlignment="1" applyProtection="1">
      <alignment horizontal="center" vertical="center" wrapText="1"/>
      <protection locked="0"/>
    </xf>
    <xf numFmtId="1" fontId="5" fillId="0" borderId="21" xfId="0" applyNumberFormat="1" applyFont="1" applyBorder="1" applyAlignment="1" applyProtection="1">
      <alignment horizontal="center" vertical="center" wrapText="1"/>
      <protection locked="0"/>
    </xf>
    <xf numFmtId="1" fontId="5" fillId="0" borderId="74" xfId="0" applyNumberFormat="1" applyFont="1" applyBorder="1" applyAlignment="1" applyProtection="1">
      <alignment horizontal="center" vertical="center" wrapText="1"/>
      <protection locked="0"/>
    </xf>
    <xf numFmtId="0" fontId="5" fillId="0" borderId="23"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1" fontId="5" fillId="0" borderId="48" xfId="0" applyNumberFormat="1"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1" fontId="5" fillId="0" borderId="21" xfId="0" applyNumberFormat="1" applyFont="1" applyBorder="1" applyAlignment="1" applyProtection="1">
      <alignment horizontal="center" vertical="center"/>
      <protection locked="0"/>
    </xf>
    <xf numFmtId="1" fontId="5" fillId="0" borderId="74" xfId="0" applyNumberFormat="1" applyFont="1" applyBorder="1" applyAlignment="1" applyProtection="1">
      <alignment horizontal="center" vertical="center"/>
      <protection locked="0"/>
    </xf>
    <xf numFmtId="1" fontId="5" fillId="0" borderId="24" xfId="0" applyNumberFormat="1" applyFont="1" applyBorder="1" applyAlignment="1" applyProtection="1">
      <alignment horizontal="center" vertical="center" wrapText="1"/>
      <protection locked="0"/>
    </xf>
    <xf numFmtId="0" fontId="5" fillId="0" borderId="48"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49" fontId="5" fillId="0" borderId="21" xfId="1" applyNumberFormat="1" applyFont="1" applyBorder="1" applyAlignment="1" applyProtection="1">
      <alignment horizontal="center" vertical="center" wrapText="1"/>
      <protection locked="0"/>
    </xf>
    <xf numFmtId="49" fontId="5" fillId="23" borderId="21" xfId="1" applyNumberFormat="1" applyFont="1" applyFill="1" applyBorder="1" applyAlignment="1" applyProtection="1">
      <alignment horizontal="center" vertical="center" wrapText="1"/>
      <protection locked="0"/>
    </xf>
    <xf numFmtId="0" fontId="71" fillId="0" borderId="0" xfId="0" applyFont="1">
      <alignment vertical="top"/>
    </xf>
    <xf numFmtId="2" fontId="73" fillId="0" borderId="0" xfId="0" applyNumberFormat="1" applyFont="1" applyAlignment="1">
      <alignment horizontal="right" vertical="top"/>
    </xf>
    <xf numFmtId="2" fontId="70" fillId="0" borderId="0" xfId="0" applyNumberFormat="1" applyFont="1" applyAlignment="1" applyProtection="1">
      <alignment horizontal="right" vertical="top"/>
      <protection hidden="1"/>
    </xf>
    <xf numFmtId="0" fontId="16" fillId="15" borderId="66" xfId="0" applyFont="1" applyFill="1" applyBorder="1" applyAlignment="1"/>
    <xf numFmtId="0" fontId="17" fillId="0" borderId="70" xfId="0" applyFont="1" applyBorder="1" applyAlignment="1">
      <alignment vertical="center"/>
    </xf>
    <xf numFmtId="0" fontId="17" fillId="0" borderId="26" xfId="0" applyFont="1" applyBorder="1" applyAlignment="1">
      <alignment vertical="center"/>
    </xf>
    <xf numFmtId="0" fontId="17" fillId="0" borderId="20" xfId="0" applyFont="1" applyBorder="1" applyAlignment="1">
      <alignment vertical="center"/>
    </xf>
    <xf numFmtId="0" fontId="17" fillId="0" borderId="25" xfId="0" applyFont="1" applyBorder="1" applyAlignment="1">
      <alignment vertical="center"/>
    </xf>
    <xf numFmtId="0" fontId="17" fillId="0" borderId="26" xfId="0" applyFont="1" applyBorder="1" applyAlignment="1">
      <alignment vertical="center" wrapText="1"/>
    </xf>
    <xf numFmtId="0" fontId="17" fillId="0" borderId="20" xfId="0" applyFont="1" applyBorder="1" applyAlignment="1">
      <alignment vertical="center" wrapText="1"/>
    </xf>
    <xf numFmtId="2" fontId="5" fillId="0" borderId="25" xfId="0" applyNumberFormat="1" applyFont="1" applyBorder="1" applyAlignment="1">
      <alignment horizontal="center" vertical="center"/>
    </xf>
    <xf numFmtId="2" fontId="5" fillId="0" borderId="37" xfId="0" applyNumberFormat="1" applyFont="1" applyBorder="1" applyAlignment="1">
      <alignment horizontal="center" vertical="center"/>
    </xf>
    <xf numFmtId="2" fontId="5" fillId="0" borderId="56" xfId="0" applyNumberFormat="1" applyFont="1" applyBorder="1" applyAlignment="1">
      <alignment horizontal="center" vertical="center"/>
    </xf>
    <xf numFmtId="0" fontId="48" fillId="0" borderId="57" xfId="0" applyFont="1" applyBorder="1" applyAlignment="1">
      <alignment horizontal="center" vertical="center"/>
    </xf>
    <xf numFmtId="2" fontId="5" fillId="0" borderId="26" xfId="0" applyNumberFormat="1" applyFont="1" applyBorder="1" applyAlignment="1">
      <alignment horizontal="center" vertical="center"/>
    </xf>
    <xf numFmtId="2" fontId="5" fillId="0" borderId="35" xfId="0" applyNumberFormat="1" applyFont="1" applyBorder="1" applyAlignment="1">
      <alignment horizontal="center" vertical="center"/>
    </xf>
    <xf numFmtId="0" fontId="48" fillId="0" borderId="27" xfId="0" applyFont="1" applyBorder="1" applyAlignment="1">
      <alignment horizontal="center" vertical="center"/>
    </xf>
    <xf numFmtId="2" fontId="5" fillId="0" borderId="20" xfId="0" applyNumberFormat="1" applyFont="1" applyBorder="1" applyAlignment="1">
      <alignment horizontal="center" vertical="center"/>
    </xf>
    <xf numFmtId="2" fontId="5" fillId="0" borderId="62" xfId="0" applyNumberFormat="1" applyFont="1" applyBorder="1" applyAlignment="1">
      <alignment horizontal="center" vertical="center"/>
    </xf>
    <xf numFmtId="0" fontId="48" fillId="0" borderId="42" xfId="0" applyFont="1" applyBorder="1" applyAlignment="1">
      <alignment horizontal="center" vertical="center"/>
    </xf>
    <xf numFmtId="0" fontId="5" fillId="5" borderId="41" xfId="0" applyFont="1" applyFill="1" applyBorder="1" applyAlignment="1">
      <alignment horizontal="center" vertical="center"/>
    </xf>
    <xf numFmtId="0" fontId="5" fillId="5" borderId="56" xfId="0" applyFont="1" applyFill="1" applyBorder="1" applyAlignment="1">
      <alignment horizontal="center" vertical="center"/>
    </xf>
    <xf numFmtId="0" fontId="5" fillId="24" borderId="57" xfId="0" applyFont="1" applyFill="1" applyBorder="1" applyAlignment="1">
      <alignment horizontal="center" vertical="center"/>
    </xf>
    <xf numFmtId="2" fontId="5" fillId="5" borderId="25" xfId="0" applyNumberFormat="1" applyFont="1" applyFill="1" applyBorder="1" applyAlignment="1">
      <alignment horizontal="center" vertical="center"/>
    </xf>
    <xf numFmtId="2" fontId="5" fillId="5" borderId="19" xfId="0" applyNumberFormat="1" applyFont="1" applyFill="1" applyBorder="1" applyAlignment="1">
      <alignment horizontal="center" vertical="center"/>
    </xf>
    <xf numFmtId="0" fontId="5" fillId="24" borderId="8" xfId="0" applyFont="1" applyFill="1" applyBorder="1" applyAlignment="1">
      <alignment horizontal="center" vertical="center"/>
    </xf>
    <xf numFmtId="2" fontId="5" fillId="5" borderId="20" xfId="0" applyNumberFormat="1" applyFont="1" applyFill="1" applyBorder="1" applyAlignment="1">
      <alignment horizontal="center" vertical="center"/>
    </xf>
    <xf numFmtId="0" fontId="5" fillId="24" borderId="50" xfId="0" applyFont="1" applyFill="1" applyBorder="1" applyAlignment="1">
      <alignment horizontal="center" vertical="center"/>
    </xf>
    <xf numFmtId="0" fontId="5" fillId="24" borderId="37" xfId="0" applyFont="1" applyFill="1" applyBorder="1" applyAlignment="1">
      <alignment horizontal="center" vertical="center"/>
    </xf>
    <xf numFmtId="0" fontId="5" fillId="24" borderId="2" xfId="0" applyFont="1" applyFill="1" applyBorder="1" applyAlignment="1">
      <alignment horizontal="center" vertical="center"/>
    </xf>
    <xf numFmtId="2" fontId="5" fillId="5" borderId="53" xfId="0" applyNumberFormat="1" applyFont="1" applyFill="1" applyBorder="1" applyAlignment="1">
      <alignment horizontal="center" vertical="center"/>
    </xf>
    <xf numFmtId="2" fontId="5" fillId="5" borderId="63" xfId="0" applyNumberFormat="1" applyFont="1" applyFill="1" applyBorder="1" applyAlignment="1">
      <alignment horizontal="center" vertical="center"/>
    </xf>
    <xf numFmtId="2" fontId="5" fillId="5" borderId="66" xfId="0" applyNumberFormat="1" applyFont="1" applyFill="1" applyBorder="1" applyAlignment="1">
      <alignment horizontal="center" vertical="center"/>
    </xf>
    <xf numFmtId="0" fontId="74" fillId="0" borderId="66" xfId="0" applyFont="1" applyBorder="1" applyAlignment="1">
      <alignment horizontal="center" vertical="center"/>
    </xf>
    <xf numFmtId="0" fontId="17" fillId="0" borderId="19" xfId="0" applyFont="1" applyBorder="1" applyAlignment="1">
      <alignment vertical="center" wrapText="1"/>
    </xf>
    <xf numFmtId="2" fontId="5" fillId="0" borderId="8" xfId="0" applyNumberFormat="1" applyFont="1" applyBorder="1" applyAlignment="1">
      <alignment horizontal="center" vertical="center"/>
    </xf>
    <xf numFmtId="2" fontId="5" fillId="0" borderId="79" xfId="0" applyNumberFormat="1" applyFont="1" applyBorder="1" applyAlignment="1">
      <alignment horizontal="center" vertical="center"/>
    </xf>
    <xf numFmtId="0" fontId="48" fillId="0" borderId="28" xfId="0" applyFont="1" applyBorder="1" applyAlignment="1">
      <alignment horizontal="center" vertical="center"/>
    </xf>
    <xf numFmtId="0" fontId="8" fillId="0" borderId="5" xfId="0" applyFont="1" applyBorder="1" applyAlignment="1" applyProtection="1">
      <alignment vertical="center" wrapText="1"/>
      <protection locked="0"/>
    </xf>
    <xf numFmtId="0" fontId="65" fillId="0" borderId="5" xfId="0" applyFont="1" applyBorder="1" applyAlignment="1" applyProtection="1">
      <alignment vertical="top" wrapText="1"/>
      <protection locked="0"/>
    </xf>
    <xf numFmtId="0" fontId="5" fillId="0" borderId="35" xfId="0" applyFont="1" applyBorder="1" applyAlignment="1">
      <alignment vertical="top" wrapText="1"/>
    </xf>
    <xf numFmtId="0" fontId="5" fillId="0" borderId="56" xfId="0" applyFont="1" applyBorder="1" applyAlignment="1">
      <alignment vertical="top" wrapText="1"/>
    </xf>
    <xf numFmtId="0" fontId="5" fillId="0" borderId="79" xfId="0" applyFont="1" applyBorder="1" applyAlignment="1">
      <alignment vertical="top" wrapText="1"/>
    </xf>
    <xf numFmtId="0" fontId="0" fillId="0" borderId="0" xfId="0" applyAlignment="1"/>
    <xf numFmtId="49" fontId="31" fillId="0" borderId="73" xfId="0" applyNumberFormat="1" applyFont="1" applyBorder="1" applyAlignment="1">
      <alignment horizontal="left" vertical="top" wrapText="1"/>
    </xf>
    <xf numFmtId="1" fontId="5" fillId="2" borderId="67" xfId="0" applyNumberFormat="1" applyFont="1" applyFill="1" applyBorder="1" applyAlignment="1">
      <alignment horizontal="center" vertical="top" wrapText="1"/>
    </xf>
    <xf numFmtId="1" fontId="5" fillId="0" borderId="35" xfId="0" applyNumberFormat="1" applyFont="1" applyBorder="1" applyAlignment="1">
      <alignment horizontal="left" vertical="top" wrapText="1"/>
    </xf>
    <xf numFmtId="1" fontId="5" fillId="0" borderId="62" xfId="0" applyNumberFormat="1" applyFont="1" applyBorder="1" applyAlignment="1">
      <alignment horizontal="left" vertical="top" wrapText="1"/>
    </xf>
    <xf numFmtId="1" fontId="5" fillId="0" borderId="79" xfId="0" applyNumberFormat="1" applyFont="1" applyBorder="1" applyAlignment="1">
      <alignment horizontal="left" vertical="top" wrapText="1"/>
    </xf>
    <xf numFmtId="0" fontId="5" fillId="0" borderId="62" xfId="0" applyFont="1" applyBorder="1" applyAlignment="1">
      <alignment vertical="top" wrapText="1"/>
    </xf>
    <xf numFmtId="2" fontId="5" fillId="2" borderId="64" xfId="0" applyNumberFormat="1" applyFont="1" applyFill="1" applyBorder="1" applyAlignment="1">
      <alignment horizontal="center" vertical="top"/>
    </xf>
    <xf numFmtId="0" fontId="5" fillId="0" borderId="80" xfId="0" applyFont="1" applyBorder="1" applyAlignment="1">
      <alignment vertical="top" wrapText="1"/>
    </xf>
    <xf numFmtId="1" fontId="5" fillId="2" borderId="59" xfId="0" applyNumberFormat="1" applyFont="1" applyFill="1" applyBorder="1" applyAlignment="1">
      <alignment horizontal="center" vertical="top"/>
    </xf>
    <xf numFmtId="2" fontId="28" fillId="2" borderId="4" xfId="0" applyNumberFormat="1" applyFont="1" applyFill="1" applyBorder="1" applyAlignment="1">
      <alignment horizontal="center" vertical="top" wrapText="1"/>
    </xf>
    <xf numFmtId="0" fontId="52" fillId="0" borderId="3" xfId="0" applyFont="1" applyBorder="1" applyAlignment="1">
      <alignment horizontal="center" vertical="center"/>
    </xf>
    <xf numFmtId="2" fontId="75" fillId="0" borderId="0" xfId="0" applyNumberFormat="1" applyFont="1" applyAlignment="1">
      <alignment horizontal="center" vertical="center"/>
    </xf>
    <xf numFmtId="2" fontId="5" fillId="0" borderId="13" xfId="0" applyNumberFormat="1" applyFont="1" applyBorder="1" applyAlignment="1">
      <alignment horizontal="center" vertical="center"/>
    </xf>
    <xf numFmtId="2" fontId="5" fillId="0" borderId="57" xfId="0" applyNumberFormat="1" applyFont="1" applyBorder="1" applyAlignment="1">
      <alignment horizontal="center" vertical="center"/>
    </xf>
    <xf numFmtId="2" fontId="5" fillId="0" borderId="28" xfId="0" applyNumberFormat="1" applyFont="1" applyBorder="1" applyAlignment="1">
      <alignment horizontal="center" vertical="center"/>
    </xf>
    <xf numFmtId="2" fontId="5" fillId="0" borderId="40" xfId="0" applyNumberFormat="1" applyFont="1" applyBorder="1" applyAlignment="1">
      <alignment horizontal="center" vertical="center"/>
    </xf>
    <xf numFmtId="0" fontId="5" fillId="24" borderId="13" xfId="0" applyFont="1" applyFill="1" applyBorder="1" applyAlignment="1">
      <alignment horizontal="center" vertical="center"/>
    </xf>
    <xf numFmtId="2" fontId="6" fillId="0" borderId="0" xfId="0" applyNumberFormat="1" applyFont="1" applyAlignment="1">
      <alignment horizontal="center" vertical="center" wrapText="1"/>
    </xf>
    <xf numFmtId="0" fontId="48" fillId="0" borderId="0" xfId="0" applyFont="1" applyAlignment="1">
      <alignment horizontal="center" vertical="center"/>
    </xf>
    <xf numFmtId="2" fontId="48" fillId="0" borderId="0" xfId="0" applyNumberFormat="1" applyFont="1" applyAlignment="1">
      <alignment horizontal="center" vertical="center"/>
    </xf>
    <xf numFmtId="0" fontId="48" fillId="0" borderId="37" xfId="0" applyFont="1" applyBorder="1" applyAlignment="1">
      <alignment horizontal="center" vertical="center"/>
    </xf>
    <xf numFmtId="0" fontId="48" fillId="0" borderId="2" xfId="0" applyFont="1" applyBorder="1" applyAlignment="1">
      <alignment horizontal="center" vertical="center"/>
    </xf>
    <xf numFmtId="0" fontId="48" fillId="0" borderId="50" xfId="0" applyFont="1" applyBorder="1" applyAlignment="1">
      <alignment horizontal="center" vertical="center"/>
    </xf>
    <xf numFmtId="2" fontId="4" fillId="0" borderId="0" xfId="0" applyNumberFormat="1" applyFont="1" applyAlignment="1">
      <alignment horizontal="center" wrapText="1"/>
    </xf>
    <xf numFmtId="2" fontId="37" fillId="0" borderId="0" xfId="0" applyNumberFormat="1" applyFont="1" applyAlignment="1">
      <alignment horizontal="center" wrapText="1"/>
    </xf>
    <xf numFmtId="0" fontId="70" fillId="0" borderId="0" xfId="0" applyFont="1" applyAlignment="1" applyProtection="1">
      <alignment vertical="center" wrapText="1"/>
      <protection hidden="1"/>
    </xf>
    <xf numFmtId="2" fontId="70" fillId="0" borderId="0" xfId="0" applyNumberFormat="1" applyFont="1" applyAlignment="1" applyProtection="1">
      <alignment wrapText="1"/>
      <protection hidden="1"/>
    </xf>
    <xf numFmtId="0" fontId="70" fillId="0" borderId="0" xfId="0" applyFont="1" applyAlignment="1" applyProtection="1">
      <alignment vertical="center"/>
      <protection hidden="1"/>
    </xf>
    <xf numFmtId="0" fontId="70" fillId="0" borderId="0" xfId="0" applyFont="1" applyProtection="1">
      <alignment vertical="top"/>
      <protection hidden="1"/>
    </xf>
    <xf numFmtId="2" fontId="37" fillId="6" borderId="55" xfId="0" applyNumberFormat="1" applyFont="1" applyFill="1" applyBorder="1" applyAlignment="1">
      <alignment horizontal="center" wrapText="1"/>
    </xf>
    <xf numFmtId="2" fontId="5" fillId="5" borderId="29" xfId="0" applyNumberFormat="1" applyFont="1" applyFill="1" applyBorder="1" applyAlignment="1">
      <alignment horizontal="center" vertical="center"/>
    </xf>
    <xf numFmtId="2" fontId="5" fillId="5" borderId="83" xfId="0" applyNumberFormat="1" applyFont="1" applyFill="1" applyBorder="1" applyAlignment="1">
      <alignment horizontal="center" vertical="center"/>
    </xf>
    <xf numFmtId="0" fontId="5" fillId="24" borderId="40" xfId="0" applyFont="1" applyFill="1" applyBorder="1" applyAlignment="1">
      <alignment horizontal="center" vertical="center"/>
    </xf>
    <xf numFmtId="2" fontId="5" fillId="0" borderId="19" xfId="0" applyNumberFormat="1" applyFont="1" applyBorder="1" applyAlignment="1">
      <alignment horizontal="center" vertical="center"/>
    </xf>
    <xf numFmtId="2" fontId="5" fillId="0" borderId="66" xfId="0" applyNumberFormat="1" applyFont="1" applyBorder="1" applyAlignment="1">
      <alignment horizontal="center" vertical="center"/>
    </xf>
    <xf numFmtId="2" fontId="5" fillId="0" borderId="36" xfId="0" applyNumberFormat="1" applyFont="1" applyBorder="1" applyAlignment="1">
      <alignment horizontal="center" vertical="center"/>
    </xf>
    <xf numFmtId="2" fontId="5" fillId="0" borderId="63" xfId="0" applyNumberFormat="1" applyFont="1" applyBorder="1" applyAlignment="1">
      <alignment horizontal="center" vertical="center"/>
    </xf>
    <xf numFmtId="0" fontId="5" fillId="0" borderId="29" xfId="0" applyFont="1" applyBorder="1" applyAlignment="1">
      <alignment vertical="center"/>
    </xf>
    <xf numFmtId="0" fontId="5" fillId="0" borderId="21" xfId="0" applyFont="1" applyBorder="1" applyAlignment="1">
      <alignment vertical="center"/>
    </xf>
    <xf numFmtId="0" fontId="5" fillId="0" borderId="74" xfId="0" applyFont="1" applyBorder="1" applyAlignment="1">
      <alignment vertical="center"/>
    </xf>
    <xf numFmtId="0" fontId="5" fillId="0" borderId="5" xfId="0" applyFont="1" applyBorder="1" applyAlignment="1">
      <alignment vertical="center"/>
    </xf>
    <xf numFmtId="2" fontId="5" fillId="5" borderId="45" xfId="0" applyNumberFormat="1" applyFont="1" applyFill="1" applyBorder="1" applyAlignment="1">
      <alignment horizontal="center" vertical="center"/>
    </xf>
    <xf numFmtId="2" fontId="5" fillId="15" borderId="25" xfId="0" applyNumberFormat="1" applyFont="1" applyFill="1" applyBorder="1" applyAlignment="1">
      <alignment horizontal="center" vertical="center"/>
    </xf>
    <xf numFmtId="2" fontId="5" fillId="15" borderId="26" xfId="0" applyNumberFormat="1" applyFont="1" applyFill="1" applyBorder="1" applyAlignment="1">
      <alignment horizontal="center" vertical="center"/>
    </xf>
    <xf numFmtId="2" fontId="5" fillId="15" borderId="20" xfId="0" applyNumberFormat="1" applyFont="1" applyFill="1" applyBorder="1" applyAlignment="1">
      <alignment horizontal="center" vertical="center"/>
    </xf>
    <xf numFmtId="2" fontId="5" fillId="15" borderId="37" xfId="0" applyNumberFormat="1" applyFont="1" applyFill="1" applyBorder="1" applyAlignment="1">
      <alignment horizontal="center" vertical="center"/>
    </xf>
    <xf numFmtId="2" fontId="5" fillId="15" borderId="2" xfId="0" applyNumberFormat="1" applyFont="1" applyFill="1" applyBorder="1" applyAlignment="1">
      <alignment horizontal="center" vertical="center"/>
    </xf>
    <xf numFmtId="2" fontId="5" fillId="15" borderId="50" xfId="0" applyNumberFormat="1" applyFont="1" applyFill="1" applyBorder="1" applyAlignment="1">
      <alignment horizontal="center" vertical="center"/>
    </xf>
    <xf numFmtId="2" fontId="5" fillId="15" borderId="8" xfId="0" applyNumberFormat="1" applyFont="1" applyFill="1" applyBorder="1" applyAlignment="1">
      <alignment horizontal="center" vertical="center"/>
    </xf>
    <xf numFmtId="0" fontId="76" fillId="0" borderId="0" xfId="0" applyFont="1">
      <alignment vertical="top"/>
    </xf>
    <xf numFmtId="2" fontId="76" fillId="15" borderId="45" xfId="0" applyNumberFormat="1" applyFont="1" applyFill="1" applyBorder="1" applyAlignment="1">
      <alignment horizontal="center" wrapText="1"/>
    </xf>
    <xf numFmtId="2" fontId="76" fillId="15" borderId="53" xfId="0" applyNumberFormat="1" applyFont="1" applyFill="1" applyBorder="1" applyAlignment="1">
      <alignment horizontal="center" wrapText="1"/>
    </xf>
    <xf numFmtId="2" fontId="76" fillId="15" borderId="63" xfId="0" applyNumberFormat="1" applyFont="1" applyFill="1" applyBorder="1" applyAlignment="1">
      <alignment horizontal="center" wrapText="1"/>
    </xf>
    <xf numFmtId="2" fontId="79" fillId="15" borderId="2" xfId="0" applyNumberFormat="1" applyFont="1" applyFill="1" applyBorder="1" applyAlignment="1" applyProtection="1">
      <alignment horizontal="center" wrapText="1"/>
      <protection hidden="1"/>
    </xf>
    <xf numFmtId="2" fontId="79" fillId="15" borderId="15" xfId="0" applyNumberFormat="1" applyFont="1" applyFill="1" applyBorder="1" applyAlignment="1" applyProtection="1">
      <alignment horizontal="center" wrapText="1"/>
      <protection hidden="1"/>
    </xf>
    <xf numFmtId="2" fontId="79" fillId="15" borderId="6" xfId="0" applyNumberFormat="1" applyFont="1" applyFill="1" applyBorder="1" applyAlignment="1" applyProtection="1">
      <alignment horizontal="center" wrapText="1"/>
      <protection hidden="1"/>
    </xf>
    <xf numFmtId="2" fontId="80" fillId="15" borderId="23" xfId="0" applyNumberFormat="1" applyFont="1" applyFill="1" applyBorder="1">
      <alignment vertical="top"/>
    </xf>
    <xf numFmtId="2" fontId="80" fillId="15" borderId="0" xfId="0" applyNumberFormat="1" applyFont="1" applyFill="1">
      <alignment vertical="top"/>
    </xf>
    <xf numFmtId="2" fontId="80" fillId="15" borderId="71" xfId="0" applyNumberFormat="1" applyFont="1" applyFill="1" applyBorder="1">
      <alignment vertical="top"/>
    </xf>
    <xf numFmtId="0" fontId="80" fillId="0" borderId="0" xfId="0" applyFont="1">
      <alignment vertical="top"/>
    </xf>
    <xf numFmtId="2" fontId="80" fillId="15" borderId="13" xfId="0" applyNumberFormat="1" applyFont="1" applyFill="1" applyBorder="1" applyAlignment="1">
      <alignment horizontal="right" vertical="top"/>
    </xf>
    <xf numFmtId="2" fontId="80" fillId="15" borderId="0" xfId="0" applyNumberFormat="1" applyFont="1" applyFill="1" applyAlignment="1">
      <alignment horizontal="right" vertical="top"/>
    </xf>
    <xf numFmtId="2" fontId="80" fillId="15" borderId="11" xfId="0" applyNumberFormat="1" applyFont="1" applyFill="1" applyBorder="1" applyAlignment="1">
      <alignment horizontal="right" vertical="top"/>
    </xf>
    <xf numFmtId="2" fontId="80" fillId="15" borderId="48" xfId="0" applyNumberFormat="1" applyFont="1" applyFill="1" applyBorder="1">
      <alignment vertical="top"/>
    </xf>
    <xf numFmtId="2" fontId="80" fillId="15" borderId="13" xfId="0" applyNumberFormat="1" applyFont="1" applyFill="1" applyBorder="1" applyAlignment="1" applyProtection="1">
      <alignment horizontal="right" vertical="top"/>
      <protection hidden="1"/>
    </xf>
    <xf numFmtId="2" fontId="80" fillId="15" borderId="0" xfId="0" applyNumberFormat="1" applyFont="1" applyFill="1" applyAlignment="1" applyProtection="1">
      <alignment horizontal="right" vertical="top"/>
      <protection hidden="1"/>
    </xf>
    <xf numFmtId="2" fontId="80" fillId="15" borderId="48" xfId="0" applyNumberFormat="1" applyFont="1" applyFill="1" applyBorder="1" applyAlignment="1">
      <alignment horizontal="right" vertical="top"/>
    </xf>
    <xf numFmtId="2" fontId="80" fillId="15" borderId="71" xfId="0" applyNumberFormat="1" applyFont="1" applyFill="1" applyBorder="1" applyAlignment="1">
      <alignment horizontal="right" vertical="top"/>
    </xf>
    <xf numFmtId="2" fontId="80" fillId="15" borderId="11" xfId="0" applyNumberFormat="1" applyFont="1" applyFill="1" applyBorder="1" applyAlignment="1" applyProtection="1">
      <alignment horizontal="right" vertical="top"/>
      <protection hidden="1"/>
    </xf>
    <xf numFmtId="2" fontId="80" fillId="15" borderId="44" xfId="0" applyNumberFormat="1" applyFont="1" applyFill="1" applyBorder="1">
      <alignment vertical="top"/>
    </xf>
    <xf numFmtId="2" fontId="80" fillId="15" borderId="10" xfId="0" applyNumberFormat="1" applyFont="1" applyFill="1" applyBorder="1">
      <alignment vertical="top"/>
    </xf>
    <xf numFmtId="2" fontId="80" fillId="15" borderId="73" xfId="0" applyNumberFormat="1" applyFont="1" applyFill="1" applyBorder="1">
      <alignment vertical="top"/>
    </xf>
    <xf numFmtId="2" fontId="80" fillId="5" borderId="65" xfId="0" applyNumberFormat="1" applyFont="1" applyFill="1" applyBorder="1" applyAlignment="1">
      <alignment horizontal="center" vertical="top"/>
    </xf>
    <xf numFmtId="2" fontId="80" fillId="5" borderId="25" xfId="0" applyNumberFormat="1" applyFont="1" applyFill="1" applyBorder="1" applyAlignment="1">
      <alignment horizontal="center" vertical="top"/>
    </xf>
    <xf numFmtId="2" fontId="80" fillId="5" borderId="70" xfId="0" applyNumberFormat="1" applyFont="1" applyFill="1" applyBorder="1" applyAlignment="1">
      <alignment horizontal="center" vertical="top"/>
    </xf>
    <xf numFmtId="2" fontId="80" fillId="5" borderId="56" xfId="0" applyNumberFormat="1" applyFont="1" applyFill="1" applyBorder="1" applyAlignment="1">
      <alignment horizontal="center" vertical="top"/>
    </xf>
    <xf numFmtId="2" fontId="80" fillId="5" borderId="41" xfId="0" applyNumberFormat="1" applyFont="1" applyFill="1" applyBorder="1" applyAlignment="1">
      <alignment horizontal="center" vertical="top"/>
    </xf>
    <xf numFmtId="2" fontId="80" fillId="5" borderId="57" xfId="0" applyNumberFormat="1" applyFont="1" applyFill="1" applyBorder="1" applyAlignment="1">
      <alignment horizontal="center" vertical="top"/>
    </xf>
    <xf numFmtId="2" fontId="80" fillId="15" borderId="61" xfId="0" applyNumberFormat="1" applyFont="1" applyFill="1" applyBorder="1">
      <alignment vertical="top"/>
    </xf>
    <xf numFmtId="2" fontId="80" fillId="15" borderId="30" xfId="0" applyNumberFormat="1" applyFont="1" applyFill="1" applyBorder="1">
      <alignment vertical="top"/>
    </xf>
    <xf numFmtId="2" fontId="80" fillId="5" borderId="80" xfId="0" applyNumberFormat="1" applyFont="1" applyFill="1" applyBorder="1" applyAlignment="1">
      <alignment horizontal="center" vertical="top"/>
    </xf>
    <xf numFmtId="2" fontId="80" fillId="5" borderId="54" xfId="0" applyNumberFormat="1" applyFont="1" applyFill="1" applyBorder="1" applyAlignment="1">
      <alignment horizontal="center" vertical="top"/>
    </xf>
    <xf numFmtId="2" fontId="80" fillId="5" borderId="72" xfId="0" applyNumberFormat="1" applyFont="1" applyFill="1" applyBorder="1" applyAlignment="1">
      <alignment horizontal="center" vertical="top"/>
    </xf>
    <xf numFmtId="2" fontId="80" fillId="5" borderId="79" xfId="0" applyNumberFormat="1" applyFont="1" applyFill="1" applyBorder="1" applyAlignment="1">
      <alignment horizontal="center" vertical="top"/>
    </xf>
    <xf numFmtId="2" fontId="80" fillId="5" borderId="4" xfId="0" applyNumberFormat="1" applyFont="1" applyFill="1" applyBorder="1" applyAlignment="1">
      <alignment horizontal="center" vertical="top"/>
    </xf>
    <xf numFmtId="2" fontId="80" fillId="5" borderId="28" xfId="0" applyNumberFormat="1" applyFont="1" applyFill="1" applyBorder="1" applyAlignment="1">
      <alignment horizontal="center" vertical="top"/>
    </xf>
    <xf numFmtId="2" fontId="80" fillId="15" borderId="8" xfId="0" applyNumberFormat="1" applyFont="1" applyFill="1" applyBorder="1" applyAlignment="1" applyProtection="1">
      <alignment horizontal="right" vertical="top"/>
      <protection hidden="1"/>
    </xf>
    <xf numFmtId="2" fontId="80" fillId="15" borderId="14" xfId="0" applyNumberFormat="1" applyFont="1" applyFill="1" applyBorder="1" applyAlignment="1" applyProtection="1">
      <alignment horizontal="right" vertical="top"/>
      <protection hidden="1"/>
    </xf>
    <xf numFmtId="2" fontId="80" fillId="15" borderId="14" xfId="0" applyNumberFormat="1" applyFont="1" applyFill="1" applyBorder="1" applyAlignment="1">
      <alignment horizontal="right" vertical="top"/>
    </xf>
    <xf numFmtId="2" fontId="80" fillId="15" borderId="12" xfId="0" applyNumberFormat="1" applyFont="1" applyFill="1" applyBorder="1" applyAlignment="1">
      <alignment horizontal="right" vertical="top"/>
    </xf>
    <xf numFmtId="0" fontId="26" fillId="0" borderId="36" xfId="0" applyFont="1" applyBorder="1" applyAlignment="1">
      <alignment horizontal="left" vertical="top" wrapText="1"/>
    </xf>
    <xf numFmtId="0" fontId="26" fillId="0" borderId="55" xfId="0" applyFont="1" applyBorder="1" applyAlignment="1">
      <alignment horizontal="left" vertical="top" wrapText="1"/>
    </xf>
    <xf numFmtId="0" fontId="26" fillId="0" borderId="43" xfId="0" applyFont="1" applyBorder="1" applyAlignment="1">
      <alignment horizontal="left" vertical="top" wrapText="1"/>
    </xf>
    <xf numFmtId="0" fontId="13" fillId="33" borderId="36" xfId="0" applyFont="1" applyFill="1" applyBorder="1" applyAlignment="1">
      <alignment horizontal="left" vertical="center" wrapText="1"/>
    </xf>
    <xf numFmtId="0" fontId="13" fillId="33" borderId="55" xfId="0" applyFont="1" applyFill="1" applyBorder="1" applyAlignment="1">
      <alignment horizontal="left" vertical="center" wrapText="1"/>
    </xf>
    <xf numFmtId="0" fontId="13" fillId="33" borderId="43" xfId="0" applyFont="1" applyFill="1" applyBorder="1" applyAlignment="1">
      <alignment horizontal="left" vertical="center" wrapText="1"/>
    </xf>
    <xf numFmtId="0" fontId="5" fillId="0" borderId="23" xfId="0" applyFont="1" applyBorder="1" applyAlignment="1">
      <alignment horizontal="left" vertical="top" wrapText="1"/>
    </xf>
    <xf numFmtId="0" fontId="5" fillId="0" borderId="48" xfId="0" applyFont="1" applyBorder="1" applyAlignment="1">
      <alignment horizontal="left" vertical="top" wrapText="1"/>
    </xf>
    <xf numFmtId="0" fontId="5" fillId="0" borderId="44" xfId="0" applyFont="1" applyBorder="1" applyAlignment="1">
      <alignment horizontal="left" vertical="top" wrapText="1"/>
    </xf>
    <xf numFmtId="0" fontId="6" fillId="0" borderId="48" xfId="0" applyFont="1" applyBorder="1" applyAlignment="1">
      <alignment horizontal="left" vertical="top" wrapText="1"/>
    </xf>
    <xf numFmtId="0" fontId="6" fillId="0" borderId="44" xfId="0" applyFont="1" applyBorder="1" applyAlignment="1">
      <alignment horizontal="left" vertical="top" wrapText="1"/>
    </xf>
    <xf numFmtId="1" fontId="5" fillId="0" borderId="23" xfId="0" applyNumberFormat="1" applyFont="1" applyBorder="1" applyAlignment="1">
      <alignment horizontal="left" vertical="top" wrapText="1"/>
    </xf>
    <xf numFmtId="1" fontId="6" fillId="0" borderId="48" xfId="0" applyNumberFormat="1" applyFont="1" applyBorder="1" applyAlignment="1">
      <alignment horizontal="left" vertical="top" wrapText="1"/>
    </xf>
    <xf numFmtId="1" fontId="5" fillId="0" borderId="30" xfId="0" applyNumberFormat="1" applyFont="1" applyBorder="1" applyAlignment="1">
      <alignment horizontal="left" vertical="top" wrapText="1"/>
    </xf>
    <xf numFmtId="1" fontId="5" fillId="0" borderId="71" xfId="0" applyNumberFormat="1" applyFont="1" applyBorder="1" applyAlignment="1">
      <alignment horizontal="left" vertical="top" wrapText="1"/>
    </xf>
    <xf numFmtId="1" fontId="5" fillId="0" borderId="73" xfId="0" applyNumberFormat="1" applyFont="1" applyBorder="1" applyAlignment="1">
      <alignment horizontal="left" vertical="top" wrapText="1"/>
    </xf>
    <xf numFmtId="0" fontId="6" fillId="0" borderId="23" xfId="0" applyFont="1" applyBorder="1" applyAlignment="1">
      <alignment horizontal="left" vertical="top" wrapText="1"/>
    </xf>
    <xf numFmtId="0" fontId="5" fillId="0" borderId="30" xfId="0" applyFont="1" applyBorder="1" applyAlignment="1">
      <alignment horizontal="left" vertical="top" wrapText="1"/>
    </xf>
    <xf numFmtId="0" fontId="5" fillId="0" borderId="71" xfId="0" applyFont="1" applyBorder="1" applyAlignment="1">
      <alignment horizontal="left" vertical="top" wrapText="1"/>
    </xf>
    <xf numFmtId="0" fontId="5" fillId="0" borderId="73" xfId="0" applyFont="1" applyBorder="1" applyAlignment="1">
      <alignment horizontal="left" vertical="top" wrapText="1"/>
    </xf>
    <xf numFmtId="0" fontId="5" fillId="0" borderId="29" xfId="0" applyFont="1" applyBorder="1" applyAlignment="1">
      <alignment horizontal="left" vertical="top" wrapText="1"/>
    </xf>
    <xf numFmtId="0" fontId="5" fillId="0" borderId="21" xfId="0" applyFont="1" applyBorder="1" applyAlignment="1">
      <alignment horizontal="left" vertical="top" wrapText="1"/>
    </xf>
    <xf numFmtId="0" fontId="5" fillId="0" borderId="74" xfId="0" applyFont="1" applyBorder="1" applyAlignment="1">
      <alignment horizontal="left" vertical="top" wrapText="1"/>
    </xf>
    <xf numFmtId="0" fontId="28" fillId="0" borderId="23" xfId="0" applyFont="1" applyBorder="1" applyAlignment="1">
      <alignment horizontal="left" vertical="top" wrapText="1"/>
    </xf>
    <xf numFmtId="0" fontId="28" fillId="0" borderId="48" xfId="0" applyFont="1" applyBorder="1" applyAlignment="1">
      <alignment horizontal="left" vertical="top" wrapText="1"/>
    </xf>
    <xf numFmtId="0" fontId="28" fillId="0" borderId="44" xfId="0" applyFont="1" applyBorder="1" applyAlignment="1">
      <alignment horizontal="left" vertical="top" wrapText="1"/>
    </xf>
    <xf numFmtId="0" fontId="28" fillId="0" borderId="21" xfId="0" applyFont="1" applyBorder="1" applyAlignment="1">
      <alignment horizontal="left" vertical="top" wrapText="1"/>
    </xf>
    <xf numFmtId="0" fontId="28" fillId="0" borderId="74" xfId="0" applyFont="1" applyBorder="1" applyAlignment="1">
      <alignment horizontal="left" vertical="top" wrapText="1"/>
    </xf>
    <xf numFmtId="0" fontId="5" fillId="0" borderId="23" xfId="0" applyFont="1" applyBorder="1" applyAlignment="1">
      <alignment vertical="top" wrapText="1"/>
    </xf>
    <xf numFmtId="0" fontId="5" fillId="0" borderId="48" xfId="0" applyFont="1" applyBorder="1" applyAlignment="1">
      <alignment vertical="top" wrapText="1"/>
    </xf>
    <xf numFmtId="0" fontId="5" fillId="0" borderId="44" xfId="0" applyFont="1" applyBorder="1" applyAlignment="1">
      <alignment vertical="top" wrapText="1"/>
    </xf>
    <xf numFmtId="0" fontId="5" fillId="0" borderId="24" xfId="0" applyFont="1" applyBorder="1" applyAlignment="1">
      <alignment horizontal="left" vertical="top" wrapText="1"/>
    </xf>
    <xf numFmtId="1" fontId="5" fillId="0" borderId="48" xfId="0" applyNumberFormat="1" applyFont="1" applyBorder="1" applyAlignment="1">
      <alignment horizontal="left" vertical="top" wrapText="1"/>
    </xf>
    <xf numFmtId="1" fontId="5" fillId="0" borderId="44" xfId="0" applyNumberFormat="1" applyFont="1" applyBorder="1" applyAlignment="1">
      <alignment horizontal="left" vertical="top" wrapText="1"/>
    </xf>
    <xf numFmtId="1" fontId="28" fillId="0" borderId="48" xfId="0" applyNumberFormat="1" applyFont="1" applyBorder="1" applyAlignment="1">
      <alignment horizontal="left" vertical="top" wrapText="1"/>
    </xf>
    <xf numFmtId="1" fontId="28" fillId="0" borderId="44" xfId="0" applyNumberFormat="1" applyFont="1" applyBorder="1" applyAlignment="1">
      <alignment horizontal="left" vertical="top" wrapText="1"/>
    </xf>
    <xf numFmtId="0" fontId="28" fillId="0" borderId="29" xfId="0" applyFont="1" applyBorder="1" applyAlignment="1">
      <alignment horizontal="left" vertical="top" wrapText="1"/>
    </xf>
    <xf numFmtId="0" fontId="28" fillId="0" borderId="24" xfId="0" applyFont="1" applyBorder="1" applyAlignment="1">
      <alignment horizontal="left" vertical="top" wrapText="1"/>
    </xf>
    <xf numFmtId="0" fontId="64" fillId="34" borderId="36" xfId="0" applyFont="1" applyFill="1" applyBorder="1" applyAlignment="1">
      <alignment horizontal="left" vertical="center"/>
    </xf>
    <xf numFmtId="0" fontId="64" fillId="34" borderId="55" xfId="0" applyFont="1" applyFill="1" applyBorder="1" applyAlignment="1">
      <alignment horizontal="left" vertical="center"/>
    </xf>
    <xf numFmtId="0" fontId="64" fillId="34" borderId="43" xfId="0" applyFont="1" applyFill="1" applyBorder="1" applyAlignment="1">
      <alignment horizontal="left" vertical="center"/>
    </xf>
    <xf numFmtId="0" fontId="5" fillId="21" borderId="23" xfId="0" applyFont="1" applyFill="1" applyBorder="1" applyAlignment="1">
      <alignment horizontal="left" vertical="top" wrapText="1"/>
    </xf>
    <xf numFmtId="0" fontId="5" fillId="21" borderId="48" xfId="0" applyFont="1" applyFill="1" applyBorder="1" applyAlignment="1">
      <alignment horizontal="left" vertical="top" wrapText="1"/>
    </xf>
    <xf numFmtId="0" fontId="5" fillId="21" borderId="44" xfId="0" applyFont="1" applyFill="1" applyBorder="1" applyAlignment="1">
      <alignment horizontal="left" vertical="top" wrapText="1"/>
    </xf>
    <xf numFmtId="0" fontId="5" fillId="21" borderId="61" xfId="0" applyFont="1" applyFill="1" applyBorder="1" applyAlignment="1">
      <alignment horizontal="center" vertical="top"/>
    </xf>
    <xf numFmtId="0" fontId="5" fillId="21" borderId="0" xfId="0" applyFont="1" applyFill="1" applyAlignment="1">
      <alignment horizontal="center" vertical="top"/>
    </xf>
    <xf numFmtId="0" fontId="5" fillId="0" borderId="30" xfId="0" applyFont="1" applyBorder="1" applyAlignment="1">
      <alignment vertical="top" wrapText="1"/>
    </xf>
    <xf numFmtId="0" fontId="5" fillId="0" borderId="71" xfId="0" applyFont="1" applyBorder="1" applyAlignment="1">
      <alignment vertical="top" wrapText="1"/>
    </xf>
    <xf numFmtId="0" fontId="5" fillId="0" borderId="73" xfId="0" applyFont="1" applyBorder="1" applyAlignment="1">
      <alignment vertical="top" wrapText="1"/>
    </xf>
    <xf numFmtId="0" fontId="5" fillId="0" borderId="78" xfId="0" applyFont="1" applyBorder="1" applyAlignment="1">
      <alignment horizontal="left" vertical="top" wrapText="1"/>
    </xf>
    <xf numFmtId="0" fontId="5" fillId="0" borderId="77" xfId="0" applyFont="1" applyBorder="1" applyAlignment="1">
      <alignment horizontal="left" vertical="top" wrapText="1"/>
    </xf>
    <xf numFmtId="0" fontId="5" fillId="0" borderId="78" xfId="0" applyFont="1" applyBorder="1" applyAlignment="1">
      <alignment vertical="top" wrapText="1"/>
    </xf>
    <xf numFmtId="0" fontId="5" fillId="0" borderId="77" xfId="0" applyFont="1" applyBorder="1" applyAlignment="1">
      <alignment vertical="top" wrapText="1"/>
    </xf>
    <xf numFmtId="0" fontId="6" fillId="0" borderId="78" xfId="0" applyFont="1" applyBorder="1" applyAlignment="1">
      <alignment vertical="top" wrapText="1"/>
    </xf>
    <xf numFmtId="0" fontId="6" fillId="0" borderId="71" xfId="0" applyFont="1" applyBorder="1" applyAlignment="1">
      <alignment vertical="top" wrapText="1"/>
    </xf>
    <xf numFmtId="0" fontId="6" fillId="0" borderId="77" xfId="0" applyFont="1" applyBorder="1" applyAlignment="1">
      <alignment vertical="top" wrapText="1"/>
    </xf>
    <xf numFmtId="0" fontId="5" fillId="0" borderId="81" xfId="0" applyFont="1" applyBorder="1" applyAlignment="1">
      <alignment vertical="top" wrapText="1"/>
    </xf>
    <xf numFmtId="0" fontId="5" fillId="0" borderId="82" xfId="0" applyFont="1" applyBorder="1" applyAlignment="1">
      <alignment vertical="top" wrapText="1"/>
    </xf>
    <xf numFmtId="0" fontId="5" fillId="0" borderId="30" xfId="0" applyFont="1" applyBorder="1">
      <alignment vertical="top"/>
    </xf>
    <xf numFmtId="0" fontId="5" fillId="0" borderId="71" xfId="0" applyFont="1" applyBorder="1">
      <alignment vertical="top"/>
    </xf>
    <xf numFmtId="0" fontId="5" fillId="0" borderId="73" xfId="0" applyFont="1" applyBorder="1">
      <alignment vertical="top"/>
    </xf>
    <xf numFmtId="0" fontId="6" fillId="0" borderId="73" xfId="0" applyFont="1" applyBorder="1" applyAlignment="1">
      <alignment vertical="top" wrapText="1"/>
    </xf>
    <xf numFmtId="0" fontId="6" fillId="0" borderId="31" xfId="0" applyFont="1" applyBorder="1" applyAlignment="1">
      <alignment vertical="top" wrapText="1"/>
    </xf>
    <xf numFmtId="0" fontId="6" fillId="0" borderId="32" xfId="0" applyFont="1" applyBorder="1" applyAlignment="1">
      <alignment vertical="top" wrapText="1"/>
    </xf>
    <xf numFmtId="0" fontId="6" fillId="0" borderId="33" xfId="0" applyFont="1" applyBorder="1" applyAlignment="1">
      <alignment vertical="top" wrapText="1"/>
    </xf>
    <xf numFmtId="0" fontId="5" fillId="21" borderId="70" xfId="0" applyFont="1" applyFill="1" applyBorder="1" applyAlignment="1">
      <alignment horizontal="left" vertical="top" wrapText="1"/>
    </xf>
    <xf numFmtId="0" fontId="5" fillId="21" borderId="66" xfId="0" applyFont="1" applyFill="1" applyBorder="1" applyAlignment="1">
      <alignment horizontal="left" vertical="top" wrapText="1"/>
    </xf>
    <xf numFmtId="0" fontId="5" fillId="21" borderId="22" xfId="0" applyFont="1" applyFill="1" applyBorder="1" applyAlignment="1">
      <alignment horizontal="left" vertical="top" wrapText="1"/>
    </xf>
    <xf numFmtId="1" fontId="5" fillId="21" borderId="23" xfId="0" applyNumberFormat="1" applyFont="1" applyFill="1" applyBorder="1" applyAlignment="1">
      <alignment horizontal="left" vertical="top" wrapText="1"/>
    </xf>
    <xf numFmtId="1" fontId="5" fillId="21" borderId="48" xfId="0" applyNumberFormat="1" applyFont="1" applyFill="1" applyBorder="1" applyAlignment="1">
      <alignment horizontal="left" vertical="top" wrapText="1"/>
    </xf>
    <xf numFmtId="1" fontId="5" fillId="21" borderId="44" xfId="0" applyNumberFormat="1" applyFont="1" applyFill="1" applyBorder="1" applyAlignment="1">
      <alignment horizontal="left" vertical="top" wrapText="1"/>
    </xf>
    <xf numFmtId="1" fontId="5" fillId="21" borderId="70" xfId="0" applyNumberFormat="1" applyFont="1" applyFill="1" applyBorder="1" applyAlignment="1">
      <alignment horizontal="left" vertical="top" wrapText="1"/>
    </xf>
    <xf numFmtId="1" fontId="5" fillId="21" borderId="66" xfId="0" applyNumberFormat="1" applyFont="1" applyFill="1" applyBorder="1" applyAlignment="1">
      <alignment horizontal="left" vertical="top" wrapText="1"/>
    </xf>
    <xf numFmtId="1" fontId="5" fillId="21" borderId="22" xfId="0" applyNumberFormat="1" applyFont="1" applyFill="1" applyBorder="1" applyAlignment="1">
      <alignment horizontal="left" vertical="top" wrapText="1"/>
    </xf>
    <xf numFmtId="0" fontId="5" fillId="21" borderId="70" xfId="0" applyFont="1" applyFill="1" applyBorder="1" applyAlignment="1">
      <alignment horizontal="left" vertical="top"/>
    </xf>
    <xf numFmtId="0" fontId="5" fillId="21" borderId="66" xfId="0" applyFont="1" applyFill="1" applyBorder="1" applyAlignment="1">
      <alignment horizontal="left" vertical="top"/>
    </xf>
    <xf numFmtId="0" fontId="5" fillId="21" borderId="22" xfId="0" applyFont="1" applyFill="1" applyBorder="1" applyAlignment="1">
      <alignment horizontal="left" vertical="top"/>
    </xf>
    <xf numFmtId="1" fontId="5" fillId="21" borderId="70" xfId="0" applyNumberFormat="1" applyFont="1" applyFill="1" applyBorder="1" applyAlignment="1">
      <alignment horizontal="left" vertical="top"/>
    </xf>
    <xf numFmtId="1" fontId="5" fillId="21" borderId="66" xfId="0" applyNumberFormat="1" applyFont="1" applyFill="1" applyBorder="1" applyAlignment="1">
      <alignment horizontal="left" vertical="top"/>
    </xf>
    <xf numFmtId="1" fontId="5" fillId="21" borderId="22" xfId="0" applyNumberFormat="1" applyFont="1" applyFill="1" applyBorder="1" applyAlignment="1">
      <alignment horizontal="left" vertical="top"/>
    </xf>
    <xf numFmtId="0" fontId="64" fillId="32" borderId="36" xfId="1" applyFont="1" applyFill="1" applyBorder="1" applyAlignment="1">
      <alignment horizontal="left" vertical="center"/>
    </xf>
    <xf numFmtId="0" fontId="64" fillId="32" borderId="55" xfId="1" applyFont="1" applyFill="1" applyBorder="1" applyAlignment="1">
      <alignment horizontal="left" vertical="center"/>
    </xf>
    <xf numFmtId="0" fontId="5" fillId="0" borderId="23" xfId="1" applyFont="1" applyBorder="1" applyAlignment="1">
      <alignment vertical="top" wrapText="1"/>
    </xf>
    <xf numFmtId="0" fontId="0" fillId="0" borderId="48" xfId="0" applyBorder="1" applyAlignment="1">
      <alignment vertical="top" wrapText="1"/>
    </xf>
    <xf numFmtId="0" fontId="0" fillId="0" borderId="44" xfId="0" applyBorder="1" applyAlignment="1">
      <alignment vertical="top" wrapText="1"/>
    </xf>
    <xf numFmtId="49" fontId="2" fillId="0" borderId="15" xfId="1" applyNumberFormat="1" applyFont="1" applyBorder="1" applyAlignment="1">
      <alignment horizontal="right" vertical="center" wrapText="1"/>
    </xf>
    <xf numFmtId="49" fontId="18" fillId="0" borderId="15" xfId="1" applyNumberFormat="1" applyFont="1" applyBorder="1" applyAlignment="1">
      <alignment horizontal="right" vertical="center" wrapText="1"/>
    </xf>
    <xf numFmtId="49" fontId="18" fillId="0" borderId="16" xfId="1" applyNumberFormat="1" applyFont="1" applyBorder="1" applyAlignment="1">
      <alignment horizontal="right" vertical="center" wrapText="1"/>
    </xf>
    <xf numFmtId="0" fontId="14" fillId="0" borderId="55" xfId="1" applyFont="1" applyBorder="1" applyAlignment="1">
      <alignment horizontal="left" vertical="center" wrapText="1"/>
    </xf>
    <xf numFmtId="0" fontId="14" fillId="0" borderId="55" xfId="1" applyFont="1" applyBorder="1" applyAlignment="1">
      <alignment vertical="center" wrapText="1"/>
    </xf>
    <xf numFmtId="0" fontId="0" fillId="0" borderId="55" xfId="0" applyBorder="1" applyAlignment="1">
      <alignment vertical="center" wrapText="1"/>
    </xf>
    <xf numFmtId="0" fontId="5" fillId="0" borderId="15" xfId="1" applyFont="1" applyBorder="1" applyAlignment="1">
      <alignment vertical="center" wrapText="1"/>
    </xf>
    <xf numFmtId="0" fontId="0" fillId="0" borderId="15" xfId="0" applyBorder="1" applyAlignment="1">
      <alignment vertical="center" wrapText="1"/>
    </xf>
    <xf numFmtId="2" fontId="2" fillId="0" borderId="10" xfId="1" applyNumberFormat="1" applyFont="1" applyBorder="1" applyAlignment="1">
      <alignment horizontal="right" vertical="center" wrapText="1"/>
    </xf>
    <xf numFmtId="2" fontId="0" fillId="0" borderId="10" xfId="0" applyNumberFormat="1" applyBorder="1" applyAlignment="1">
      <alignment horizontal="right" vertical="center" wrapText="1"/>
    </xf>
    <xf numFmtId="0" fontId="12" fillId="0" borderId="55" xfId="1" applyFont="1" applyBorder="1" applyAlignment="1">
      <alignment vertical="center" wrapText="1"/>
    </xf>
    <xf numFmtId="0" fontId="41" fillId="0" borderId="55" xfId="0" applyFont="1" applyBorder="1" applyAlignment="1">
      <alignment vertical="center" wrapText="1"/>
    </xf>
    <xf numFmtId="0" fontId="4" fillId="0" borderId="55" xfId="0" applyFont="1" applyBorder="1" applyAlignment="1">
      <alignment vertical="center" wrapText="1"/>
    </xf>
    <xf numFmtId="0" fontId="41" fillId="0" borderId="55" xfId="1" applyFont="1" applyBorder="1" applyAlignment="1">
      <alignment vertical="center" wrapText="1"/>
    </xf>
    <xf numFmtId="0" fontId="5" fillId="0" borderId="65" xfId="1" applyFont="1" applyBorder="1" applyAlignment="1">
      <alignment vertical="center" wrapText="1"/>
    </xf>
    <xf numFmtId="0" fontId="0" fillId="0" borderId="65" xfId="0" applyBorder="1" applyAlignment="1">
      <alignment vertical="center" wrapText="1"/>
    </xf>
    <xf numFmtId="0" fontId="5" fillId="0" borderId="55" xfId="1" applyFont="1" applyBorder="1" applyAlignment="1">
      <alignment vertical="center" wrapText="1"/>
    </xf>
    <xf numFmtId="0" fontId="0" fillId="0" borderId="43" xfId="0" applyBorder="1" applyAlignment="1">
      <alignment vertical="center" wrapText="1"/>
    </xf>
    <xf numFmtId="2" fontId="2" fillId="0" borderId="10" xfId="1" applyNumberFormat="1" applyFont="1" applyBorder="1" applyAlignment="1">
      <alignment horizontal="right" vertical="top" wrapText="1"/>
    </xf>
    <xf numFmtId="2" fontId="0" fillId="0" borderId="10" xfId="0" applyNumberFormat="1" applyBorder="1" applyAlignment="1">
      <alignment horizontal="right" vertical="top" wrapText="1"/>
    </xf>
    <xf numFmtId="0" fontId="12" fillId="0" borderId="55" xfId="1" applyFont="1" applyBorder="1" applyAlignment="1">
      <alignment vertical="top" wrapText="1"/>
    </xf>
    <xf numFmtId="0" fontId="41" fillId="0" borderId="55" xfId="0" applyFont="1" applyBorder="1" applyAlignment="1">
      <alignment vertical="top" wrapText="1"/>
    </xf>
    <xf numFmtId="0" fontId="5" fillId="0" borderId="15" xfId="1" applyFont="1" applyBorder="1" applyAlignment="1">
      <alignment horizontal="left" vertical="center" wrapText="1"/>
    </xf>
    <xf numFmtId="49" fontId="21" fillId="32" borderId="15" xfId="1" applyNumberFormat="1" applyFont="1" applyFill="1" applyBorder="1" applyAlignment="1">
      <alignment horizontal="left" vertical="center" wrapText="1"/>
    </xf>
    <xf numFmtId="0" fontId="5" fillId="0" borderId="14" xfId="1" applyFont="1" applyBorder="1" applyAlignment="1">
      <alignment vertical="top" wrapText="1"/>
    </xf>
    <xf numFmtId="0" fontId="0" fillId="0" borderId="14" xfId="0" applyBorder="1" applyAlignment="1">
      <alignment vertical="top" wrapText="1"/>
    </xf>
    <xf numFmtId="0" fontId="5" fillId="0" borderId="6" xfId="1" applyFont="1" applyBorder="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5" fillId="0" borderId="15" xfId="1" applyFont="1" applyBorder="1" applyAlignment="1">
      <alignment vertical="top" wrapText="1"/>
    </xf>
    <xf numFmtId="0" fontId="5" fillId="0" borderId="15" xfId="0" applyFont="1" applyBorder="1" applyAlignment="1">
      <alignment vertical="top" wrapText="1"/>
    </xf>
    <xf numFmtId="0" fontId="5" fillId="0" borderId="12" xfId="1" applyFont="1" applyBorder="1" applyAlignment="1">
      <alignment vertical="center" wrapText="1"/>
    </xf>
    <xf numFmtId="0" fontId="0" fillId="0" borderId="4" xfId="0" applyBorder="1" applyAlignment="1">
      <alignment vertical="center" wrapText="1"/>
    </xf>
    <xf numFmtId="0" fontId="0" fillId="0" borderId="8" xfId="0" applyBorder="1" applyAlignment="1">
      <alignment vertical="center" wrapText="1"/>
    </xf>
    <xf numFmtId="0" fontId="14" fillId="0" borderId="36" xfId="1" applyFont="1" applyBorder="1" applyAlignment="1">
      <alignment horizontal="left" wrapText="1"/>
    </xf>
    <xf numFmtId="0" fontId="14" fillId="0" borderId="55" xfId="1" applyFont="1" applyBorder="1" applyAlignment="1">
      <alignment horizontal="left" wrapText="1"/>
    </xf>
    <xf numFmtId="0" fontId="12" fillId="0" borderId="47" xfId="1" applyFont="1" applyBorder="1" applyAlignment="1">
      <alignment vertical="top" wrapText="1"/>
    </xf>
    <xf numFmtId="0" fontId="41" fillId="0" borderId="46" xfId="0" applyFont="1" applyBorder="1" applyAlignment="1">
      <alignment vertical="top" wrapText="1"/>
    </xf>
    <xf numFmtId="0" fontId="41" fillId="0" borderId="53" xfId="0" applyFont="1" applyBorder="1" applyAlignment="1">
      <alignment vertical="top" wrapText="1"/>
    </xf>
    <xf numFmtId="0" fontId="0" fillId="0" borderId="15" xfId="0" applyBorder="1" applyAlignment="1">
      <alignment vertical="top" wrapText="1"/>
    </xf>
    <xf numFmtId="0" fontId="5" fillId="0" borderId="23" xfId="1" applyFont="1" applyBorder="1" applyAlignment="1">
      <alignment horizontal="center" vertical="top" wrapText="1"/>
    </xf>
    <xf numFmtId="0" fontId="5" fillId="0" borderId="48" xfId="1" applyFont="1" applyBorder="1" applyAlignment="1">
      <alignment horizontal="center" vertical="top" wrapText="1"/>
    </xf>
    <xf numFmtId="0" fontId="5" fillId="0" borderId="44" xfId="1" applyFont="1" applyBorder="1" applyAlignment="1">
      <alignment horizontal="center" vertical="top" wrapText="1"/>
    </xf>
    <xf numFmtId="2" fontId="4" fillId="0" borderId="1" xfId="0" applyNumberFormat="1" applyFont="1" applyBorder="1" applyAlignment="1" applyProtection="1">
      <alignment horizontal="center" vertical="top" wrapText="1"/>
      <protection locked="0"/>
    </xf>
    <xf numFmtId="0" fontId="14" fillId="35" borderId="36" xfId="0" applyFont="1" applyFill="1" applyBorder="1" applyAlignment="1">
      <alignment horizontal="left" vertical="center" wrapText="1"/>
    </xf>
    <xf numFmtId="0" fontId="14" fillId="35" borderId="55" xfId="0" applyFont="1" applyFill="1" applyBorder="1" applyAlignment="1">
      <alignment horizontal="left" vertical="center" wrapText="1"/>
    </xf>
    <xf numFmtId="0" fontId="14" fillId="35" borderId="43" xfId="0" applyFont="1" applyFill="1" applyBorder="1" applyAlignment="1">
      <alignment horizontal="left" vertical="center" wrapText="1"/>
    </xf>
    <xf numFmtId="2" fontId="69" fillId="0" borderId="0" xfId="0" applyNumberFormat="1" applyFont="1" applyAlignment="1">
      <alignment horizontal="left" vertical="center" wrapText="1"/>
    </xf>
    <xf numFmtId="2" fontId="76" fillId="15" borderId="23" xfId="0" applyNumberFormat="1" applyFont="1" applyFill="1" applyBorder="1" applyAlignment="1">
      <alignment horizontal="center" wrapText="1"/>
    </xf>
    <xf numFmtId="0" fontId="78" fillId="15" borderId="44" xfId="0" applyFont="1" applyFill="1" applyBorder="1">
      <alignment vertical="top"/>
    </xf>
    <xf numFmtId="2" fontId="77" fillId="15" borderId="36" xfId="0" applyNumberFormat="1" applyFont="1" applyFill="1" applyBorder="1" applyAlignment="1">
      <alignment horizontal="center" vertical="center" wrapText="1"/>
    </xf>
    <xf numFmtId="0" fontId="78" fillId="15" borderId="55" xfId="0" applyFont="1" applyFill="1" applyBorder="1">
      <alignment vertical="top"/>
    </xf>
    <xf numFmtId="0" fontId="78" fillId="15" borderId="43" xfId="0" applyFont="1" applyFill="1" applyBorder="1">
      <alignment vertical="top"/>
    </xf>
    <xf numFmtId="0" fontId="35" fillId="0" borderId="13" xfId="0" applyFont="1" applyBorder="1" applyAlignment="1">
      <alignment horizontal="left" vertical="center" wrapText="1"/>
    </xf>
    <xf numFmtId="0" fontId="35" fillId="0" borderId="0" xfId="0" applyFont="1" applyAlignment="1">
      <alignment horizontal="left" vertical="center" wrapText="1"/>
    </xf>
    <xf numFmtId="0" fontId="78" fillId="15" borderId="73" xfId="0" applyFont="1" applyFill="1" applyBorder="1">
      <alignment vertical="top"/>
    </xf>
    <xf numFmtId="0" fontId="37" fillId="37" borderId="36" xfId="0" applyFont="1" applyFill="1" applyBorder="1" applyAlignment="1">
      <alignment horizontal="center" vertical="center" wrapText="1"/>
    </xf>
    <xf numFmtId="0" fontId="0" fillId="37" borderId="55" xfId="0" applyFill="1" applyBorder="1">
      <alignment vertical="top"/>
    </xf>
    <xf numFmtId="0" fontId="0" fillId="37" borderId="43" xfId="0" applyFill="1" applyBorder="1">
      <alignment vertical="top"/>
    </xf>
    <xf numFmtId="0" fontId="37" fillId="37" borderId="36" xfId="0" applyFont="1" applyFill="1" applyBorder="1" applyAlignment="1">
      <alignment horizontal="center" vertical="center"/>
    </xf>
    <xf numFmtId="0" fontId="31" fillId="0" borderId="0" xfId="0" applyFont="1" applyAlignment="1">
      <alignment horizontal="center" vertical="top" wrapText="1"/>
    </xf>
    <xf numFmtId="1" fontId="31" fillId="0" borderId="22" xfId="0" applyNumberFormat="1" applyFont="1" applyBorder="1" applyAlignment="1" applyProtection="1">
      <alignment horizontal="center" vertical="top" wrapText="1"/>
      <protection hidden="1"/>
    </xf>
    <xf numFmtId="1" fontId="31" fillId="0" borderId="10" xfId="0" applyNumberFormat="1" applyFont="1" applyBorder="1" applyAlignment="1" applyProtection="1">
      <alignment horizontal="center" vertical="top" wrapText="1"/>
      <protection hidden="1"/>
    </xf>
    <xf numFmtId="0" fontId="31" fillId="0" borderId="61" xfId="0" applyFont="1" applyBorder="1" applyAlignment="1">
      <alignment horizontal="center" vertical="top" wrapText="1"/>
    </xf>
    <xf numFmtId="0" fontId="31" fillId="0" borderId="71" xfId="0" applyFont="1" applyBorder="1" applyAlignment="1">
      <alignment horizontal="center" vertical="top" wrapText="1"/>
    </xf>
    <xf numFmtId="0" fontId="31" fillId="0" borderId="70" xfId="0" applyFont="1" applyBorder="1" applyAlignment="1">
      <alignment horizontal="left" vertical="top" wrapText="1"/>
    </xf>
    <xf numFmtId="0" fontId="31" fillId="0" borderId="66" xfId="0" applyFont="1" applyBorder="1" applyAlignment="1">
      <alignment horizontal="left" vertical="top" wrapText="1"/>
    </xf>
    <xf numFmtId="0" fontId="31" fillId="0" borderId="22" xfId="0" applyFont="1" applyBorder="1" applyAlignment="1">
      <alignment horizontal="left" vertical="top" wrapText="1"/>
    </xf>
    <xf numFmtId="0" fontId="31" fillId="0" borderId="48" xfId="0" applyFont="1" applyBorder="1" applyAlignment="1">
      <alignment vertical="top" wrapText="1"/>
    </xf>
    <xf numFmtId="0" fontId="31" fillId="0" borderId="44" xfId="0" applyFont="1" applyBorder="1" applyAlignment="1">
      <alignment vertical="top" wrapText="1"/>
    </xf>
    <xf numFmtId="0" fontId="31" fillId="0" borderId="23" xfId="0" applyFont="1" applyBorder="1" applyAlignment="1">
      <alignment horizontal="left" vertical="top" wrapText="1"/>
    </xf>
    <xf numFmtId="0" fontId="31" fillId="0" borderId="48" xfId="0" applyFont="1" applyBorder="1" applyAlignment="1">
      <alignment horizontal="left" vertical="top" wrapText="1"/>
    </xf>
    <xf numFmtId="0" fontId="31" fillId="0" borderId="44" xfId="0" applyFont="1" applyBorder="1" applyAlignment="1">
      <alignment horizontal="left" vertical="top" wrapText="1"/>
    </xf>
    <xf numFmtId="0" fontId="31" fillId="0" borderId="13" xfId="0" applyFont="1" applyBorder="1" applyAlignment="1">
      <alignment horizontal="left" vertical="top" wrapText="1"/>
    </xf>
    <xf numFmtId="1" fontId="31" fillId="0" borderId="13" xfId="0" applyNumberFormat="1" applyFont="1" applyBorder="1" applyAlignment="1">
      <alignment horizontal="left" vertical="top" wrapText="1"/>
    </xf>
    <xf numFmtId="1" fontId="31" fillId="0" borderId="8" xfId="0" applyNumberFormat="1" applyFont="1" applyBorder="1" applyAlignment="1">
      <alignment horizontal="left" vertical="top" wrapText="1"/>
    </xf>
    <xf numFmtId="49" fontId="32" fillId="0" borderId="36" xfId="0" applyNumberFormat="1" applyFont="1" applyBorder="1" applyAlignment="1">
      <alignment horizontal="left" vertical="top" wrapText="1"/>
    </xf>
    <xf numFmtId="49" fontId="32" fillId="0" borderId="55" xfId="0" applyNumberFormat="1" applyFont="1" applyBorder="1" applyAlignment="1">
      <alignment horizontal="left" vertical="top" wrapText="1"/>
    </xf>
    <xf numFmtId="49" fontId="32" fillId="0" borderId="43" xfId="0" applyNumberFormat="1" applyFont="1" applyBorder="1" applyAlignment="1">
      <alignment horizontal="left" vertical="top" wrapText="1"/>
    </xf>
    <xf numFmtId="0" fontId="5" fillId="0" borderId="13" xfId="0" applyFont="1" applyBorder="1" applyAlignment="1">
      <alignment horizontal="left" vertical="top" wrapText="1"/>
    </xf>
    <xf numFmtId="0" fontId="5" fillId="8" borderId="35" xfId="0" applyFont="1" applyFill="1" applyBorder="1" applyAlignment="1" applyProtection="1">
      <alignment horizontal="left" vertical="top" wrapText="1"/>
      <protection hidden="1"/>
    </xf>
    <xf numFmtId="0" fontId="5" fillId="8" borderId="1" xfId="0" applyFont="1" applyFill="1" applyBorder="1" applyAlignment="1" applyProtection="1">
      <alignment horizontal="left" vertical="top" wrapText="1"/>
      <protection hidden="1"/>
    </xf>
    <xf numFmtId="0" fontId="5" fillId="8" borderId="62" xfId="0" applyFont="1" applyFill="1" applyBorder="1" applyAlignment="1" applyProtection="1">
      <alignment horizontal="left" vertical="top" wrapText="1"/>
      <protection hidden="1"/>
    </xf>
    <xf numFmtId="0" fontId="5" fillId="8" borderId="49" xfId="0" applyFont="1" applyFill="1" applyBorder="1" applyAlignment="1" applyProtection="1">
      <alignment horizontal="left" vertical="top" wrapText="1"/>
      <protection hidden="1"/>
    </xf>
    <xf numFmtId="0" fontId="5" fillId="8" borderId="56" xfId="0" applyFont="1" applyFill="1" applyBorder="1" applyAlignment="1" applyProtection="1">
      <alignment horizontal="left" vertical="top" wrapText="1"/>
      <protection hidden="1"/>
    </xf>
    <xf numFmtId="0" fontId="5" fillId="8" borderId="41" xfId="0" applyFont="1" applyFill="1" applyBorder="1" applyAlignment="1" applyProtection="1">
      <alignment horizontal="left" vertical="top" wrapText="1"/>
      <protection hidden="1"/>
    </xf>
    <xf numFmtId="0" fontId="31" fillId="0" borderId="23" xfId="0" applyFont="1" applyBorder="1" applyAlignment="1">
      <alignment vertical="top" wrapText="1"/>
    </xf>
    <xf numFmtId="0" fontId="45" fillId="13" borderId="70" xfId="0" applyFont="1" applyFill="1" applyBorder="1" applyAlignment="1">
      <alignment horizontal="center" vertical="top" wrapText="1"/>
    </xf>
    <xf numFmtId="0" fontId="45" fillId="13" borderId="30" xfId="0" applyFont="1" applyFill="1" applyBorder="1" applyAlignment="1">
      <alignment horizontal="center" vertical="top" wrapText="1"/>
    </xf>
    <xf numFmtId="1" fontId="31" fillId="0" borderId="23" xfId="0" applyNumberFormat="1" applyFont="1" applyBorder="1" applyAlignment="1">
      <alignment horizontal="left" vertical="top" wrapText="1"/>
    </xf>
    <xf numFmtId="1" fontId="31" fillId="0" borderId="48" xfId="0" applyNumberFormat="1" applyFont="1" applyBorder="1" applyAlignment="1">
      <alignment horizontal="left" vertical="top" wrapText="1"/>
    </xf>
    <xf numFmtId="1" fontId="31" fillId="0" borderId="44" xfId="0" applyNumberFormat="1" applyFont="1" applyBorder="1" applyAlignment="1">
      <alignment horizontal="left" vertical="top" wrapText="1"/>
    </xf>
    <xf numFmtId="1" fontId="31" fillId="0" borderId="18" xfId="0" applyNumberFormat="1" applyFont="1" applyBorder="1" applyAlignment="1">
      <alignment horizontal="left" vertical="top" wrapText="1"/>
    </xf>
    <xf numFmtId="1" fontId="31" fillId="0" borderId="70" xfId="0" applyNumberFormat="1" applyFont="1" applyBorder="1" applyAlignment="1">
      <alignment horizontal="left" vertical="top" wrapText="1"/>
    </xf>
    <xf numFmtId="1" fontId="31" fillId="0" borderId="66" xfId="0" applyNumberFormat="1" applyFont="1" applyBorder="1" applyAlignment="1">
      <alignment horizontal="left" vertical="top" wrapText="1"/>
    </xf>
    <xf numFmtId="1" fontId="31" fillId="0" borderId="22" xfId="0" applyNumberFormat="1" applyFont="1" applyBorder="1" applyAlignment="1">
      <alignment horizontal="left" vertical="top" wrapText="1"/>
    </xf>
    <xf numFmtId="0" fontId="5" fillId="0" borderId="0" xfId="0" applyFont="1" applyAlignment="1">
      <alignment horizontal="center" vertical="top" wrapText="1"/>
    </xf>
    <xf numFmtId="0" fontId="5" fillId="0" borderId="71" xfId="0" applyFont="1" applyBorder="1" applyAlignment="1">
      <alignment horizontal="center" vertical="top" wrapText="1"/>
    </xf>
    <xf numFmtId="0" fontId="5" fillId="0" borderId="22" xfId="0" applyFont="1" applyBorder="1" applyAlignment="1">
      <alignment horizontal="center" vertical="center" wrapText="1"/>
    </xf>
    <xf numFmtId="0" fontId="5" fillId="0" borderId="10" xfId="0" applyFont="1" applyBorder="1" applyAlignment="1">
      <alignment horizontal="center" vertical="center" wrapText="1"/>
    </xf>
    <xf numFmtId="0" fontId="45" fillId="13" borderId="50" xfId="0" applyFont="1" applyFill="1" applyBorder="1" applyAlignment="1">
      <alignment horizontal="center" vertical="top" wrapText="1"/>
    </xf>
    <xf numFmtId="0" fontId="45" fillId="13" borderId="33" xfId="0" applyFont="1" applyFill="1" applyBorder="1" applyAlignment="1">
      <alignment horizontal="center" vertical="top" wrapText="1"/>
    </xf>
    <xf numFmtId="0" fontId="5" fillId="0" borderId="70" xfId="0" applyFont="1" applyBorder="1" applyAlignment="1">
      <alignment horizontal="left" vertical="top" wrapText="1"/>
    </xf>
    <xf numFmtId="0" fontId="5" fillId="0" borderId="66" xfId="0" applyFont="1" applyBorder="1" applyAlignment="1">
      <alignment horizontal="left" vertical="top" wrapText="1"/>
    </xf>
    <xf numFmtId="0" fontId="5" fillId="0" borderId="22"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Alignment="1">
      <alignment horizontal="left" vertical="top" wrapText="1"/>
    </xf>
    <xf numFmtId="0" fontId="5" fillId="0" borderId="18" xfId="0" applyFont="1" applyBorder="1" applyAlignment="1">
      <alignment horizontal="left" vertical="top" wrapText="1"/>
    </xf>
    <xf numFmtId="49" fontId="6" fillId="0" borderId="36" xfId="0" applyNumberFormat="1" applyFont="1" applyBorder="1" applyAlignment="1">
      <alignment horizontal="left" vertical="top" wrapText="1"/>
    </xf>
    <xf numFmtId="49" fontId="6" fillId="0" borderId="55" xfId="0" applyNumberFormat="1" applyFont="1" applyBorder="1" applyAlignment="1">
      <alignment horizontal="left" vertical="top" wrapText="1"/>
    </xf>
    <xf numFmtId="49" fontId="6" fillId="0" borderId="43" xfId="0" applyNumberFormat="1" applyFont="1" applyBorder="1" applyAlignment="1">
      <alignment horizontal="left" vertical="top" wrapText="1"/>
    </xf>
    <xf numFmtId="0" fontId="5" fillId="0" borderId="70" xfId="0" applyFont="1" applyBorder="1" applyAlignment="1">
      <alignment horizontal="center" vertical="top" wrapText="1"/>
    </xf>
    <xf numFmtId="0" fontId="5" fillId="0" borderId="66" xfId="0" applyFont="1" applyBorder="1" applyAlignment="1">
      <alignment horizontal="center" vertical="top" wrapText="1"/>
    </xf>
    <xf numFmtId="0" fontId="5" fillId="0" borderId="22" xfId="0" applyFont="1" applyBorder="1" applyAlignment="1">
      <alignment horizontal="center" vertical="top" wrapText="1"/>
    </xf>
    <xf numFmtId="0" fontId="5" fillId="8" borderId="20" xfId="0" applyFont="1" applyFill="1" applyBorder="1" applyAlignment="1">
      <alignment horizontal="left" vertical="top" wrapText="1"/>
    </xf>
    <xf numFmtId="0" fontId="5" fillId="8" borderId="38" xfId="0" applyFont="1" applyFill="1" applyBorder="1" applyAlignment="1">
      <alignment horizontal="left" vertical="top" wrapText="1"/>
    </xf>
    <xf numFmtId="0" fontId="5" fillId="8" borderId="52" xfId="0" applyFont="1" applyFill="1" applyBorder="1" applyAlignment="1">
      <alignment horizontal="left" vertical="top" wrapText="1"/>
    </xf>
    <xf numFmtId="0" fontId="5" fillId="8" borderId="25" xfId="0" applyFont="1" applyFill="1" applyBorder="1" applyAlignment="1">
      <alignment horizontal="left" vertical="top" wrapText="1"/>
    </xf>
    <xf numFmtId="0" fontId="5" fillId="8" borderId="65" xfId="0" applyFont="1" applyFill="1" applyBorder="1" applyAlignment="1">
      <alignment horizontal="left" vertical="top" wrapText="1"/>
    </xf>
    <xf numFmtId="0" fontId="5" fillId="8" borderId="68" xfId="0" applyFont="1" applyFill="1" applyBorder="1" applyAlignment="1">
      <alignment horizontal="left" vertical="top" wrapText="1"/>
    </xf>
    <xf numFmtId="0" fontId="5" fillId="0" borderId="23" xfId="0" applyFont="1" applyBorder="1" applyAlignment="1">
      <alignment horizontal="center" vertical="top" wrapText="1"/>
    </xf>
    <xf numFmtId="0" fontId="5" fillId="0" borderId="48" xfId="0" applyFont="1" applyBorder="1" applyAlignment="1">
      <alignment horizontal="center" vertical="top" wrapText="1"/>
    </xf>
    <xf numFmtId="0" fontId="5" fillId="0" borderId="44" xfId="0" applyFont="1" applyBorder="1" applyAlignment="1">
      <alignment horizontal="center" vertical="top" wrapText="1"/>
    </xf>
    <xf numFmtId="0" fontId="5" fillId="0" borderId="61" xfId="0" applyFont="1" applyBorder="1" applyAlignment="1">
      <alignment horizontal="center" vertical="top" wrapText="1"/>
    </xf>
    <xf numFmtId="1" fontId="5" fillId="0" borderId="22" xfId="0" applyNumberFormat="1" applyFont="1" applyBorder="1" applyAlignment="1">
      <alignment horizontal="center" vertical="center"/>
    </xf>
    <xf numFmtId="1" fontId="5" fillId="0" borderId="10" xfId="0" applyNumberFormat="1" applyFont="1" applyBorder="1" applyAlignment="1">
      <alignment horizontal="center" vertical="center"/>
    </xf>
    <xf numFmtId="0" fontId="5" fillId="0" borderId="0" xfId="0" applyFont="1" applyAlignment="1">
      <alignment horizontal="center" vertical="top"/>
    </xf>
    <xf numFmtId="0" fontId="45" fillId="13" borderId="36" xfId="0" applyFont="1" applyFill="1" applyBorder="1" applyAlignment="1">
      <alignment horizontal="center" vertical="top" wrapText="1"/>
    </xf>
    <xf numFmtId="0" fontId="45" fillId="13" borderId="43" xfId="0" applyFont="1" applyFill="1" applyBorder="1" applyAlignment="1">
      <alignment horizontal="center" vertical="top" wrapText="1"/>
    </xf>
    <xf numFmtId="0" fontId="5" fillId="0" borderId="13" xfId="0" applyFont="1" applyBorder="1" applyAlignment="1">
      <alignment horizontal="center" vertical="top" wrapText="1"/>
    </xf>
    <xf numFmtId="1" fontId="5" fillId="0" borderId="70" xfId="0" applyNumberFormat="1" applyFont="1" applyBorder="1" applyAlignment="1">
      <alignment horizontal="left" vertical="top" wrapText="1"/>
    </xf>
    <xf numFmtId="1" fontId="5" fillId="0" borderId="66" xfId="0" applyNumberFormat="1" applyFont="1" applyBorder="1" applyAlignment="1">
      <alignment horizontal="left" vertical="top" wrapText="1"/>
    </xf>
    <xf numFmtId="1" fontId="5" fillId="0" borderId="22" xfId="0" applyNumberFormat="1" applyFont="1" applyBorder="1" applyAlignment="1">
      <alignment horizontal="left" vertical="top" wrapText="1"/>
    </xf>
    <xf numFmtId="1" fontId="5" fillId="0" borderId="13" xfId="0" applyNumberFormat="1" applyFont="1" applyBorder="1" applyAlignment="1">
      <alignment horizontal="left" vertical="top" wrapText="1"/>
    </xf>
    <xf numFmtId="0" fontId="5" fillId="0" borderId="60" xfId="0" applyFont="1" applyBorder="1" applyAlignment="1">
      <alignment horizontal="left" vertical="top" wrapText="1"/>
    </xf>
    <xf numFmtId="0" fontId="5" fillId="0" borderId="8" xfId="0" applyFont="1" applyBorder="1" applyAlignment="1">
      <alignment horizontal="left" vertical="top" wrapText="1"/>
    </xf>
    <xf numFmtId="1" fontId="36" fillId="0" borderId="22" xfId="0" applyNumberFormat="1" applyFont="1" applyBorder="1" applyAlignment="1">
      <alignment horizontal="center" vertical="center"/>
    </xf>
    <xf numFmtId="1" fontId="36" fillId="0" borderId="10" xfId="0" applyNumberFormat="1" applyFont="1" applyBorder="1" applyAlignment="1">
      <alignment horizontal="center" vertical="center"/>
    </xf>
    <xf numFmtId="0" fontId="5" fillId="0" borderId="71" xfId="0" applyFont="1" applyBorder="1" applyAlignment="1">
      <alignment horizontal="center" vertical="top"/>
    </xf>
    <xf numFmtId="0" fontId="5" fillId="0" borderId="61" xfId="0" applyFont="1" applyBorder="1" applyAlignment="1">
      <alignment horizontal="center" vertical="top"/>
    </xf>
    <xf numFmtId="1" fontId="5" fillId="0" borderId="74" xfId="0" applyNumberFormat="1" applyFont="1" applyBorder="1" applyAlignment="1">
      <alignment horizontal="left" vertical="top" wrapText="1"/>
    </xf>
    <xf numFmtId="1" fontId="5" fillId="0" borderId="9" xfId="0" applyNumberFormat="1" applyFont="1" applyBorder="1" applyAlignment="1">
      <alignment horizontal="left" vertical="top" wrapText="1"/>
    </xf>
    <xf numFmtId="49" fontId="31" fillId="0" borderId="48" xfId="0" applyNumberFormat="1" applyFont="1" applyBorder="1" applyAlignment="1">
      <alignment horizontal="left" vertical="top" wrapText="1"/>
    </xf>
    <xf numFmtId="0" fontId="31" fillId="0" borderId="70" xfId="0" applyFont="1" applyBorder="1" applyAlignment="1">
      <alignment vertical="top" wrapText="1"/>
    </xf>
    <xf numFmtId="0" fontId="31" fillId="0" borderId="66" xfId="0" applyFont="1" applyBorder="1" applyAlignment="1">
      <alignment vertical="top" wrapText="1"/>
    </xf>
    <xf numFmtId="0" fontId="31" fillId="0" borderId="22" xfId="0" applyFont="1" applyBorder="1" applyAlignment="1">
      <alignment vertical="top" wrapText="1"/>
    </xf>
    <xf numFmtId="0" fontId="31" fillId="0" borderId="13" xfId="0" applyFont="1" applyBorder="1" applyAlignment="1">
      <alignment vertical="top" wrapText="1"/>
    </xf>
    <xf numFmtId="1" fontId="5" fillId="8" borderId="20" xfId="0" applyNumberFormat="1" applyFont="1" applyFill="1" applyBorder="1" applyAlignment="1">
      <alignment vertical="top" wrapText="1"/>
    </xf>
    <xf numFmtId="1" fontId="5" fillId="8" borderId="38" xfId="0" applyNumberFormat="1" applyFont="1" applyFill="1" applyBorder="1" applyAlignment="1">
      <alignment vertical="top" wrapText="1"/>
    </xf>
    <xf numFmtId="1" fontId="5" fillId="8" borderId="52" xfId="0" applyNumberFormat="1" applyFont="1" applyFill="1" applyBorder="1" applyAlignment="1">
      <alignment vertical="top" wrapText="1"/>
    </xf>
    <xf numFmtId="0" fontId="31" fillId="0" borderId="2" xfId="0" applyFont="1" applyBorder="1" applyAlignment="1">
      <alignment horizontal="left" vertical="top" wrapText="1"/>
    </xf>
    <xf numFmtId="0" fontId="31" fillId="0" borderId="9" xfId="0" applyFont="1" applyBorder="1" applyAlignment="1">
      <alignment horizontal="left" vertical="top" wrapText="1"/>
    </xf>
    <xf numFmtId="0" fontId="31" fillId="0" borderId="21" xfId="0" applyFont="1" applyBorder="1" applyAlignment="1">
      <alignment horizontal="left" vertical="top" wrapText="1"/>
    </xf>
    <xf numFmtId="0" fontId="31" fillId="0" borderId="74" xfId="0" applyFont="1" applyBorder="1" applyAlignment="1">
      <alignment horizontal="left" vertical="top" wrapText="1"/>
    </xf>
    <xf numFmtId="49" fontId="31" fillId="0" borderId="13" xfId="0" applyNumberFormat="1" applyFont="1" applyBorder="1" applyAlignment="1">
      <alignment horizontal="left" vertical="top" wrapText="1"/>
    </xf>
    <xf numFmtId="1" fontId="36" fillId="0" borderId="22" xfId="0" applyNumberFormat="1" applyFont="1" applyBorder="1" applyAlignment="1">
      <alignment horizontal="center" vertical="center" wrapText="1"/>
    </xf>
    <xf numFmtId="1" fontId="36" fillId="0" borderId="10" xfId="0" applyNumberFormat="1" applyFont="1" applyBorder="1" applyAlignment="1">
      <alignment horizontal="center" vertical="center" wrapText="1"/>
    </xf>
    <xf numFmtId="0" fontId="31" fillId="0" borderId="67" xfId="0" applyFont="1" applyBorder="1" applyAlignment="1">
      <alignment horizontal="center" vertical="top" wrapText="1"/>
    </xf>
    <xf numFmtId="0" fontId="31" fillId="0" borderId="69" xfId="0" applyFont="1" applyBorder="1" applyAlignment="1">
      <alignment horizontal="left" vertical="top" wrapText="1"/>
    </xf>
    <xf numFmtId="0" fontId="31" fillId="0" borderId="40" xfId="0" applyFont="1" applyBorder="1" applyAlignment="1">
      <alignment horizontal="left" vertical="top" wrapText="1"/>
    </xf>
    <xf numFmtId="0" fontId="31" fillId="0" borderId="72" xfId="0" applyFont="1" applyBorder="1" applyAlignment="1">
      <alignment horizontal="left" vertical="top" wrapText="1"/>
    </xf>
    <xf numFmtId="1" fontId="5" fillId="8" borderId="25" xfId="0" applyNumberFormat="1" applyFont="1" applyFill="1" applyBorder="1" applyAlignment="1">
      <alignment vertical="top" wrapText="1"/>
    </xf>
    <xf numFmtId="1" fontId="5" fillId="8" borderId="65" xfId="0" applyNumberFormat="1" applyFont="1" applyFill="1" applyBorder="1" applyAlignment="1">
      <alignment vertical="top" wrapText="1"/>
    </xf>
    <xf numFmtId="1" fontId="5" fillId="8" borderId="68" xfId="0" applyNumberFormat="1" applyFont="1" applyFill="1" applyBorder="1" applyAlignment="1">
      <alignment vertical="top" wrapText="1"/>
    </xf>
    <xf numFmtId="1" fontId="5" fillId="8" borderId="26" xfId="0" applyNumberFormat="1" applyFont="1" applyFill="1" applyBorder="1" applyAlignment="1">
      <alignment vertical="top" wrapText="1"/>
    </xf>
    <xf numFmtId="1" fontId="5" fillId="8" borderId="15" xfId="0" applyNumberFormat="1" applyFont="1" applyFill="1" applyBorder="1" applyAlignment="1">
      <alignment vertical="top" wrapText="1"/>
    </xf>
    <xf numFmtId="1" fontId="5" fillId="8" borderId="6" xfId="0" applyNumberFormat="1" applyFont="1" applyFill="1" applyBorder="1" applyAlignment="1">
      <alignment vertical="top" wrapText="1"/>
    </xf>
    <xf numFmtId="0" fontId="45" fillId="13" borderId="9" xfId="0" applyFont="1" applyFill="1" applyBorder="1" applyAlignment="1">
      <alignment horizontal="center" vertical="top" wrapText="1"/>
    </xf>
    <xf numFmtId="0" fontId="45" fillId="13" borderId="16" xfId="0" applyFont="1" applyFill="1" applyBorder="1" applyAlignment="1">
      <alignment horizontal="center" vertical="top" wrapText="1"/>
    </xf>
    <xf numFmtId="1" fontId="31" fillId="0" borderId="25" xfId="0" applyNumberFormat="1" applyFont="1" applyBorder="1" applyAlignment="1">
      <alignment vertical="top" wrapText="1"/>
    </xf>
    <xf numFmtId="1" fontId="31" fillId="0" borderId="26" xfId="0" applyNumberFormat="1" applyFont="1" applyBorder="1" applyAlignment="1">
      <alignment vertical="top" wrapText="1"/>
    </xf>
    <xf numFmtId="1" fontId="31" fillId="0" borderId="20" xfId="0" applyNumberFormat="1" applyFont="1" applyBorder="1" applyAlignment="1">
      <alignment vertical="top" wrapText="1"/>
    </xf>
    <xf numFmtId="0" fontId="31" fillId="0" borderId="29" xfId="0" applyFont="1" applyBorder="1" applyAlignment="1">
      <alignment horizontal="left" vertical="top" wrapText="1"/>
    </xf>
    <xf numFmtId="0" fontId="31" fillId="0" borderId="24" xfId="0" applyFont="1" applyBorder="1" applyAlignment="1">
      <alignment horizontal="left" vertical="top" wrapText="1"/>
    </xf>
    <xf numFmtId="0" fontId="31" fillId="0" borderId="8" xfId="0" applyFont="1" applyBorder="1" applyAlignment="1">
      <alignment vertical="top" wrapText="1"/>
    </xf>
    <xf numFmtId="0" fontId="31" fillId="0" borderId="9" xfId="0" applyFont="1" applyBorder="1" applyAlignment="1">
      <alignment vertical="top" wrapText="1"/>
    </xf>
    <xf numFmtId="0" fontId="31" fillId="0" borderId="18" xfId="0" applyFont="1" applyBorder="1" applyAlignment="1">
      <alignment horizontal="left" vertical="top" wrapText="1"/>
    </xf>
    <xf numFmtId="1" fontId="31" fillId="0" borderId="70" xfId="0" applyNumberFormat="1" applyFont="1" applyBorder="1" applyAlignment="1">
      <alignment vertical="top" wrapText="1"/>
    </xf>
    <xf numFmtId="0" fontId="31" fillId="0" borderId="8" xfId="0" applyFont="1" applyBorder="1" applyAlignment="1">
      <alignment horizontal="left"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0" xfId="0" applyFont="1" applyBorder="1" applyAlignment="1">
      <alignment horizontal="left" vertical="top" wrapText="1"/>
    </xf>
    <xf numFmtId="0" fontId="5" fillId="8" borderId="26" xfId="0" applyFont="1" applyFill="1" applyBorder="1" applyAlignment="1">
      <alignment horizontal="left" vertical="top" wrapText="1"/>
    </xf>
    <xf numFmtId="0" fontId="5" fillId="8" borderId="15" xfId="0" applyFont="1" applyFill="1" applyBorder="1" applyAlignment="1">
      <alignment horizontal="left" vertical="top" wrapText="1"/>
    </xf>
    <xf numFmtId="0" fontId="5" fillId="8" borderId="6" xfId="0" applyFont="1" applyFill="1" applyBorder="1" applyAlignment="1">
      <alignment horizontal="left" vertical="top" wrapText="1"/>
    </xf>
    <xf numFmtId="0" fontId="31" fillId="0" borderId="13" xfId="0" applyFont="1" applyBorder="1" applyAlignment="1">
      <alignment horizontal="center" vertical="top" wrapText="1"/>
    </xf>
    <xf numFmtId="0" fontId="5" fillId="0" borderId="13" xfId="0" applyFont="1" applyBorder="1" applyAlignment="1">
      <alignment vertical="top" wrapText="1"/>
    </xf>
    <xf numFmtId="0" fontId="5" fillId="0" borderId="18" xfId="0" applyFont="1" applyBorder="1" applyAlignment="1">
      <alignment vertical="top" wrapText="1"/>
    </xf>
    <xf numFmtId="0" fontId="5" fillId="0" borderId="70" xfId="0" applyFont="1" applyBorder="1" applyAlignment="1">
      <alignment vertical="top" wrapText="1"/>
    </xf>
    <xf numFmtId="0" fontId="5" fillId="0" borderId="66" xfId="0" applyFont="1" applyBorder="1" applyAlignment="1">
      <alignment vertical="top" wrapText="1"/>
    </xf>
    <xf numFmtId="0" fontId="5" fillId="0" borderId="22" xfId="0" applyFont="1" applyBorder="1" applyAlignment="1">
      <alignment vertical="top" wrapText="1"/>
    </xf>
    <xf numFmtId="0" fontId="14" fillId="13" borderId="36" xfId="0" applyFont="1" applyFill="1" applyBorder="1" applyAlignment="1">
      <alignment horizontal="center" vertical="top" wrapText="1"/>
    </xf>
    <xf numFmtId="0" fontId="14" fillId="13" borderId="43" xfId="0" applyFont="1" applyFill="1" applyBorder="1" applyAlignment="1">
      <alignment horizontal="center" vertical="top" wrapText="1"/>
    </xf>
    <xf numFmtId="0" fontId="5" fillId="0" borderId="74" xfId="0" applyFont="1" applyBorder="1" applyAlignment="1">
      <alignment vertical="top" wrapText="1"/>
    </xf>
    <xf numFmtId="0" fontId="5" fillId="0" borderId="9" xfId="0" applyFont="1" applyBorder="1" applyAlignment="1">
      <alignment horizontal="left" vertical="top" wrapText="1"/>
    </xf>
    <xf numFmtId="0" fontId="5" fillId="0" borderId="21" xfId="0" applyFont="1" applyBorder="1" applyAlignment="1">
      <alignment vertical="top" wrapText="1"/>
    </xf>
    <xf numFmtId="1" fontId="5" fillId="0" borderId="29" xfId="0" applyNumberFormat="1" applyFont="1" applyBorder="1" applyAlignment="1">
      <alignment horizontal="left" vertical="top" wrapText="1"/>
    </xf>
    <xf numFmtId="49" fontId="5" fillId="0" borderId="70" xfId="0" applyNumberFormat="1" applyFont="1" applyBorder="1" applyAlignment="1">
      <alignment horizontal="left" vertical="top" wrapText="1"/>
    </xf>
    <xf numFmtId="49" fontId="5" fillId="0" borderId="66" xfId="0" applyNumberFormat="1" applyFont="1" applyBorder="1" applyAlignment="1">
      <alignment horizontal="left" vertical="top" wrapText="1"/>
    </xf>
    <xf numFmtId="49" fontId="5" fillId="0" borderId="22" xfId="0" applyNumberFormat="1" applyFont="1" applyBorder="1" applyAlignment="1">
      <alignment horizontal="left" vertical="top" wrapText="1"/>
    </xf>
    <xf numFmtId="49" fontId="5" fillId="0" borderId="23" xfId="0" applyNumberFormat="1" applyFont="1" applyBorder="1" applyAlignment="1">
      <alignment horizontal="left" vertical="top" wrapText="1"/>
    </xf>
    <xf numFmtId="49" fontId="5" fillId="0" borderId="48" xfId="0" applyNumberFormat="1" applyFont="1" applyBorder="1" applyAlignment="1">
      <alignment horizontal="left" vertical="top" wrapText="1"/>
    </xf>
    <xf numFmtId="49" fontId="5" fillId="0" borderId="44" xfId="0" applyNumberFormat="1" applyFont="1" applyBorder="1" applyAlignment="1">
      <alignment horizontal="left" vertical="top" wrapText="1"/>
    </xf>
    <xf numFmtId="0" fontId="5" fillId="0" borderId="64" xfId="0" applyFont="1" applyBorder="1" applyAlignment="1">
      <alignment horizontal="left" vertical="top" wrapText="1"/>
    </xf>
    <xf numFmtId="0" fontId="5" fillId="0" borderId="40" xfId="0" applyFont="1" applyBorder="1" applyAlignment="1">
      <alignment horizontal="left" vertical="top" wrapText="1"/>
    </xf>
    <xf numFmtId="0" fontId="5" fillId="0" borderId="72" xfId="0" applyFont="1" applyBorder="1" applyAlignment="1">
      <alignment horizontal="left" vertical="top" wrapText="1"/>
    </xf>
    <xf numFmtId="0" fontId="5" fillId="0" borderId="67" xfId="0" applyFont="1" applyBorder="1" applyAlignment="1">
      <alignment horizontal="center" vertical="top" wrapText="1"/>
    </xf>
    <xf numFmtId="0" fontId="5" fillId="0" borderId="11" xfId="0" applyFont="1" applyBorder="1" applyAlignment="1">
      <alignment horizontal="center" vertical="top" wrapText="1"/>
    </xf>
    <xf numFmtId="49" fontId="6" fillId="0" borderId="36" xfId="0" applyNumberFormat="1" applyFont="1" applyBorder="1" applyAlignment="1">
      <alignment vertical="top" wrapText="1"/>
    </xf>
    <xf numFmtId="49" fontId="6" fillId="0" borderId="55" xfId="0" applyNumberFormat="1" applyFont="1" applyBorder="1" applyAlignment="1">
      <alignment vertical="top" wrapText="1"/>
    </xf>
    <xf numFmtId="49" fontId="6" fillId="0" borderId="43" xfId="0" applyNumberFormat="1" applyFont="1" applyBorder="1" applyAlignment="1">
      <alignment vertical="top" wrapText="1"/>
    </xf>
    <xf numFmtId="1" fontId="5" fillId="8" borderId="25" xfId="0" applyNumberFormat="1" applyFont="1" applyFill="1" applyBorder="1" applyAlignment="1">
      <alignment horizontal="left" vertical="top" wrapText="1"/>
    </xf>
    <xf numFmtId="1" fontId="5" fillId="8" borderId="65" xfId="0" applyNumberFormat="1" applyFont="1" applyFill="1" applyBorder="1" applyAlignment="1">
      <alignment horizontal="left" vertical="top" wrapText="1"/>
    </xf>
    <xf numFmtId="1" fontId="5" fillId="8" borderId="68" xfId="0" applyNumberFormat="1" applyFont="1" applyFill="1" applyBorder="1" applyAlignment="1">
      <alignment horizontal="left" vertical="top" wrapText="1"/>
    </xf>
    <xf numFmtId="1" fontId="5" fillId="8" borderId="26" xfId="0" applyNumberFormat="1" applyFont="1" applyFill="1" applyBorder="1" applyAlignment="1">
      <alignment horizontal="left" vertical="top" wrapText="1"/>
    </xf>
    <xf numFmtId="1" fontId="5" fillId="8" borderId="15" xfId="0" applyNumberFormat="1" applyFont="1" applyFill="1" applyBorder="1" applyAlignment="1">
      <alignment horizontal="left" vertical="top" wrapText="1"/>
    </xf>
    <xf numFmtId="1" fontId="5" fillId="8" borderId="6" xfId="0" applyNumberFormat="1" applyFont="1" applyFill="1" applyBorder="1" applyAlignment="1">
      <alignment horizontal="left" vertical="top" wrapText="1"/>
    </xf>
    <xf numFmtId="1" fontId="5" fillId="8" borderId="20" xfId="0" applyNumberFormat="1" applyFont="1" applyFill="1" applyBorder="1" applyAlignment="1">
      <alignment horizontal="left" vertical="top" wrapText="1"/>
    </xf>
    <xf numFmtId="1" fontId="5" fillId="8" borderId="38" xfId="0" applyNumberFormat="1" applyFont="1" applyFill="1" applyBorder="1" applyAlignment="1">
      <alignment horizontal="left" vertical="top" wrapText="1"/>
    </xf>
    <xf numFmtId="1" fontId="5" fillId="8" borderId="52" xfId="0" applyNumberFormat="1" applyFont="1" applyFill="1" applyBorder="1" applyAlignment="1">
      <alignment horizontal="left" vertical="top" wrapText="1"/>
    </xf>
    <xf numFmtId="0" fontId="5" fillId="0" borderId="2" xfId="0" applyFont="1" applyBorder="1" applyAlignment="1">
      <alignment horizontal="left" vertical="top" wrapText="1"/>
    </xf>
    <xf numFmtId="2" fontId="5" fillId="0" borderId="48" xfId="0" applyNumberFormat="1" applyFont="1" applyBorder="1" applyAlignment="1">
      <alignment horizontal="left" vertical="top" wrapText="1"/>
    </xf>
    <xf numFmtId="2" fontId="5" fillId="0" borderId="44" xfId="0" applyNumberFormat="1" applyFont="1" applyBorder="1" applyAlignment="1">
      <alignment horizontal="left" vertical="top" wrapText="1"/>
    </xf>
    <xf numFmtId="2" fontId="5" fillId="8" borderId="26" xfId="0" applyNumberFormat="1" applyFont="1" applyFill="1" applyBorder="1" applyAlignment="1">
      <alignment horizontal="left" vertical="top" wrapText="1"/>
    </xf>
    <xf numFmtId="2" fontId="5" fillId="8" borderId="15" xfId="0" applyNumberFormat="1" applyFont="1" applyFill="1" applyBorder="1" applyAlignment="1">
      <alignment horizontal="left" vertical="top" wrapText="1"/>
    </xf>
    <xf numFmtId="2" fontId="5" fillId="8" borderId="6" xfId="0" applyNumberFormat="1" applyFont="1" applyFill="1" applyBorder="1" applyAlignment="1">
      <alignment horizontal="left" vertical="top" wrapText="1"/>
    </xf>
    <xf numFmtId="2" fontId="5" fillId="8" borderId="20" xfId="0" applyNumberFormat="1" applyFont="1" applyFill="1" applyBorder="1" applyAlignment="1">
      <alignment horizontal="left" vertical="top" wrapText="1"/>
    </xf>
    <xf numFmtId="2" fontId="5" fillId="8" borderId="38" xfId="0" applyNumberFormat="1" applyFont="1" applyFill="1" applyBorder="1" applyAlignment="1">
      <alignment horizontal="left" vertical="top" wrapText="1"/>
    </xf>
    <xf numFmtId="2" fontId="5" fillId="8" borderId="52" xfId="0" applyNumberFormat="1" applyFont="1" applyFill="1" applyBorder="1" applyAlignment="1">
      <alignment horizontal="left" vertical="top" wrapText="1"/>
    </xf>
    <xf numFmtId="1" fontId="5" fillId="0" borderId="22"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2" fontId="5" fillId="0" borderId="66" xfId="0" applyNumberFormat="1" applyFont="1" applyBorder="1" applyAlignment="1">
      <alignment horizontal="left" vertical="top" wrapText="1"/>
    </xf>
    <xf numFmtId="2" fontId="5" fillId="0" borderId="22" xfId="0" applyNumberFormat="1" applyFont="1" applyBorder="1" applyAlignment="1">
      <alignment horizontal="left" vertical="top" wrapText="1"/>
    </xf>
    <xf numFmtId="2" fontId="5" fillId="8" borderId="25" xfId="0" applyNumberFormat="1" applyFont="1" applyFill="1" applyBorder="1" applyAlignment="1">
      <alignment horizontal="left" vertical="top" wrapText="1"/>
    </xf>
    <xf numFmtId="2" fontId="5" fillId="8" borderId="65" xfId="0" applyNumberFormat="1" applyFont="1" applyFill="1" applyBorder="1" applyAlignment="1">
      <alignment horizontal="left" vertical="top" wrapText="1"/>
    </xf>
    <xf numFmtId="2" fontId="5" fillId="8" borderId="68" xfId="0" applyNumberFormat="1" applyFont="1" applyFill="1" applyBorder="1" applyAlignment="1">
      <alignment horizontal="left" vertical="top" wrapText="1"/>
    </xf>
    <xf numFmtId="0" fontId="54" fillId="0" borderId="33" xfId="0" applyFont="1" applyBorder="1" applyAlignment="1">
      <alignment horizontal="center" vertical="top" wrapText="1"/>
    </xf>
    <xf numFmtId="2" fontId="5" fillId="0" borderId="23" xfId="0" applyNumberFormat="1" applyFont="1" applyBorder="1" applyAlignment="1">
      <alignment horizontal="left" vertical="top" wrapText="1"/>
    </xf>
    <xf numFmtId="0" fontId="5" fillId="0" borderId="19" xfId="0" applyFont="1" applyBorder="1" applyAlignment="1">
      <alignment horizontal="left" vertical="top" wrapText="1"/>
    </xf>
    <xf numFmtId="0" fontId="5" fillId="0" borderId="75" xfId="0" applyFont="1" applyBorder="1" applyAlignment="1">
      <alignment horizontal="left" vertical="top" wrapText="1"/>
    </xf>
    <xf numFmtId="0" fontId="5" fillId="0" borderId="10" xfId="0" applyFont="1" applyBorder="1" applyAlignment="1">
      <alignment horizontal="center" vertical="top" wrapText="1"/>
    </xf>
    <xf numFmtId="0" fontId="5" fillId="0" borderId="58" xfId="0" applyFont="1" applyBorder="1" applyAlignment="1">
      <alignment horizontal="center" vertical="top" wrapText="1"/>
    </xf>
    <xf numFmtId="0" fontId="5" fillId="0" borderId="69" xfId="0" applyFont="1" applyBorder="1" applyAlignment="1">
      <alignment horizontal="left" vertical="top" wrapText="1"/>
    </xf>
    <xf numFmtId="1" fontId="5" fillId="0" borderId="69" xfId="0" applyNumberFormat="1" applyFont="1" applyBorder="1" applyAlignment="1">
      <alignment horizontal="left" vertical="top" wrapText="1"/>
    </xf>
    <xf numFmtId="1" fontId="5" fillId="0" borderId="40" xfId="0" applyNumberFormat="1" applyFont="1" applyBorder="1" applyAlignment="1">
      <alignment horizontal="left" vertical="top" wrapText="1"/>
    </xf>
    <xf numFmtId="1" fontId="5" fillId="0" borderId="72" xfId="0" applyNumberFormat="1" applyFont="1" applyBorder="1" applyAlignment="1">
      <alignment horizontal="left" vertical="top" wrapText="1"/>
    </xf>
    <xf numFmtId="1" fontId="5" fillId="0" borderId="61" xfId="0" applyNumberFormat="1" applyFont="1" applyBorder="1" applyAlignment="1">
      <alignment horizontal="center" vertical="top" wrapText="1"/>
    </xf>
    <xf numFmtId="1" fontId="5" fillId="0" borderId="67" xfId="0" applyNumberFormat="1" applyFont="1" applyBorder="1" applyAlignment="1">
      <alignment horizontal="center" vertical="top" wrapText="1"/>
    </xf>
    <xf numFmtId="0" fontId="45" fillId="13" borderId="45" xfId="0" applyFont="1" applyFill="1" applyBorder="1" applyAlignment="1">
      <alignment horizontal="center" vertical="top" wrapText="1"/>
    </xf>
    <xf numFmtId="0" fontId="45" fillId="13" borderId="63" xfId="0" applyFont="1" applyFill="1" applyBorder="1" applyAlignment="1">
      <alignment horizontal="center" vertical="top" wrapText="1"/>
    </xf>
    <xf numFmtId="0" fontId="5" fillId="0" borderId="29" xfId="0" applyFont="1" applyBorder="1" applyAlignment="1">
      <alignment vertical="top" wrapText="1"/>
    </xf>
    <xf numFmtId="0" fontId="5" fillId="0" borderId="24" xfId="0" applyFont="1" applyBorder="1" applyAlignment="1">
      <alignment vertical="top" wrapText="1"/>
    </xf>
    <xf numFmtId="1" fontId="5" fillId="0" borderId="70" xfId="0" applyNumberFormat="1" applyFont="1" applyBorder="1" applyAlignment="1">
      <alignment vertical="top" wrapText="1"/>
    </xf>
    <xf numFmtId="1" fontId="5" fillId="0" borderId="66" xfId="0" applyNumberFormat="1" applyFont="1" applyBorder="1" applyAlignment="1">
      <alignment vertical="top" wrapText="1"/>
    </xf>
    <xf numFmtId="1" fontId="5" fillId="0" borderId="22" xfId="0" applyNumberFormat="1" applyFont="1" applyBorder="1" applyAlignment="1">
      <alignment vertical="top" wrapText="1"/>
    </xf>
    <xf numFmtId="1" fontId="5" fillId="8" borderId="56" xfId="0" applyNumberFormat="1" applyFont="1" applyFill="1" applyBorder="1" applyAlignment="1">
      <alignment horizontal="left" vertical="top" wrapText="1"/>
    </xf>
    <xf numFmtId="1" fontId="5" fillId="8" borderId="41" xfId="0" applyNumberFormat="1" applyFont="1" applyFill="1" applyBorder="1" applyAlignment="1">
      <alignment horizontal="left" vertical="top" wrapText="1"/>
    </xf>
    <xf numFmtId="0" fontId="5" fillId="8" borderId="35" xfId="0" applyFont="1" applyFill="1" applyBorder="1" applyAlignment="1">
      <alignment horizontal="left" vertical="top" wrapText="1"/>
    </xf>
    <xf numFmtId="0" fontId="5" fillId="8" borderId="1" xfId="0" applyFont="1" applyFill="1" applyBorder="1" applyAlignment="1">
      <alignment horizontal="left" vertical="top" wrapText="1"/>
    </xf>
    <xf numFmtId="1" fontId="5" fillId="8" borderId="35" xfId="0" applyNumberFormat="1" applyFont="1" applyFill="1" applyBorder="1" applyAlignment="1">
      <alignment horizontal="left" vertical="top" wrapText="1"/>
    </xf>
    <xf numFmtId="1" fontId="5" fillId="8" borderId="1" xfId="0" applyNumberFormat="1" applyFont="1" applyFill="1" applyBorder="1" applyAlignment="1">
      <alignment horizontal="left" vertical="top" wrapText="1"/>
    </xf>
    <xf numFmtId="1" fontId="5" fillId="8" borderId="62" xfId="0" applyNumberFormat="1" applyFont="1" applyFill="1" applyBorder="1" applyAlignment="1">
      <alignment horizontal="left" vertical="top" wrapText="1"/>
    </xf>
    <xf numFmtId="1" fontId="5" fillId="8" borderId="49" xfId="0" applyNumberFormat="1" applyFont="1" applyFill="1" applyBorder="1" applyAlignment="1">
      <alignment horizontal="left" vertical="top" wrapText="1"/>
    </xf>
    <xf numFmtId="1" fontId="5" fillId="0" borderId="0" xfId="0" applyNumberFormat="1" applyFont="1" applyAlignment="1">
      <alignment horizontal="center" vertical="top" wrapText="1"/>
    </xf>
    <xf numFmtId="1" fontId="5" fillId="0" borderId="25" xfId="0" applyNumberFormat="1" applyFont="1" applyBorder="1" applyAlignment="1">
      <alignment horizontal="left" vertical="top" wrapText="1"/>
    </xf>
    <xf numFmtId="1" fontId="5" fillId="0" borderId="26" xfId="0" applyNumberFormat="1" applyFont="1" applyBorder="1" applyAlignment="1">
      <alignment horizontal="left" vertical="top" wrapText="1"/>
    </xf>
    <xf numFmtId="1" fontId="5" fillId="0" borderId="20" xfId="0" applyNumberFormat="1" applyFont="1" applyBorder="1" applyAlignment="1">
      <alignment horizontal="left" vertical="top" wrapText="1"/>
    </xf>
    <xf numFmtId="1" fontId="5" fillId="0" borderId="21" xfId="0" applyNumberFormat="1" applyFont="1" applyBorder="1" applyAlignment="1">
      <alignment horizontal="left" vertical="top" wrapText="1"/>
    </xf>
    <xf numFmtId="1" fontId="5" fillId="0" borderId="24" xfId="0" applyNumberFormat="1" applyFont="1" applyBorder="1" applyAlignment="1">
      <alignment horizontal="left" vertical="top" wrapText="1"/>
    </xf>
    <xf numFmtId="1" fontId="5" fillId="0" borderId="23" xfId="0" applyNumberFormat="1" applyFont="1" applyBorder="1" applyAlignment="1">
      <alignment vertical="top" wrapText="1"/>
    </xf>
    <xf numFmtId="1" fontId="5" fillId="0" borderId="48" xfId="0" applyNumberFormat="1" applyFont="1" applyBorder="1" applyAlignment="1">
      <alignment vertical="top" wrapText="1"/>
    </xf>
    <xf numFmtId="1" fontId="5" fillId="0" borderId="44" xfId="0" applyNumberFormat="1" applyFont="1" applyBorder="1" applyAlignment="1">
      <alignment vertical="top" wrapText="1"/>
    </xf>
    <xf numFmtId="1" fontId="5" fillId="8" borderId="35" xfId="0" applyNumberFormat="1" applyFont="1" applyFill="1" applyBorder="1" applyAlignment="1">
      <alignment horizontal="left" vertical="top"/>
    </xf>
    <xf numFmtId="1" fontId="5" fillId="8" borderId="1" xfId="0" applyNumberFormat="1" applyFont="1" applyFill="1" applyBorder="1" applyAlignment="1">
      <alignment horizontal="left" vertical="top"/>
    </xf>
    <xf numFmtId="1" fontId="5" fillId="8" borderId="62" xfId="0" applyNumberFormat="1" applyFont="1" applyFill="1" applyBorder="1" applyAlignment="1">
      <alignment horizontal="left" vertical="top"/>
    </xf>
    <xf numFmtId="1" fontId="5" fillId="8" borderId="49" xfId="0" applyNumberFormat="1" applyFont="1" applyFill="1" applyBorder="1" applyAlignment="1">
      <alignment horizontal="left" vertical="top"/>
    </xf>
    <xf numFmtId="0" fontId="5" fillId="0" borderId="10" xfId="0" applyFont="1" applyBorder="1" applyAlignment="1">
      <alignment horizontal="center" vertical="top"/>
    </xf>
    <xf numFmtId="0" fontId="5" fillId="4" borderId="23" xfId="0" applyFont="1" applyFill="1" applyBorder="1" applyAlignment="1">
      <alignment horizontal="left" vertical="top" wrapText="1"/>
    </xf>
    <xf numFmtId="0" fontId="5" fillId="4" borderId="48" xfId="0" applyFont="1" applyFill="1" applyBorder="1" applyAlignment="1">
      <alignment horizontal="left" vertical="top" wrapText="1"/>
    </xf>
    <xf numFmtId="0" fontId="5" fillId="4" borderId="44" xfId="0" applyFont="1" applyFill="1" applyBorder="1" applyAlignment="1">
      <alignment horizontal="left" vertical="top" wrapText="1"/>
    </xf>
    <xf numFmtId="1" fontId="5" fillId="0" borderId="22" xfId="0" applyNumberFormat="1" applyFont="1" applyBorder="1" applyAlignment="1">
      <alignment horizontal="center" vertical="top"/>
    </xf>
    <xf numFmtId="1" fontId="5" fillId="0" borderId="10" xfId="0" applyNumberFormat="1" applyFont="1" applyBorder="1" applyAlignment="1">
      <alignment horizontal="center" vertical="top"/>
    </xf>
    <xf numFmtId="0" fontId="45" fillId="13" borderId="39" xfId="0" applyFont="1" applyFill="1" applyBorder="1" applyAlignment="1">
      <alignment horizontal="center" vertical="top" wrapText="1"/>
    </xf>
    <xf numFmtId="0" fontId="5" fillId="0" borderId="55" xfId="0" applyFont="1" applyBorder="1" applyAlignment="1">
      <alignment horizontal="center" vertical="top" wrapText="1"/>
    </xf>
    <xf numFmtId="0" fontId="5" fillId="0" borderId="47" xfId="0" applyFont="1" applyBorder="1" applyAlignment="1">
      <alignment horizontal="center" vertical="top" wrapText="1"/>
    </xf>
    <xf numFmtId="0" fontId="5" fillId="0" borderId="25" xfId="0" applyFont="1" applyBorder="1" applyAlignment="1">
      <alignment vertical="top" wrapText="1"/>
    </xf>
    <xf numFmtId="0" fontId="5" fillId="0" borderId="20" xfId="0" applyFont="1" applyBorder="1" applyAlignment="1">
      <alignment vertical="top" wrapText="1"/>
    </xf>
    <xf numFmtId="0" fontId="5" fillId="0" borderId="55" xfId="0" applyFont="1" applyBorder="1" applyAlignment="1">
      <alignment horizontal="center" vertical="top"/>
    </xf>
    <xf numFmtId="0" fontId="5" fillId="0" borderId="47" xfId="0" applyFont="1" applyBorder="1" applyAlignment="1">
      <alignment horizontal="center" vertical="top"/>
    </xf>
    <xf numFmtId="1" fontId="5" fillId="8" borderId="25" xfId="0" applyNumberFormat="1" applyFont="1" applyFill="1" applyBorder="1" applyAlignment="1">
      <alignment horizontal="left" vertical="top"/>
    </xf>
    <xf numFmtId="1" fontId="5" fillId="8" borderId="65" xfId="0" applyNumberFormat="1" applyFont="1" applyFill="1" applyBorder="1" applyAlignment="1">
      <alignment horizontal="left" vertical="top"/>
    </xf>
    <xf numFmtId="1" fontId="5" fillId="8" borderId="68" xfId="0" applyNumberFormat="1" applyFont="1" applyFill="1" applyBorder="1" applyAlignment="1">
      <alignment horizontal="left" vertical="top"/>
    </xf>
    <xf numFmtId="1" fontId="5" fillId="8" borderId="26" xfId="0" applyNumberFormat="1" applyFont="1" applyFill="1" applyBorder="1" applyAlignment="1">
      <alignment horizontal="left" vertical="top"/>
    </xf>
    <xf numFmtId="1" fontId="5" fillId="8" borderId="15" xfId="0" applyNumberFormat="1" applyFont="1" applyFill="1" applyBorder="1" applyAlignment="1">
      <alignment horizontal="left" vertical="top"/>
    </xf>
    <xf numFmtId="1" fontId="5" fillId="8" borderId="6" xfId="0" applyNumberFormat="1" applyFont="1" applyFill="1" applyBorder="1" applyAlignment="1">
      <alignment horizontal="left" vertical="top"/>
    </xf>
    <xf numFmtId="1" fontId="5" fillId="8" borderId="20" xfId="0" applyNumberFormat="1" applyFont="1" applyFill="1" applyBorder="1" applyAlignment="1">
      <alignment horizontal="left" vertical="top"/>
    </xf>
    <xf numFmtId="1" fontId="5" fillId="8" borderId="38" xfId="0" applyNumberFormat="1" applyFont="1" applyFill="1" applyBorder="1" applyAlignment="1">
      <alignment horizontal="left" vertical="top"/>
    </xf>
    <xf numFmtId="1" fontId="5" fillId="8" borderId="52" xfId="0" applyNumberFormat="1" applyFont="1" applyFill="1" applyBorder="1" applyAlignment="1">
      <alignment horizontal="left" vertical="top"/>
    </xf>
    <xf numFmtId="0" fontId="5" fillId="4" borderId="70" xfId="0" applyFont="1" applyFill="1" applyBorder="1" applyAlignment="1">
      <alignment horizontal="left" vertical="top" wrapText="1"/>
    </xf>
    <xf numFmtId="0" fontId="5" fillId="4" borderId="66" xfId="0" applyFont="1" applyFill="1" applyBorder="1" applyAlignment="1">
      <alignment horizontal="left" vertical="top" wrapText="1"/>
    </xf>
    <xf numFmtId="0" fontId="5" fillId="4" borderId="22" xfId="0" applyFont="1" applyFill="1" applyBorder="1" applyAlignment="1">
      <alignment horizontal="left" vertical="top" wrapText="1"/>
    </xf>
    <xf numFmtId="1" fontId="5" fillId="8" borderId="35" xfId="0" applyNumberFormat="1" applyFont="1" applyFill="1" applyBorder="1" applyAlignment="1">
      <alignment horizontal="left" vertical="center"/>
    </xf>
    <xf numFmtId="1" fontId="5" fillId="8" borderId="1" xfId="0" applyNumberFormat="1" applyFont="1" applyFill="1" applyBorder="1" applyAlignment="1">
      <alignment horizontal="left" vertical="center"/>
    </xf>
    <xf numFmtId="0" fontId="5" fillId="8" borderId="35" xfId="0" applyFont="1" applyFill="1" applyBorder="1" applyAlignment="1">
      <alignment horizontal="left" vertical="center" wrapText="1"/>
    </xf>
    <xf numFmtId="0" fontId="5" fillId="8" borderId="1" xfId="0" applyFont="1" applyFill="1" applyBorder="1" applyAlignment="1">
      <alignment horizontal="left" vertical="center" wrapText="1"/>
    </xf>
    <xf numFmtId="1" fontId="5" fillId="8" borderId="62" xfId="0" applyNumberFormat="1" applyFont="1" applyFill="1" applyBorder="1" applyAlignment="1">
      <alignment horizontal="left" vertical="center"/>
    </xf>
    <xf numFmtId="1" fontId="5" fillId="8" borderId="49" xfId="0" applyNumberFormat="1" applyFont="1" applyFill="1" applyBorder="1" applyAlignment="1">
      <alignment horizontal="left" vertical="center"/>
    </xf>
    <xf numFmtId="1" fontId="5" fillId="8" borderId="26" xfId="0" applyNumberFormat="1" applyFont="1" applyFill="1" applyBorder="1" applyAlignment="1">
      <alignment horizontal="left" vertical="center"/>
    </xf>
    <xf numFmtId="1" fontId="5" fillId="8" borderId="15" xfId="0" applyNumberFormat="1" applyFont="1" applyFill="1" applyBorder="1" applyAlignment="1">
      <alignment horizontal="left" vertical="center"/>
    </xf>
    <xf numFmtId="1" fontId="5" fillId="8" borderId="6" xfId="0" applyNumberFormat="1" applyFont="1" applyFill="1" applyBorder="1" applyAlignment="1">
      <alignment horizontal="left" vertical="center"/>
    </xf>
    <xf numFmtId="1" fontId="5" fillId="8" borderId="56" xfId="0" applyNumberFormat="1" applyFont="1" applyFill="1" applyBorder="1" applyAlignment="1">
      <alignment horizontal="left" vertical="center"/>
    </xf>
    <xf numFmtId="1" fontId="5" fillId="8" borderId="41" xfId="0" applyNumberFormat="1" applyFont="1" applyFill="1" applyBorder="1" applyAlignment="1">
      <alignment horizontal="left" vertical="center"/>
    </xf>
    <xf numFmtId="0" fontId="0" fillId="0" borderId="48" xfId="0" applyBorder="1">
      <alignment vertical="top"/>
    </xf>
    <xf numFmtId="0" fontId="0" fillId="0" borderId="44" xfId="0" applyBorder="1">
      <alignment vertical="top"/>
    </xf>
    <xf numFmtId="1" fontId="5" fillId="0" borderId="13" xfId="0" applyNumberFormat="1" applyFont="1" applyBorder="1" applyAlignment="1">
      <alignment vertical="top" wrapText="1"/>
    </xf>
    <xf numFmtId="0" fontId="45" fillId="13" borderId="16" xfId="0" applyFont="1" applyFill="1" applyBorder="1" applyAlignment="1">
      <alignment vertical="top" wrapText="1"/>
    </xf>
    <xf numFmtId="0" fontId="5" fillId="0" borderId="26" xfId="0" applyFont="1" applyBorder="1" applyAlignment="1">
      <alignment vertical="top" wrapText="1"/>
    </xf>
    <xf numFmtId="0" fontId="5" fillId="0" borderId="51" xfId="0" applyFont="1" applyBorder="1" applyAlignment="1">
      <alignment horizontal="left" vertical="top" wrapText="1"/>
    </xf>
    <xf numFmtId="0" fontId="28" fillId="0" borderId="0" xfId="0" applyFont="1" applyAlignment="1">
      <alignment horizontal="center" vertical="top" wrapText="1"/>
    </xf>
    <xf numFmtId="0" fontId="28" fillId="0" borderId="61" xfId="0" applyFont="1" applyBorder="1" applyAlignment="1">
      <alignment horizontal="center" vertical="top" wrapText="1"/>
    </xf>
    <xf numFmtId="0" fontId="28" fillId="0" borderId="71" xfId="0" applyFont="1" applyBorder="1" applyAlignment="1">
      <alignment horizontal="center" vertical="top" wrapText="1"/>
    </xf>
    <xf numFmtId="0" fontId="5" fillId="8" borderId="25" xfId="0" applyFont="1" applyFill="1" applyBorder="1" applyAlignment="1">
      <alignment horizontal="left" vertical="top"/>
    </xf>
    <xf numFmtId="0" fontId="5" fillId="8" borderId="65" xfId="0" applyFont="1" applyFill="1" applyBorder="1" applyAlignment="1">
      <alignment horizontal="left" vertical="top"/>
    </xf>
    <xf numFmtId="0" fontId="5" fillId="8" borderId="68" xfId="0" applyFont="1" applyFill="1" applyBorder="1" applyAlignment="1">
      <alignment horizontal="left" vertical="top"/>
    </xf>
    <xf numFmtId="0" fontId="5" fillId="8" borderId="26" xfId="0" applyFont="1" applyFill="1" applyBorder="1" applyAlignment="1">
      <alignment horizontal="left" vertical="top"/>
    </xf>
    <xf numFmtId="0" fontId="5" fillId="8" borderId="15" xfId="0" applyFont="1" applyFill="1" applyBorder="1" applyAlignment="1">
      <alignment horizontal="left" vertical="top"/>
    </xf>
    <xf numFmtId="0" fontId="5" fillId="8" borderId="6" xfId="0" applyFont="1" applyFill="1" applyBorder="1" applyAlignment="1">
      <alignment horizontal="left" vertical="top"/>
    </xf>
    <xf numFmtId="0" fontId="5" fillId="8" borderId="20" xfId="0" applyFont="1" applyFill="1" applyBorder="1" applyAlignment="1">
      <alignment horizontal="left" vertical="top"/>
    </xf>
    <xf numFmtId="0" fontId="5" fillId="8" borderId="38" xfId="0" applyFont="1" applyFill="1" applyBorder="1" applyAlignment="1">
      <alignment horizontal="left" vertical="top"/>
    </xf>
    <xf numFmtId="0" fontId="5" fillId="8" borderId="52" xfId="0" applyFont="1" applyFill="1" applyBorder="1" applyAlignment="1">
      <alignment horizontal="left" vertical="top"/>
    </xf>
    <xf numFmtId="49" fontId="29" fillId="0" borderId="36" xfId="0" applyNumberFormat="1" applyFont="1" applyBorder="1" applyAlignment="1">
      <alignment horizontal="left" vertical="top" wrapText="1"/>
    </xf>
    <xf numFmtId="49" fontId="29" fillId="0" borderId="55" xfId="0" applyNumberFormat="1" applyFont="1" applyBorder="1" applyAlignment="1">
      <alignment horizontal="left" vertical="top" wrapText="1"/>
    </xf>
    <xf numFmtId="49" fontId="29" fillId="0" borderId="43" xfId="0" applyNumberFormat="1" applyFont="1" applyBorder="1" applyAlignment="1">
      <alignment horizontal="left" vertical="top" wrapText="1"/>
    </xf>
    <xf numFmtId="1" fontId="28" fillId="0" borderId="23" xfId="0" applyNumberFormat="1" applyFont="1" applyBorder="1" applyAlignment="1">
      <alignment horizontal="left" vertical="top" wrapText="1"/>
    </xf>
    <xf numFmtId="1" fontId="28" fillId="0" borderId="70" xfId="0" applyNumberFormat="1" applyFont="1" applyBorder="1" applyAlignment="1">
      <alignment horizontal="center" vertical="top" wrapText="1"/>
    </xf>
    <xf numFmtId="1" fontId="28" fillId="0" borderId="66" xfId="0" applyNumberFormat="1" applyFont="1" applyBorder="1" applyAlignment="1">
      <alignment horizontal="center" vertical="top" wrapText="1"/>
    </xf>
    <xf numFmtId="1" fontId="28" fillId="0" borderId="22" xfId="0" applyNumberFormat="1" applyFont="1" applyBorder="1" applyAlignment="1">
      <alignment horizontal="center" vertical="top" wrapText="1"/>
    </xf>
    <xf numFmtId="2" fontId="28" fillId="0" borderId="66" xfId="0" applyNumberFormat="1" applyFont="1" applyBorder="1" applyAlignment="1">
      <alignment horizontal="left" vertical="top" wrapText="1"/>
    </xf>
    <xf numFmtId="2" fontId="28" fillId="0" borderId="22" xfId="0" applyNumberFormat="1" applyFont="1" applyBorder="1" applyAlignment="1">
      <alignment horizontal="left" vertical="top" wrapText="1"/>
    </xf>
    <xf numFmtId="2" fontId="28" fillId="0" borderId="70" xfId="0" applyNumberFormat="1" applyFont="1" applyBorder="1" applyAlignment="1">
      <alignment vertical="top" wrapText="1"/>
    </xf>
    <xf numFmtId="0" fontId="28" fillId="0" borderId="66" xfId="0" applyFont="1" applyBorder="1" applyAlignment="1">
      <alignment vertical="top" wrapText="1"/>
    </xf>
    <xf numFmtId="0" fontId="28" fillId="0" borderId="22" xfId="0" applyFont="1" applyBorder="1" applyAlignment="1">
      <alignment vertical="top" wrapText="1"/>
    </xf>
    <xf numFmtId="2" fontId="28" fillId="0" borderId="23" xfId="0" applyNumberFormat="1" applyFont="1" applyBorder="1" applyAlignment="1">
      <alignment vertical="top" wrapText="1"/>
    </xf>
    <xf numFmtId="2" fontId="28" fillId="0" borderId="48" xfId="0" applyNumberFormat="1" applyFont="1" applyBorder="1" applyAlignment="1">
      <alignment vertical="top" wrapText="1"/>
    </xf>
    <xf numFmtId="2" fontId="28" fillId="0" borderId="44" xfId="0" applyNumberFormat="1" applyFont="1" applyBorder="1" applyAlignment="1">
      <alignment vertical="top" wrapText="1"/>
    </xf>
    <xf numFmtId="0" fontId="28" fillId="0" borderId="48" xfId="0" applyFont="1" applyBorder="1" applyAlignment="1">
      <alignment vertical="top" wrapText="1"/>
    </xf>
    <xf numFmtId="0" fontId="28" fillId="0" borderId="44" xfId="0" applyFont="1" applyBorder="1" applyAlignment="1">
      <alignment vertical="top" wrapText="1"/>
    </xf>
    <xf numFmtId="2" fontId="28" fillId="0" borderId="23" xfId="0" applyNumberFormat="1" applyFont="1" applyBorder="1" applyAlignment="1">
      <alignment horizontal="left" vertical="top" wrapText="1"/>
    </xf>
    <xf numFmtId="2" fontId="28" fillId="0" borderId="48" xfId="0" applyNumberFormat="1" applyFont="1" applyBorder="1" applyAlignment="1">
      <alignment horizontal="left" vertical="top" wrapText="1"/>
    </xf>
    <xf numFmtId="2" fontId="28" fillId="0" borderId="44" xfId="0" applyNumberFormat="1" applyFont="1" applyBorder="1" applyAlignment="1">
      <alignment horizontal="left" vertical="top" wrapText="1"/>
    </xf>
    <xf numFmtId="2" fontId="28" fillId="0" borderId="70" xfId="0" applyNumberFormat="1" applyFont="1" applyBorder="1" applyAlignment="1">
      <alignment horizontal="left" vertical="top" wrapText="1"/>
    </xf>
    <xf numFmtId="2" fontId="28" fillId="0" borderId="13" xfId="0" applyNumberFormat="1" applyFont="1" applyBorder="1" applyAlignment="1">
      <alignment vertical="top" wrapText="1"/>
    </xf>
    <xf numFmtId="0" fontId="28" fillId="0" borderId="13" xfId="0" applyFont="1" applyBorder="1" applyAlignment="1">
      <alignment vertical="top" wrapText="1"/>
    </xf>
    <xf numFmtId="2" fontId="28" fillId="0" borderId="13" xfId="0" applyNumberFormat="1" applyFont="1" applyBorder="1" applyAlignment="1">
      <alignment horizontal="left" vertical="top" wrapText="1"/>
    </xf>
    <xf numFmtId="1" fontId="28" fillId="0" borderId="70" xfId="0" applyNumberFormat="1" applyFont="1" applyBorder="1" applyAlignment="1">
      <alignment horizontal="left" vertical="top" wrapText="1"/>
    </xf>
    <xf numFmtId="1" fontId="28" fillId="0" borderId="66" xfId="0" applyNumberFormat="1" applyFont="1" applyBorder="1" applyAlignment="1">
      <alignment horizontal="left" vertical="top" wrapText="1"/>
    </xf>
    <xf numFmtId="1" fontId="28" fillId="0" borderId="22" xfId="0" applyNumberFormat="1" applyFont="1" applyBorder="1" applyAlignment="1">
      <alignment horizontal="left" vertical="top" wrapText="1"/>
    </xf>
    <xf numFmtId="2" fontId="5" fillId="0" borderId="70" xfId="0" applyNumberFormat="1" applyFont="1" applyBorder="1" applyAlignment="1">
      <alignment vertical="top" wrapText="1"/>
    </xf>
    <xf numFmtId="0" fontId="28" fillId="0" borderId="13" xfId="0" applyFont="1" applyBorder="1" applyAlignment="1">
      <alignment horizontal="left" vertical="top" wrapText="1"/>
    </xf>
    <xf numFmtId="2" fontId="28" fillId="0" borderId="66" xfId="0" applyNumberFormat="1" applyFont="1" applyBorder="1" applyAlignment="1">
      <alignment vertical="top" wrapText="1"/>
    </xf>
    <xf numFmtId="2" fontId="28" fillId="0" borderId="22" xfId="0" applyNumberFormat="1" applyFont="1" applyBorder="1" applyAlignment="1">
      <alignment vertical="top" wrapText="1"/>
    </xf>
    <xf numFmtId="0" fontId="28" fillId="0" borderId="70" xfId="0" applyFont="1" applyBorder="1" applyAlignment="1">
      <alignment horizontal="left" vertical="top" wrapText="1"/>
    </xf>
    <xf numFmtId="0" fontId="28" fillId="0" borderId="66" xfId="0" applyFont="1" applyBorder="1" applyAlignment="1">
      <alignment horizontal="left" vertical="top" wrapText="1"/>
    </xf>
    <xf numFmtId="0" fontId="28" fillId="0" borderId="22" xfId="0" applyFont="1" applyBorder="1" applyAlignment="1">
      <alignment horizontal="left" vertical="top" wrapText="1"/>
    </xf>
    <xf numFmtId="0" fontId="38" fillId="0" borderId="48" xfId="0" applyFont="1" applyBorder="1" applyAlignment="1">
      <alignment horizontal="left" vertical="top" wrapText="1"/>
    </xf>
    <xf numFmtId="1" fontId="47" fillId="0" borderId="70" xfId="0" applyNumberFormat="1" applyFont="1" applyBorder="1" applyAlignment="1">
      <alignment vertical="top" wrapText="1"/>
    </xf>
    <xf numFmtId="0" fontId="47" fillId="0" borderId="66" xfId="0" applyFont="1" applyBorder="1" applyAlignment="1">
      <alignment vertical="top" wrapText="1"/>
    </xf>
    <xf numFmtId="0" fontId="47" fillId="0" borderId="22" xfId="0" applyFont="1" applyBorder="1" applyAlignment="1">
      <alignment vertical="top" wrapText="1"/>
    </xf>
    <xf numFmtId="0" fontId="28" fillId="0" borderId="23" xfId="0" applyFont="1" applyBorder="1" applyAlignment="1">
      <alignment vertical="top" wrapText="1"/>
    </xf>
    <xf numFmtId="1" fontId="28" fillId="0" borderId="22" xfId="0" applyNumberFormat="1" applyFont="1" applyBorder="1" applyAlignment="1">
      <alignment horizontal="center" vertical="center"/>
    </xf>
    <xf numFmtId="1" fontId="28" fillId="0" borderId="10" xfId="0" applyNumberFormat="1" applyFont="1" applyBorder="1" applyAlignment="1">
      <alignment horizontal="center" vertical="center"/>
    </xf>
    <xf numFmtId="1" fontId="28" fillId="0" borderId="10" xfId="0" applyNumberFormat="1" applyFont="1" applyBorder="1" applyAlignment="1">
      <alignment horizontal="center" vertical="top"/>
    </xf>
    <xf numFmtId="0" fontId="47" fillId="0" borderId="23" xfId="0" applyFont="1" applyBorder="1" applyAlignment="1">
      <alignment vertical="top" wrapText="1"/>
    </xf>
    <xf numFmtId="0" fontId="47" fillId="0" borderId="48" xfId="0" applyFont="1" applyBorder="1" applyAlignment="1">
      <alignment vertical="top" wrapText="1"/>
    </xf>
    <xf numFmtId="0" fontId="47" fillId="0" borderId="44" xfId="0" applyFont="1" applyBorder="1" applyAlignment="1">
      <alignment vertical="top" wrapText="1"/>
    </xf>
    <xf numFmtId="0" fontId="47" fillId="0" borderId="69" xfId="0" applyFont="1" applyBorder="1" applyAlignment="1">
      <alignment vertical="top" wrapText="1"/>
    </xf>
    <xf numFmtId="0" fontId="47" fillId="0" borderId="40" xfId="0" applyFont="1" applyBorder="1" applyAlignment="1">
      <alignment vertical="top" wrapText="1"/>
    </xf>
    <xf numFmtId="0" fontId="47" fillId="0" borderId="72" xfId="0" applyFont="1" applyBorder="1" applyAlignment="1">
      <alignment vertical="top" wrapText="1"/>
    </xf>
    <xf numFmtId="0" fontId="28" fillId="0" borderId="70" xfId="0" applyFont="1" applyBorder="1" applyAlignment="1">
      <alignment vertical="top" wrapText="1"/>
    </xf>
    <xf numFmtId="0" fontId="23" fillId="0" borderId="30" xfId="0" applyFont="1" applyBorder="1" applyAlignment="1">
      <alignment vertical="top" wrapText="1"/>
    </xf>
    <xf numFmtId="0" fontId="23" fillId="0" borderId="40" xfId="0" applyFont="1" applyBorder="1" applyAlignment="1">
      <alignment vertical="top" wrapText="1"/>
    </xf>
    <xf numFmtId="0" fontId="23" fillId="0" borderId="72" xfId="0" applyFont="1" applyBorder="1" applyAlignment="1">
      <alignment vertical="top" wrapText="1"/>
    </xf>
    <xf numFmtId="0" fontId="23" fillId="0" borderId="73" xfId="0" applyFont="1" applyBorder="1" applyAlignment="1">
      <alignment vertical="top" wrapText="1"/>
    </xf>
    <xf numFmtId="0" fontId="5" fillId="0" borderId="11" xfId="0" applyFont="1" applyBorder="1" applyAlignment="1">
      <alignment vertical="top" wrapText="1"/>
    </xf>
    <xf numFmtId="0" fontId="23" fillId="0" borderId="7" xfId="0" applyFont="1" applyBorder="1" applyAlignment="1">
      <alignment vertical="top" wrapText="1"/>
    </xf>
    <xf numFmtId="1" fontId="23" fillId="0" borderId="23" xfId="0" applyNumberFormat="1" applyFont="1" applyBorder="1" applyAlignment="1">
      <alignment horizontal="left" vertical="top" wrapText="1"/>
    </xf>
    <xf numFmtId="1" fontId="23" fillId="0" borderId="48" xfId="0" applyNumberFormat="1" applyFont="1" applyBorder="1" applyAlignment="1">
      <alignment horizontal="left" vertical="top" wrapText="1"/>
    </xf>
    <xf numFmtId="1" fontId="23" fillId="0" borderId="44" xfId="0" applyNumberFormat="1"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3" xfId="0" applyFont="1" applyBorder="1" applyAlignment="1">
      <alignment horizontal="left" vertical="top" wrapText="1"/>
    </xf>
    <xf numFmtId="0" fontId="23" fillId="0" borderId="23" xfId="0" applyFont="1" applyBorder="1" applyAlignment="1">
      <alignment vertical="top" wrapText="1"/>
    </xf>
    <xf numFmtId="0" fontId="23" fillId="0" borderId="48" xfId="0" applyFont="1" applyBorder="1" applyAlignment="1">
      <alignment vertical="top" wrapText="1"/>
    </xf>
    <xf numFmtId="0" fontId="23" fillId="0" borderId="44" xfId="0" applyFont="1" applyBorder="1" applyAlignment="1">
      <alignment vertical="top" wrapText="1"/>
    </xf>
    <xf numFmtId="0" fontId="23" fillId="0" borderId="23" xfId="0" applyFont="1" applyBorder="1" applyAlignment="1">
      <alignment horizontal="left" vertical="top" wrapText="1"/>
    </xf>
    <xf numFmtId="0" fontId="23" fillId="0" borderId="48" xfId="0" applyFont="1" applyBorder="1" applyAlignment="1">
      <alignment horizontal="left" vertical="top" wrapText="1"/>
    </xf>
    <xf numFmtId="0" fontId="23" fillId="0" borderId="44" xfId="0" applyFont="1" applyBorder="1" applyAlignment="1">
      <alignment horizontal="left" vertical="top" wrapText="1"/>
    </xf>
    <xf numFmtId="0" fontId="23" fillId="0" borderId="40" xfId="0" applyFont="1" applyBorder="1" applyAlignment="1">
      <alignment horizontal="left" vertical="top" wrapText="1"/>
    </xf>
    <xf numFmtId="0" fontId="23" fillId="0" borderId="72" xfId="0" applyFont="1" applyBorder="1" applyAlignment="1">
      <alignment horizontal="left" vertical="top" wrapText="1"/>
    </xf>
    <xf numFmtId="0" fontId="5" fillId="0" borderId="11" xfId="0" applyFont="1" applyBorder="1" applyAlignment="1">
      <alignment horizontal="left" vertical="top" wrapText="1"/>
    </xf>
    <xf numFmtId="0" fontId="23" fillId="0" borderId="7" xfId="0" applyFont="1" applyBorder="1" applyAlignment="1">
      <alignment horizontal="left" vertical="top" wrapText="1"/>
    </xf>
    <xf numFmtId="0" fontId="23" fillId="0" borderId="71" xfId="0" applyFont="1" applyBorder="1" applyAlignment="1">
      <alignment horizontal="left" vertical="top" wrapText="1"/>
    </xf>
    <xf numFmtId="0" fontId="23" fillId="0" borderId="73" xfId="0" applyFont="1" applyBorder="1" applyAlignment="1">
      <alignment horizontal="left" vertical="top" wrapText="1"/>
    </xf>
    <xf numFmtId="0" fontId="5" fillId="0" borderId="7" xfId="0" applyFont="1" applyBorder="1" applyAlignment="1">
      <alignment horizontal="left" vertical="top" wrapText="1"/>
    </xf>
    <xf numFmtId="0" fontId="23" fillId="0" borderId="13" xfId="0" applyFont="1" applyBorder="1" applyAlignment="1">
      <alignment horizontal="left" vertical="top" wrapText="1"/>
    </xf>
    <xf numFmtId="0" fontId="0" fillId="0" borderId="48" xfId="0" applyBorder="1" applyAlignment="1">
      <alignment horizontal="left" vertical="top"/>
    </xf>
    <xf numFmtId="0" fontId="0" fillId="0" borderId="44" xfId="0" applyBorder="1" applyAlignment="1">
      <alignment horizontal="left" vertical="top"/>
    </xf>
    <xf numFmtId="0" fontId="5"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11" xfId="0" applyFont="1" applyBorder="1" applyAlignment="1">
      <alignment vertical="top" wrapText="1"/>
    </xf>
    <xf numFmtId="0" fontId="5" fillId="0" borderId="4" xfId="0" applyFont="1" applyBorder="1" applyAlignment="1">
      <alignment vertical="top" wrapText="1"/>
    </xf>
    <xf numFmtId="0" fontId="23" fillId="0" borderId="1" xfId="0" applyFont="1" applyBorder="1" applyAlignment="1">
      <alignment vertical="top" wrapText="1"/>
    </xf>
    <xf numFmtId="0" fontId="23" fillId="0" borderId="3" xfId="0" applyFont="1" applyBorder="1" applyAlignment="1">
      <alignment vertical="top" wrapText="1"/>
    </xf>
    <xf numFmtId="0" fontId="23" fillId="0" borderId="70" xfId="0" applyFont="1" applyBorder="1" applyAlignment="1">
      <alignment vertical="top" wrapText="1"/>
    </xf>
    <xf numFmtId="0" fontId="23" fillId="0" borderId="66" xfId="0" applyFont="1" applyBorder="1" applyAlignment="1">
      <alignment vertical="top" wrapText="1"/>
    </xf>
    <xf numFmtId="0" fontId="23" fillId="0" borderId="22" xfId="0" applyFont="1" applyBorder="1" applyAlignment="1">
      <alignment vertical="top" wrapText="1"/>
    </xf>
    <xf numFmtId="0" fontId="5" fillId="0" borderId="31" xfId="0" applyFont="1" applyBorder="1" applyAlignment="1">
      <alignment horizontal="left" vertical="top" wrapText="1"/>
    </xf>
    <xf numFmtId="0" fontId="5" fillId="0" borderId="27" xfId="0" applyFont="1" applyBorder="1" applyAlignment="1">
      <alignment horizontal="left" vertical="top" wrapText="1"/>
    </xf>
    <xf numFmtId="0" fontId="5" fillId="0" borderId="42" xfId="0" applyFont="1" applyBorder="1" applyAlignment="1">
      <alignment horizontal="left" vertical="top" wrapText="1"/>
    </xf>
    <xf numFmtId="0" fontId="23" fillId="0" borderId="70" xfId="0" applyFont="1" applyBorder="1" applyAlignment="1">
      <alignment horizontal="left" vertical="top" wrapText="1"/>
    </xf>
    <xf numFmtId="0" fontId="23" fillId="0" borderId="66" xfId="0" applyFont="1" applyBorder="1" applyAlignment="1">
      <alignment horizontal="left" vertical="top" wrapText="1"/>
    </xf>
    <xf numFmtId="0" fontId="23" fillId="0" borderId="22" xfId="0" applyFont="1" applyBorder="1" applyAlignment="1">
      <alignment horizontal="left" vertical="top" wrapText="1"/>
    </xf>
    <xf numFmtId="0" fontId="23" fillId="0" borderId="13" xfId="0" applyFont="1" applyBorder="1" applyAlignment="1">
      <alignment vertical="top" wrapText="1"/>
    </xf>
    <xf numFmtId="0" fontId="0" fillId="0" borderId="66" xfId="0" applyBorder="1" applyAlignment="1">
      <alignment horizontal="left" vertical="top"/>
    </xf>
    <xf numFmtId="0" fontId="0" fillId="0" borderId="22" xfId="0" applyBorder="1" applyAlignment="1">
      <alignment horizontal="left" vertical="top"/>
    </xf>
    <xf numFmtId="1" fontId="23" fillId="0" borderId="70" xfId="0" applyNumberFormat="1" applyFont="1" applyBorder="1" applyAlignment="1">
      <alignment vertical="top" wrapText="1"/>
    </xf>
    <xf numFmtId="1" fontId="23" fillId="0" borderId="66" xfId="0" applyNumberFormat="1" applyFont="1" applyBorder="1" applyAlignment="1">
      <alignment vertical="top" wrapText="1"/>
    </xf>
    <xf numFmtId="1" fontId="23" fillId="0" borderId="22" xfId="0" applyNumberFormat="1" applyFont="1" applyBorder="1" applyAlignment="1">
      <alignment vertical="top" wrapText="1"/>
    </xf>
    <xf numFmtId="49" fontId="24" fillId="0" borderId="36" xfId="0" applyNumberFormat="1" applyFont="1" applyBorder="1" applyAlignment="1">
      <alignment vertical="top" wrapText="1"/>
    </xf>
    <xf numFmtId="49" fontId="24" fillId="0" borderId="55" xfId="0" applyNumberFormat="1" applyFont="1" applyBorder="1" applyAlignment="1">
      <alignment vertical="top" wrapText="1"/>
    </xf>
    <xf numFmtId="49" fontId="24" fillId="0" borderId="43" xfId="0" applyNumberFormat="1" applyFont="1" applyBorder="1" applyAlignment="1">
      <alignment vertical="top" wrapText="1"/>
    </xf>
    <xf numFmtId="1" fontId="23" fillId="0" borderId="70" xfId="0" applyNumberFormat="1" applyFont="1" applyBorder="1" applyAlignment="1">
      <alignment horizontal="left" vertical="top" wrapText="1"/>
    </xf>
    <xf numFmtId="1" fontId="23" fillId="0" borderId="66" xfId="0" applyNumberFormat="1" applyFont="1" applyBorder="1" applyAlignment="1">
      <alignment horizontal="left" vertical="top" wrapText="1"/>
    </xf>
    <xf numFmtId="1" fontId="23" fillId="0" borderId="22" xfId="0" applyNumberFormat="1" applyFont="1" applyBorder="1" applyAlignment="1">
      <alignment horizontal="left" vertical="top" wrapText="1"/>
    </xf>
    <xf numFmtId="1" fontId="23" fillId="0" borderId="13" xfId="0" applyNumberFormat="1" applyFont="1" applyBorder="1" applyAlignment="1">
      <alignment vertical="top" wrapText="1"/>
    </xf>
    <xf numFmtId="1" fontId="23" fillId="0" borderId="22" xfId="0" applyNumberFormat="1" applyFont="1" applyBorder="1" applyAlignment="1">
      <alignment horizontal="center" vertical="center" wrapText="1"/>
    </xf>
    <xf numFmtId="1" fontId="23" fillId="0" borderId="10" xfId="0" applyNumberFormat="1" applyFont="1" applyBorder="1" applyAlignment="1">
      <alignment horizontal="center" vertical="center" wrapText="1"/>
    </xf>
    <xf numFmtId="0" fontId="23" fillId="0" borderId="61" xfId="0" applyFont="1" applyBorder="1" applyAlignment="1">
      <alignment horizontal="center" vertical="top" wrapText="1"/>
    </xf>
    <xf numFmtId="0" fontId="23" fillId="0" borderId="0" xfId="0" applyFont="1" applyAlignment="1">
      <alignment horizontal="center" vertical="top" wrapText="1"/>
    </xf>
    <xf numFmtId="1" fontId="23" fillId="0" borderId="55" xfId="0" applyNumberFormat="1" applyFont="1" applyBorder="1" applyAlignment="1">
      <alignment horizontal="center" vertical="center" wrapText="1"/>
    </xf>
    <xf numFmtId="0" fontId="23" fillId="0" borderId="55" xfId="0" applyFont="1" applyBorder="1" applyAlignment="1">
      <alignment horizontal="center" vertical="center" wrapText="1"/>
    </xf>
    <xf numFmtId="0" fontId="23" fillId="0" borderId="71" xfId="0" applyFont="1" applyBorder="1" applyAlignment="1">
      <alignment horizontal="center" vertical="top" wrapText="1"/>
    </xf>
    <xf numFmtId="1" fontId="5" fillId="8" borderId="56" xfId="0" applyNumberFormat="1" applyFont="1" applyFill="1" applyBorder="1" applyAlignment="1">
      <alignment horizontal="left" vertical="top"/>
    </xf>
    <xf numFmtId="1" fontId="5" fillId="8" borderId="41" xfId="0" applyNumberFormat="1" applyFont="1" applyFill="1" applyBorder="1" applyAlignment="1">
      <alignment horizontal="left" vertical="top"/>
    </xf>
    <xf numFmtId="0" fontId="5" fillId="8" borderId="35" xfId="0" applyFont="1" applyFill="1" applyBorder="1" applyAlignment="1">
      <alignment horizontal="left" vertical="top"/>
    </xf>
    <xf numFmtId="0" fontId="5" fillId="14" borderId="1" xfId="0" applyFont="1" applyFill="1" applyBorder="1" applyAlignment="1">
      <alignment horizontal="left" vertical="top"/>
    </xf>
    <xf numFmtId="1" fontId="36" fillId="0" borderId="60" xfId="0" applyNumberFormat="1" applyFont="1" applyBorder="1" applyAlignment="1">
      <alignment horizontal="center" vertical="top" wrapText="1"/>
    </xf>
    <xf numFmtId="1" fontId="36" fillId="0" borderId="10" xfId="0" applyNumberFormat="1" applyFont="1" applyBorder="1" applyAlignment="1">
      <alignment horizontal="center" vertical="top" wrapText="1"/>
    </xf>
    <xf numFmtId="0" fontId="28" fillId="0" borderId="55" xfId="0" applyFont="1" applyBorder="1" applyAlignment="1">
      <alignment horizontal="center" vertical="top" wrapText="1"/>
    </xf>
    <xf numFmtId="0" fontId="28" fillId="0" borderId="47" xfId="0" applyFont="1" applyBorder="1" applyAlignment="1">
      <alignment horizontal="center" vertical="top" wrapText="1"/>
    </xf>
    <xf numFmtId="0" fontId="28" fillId="0" borderId="67" xfId="0" applyFont="1" applyBorder="1" applyAlignment="1">
      <alignment horizontal="center" vertical="top" wrapText="1"/>
    </xf>
    <xf numFmtId="0" fontId="28" fillId="0" borderId="29" xfId="0" applyFont="1" applyBorder="1" applyAlignment="1">
      <alignment vertical="top" wrapText="1"/>
    </xf>
    <xf numFmtId="0" fontId="28" fillId="0" borderId="21" xfId="0" applyFont="1" applyBorder="1" applyAlignment="1">
      <alignment vertical="top" wrapText="1"/>
    </xf>
    <xf numFmtId="0" fontId="28" fillId="0" borderId="24" xfId="0" applyFont="1" applyBorder="1" applyAlignment="1">
      <alignment vertical="top" wrapText="1"/>
    </xf>
    <xf numFmtId="0" fontId="28" fillId="0" borderId="71" xfId="0" applyFont="1" applyBorder="1" applyAlignment="1">
      <alignment vertical="top" wrapText="1"/>
    </xf>
    <xf numFmtId="0" fontId="28" fillId="0" borderId="19" xfId="0" applyFont="1" applyBorder="1" applyAlignment="1">
      <alignment horizontal="left" vertical="top" wrapText="1"/>
    </xf>
    <xf numFmtId="0" fontId="28" fillId="0" borderId="26" xfId="0" applyFont="1" applyBorder="1" applyAlignment="1">
      <alignment horizontal="left" vertical="top" wrapText="1"/>
    </xf>
    <xf numFmtId="0" fontId="28" fillId="0" borderId="20" xfId="0" applyFont="1" applyBorder="1" applyAlignment="1">
      <alignment horizontal="left" vertical="top" wrapText="1"/>
    </xf>
    <xf numFmtId="0" fontId="28" fillId="0" borderId="18" xfId="0" applyFont="1" applyBorder="1" applyAlignment="1">
      <alignment horizontal="left" vertical="top" wrapText="1"/>
    </xf>
    <xf numFmtId="49" fontId="29" fillId="0" borderId="20" xfId="0" applyNumberFormat="1" applyFont="1" applyBorder="1" applyAlignment="1">
      <alignment horizontal="left" vertical="top" wrapText="1"/>
    </xf>
    <xf numFmtId="49" fontId="29" fillId="0" borderId="38" xfId="0" applyNumberFormat="1" applyFont="1" applyBorder="1" applyAlignment="1">
      <alignment horizontal="left" vertical="top" wrapText="1"/>
    </xf>
    <xf numFmtId="49" fontId="29" fillId="0" borderId="25" xfId="0" applyNumberFormat="1" applyFont="1" applyBorder="1" applyAlignment="1">
      <alignment horizontal="left" vertical="top" wrapText="1"/>
    </xf>
    <xf numFmtId="49" fontId="29" fillId="0" borderId="65" xfId="0" applyNumberFormat="1" applyFont="1" applyBorder="1" applyAlignment="1">
      <alignment horizontal="left" vertical="top" wrapText="1"/>
    </xf>
    <xf numFmtId="49" fontId="28" fillId="0" borderId="0" xfId="0" applyNumberFormat="1" applyFont="1" applyAlignment="1">
      <alignment horizontal="center" vertical="top" wrapText="1"/>
    </xf>
    <xf numFmtId="49" fontId="28" fillId="0" borderId="61" xfId="0" applyNumberFormat="1" applyFont="1" applyBorder="1" applyAlignment="1">
      <alignment horizontal="center" vertical="top" wrapText="1"/>
    </xf>
    <xf numFmtId="49" fontId="45" fillId="13" borderId="50" xfId="0" applyNumberFormat="1" applyFont="1" applyFill="1" applyBorder="1" applyAlignment="1">
      <alignment horizontal="center" vertical="top" wrapText="1"/>
    </xf>
    <xf numFmtId="49" fontId="45" fillId="13" borderId="38" xfId="0" applyNumberFormat="1" applyFont="1" applyFill="1" applyBorder="1" applyAlignment="1">
      <alignment horizontal="center" vertical="top" wrapText="1"/>
    </xf>
    <xf numFmtId="0" fontId="28" fillId="21" borderId="48" xfId="0" applyFont="1" applyFill="1" applyBorder="1" applyAlignment="1">
      <alignment horizontal="left" vertical="top" wrapText="1"/>
    </xf>
    <xf numFmtId="0" fontId="28" fillId="21" borderId="44" xfId="0" applyFont="1" applyFill="1" applyBorder="1" applyAlignment="1">
      <alignment horizontal="left" vertical="top" wrapText="1"/>
    </xf>
    <xf numFmtId="0" fontId="28" fillId="0" borderId="18" xfId="0" applyFont="1" applyBorder="1" applyAlignment="1">
      <alignment vertical="top" wrapText="1"/>
    </xf>
    <xf numFmtId="0" fontId="28" fillId="0" borderId="74" xfId="0" applyFont="1" applyBorder="1" applyAlignment="1">
      <alignment vertical="top" wrapText="1"/>
    </xf>
    <xf numFmtId="0" fontId="28" fillId="0" borderId="8" xfId="0" applyFont="1" applyBorder="1" applyAlignment="1">
      <alignment vertical="top" wrapText="1"/>
    </xf>
    <xf numFmtId="0" fontId="28" fillId="0" borderId="2" xfId="0" applyFont="1" applyBorder="1" applyAlignment="1">
      <alignment vertical="top" wrapText="1"/>
    </xf>
    <xf numFmtId="0" fontId="28" fillId="0" borderId="9" xfId="0" applyFont="1" applyBorder="1" applyAlignment="1">
      <alignment vertical="top" wrapText="1"/>
    </xf>
    <xf numFmtId="1" fontId="28" fillId="0" borderId="70" xfId="0" applyNumberFormat="1" applyFont="1" applyBorder="1" applyAlignment="1">
      <alignment vertical="top" wrapText="1"/>
    </xf>
    <xf numFmtId="0" fontId="5" fillId="8" borderId="62" xfId="0" applyFont="1" applyFill="1" applyBorder="1" applyAlignment="1">
      <alignment horizontal="left" vertical="top" wrapText="1"/>
    </xf>
    <xf numFmtId="0" fontId="5" fillId="8" borderId="49" xfId="0" applyFont="1" applyFill="1" applyBorder="1" applyAlignment="1">
      <alignment horizontal="left" vertical="top" wrapText="1"/>
    </xf>
    <xf numFmtId="0" fontId="5" fillId="8" borderId="56" xfId="0" applyFont="1" applyFill="1" applyBorder="1" applyAlignment="1">
      <alignment horizontal="left" vertical="top" wrapText="1"/>
    </xf>
    <xf numFmtId="0" fontId="5" fillId="8" borderId="41" xfId="0" applyFont="1" applyFill="1" applyBorder="1" applyAlignment="1">
      <alignment horizontal="left" vertical="top" wrapText="1"/>
    </xf>
    <xf numFmtId="49" fontId="28" fillId="0" borderId="13" xfId="0" applyNumberFormat="1" applyFont="1" applyBorder="1" applyAlignment="1">
      <alignment horizontal="left" vertical="top" wrapText="1"/>
    </xf>
    <xf numFmtId="49" fontId="28" fillId="0" borderId="48" xfId="0" applyNumberFormat="1" applyFont="1" applyBorder="1" applyAlignment="1">
      <alignment horizontal="left" vertical="top" wrapText="1"/>
    </xf>
    <xf numFmtId="1" fontId="28" fillId="0" borderId="13" xfId="0" applyNumberFormat="1" applyFont="1" applyBorder="1" applyAlignment="1">
      <alignment horizontal="left" vertical="top" wrapText="1"/>
    </xf>
    <xf numFmtId="0" fontId="36" fillId="0" borderId="10" xfId="0" applyFont="1" applyBorder="1" applyAlignment="1">
      <alignment horizontal="center" wrapText="1"/>
    </xf>
    <xf numFmtId="0" fontId="5" fillId="0" borderId="0" xfId="0" applyFont="1" applyAlignment="1">
      <alignment horizontal="center" wrapText="1"/>
    </xf>
    <xf numFmtId="0" fontId="5" fillId="0" borderId="71" xfId="0" applyFont="1" applyBorder="1" applyAlignment="1">
      <alignment horizontal="center" wrapText="1"/>
    </xf>
    <xf numFmtId="0" fontId="5" fillId="0" borderId="61" xfId="0" applyFont="1" applyBorder="1" applyAlignment="1">
      <alignment horizontal="center" wrapText="1"/>
    </xf>
    <xf numFmtId="0" fontId="5" fillId="0" borderId="55" xfId="0" applyFont="1" applyBorder="1" applyAlignment="1">
      <alignment horizontal="center" wrapText="1"/>
    </xf>
    <xf numFmtId="0" fontId="45" fillId="13" borderId="43" xfId="0" applyFont="1" applyFill="1" applyBorder="1" applyAlignment="1">
      <alignment horizontal="left" vertical="top" wrapText="1"/>
    </xf>
    <xf numFmtId="2" fontId="5" fillId="8" borderId="35" xfId="0" applyNumberFormat="1" applyFont="1" applyFill="1" applyBorder="1" applyAlignment="1">
      <alignment horizontal="left" vertical="top" wrapText="1"/>
    </xf>
    <xf numFmtId="2" fontId="5" fillId="8" borderId="1" xfId="0" applyNumberFormat="1" applyFont="1" applyFill="1" applyBorder="1" applyAlignment="1">
      <alignment horizontal="left" vertical="top" wrapText="1"/>
    </xf>
    <xf numFmtId="2" fontId="5" fillId="8" borderId="62" xfId="0" applyNumberFormat="1" applyFont="1" applyFill="1" applyBorder="1" applyAlignment="1">
      <alignment horizontal="left" vertical="top" wrapText="1"/>
    </xf>
    <xf numFmtId="2" fontId="5" fillId="8" borderId="49" xfId="0" applyNumberFormat="1" applyFont="1" applyFill="1" applyBorder="1" applyAlignment="1">
      <alignment horizontal="left" vertical="top" wrapText="1"/>
    </xf>
    <xf numFmtId="2" fontId="5" fillId="8" borderId="56" xfId="0" applyNumberFormat="1" applyFont="1" applyFill="1" applyBorder="1" applyAlignment="1">
      <alignment horizontal="left" vertical="top" wrapText="1"/>
    </xf>
    <xf numFmtId="2" fontId="5" fillId="8" borderId="41" xfId="0" applyNumberFormat="1" applyFont="1" applyFill="1" applyBorder="1" applyAlignment="1">
      <alignment horizontal="left" vertical="top" wrapText="1"/>
    </xf>
    <xf numFmtId="0" fontId="36" fillId="0" borderId="60" xfId="0" applyFont="1" applyBorder="1" applyAlignment="1">
      <alignment horizontal="center" vertical="top" wrapText="1"/>
    </xf>
    <xf numFmtId="0" fontId="36" fillId="0" borderId="10" xfId="0" applyFont="1" applyBorder="1" applyAlignment="1">
      <alignment horizontal="center" vertical="top" wrapText="1"/>
    </xf>
    <xf numFmtId="49" fontId="8" fillId="0" borderId="36" xfId="0" applyNumberFormat="1" applyFont="1" applyBorder="1" applyAlignment="1">
      <alignment horizontal="left" vertical="top" wrapText="1"/>
    </xf>
    <xf numFmtId="49" fontId="8" fillId="0" borderId="55" xfId="0" applyNumberFormat="1" applyFont="1" applyBorder="1" applyAlignment="1">
      <alignment horizontal="left" vertical="top" wrapText="1"/>
    </xf>
    <xf numFmtId="49" fontId="8" fillId="0" borderId="43" xfId="0" applyNumberFormat="1" applyFont="1" applyBorder="1" applyAlignment="1">
      <alignment horizontal="left" vertical="top" wrapText="1"/>
    </xf>
    <xf numFmtId="49" fontId="5" fillId="0" borderId="71" xfId="0" applyNumberFormat="1" applyFont="1" applyBorder="1" applyAlignment="1">
      <alignment horizontal="center" vertical="top" wrapText="1"/>
    </xf>
    <xf numFmtId="1" fontId="5" fillId="0" borderId="61" xfId="0" applyNumberFormat="1" applyFont="1" applyBorder="1" applyAlignment="1">
      <alignment vertical="top" wrapText="1"/>
    </xf>
    <xf numFmtId="1" fontId="5" fillId="0" borderId="0" xfId="0" applyNumberFormat="1" applyFont="1" applyAlignment="1">
      <alignment vertical="top" wrapText="1"/>
    </xf>
    <xf numFmtId="49" fontId="6" fillId="0" borderId="36" xfId="0" applyNumberFormat="1" applyFont="1" applyBorder="1" applyAlignment="1">
      <alignment horizontal="right" vertical="top" wrapText="1"/>
    </xf>
    <xf numFmtId="49" fontId="6" fillId="0" borderId="55" xfId="0" applyNumberFormat="1" applyFont="1" applyBorder="1" applyAlignment="1">
      <alignment horizontal="right" vertical="top" wrapText="1"/>
    </xf>
    <xf numFmtId="49" fontId="6" fillId="0" borderId="43" xfId="0" applyNumberFormat="1" applyFont="1" applyBorder="1" applyAlignment="1">
      <alignment horizontal="right" vertical="top" wrapText="1"/>
    </xf>
    <xf numFmtId="0" fontId="31" fillId="0" borderId="55" xfId="0" applyFont="1" applyBorder="1" applyAlignment="1">
      <alignment horizontal="center" vertical="top" wrapText="1"/>
    </xf>
    <xf numFmtId="0" fontId="31" fillId="0" borderId="47" xfId="0" applyFont="1" applyBorder="1" applyAlignment="1">
      <alignment horizontal="center" vertical="top" wrapText="1"/>
    </xf>
    <xf numFmtId="0" fontId="22" fillId="0" borderId="48" xfId="0" applyFont="1" applyBorder="1" applyAlignment="1">
      <alignment vertical="top" wrapText="1"/>
    </xf>
    <xf numFmtId="0" fontId="22" fillId="0" borderId="70" xfId="0" applyFont="1" applyBorder="1" applyAlignment="1">
      <alignment horizontal="left" vertical="top" wrapText="1"/>
    </xf>
    <xf numFmtId="0" fontId="22" fillId="0" borderId="66" xfId="0" applyFont="1" applyBorder="1" applyAlignment="1">
      <alignment horizontal="left" vertical="top" wrapText="1"/>
    </xf>
    <xf numFmtId="0" fontId="22" fillId="0" borderId="22" xfId="0" applyFont="1" applyBorder="1" applyAlignment="1">
      <alignment horizontal="left" vertical="top" wrapText="1"/>
    </xf>
    <xf numFmtId="49" fontId="22" fillId="0" borderId="70" xfId="0" applyNumberFormat="1" applyFont="1" applyBorder="1" applyAlignment="1">
      <alignment horizontal="left" vertical="top" wrapText="1"/>
    </xf>
    <xf numFmtId="49" fontId="22" fillId="0" borderId="66" xfId="0" applyNumberFormat="1" applyFont="1" applyBorder="1" applyAlignment="1">
      <alignment horizontal="left" vertical="top" wrapText="1"/>
    </xf>
    <xf numFmtId="49" fontId="22" fillId="0" borderId="22" xfId="0" applyNumberFormat="1" applyFont="1" applyBorder="1" applyAlignment="1">
      <alignment horizontal="left" vertical="top" wrapText="1"/>
    </xf>
    <xf numFmtId="49" fontId="22" fillId="0" borderId="23" xfId="0" applyNumberFormat="1" applyFont="1" applyBorder="1" applyAlignment="1">
      <alignment horizontal="left" vertical="top" wrapText="1"/>
    </xf>
    <xf numFmtId="49" fontId="22" fillId="0" borderId="48" xfId="0" applyNumberFormat="1" applyFont="1" applyBorder="1" applyAlignment="1">
      <alignment horizontal="left" vertical="top" wrapText="1"/>
    </xf>
    <xf numFmtId="49" fontId="22" fillId="0" borderId="44" xfId="0" applyNumberFormat="1" applyFont="1" applyBorder="1" applyAlignment="1">
      <alignment horizontal="left" vertical="top" wrapText="1"/>
    </xf>
    <xf numFmtId="0" fontId="22" fillId="0" borderId="48" xfId="0" applyFont="1" applyBorder="1" applyAlignment="1">
      <alignment horizontal="left" vertical="top" wrapText="1"/>
    </xf>
    <xf numFmtId="0" fontId="22" fillId="0" borderId="44" xfId="0" applyFont="1" applyBorder="1" applyAlignment="1">
      <alignment horizontal="left" vertical="top" wrapText="1"/>
    </xf>
    <xf numFmtId="0" fontId="22" fillId="0" borderId="13" xfId="0" applyFont="1" applyBorder="1" applyAlignment="1">
      <alignment horizontal="left" vertical="top" wrapText="1"/>
    </xf>
    <xf numFmtId="0" fontId="22" fillId="0" borderId="60" xfId="0" applyFont="1" applyBorder="1" applyAlignment="1">
      <alignment horizontal="left" vertical="top" wrapText="1"/>
    </xf>
    <xf numFmtId="0" fontId="22" fillId="0" borderId="21" xfId="0" applyFont="1" applyBorder="1" applyAlignment="1">
      <alignment horizontal="left" vertical="top" wrapText="1"/>
    </xf>
    <xf numFmtId="0" fontId="22" fillId="0" borderId="74" xfId="0" applyFont="1" applyBorder="1" applyAlignment="1">
      <alignment horizontal="left" vertical="top" wrapText="1"/>
    </xf>
    <xf numFmtId="1" fontId="22" fillId="0" borderId="70" xfId="0" applyNumberFormat="1" applyFont="1" applyBorder="1" applyAlignment="1">
      <alignment horizontal="left" vertical="top" wrapText="1"/>
    </xf>
    <xf numFmtId="0" fontId="22" fillId="0" borderId="13" xfId="0" applyFont="1" applyBorder="1" applyAlignment="1">
      <alignment vertical="top" wrapText="1"/>
    </xf>
    <xf numFmtId="0" fontId="22" fillId="0" borderId="23" xfId="0" applyFont="1" applyBorder="1" applyAlignment="1">
      <alignment vertical="top" wrapText="1"/>
    </xf>
    <xf numFmtId="0" fontId="22" fillId="0" borderId="44" xfId="0" applyFont="1" applyBorder="1" applyAlignment="1">
      <alignment vertical="top" wrapText="1"/>
    </xf>
    <xf numFmtId="0" fontId="22" fillId="0" borderId="23" xfId="0" applyFont="1" applyBorder="1" applyAlignment="1">
      <alignment horizontal="left" vertical="top" wrapText="1"/>
    </xf>
    <xf numFmtId="1" fontId="22" fillId="0" borderId="13" xfId="0" applyNumberFormat="1" applyFont="1" applyBorder="1" applyAlignment="1">
      <alignment horizontal="left" vertical="top" wrapText="1"/>
    </xf>
    <xf numFmtId="0" fontId="22" fillId="0" borderId="18" xfId="0" applyFont="1" applyBorder="1" applyAlignment="1">
      <alignment horizontal="left" vertical="top" wrapText="1"/>
    </xf>
    <xf numFmtId="0" fontId="22" fillId="0" borderId="24" xfId="0" applyFont="1" applyBorder="1" applyAlignment="1">
      <alignment horizontal="left" vertical="top" wrapText="1"/>
    </xf>
    <xf numFmtId="0" fontId="22" fillId="0" borderId="29" xfId="0" applyFont="1" applyBorder="1" applyAlignment="1">
      <alignment vertical="top" wrapText="1"/>
    </xf>
    <xf numFmtId="0" fontId="22" fillId="0" borderId="21" xfId="0"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horizontal="left" vertical="top" wrapText="1"/>
    </xf>
    <xf numFmtId="0" fontId="22" fillId="0" borderId="26" xfId="0" applyFont="1" applyBorder="1" applyAlignment="1">
      <alignment horizontal="left" vertical="top" wrapText="1"/>
    </xf>
    <xf numFmtId="0" fontId="22" fillId="0" borderId="20" xfId="0" applyFont="1" applyBorder="1" applyAlignment="1">
      <alignment horizontal="left" vertical="top" wrapText="1"/>
    </xf>
    <xf numFmtId="0" fontId="22" fillId="0" borderId="70" xfId="0" applyFont="1" applyBorder="1" applyAlignment="1">
      <alignment vertical="top" wrapText="1"/>
    </xf>
    <xf numFmtId="0" fontId="22" fillId="0" borderId="66" xfId="0" applyFont="1" applyBorder="1" applyAlignment="1">
      <alignment vertical="top" wrapText="1"/>
    </xf>
    <xf numFmtId="0" fontId="22" fillId="0" borderId="22" xfId="0" applyFont="1" applyBorder="1" applyAlignment="1">
      <alignment vertical="top" wrapText="1"/>
    </xf>
    <xf numFmtId="0" fontId="8" fillId="0" borderId="36" xfId="0" applyFont="1" applyBorder="1" applyAlignment="1">
      <alignment horizontal="right" vertical="top"/>
    </xf>
    <xf numFmtId="0" fontId="8" fillId="0" borderId="55" xfId="0" applyFont="1" applyBorder="1" applyAlignment="1">
      <alignment horizontal="right" vertical="top"/>
    </xf>
    <xf numFmtId="0" fontId="8" fillId="0" borderId="43" xfId="0" applyFont="1" applyBorder="1" applyAlignment="1">
      <alignment horizontal="right" vertical="top"/>
    </xf>
    <xf numFmtId="0" fontId="5" fillId="8" borderId="26" xfId="0" applyFont="1" applyFill="1" applyBorder="1" applyAlignment="1">
      <alignment horizontal="right" vertical="top" wrapText="1" indent="1"/>
    </xf>
    <xf numFmtId="0" fontId="0" fillId="0" borderId="15" xfId="0" applyBorder="1">
      <alignment vertical="top"/>
    </xf>
    <xf numFmtId="0" fontId="0" fillId="0" borderId="6" xfId="0" applyBorder="1">
      <alignment vertical="top"/>
    </xf>
    <xf numFmtId="0" fontId="5" fillId="8" borderId="26" xfId="0" applyFont="1" applyFill="1" applyBorder="1" applyAlignment="1">
      <alignment horizontal="right" vertical="top" wrapText="1"/>
    </xf>
    <xf numFmtId="0" fontId="5" fillId="8" borderId="20" xfId="0" applyFont="1" applyFill="1" applyBorder="1" applyAlignment="1">
      <alignment horizontal="right" vertical="top" wrapText="1"/>
    </xf>
    <xf numFmtId="0" fontId="0" fillId="0" borderId="38" xfId="0" applyBorder="1">
      <alignment vertical="top"/>
    </xf>
    <xf numFmtId="0" fontId="0" fillId="0" borderId="52" xfId="0" applyBorder="1">
      <alignment vertical="top"/>
    </xf>
    <xf numFmtId="0" fontId="5" fillId="8" borderId="25" xfId="0" applyFont="1" applyFill="1" applyBorder="1" applyAlignment="1">
      <alignment horizontal="right" vertical="top" wrapText="1" indent="1"/>
    </xf>
    <xf numFmtId="0" fontId="0" fillId="0" borderId="65" xfId="0" applyBorder="1">
      <alignment vertical="top"/>
    </xf>
    <xf numFmtId="0" fontId="0" fillId="0" borderId="68" xfId="0" applyBorder="1">
      <alignment vertical="top"/>
    </xf>
    <xf numFmtId="1" fontId="22" fillId="0" borderId="66" xfId="0" applyNumberFormat="1" applyFont="1" applyBorder="1" applyAlignment="1">
      <alignment horizontal="left" vertical="top" wrapText="1"/>
    </xf>
    <xf numFmtId="1" fontId="22" fillId="0" borderId="22" xfId="0" applyNumberFormat="1" applyFont="1" applyBorder="1" applyAlignment="1">
      <alignment horizontal="left" vertical="top" wrapText="1"/>
    </xf>
    <xf numFmtId="1" fontId="22" fillId="0" borderId="23" xfId="0" applyNumberFormat="1" applyFont="1" applyBorder="1" applyAlignment="1">
      <alignment horizontal="left" vertical="top" wrapText="1"/>
    </xf>
    <xf numFmtId="1" fontId="22" fillId="0" borderId="48" xfId="0" applyNumberFormat="1" applyFont="1" applyBorder="1" applyAlignment="1">
      <alignment horizontal="left" vertical="top" wrapText="1"/>
    </xf>
    <xf numFmtId="1" fontId="22" fillId="0" borderId="44" xfId="0" applyNumberFormat="1" applyFont="1" applyBorder="1" applyAlignment="1">
      <alignment horizontal="left" vertical="top" wrapText="1"/>
    </xf>
    <xf numFmtId="1" fontId="5" fillId="0" borderId="66" xfId="0" applyNumberFormat="1" applyFont="1" applyBorder="1" applyAlignment="1">
      <alignment horizontal="center" vertical="center" wrapText="1"/>
    </xf>
    <xf numFmtId="1" fontId="5" fillId="0" borderId="0" xfId="0" applyNumberFormat="1" applyFont="1" applyAlignment="1">
      <alignment horizontal="center" vertical="center" wrapText="1"/>
    </xf>
    <xf numFmtId="0" fontId="45" fillId="13" borderId="16" xfId="0" applyFont="1" applyFill="1" applyBorder="1" applyAlignment="1">
      <alignment horizontal="left" vertical="top" wrapText="1"/>
    </xf>
    <xf numFmtId="0" fontId="8" fillId="0" borderId="36" xfId="0" applyFont="1" applyBorder="1" applyAlignment="1">
      <alignment horizontal="left" vertical="top" wrapText="1"/>
    </xf>
    <xf numFmtId="0" fontId="8" fillId="0" borderId="10" xfId="0" applyFont="1" applyBorder="1" applyAlignment="1">
      <alignment horizontal="left" vertical="top" wrapText="1"/>
    </xf>
    <xf numFmtId="0" fontId="8" fillId="0" borderId="73" xfId="0" applyFont="1" applyBorder="1" applyAlignment="1">
      <alignment horizontal="left" vertical="top" wrapText="1"/>
    </xf>
    <xf numFmtId="0" fontId="8" fillId="0" borderId="70" xfId="0" applyFont="1" applyBorder="1" applyAlignment="1">
      <alignment horizontal="center" vertical="top" wrapText="1"/>
    </xf>
    <xf numFmtId="0" fontId="8" fillId="0" borderId="66" xfId="0" applyFont="1" applyBorder="1" applyAlignment="1">
      <alignment horizontal="center" vertical="top" wrapText="1"/>
    </xf>
    <xf numFmtId="0" fontId="8" fillId="0" borderId="22" xfId="0" applyFont="1" applyBorder="1" applyAlignment="1">
      <alignment horizontal="center" vertical="top" wrapText="1"/>
    </xf>
    <xf numFmtId="2" fontId="5" fillId="0" borderId="35" xfId="0" applyNumberFormat="1" applyFont="1" applyBorder="1" applyAlignment="1">
      <alignment horizontal="left" vertical="top" wrapText="1"/>
    </xf>
    <xf numFmtId="2" fontId="5" fillId="0" borderId="1" xfId="0" applyNumberFormat="1" applyFont="1" applyBorder="1" applyAlignment="1">
      <alignment horizontal="left" vertical="top" wrapText="1"/>
    </xf>
    <xf numFmtId="2" fontId="5" fillId="0" borderId="56" xfId="0" applyNumberFormat="1" applyFont="1" applyBorder="1" applyAlignment="1">
      <alignment horizontal="left" vertical="top" wrapText="1"/>
    </xf>
    <xf numFmtId="2" fontId="5" fillId="0" borderId="41" xfId="0" applyNumberFormat="1" applyFont="1" applyBorder="1" applyAlignment="1">
      <alignment horizontal="left" vertical="top" wrapText="1"/>
    </xf>
    <xf numFmtId="0" fontId="6" fillId="0" borderId="10" xfId="0" applyFont="1" applyBorder="1" applyAlignment="1">
      <alignment horizontal="center" vertical="top" wrapText="1"/>
    </xf>
    <xf numFmtId="0" fontId="6" fillId="0" borderId="0" xfId="0" applyFont="1" applyAlignment="1">
      <alignment horizontal="center" vertical="top" wrapText="1"/>
    </xf>
    <xf numFmtId="2" fontId="5" fillId="0" borderId="62" xfId="0" applyNumberFormat="1" applyFont="1" applyBorder="1" applyAlignment="1">
      <alignment horizontal="left" vertical="top" wrapText="1"/>
    </xf>
    <xf numFmtId="2" fontId="5" fillId="0" borderId="49" xfId="0" applyNumberFormat="1" applyFont="1" applyBorder="1" applyAlignment="1">
      <alignment horizontal="left" vertical="top" wrapText="1"/>
    </xf>
    <xf numFmtId="0" fontId="5" fillId="0" borderId="61" xfId="0" applyFont="1" applyBorder="1" applyAlignment="1">
      <alignment horizontal="left" vertical="top" wrapText="1"/>
    </xf>
    <xf numFmtId="0" fontId="5" fillId="0" borderId="10" xfId="0" applyFont="1" applyBorder="1" applyAlignment="1">
      <alignment horizontal="left" vertical="top" wrapText="1"/>
    </xf>
    <xf numFmtId="0" fontId="6" fillId="7" borderId="64" xfId="0" applyFont="1" applyFill="1" applyBorder="1" applyAlignment="1">
      <alignment horizontal="center" vertical="center"/>
    </xf>
    <xf numFmtId="0" fontId="6" fillId="7" borderId="72" xfId="0" applyFont="1" applyFill="1" applyBorder="1" applyAlignment="1">
      <alignment horizontal="center" vertical="center"/>
    </xf>
    <xf numFmtId="0" fontId="6" fillId="28" borderId="56" xfId="0" applyFont="1" applyFill="1" applyBorder="1" applyAlignment="1">
      <alignment horizontal="center" vertical="top"/>
    </xf>
    <xf numFmtId="0" fontId="6" fillId="28" borderId="41" xfId="0" applyFont="1" applyFill="1" applyBorder="1" applyAlignment="1">
      <alignment horizontal="center" vertical="top"/>
    </xf>
    <xf numFmtId="0" fontId="6" fillId="28" borderId="57" xfId="0" applyFont="1" applyFill="1" applyBorder="1" applyAlignment="1">
      <alignment horizontal="center" vertical="top"/>
    </xf>
    <xf numFmtId="0" fontId="6" fillId="8" borderId="6" xfId="0" applyFont="1" applyFill="1" applyBorder="1" applyAlignment="1">
      <alignment horizontal="center" vertical="top"/>
    </xf>
    <xf numFmtId="0" fontId="6" fillId="8" borderId="1" xfId="0" applyFont="1" applyFill="1" applyBorder="1" applyAlignment="1">
      <alignment horizontal="center" vertical="top"/>
    </xf>
    <xf numFmtId="0" fontId="5" fillId="0" borderId="39" xfId="0" applyFont="1" applyBorder="1" applyAlignment="1">
      <alignment vertical="top" wrapText="1"/>
    </xf>
    <xf numFmtId="0" fontId="5" fillId="0" borderId="55" xfId="1" applyFont="1" applyBorder="1" applyAlignment="1">
      <alignment horizontal="left" vertical="top" wrapText="1"/>
    </xf>
    <xf numFmtId="0" fontId="5" fillId="0" borderId="55" xfId="1" applyFont="1" applyBorder="1" applyAlignment="1">
      <alignment vertical="top" wrapText="1"/>
    </xf>
    <xf numFmtId="0" fontId="5" fillId="0" borderId="10" xfId="1" applyFont="1" applyBorder="1" applyAlignment="1">
      <alignment vertical="top" wrapText="1"/>
    </xf>
  </cellXfs>
  <cellStyles count="4">
    <cellStyle name="Hyperlink" xfId="2" builtinId="8"/>
    <cellStyle name="Normal" xfId="0" builtinId="0"/>
    <cellStyle name="Normal 2" xfId="1" xr:uid="{00000000-0005-0000-0000-000002000000}"/>
    <cellStyle name="Normal 3" xfId="3" xr:uid="{F9EA9A38-E32A-4632-B4B3-2707534A9B93}"/>
  </cellStyles>
  <dxfs count="4">
    <dxf>
      <fill>
        <patternFill>
          <fgColor theme="0"/>
          <bgColor theme="0"/>
        </patternFill>
      </fill>
    </dxf>
    <dxf>
      <fill>
        <patternFill>
          <fgColor theme="0"/>
          <bgColor theme="0"/>
        </patternFill>
      </fill>
    </dxf>
    <dxf>
      <fill>
        <patternFill>
          <bgColor rgb="FF00B0F0"/>
        </patternFill>
      </fill>
    </dxf>
    <dxf>
      <fill>
        <patternFill>
          <bgColor theme="8"/>
        </patternFill>
      </fill>
    </dxf>
  </dxfs>
  <tableStyles count="0" defaultTableStyle="TableStyleMedium9" defaultPivotStyle="PivotStyleLight16"/>
  <colors>
    <mruColors>
      <color rgb="FF66FF66"/>
      <color rgb="FF00FF00"/>
      <color rgb="FFE6B9B8"/>
      <color rgb="FF66CCFF"/>
      <color rgb="FFFF99CC"/>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xdr:col>
      <xdr:colOff>0</xdr:colOff>
      <xdr:row>89</xdr:row>
      <xdr:rowOff>0</xdr:rowOff>
    </xdr:from>
    <xdr:ext cx="3529844" cy="1683569"/>
    <xdr:sp macro="" textlink="">
      <xdr:nvSpPr>
        <xdr:cNvPr id="3" name="TextBox 2" hidden="1">
          <a:extLst>
            <a:ext uri="{FF2B5EF4-FFF2-40B4-BE49-F238E27FC236}">
              <a16:creationId xmlns:a16="http://schemas.microsoft.com/office/drawing/2014/main" id="{00000000-0008-0000-0100-000003000000}"/>
            </a:ext>
          </a:extLst>
        </xdr:cNvPr>
        <xdr:cNvSpPr txBox="1"/>
      </xdr:nvSpPr>
      <xdr:spPr>
        <a:xfrm>
          <a:off x="13346906" y="18407062"/>
          <a:ext cx="2619375" cy="1774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29844" cy="1744986"/>
    <xdr:sp macro="" textlink="">
      <xdr:nvSpPr>
        <xdr:cNvPr id="4" name="TextBox 3" hidden="1">
          <a:extLst>
            <a:ext uri="{FF2B5EF4-FFF2-40B4-BE49-F238E27FC236}">
              <a16:creationId xmlns:a16="http://schemas.microsoft.com/office/drawing/2014/main" id="{00000000-0008-0000-0100-000004000000}"/>
            </a:ext>
          </a:extLst>
        </xdr:cNvPr>
        <xdr:cNvSpPr txBox="1"/>
      </xdr:nvSpPr>
      <xdr:spPr>
        <a:xfrm>
          <a:off x="15188565" y="1314450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76302"/>
    <xdr:sp macro="" textlink="">
      <xdr:nvSpPr>
        <xdr:cNvPr id="5" name="TextBox 4" hidden="1">
          <a:extLst>
            <a:ext uri="{FF2B5EF4-FFF2-40B4-BE49-F238E27FC236}">
              <a16:creationId xmlns:a16="http://schemas.microsoft.com/office/drawing/2014/main" id="{00000000-0008-0000-0100-000005000000}"/>
            </a:ext>
          </a:extLst>
        </xdr:cNvPr>
        <xdr:cNvSpPr txBox="1"/>
      </xdr:nvSpPr>
      <xdr:spPr>
        <a:xfrm>
          <a:off x="14521815" y="2325624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6" name="TextBox 5" hidden="1">
          <a:extLst>
            <a:ext uri="{FF2B5EF4-FFF2-40B4-BE49-F238E27FC236}">
              <a16:creationId xmlns:a16="http://schemas.microsoft.com/office/drawing/2014/main" id="{00000000-0008-0000-0100-000006000000}"/>
            </a:ext>
          </a:extLst>
        </xdr:cNvPr>
        <xdr:cNvSpPr txBox="1"/>
      </xdr:nvSpPr>
      <xdr:spPr>
        <a:xfrm>
          <a:off x="69494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843" cy="1742629"/>
    <xdr:sp macro="" textlink="">
      <xdr:nvSpPr>
        <xdr:cNvPr id="7" name="TextBox 6" hidden="1">
          <a:extLst>
            <a:ext uri="{FF2B5EF4-FFF2-40B4-BE49-F238E27FC236}">
              <a16:creationId xmlns:a16="http://schemas.microsoft.com/office/drawing/2014/main" id="{00000000-0008-0000-0100-000007000000}"/>
            </a:ext>
          </a:extLst>
        </xdr:cNvPr>
        <xdr:cNvSpPr txBox="1"/>
      </xdr:nvSpPr>
      <xdr:spPr>
        <a:xfrm>
          <a:off x="105117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843" cy="1676302"/>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05117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986409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176364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76364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1363" cy="1676302"/>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310640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445197" cy="1676302"/>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218465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124548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24548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843" cy="1776039"/>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05117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176364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24548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620421"/>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37623750" y="3336607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5226" cy="1842257"/>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7623750" y="263461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587258"/>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7623750" y="3336607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932" cy="1587258"/>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9449335" y="3336607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6552247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6552247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593" cy="1587258"/>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61102875" y="3336607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8203" cy="1587258"/>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76019025" y="3336607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055423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6055423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646976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602780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22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21878925" y="3336607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635145" cy="1748771"/>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21878925" y="263461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119"/>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21878925" y="3336607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114" cy="1662119"/>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21878925" y="3336607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426" cy="1731221"/>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21878925" y="263461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426" cy="1662119"/>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21878925" y="3336607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5961" cy="1731221"/>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21878925" y="263461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4833" cy="1662119"/>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21878925" y="3336607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510" cy="1731221"/>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21878925" y="263461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10" cy="1662119"/>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21878925" y="3336607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877" cy="1662343"/>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21878925" y="4087177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82510" cy="1662343"/>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21878925" y="4087177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961" cy="1662343"/>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21878925" y="4087177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934"/>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9725025" y="3336607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2128" cy="174277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9725025" y="263461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831"/>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9725025" y="3336607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5023"/>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73256775" y="3336607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837" cy="1717993"/>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73256775" y="263461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4935"/>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73256775" y="3336607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4773" cy="1434935"/>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0675560" y="3336607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52263675"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52263675"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52263675"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11658600"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11658600"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11658600"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59" name="TextBox 58">
          <a:extLst>
            <a:ext uri="{FF2B5EF4-FFF2-40B4-BE49-F238E27FC236}">
              <a16:creationId xmlns:a16="http://schemas.microsoft.com/office/drawing/2014/main" id="{00000000-0008-0000-0100-00003B000000}"/>
            </a:ext>
          </a:extLst>
        </xdr:cNvPr>
        <xdr:cNvSpPr txBox="1"/>
      </xdr:nvSpPr>
      <xdr:spPr>
        <a:xfrm>
          <a:off x="77403960"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56134635"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757028" cy="1746347"/>
    <xdr:sp macro="" textlink="">
      <xdr:nvSpPr>
        <xdr:cNvPr id="61" name="TextBox 60">
          <a:extLst>
            <a:ext uri="{FF2B5EF4-FFF2-40B4-BE49-F238E27FC236}">
              <a16:creationId xmlns:a16="http://schemas.microsoft.com/office/drawing/2014/main" id="{00000000-0008-0000-0100-00003D000000}"/>
            </a:ext>
          </a:extLst>
        </xdr:cNvPr>
        <xdr:cNvSpPr txBox="1"/>
      </xdr:nvSpPr>
      <xdr:spPr>
        <a:xfrm>
          <a:off x="44256960" y="263461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757028" cy="1661857"/>
    <xdr:sp macro="" textlink="">
      <xdr:nvSpPr>
        <xdr:cNvPr id="62" name="TextBox 61">
          <a:extLst>
            <a:ext uri="{FF2B5EF4-FFF2-40B4-BE49-F238E27FC236}">
              <a16:creationId xmlns:a16="http://schemas.microsoft.com/office/drawing/2014/main" id="{00000000-0008-0000-0100-00003E000000}"/>
            </a:ext>
          </a:extLst>
        </xdr:cNvPr>
        <xdr:cNvSpPr txBox="1"/>
      </xdr:nvSpPr>
      <xdr:spPr>
        <a:xfrm>
          <a:off x="44256960" y="3336607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0178" cy="1661857"/>
    <xdr:sp macro="" textlink="">
      <xdr:nvSpPr>
        <xdr:cNvPr id="63" name="TextBox 62">
          <a:extLst>
            <a:ext uri="{FF2B5EF4-FFF2-40B4-BE49-F238E27FC236}">
              <a16:creationId xmlns:a16="http://schemas.microsoft.com/office/drawing/2014/main" id="{00000000-0008-0000-0100-00003F000000}"/>
            </a:ext>
          </a:extLst>
        </xdr:cNvPr>
        <xdr:cNvSpPr txBox="1"/>
      </xdr:nvSpPr>
      <xdr:spPr>
        <a:xfrm>
          <a:off x="43704510" y="3336607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9642" cy="1678802"/>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43980735" y="4087177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419"/>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47844075" y="3336607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0582" cy="1759058"/>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47844075" y="263461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316"/>
    <xdr:sp macro="" textlink="">
      <xdr:nvSpPr>
        <xdr:cNvPr id="67" name="TextBox 66">
          <a:extLst>
            <a:ext uri="{FF2B5EF4-FFF2-40B4-BE49-F238E27FC236}">
              <a16:creationId xmlns:a16="http://schemas.microsoft.com/office/drawing/2014/main" id="{00000000-0008-0000-0100-000043000000}"/>
            </a:ext>
          </a:extLst>
        </xdr:cNvPr>
        <xdr:cNvSpPr txBox="1"/>
      </xdr:nvSpPr>
      <xdr:spPr>
        <a:xfrm>
          <a:off x="47844075" y="3336607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21" cy="1650316"/>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47584360" y="3336607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69" name="TextBox 68">
          <a:extLst>
            <a:ext uri="{FF2B5EF4-FFF2-40B4-BE49-F238E27FC236}">
              <a16:creationId xmlns:a16="http://schemas.microsoft.com/office/drawing/2014/main" id="{00000000-0008-0000-0100-000045000000}"/>
            </a:ext>
          </a:extLst>
        </xdr:cNvPr>
        <xdr:cNvSpPr txBox="1"/>
      </xdr:nvSpPr>
      <xdr:spPr>
        <a:xfrm>
          <a:off x="8909685"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70" name="TextBox 69">
          <a:extLst>
            <a:ext uri="{FF2B5EF4-FFF2-40B4-BE49-F238E27FC236}">
              <a16:creationId xmlns:a16="http://schemas.microsoft.com/office/drawing/2014/main" id="{00000000-0008-0000-0100-000046000000}"/>
            </a:ext>
          </a:extLst>
        </xdr:cNvPr>
        <xdr:cNvSpPr txBox="1"/>
      </xdr:nvSpPr>
      <xdr:spPr>
        <a:xfrm>
          <a:off x="1994916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71" name="TextBox 70">
          <a:extLst>
            <a:ext uri="{FF2B5EF4-FFF2-40B4-BE49-F238E27FC236}">
              <a16:creationId xmlns:a16="http://schemas.microsoft.com/office/drawing/2014/main" id="{00000000-0008-0000-0100-000047000000}"/>
            </a:ext>
          </a:extLst>
        </xdr:cNvPr>
        <xdr:cNvSpPr txBox="1"/>
      </xdr:nvSpPr>
      <xdr:spPr>
        <a:xfrm>
          <a:off x="5309235"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2021"/>
    <xdr:sp macro="" textlink="">
      <xdr:nvSpPr>
        <xdr:cNvPr id="72" name="TextBox 71">
          <a:extLst>
            <a:ext uri="{FF2B5EF4-FFF2-40B4-BE49-F238E27FC236}">
              <a16:creationId xmlns:a16="http://schemas.microsoft.com/office/drawing/2014/main" id="{00000000-0008-0000-0100-000048000000}"/>
            </a:ext>
          </a:extLst>
        </xdr:cNvPr>
        <xdr:cNvSpPr txBox="1"/>
      </xdr:nvSpPr>
      <xdr:spPr>
        <a:xfrm>
          <a:off x="9172575" y="3336607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966" cy="1748948"/>
    <xdr:sp macro="" textlink="">
      <xdr:nvSpPr>
        <xdr:cNvPr id="73" name="TextBox 72">
          <a:extLst>
            <a:ext uri="{FF2B5EF4-FFF2-40B4-BE49-F238E27FC236}">
              <a16:creationId xmlns:a16="http://schemas.microsoft.com/office/drawing/2014/main" id="{00000000-0008-0000-0100-000049000000}"/>
            </a:ext>
          </a:extLst>
        </xdr:cNvPr>
        <xdr:cNvSpPr txBox="1"/>
      </xdr:nvSpPr>
      <xdr:spPr>
        <a:xfrm>
          <a:off x="9172575" y="263461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1918"/>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9172575" y="3336607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5265" cy="1661918"/>
    <xdr:sp macro="" textlink="">
      <xdr:nvSpPr>
        <xdr:cNvPr id="75" name="TextBox 74">
          <a:extLst>
            <a:ext uri="{FF2B5EF4-FFF2-40B4-BE49-F238E27FC236}">
              <a16:creationId xmlns:a16="http://schemas.microsoft.com/office/drawing/2014/main" id="{00000000-0008-0000-0100-00004B000000}"/>
            </a:ext>
          </a:extLst>
        </xdr:cNvPr>
        <xdr:cNvSpPr txBox="1"/>
      </xdr:nvSpPr>
      <xdr:spPr>
        <a:xfrm>
          <a:off x="8093710" y="3336607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945" cy="1661918"/>
    <xdr:sp macro="" textlink="">
      <xdr:nvSpPr>
        <xdr:cNvPr id="76" name="TextBox 75">
          <a:extLst>
            <a:ext uri="{FF2B5EF4-FFF2-40B4-BE49-F238E27FC236}">
              <a16:creationId xmlns:a16="http://schemas.microsoft.com/office/drawing/2014/main" id="{00000000-0008-0000-0100-00004C000000}"/>
            </a:ext>
          </a:extLst>
        </xdr:cNvPr>
        <xdr:cNvSpPr txBox="1"/>
      </xdr:nvSpPr>
      <xdr:spPr>
        <a:xfrm>
          <a:off x="29639260" y="3336607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2021"/>
    <xdr:sp macro="" textlink="">
      <xdr:nvSpPr>
        <xdr:cNvPr id="77" name="TextBox 76">
          <a:extLst>
            <a:ext uri="{FF2B5EF4-FFF2-40B4-BE49-F238E27FC236}">
              <a16:creationId xmlns:a16="http://schemas.microsoft.com/office/drawing/2014/main" id="{00000000-0008-0000-0100-00004D000000}"/>
            </a:ext>
          </a:extLst>
        </xdr:cNvPr>
        <xdr:cNvSpPr txBox="1"/>
      </xdr:nvSpPr>
      <xdr:spPr>
        <a:xfrm>
          <a:off x="12211050" y="3336607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3095" cy="1748948"/>
    <xdr:sp macro="" textlink="">
      <xdr:nvSpPr>
        <xdr:cNvPr id="78" name="TextBox 77">
          <a:extLst>
            <a:ext uri="{FF2B5EF4-FFF2-40B4-BE49-F238E27FC236}">
              <a16:creationId xmlns:a16="http://schemas.microsoft.com/office/drawing/2014/main" id="{00000000-0008-0000-0100-00004E000000}"/>
            </a:ext>
          </a:extLst>
        </xdr:cNvPr>
        <xdr:cNvSpPr txBox="1"/>
      </xdr:nvSpPr>
      <xdr:spPr>
        <a:xfrm>
          <a:off x="12211050" y="263461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1918"/>
    <xdr:sp macro="" textlink="">
      <xdr:nvSpPr>
        <xdr:cNvPr id="79" name="TextBox 78">
          <a:extLst>
            <a:ext uri="{FF2B5EF4-FFF2-40B4-BE49-F238E27FC236}">
              <a16:creationId xmlns:a16="http://schemas.microsoft.com/office/drawing/2014/main" id="{00000000-0008-0000-0100-00004F000000}"/>
            </a:ext>
          </a:extLst>
        </xdr:cNvPr>
        <xdr:cNvSpPr txBox="1"/>
      </xdr:nvSpPr>
      <xdr:spPr>
        <a:xfrm>
          <a:off x="12211050" y="3336607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80" name="TextBox 79">
          <a:extLst>
            <a:ext uri="{FF2B5EF4-FFF2-40B4-BE49-F238E27FC236}">
              <a16:creationId xmlns:a16="http://schemas.microsoft.com/office/drawing/2014/main" id="{00000000-0008-0000-0100-000050000000}"/>
            </a:ext>
          </a:extLst>
        </xdr:cNvPr>
        <xdr:cNvSpPr txBox="1"/>
      </xdr:nvSpPr>
      <xdr:spPr>
        <a:xfrm>
          <a:off x="12211050"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021" cy="1746584"/>
    <xdr:sp macro="" textlink="">
      <xdr:nvSpPr>
        <xdr:cNvPr id="81" name="TextBox 80">
          <a:extLst>
            <a:ext uri="{FF2B5EF4-FFF2-40B4-BE49-F238E27FC236}">
              <a16:creationId xmlns:a16="http://schemas.microsoft.com/office/drawing/2014/main" id="{00000000-0008-0000-0100-000051000000}"/>
            </a:ext>
          </a:extLst>
        </xdr:cNvPr>
        <xdr:cNvSpPr txBox="1"/>
      </xdr:nvSpPr>
      <xdr:spPr>
        <a:xfrm>
          <a:off x="12211050" y="263461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021" cy="1661918"/>
    <xdr:sp macro="" textlink="">
      <xdr:nvSpPr>
        <xdr:cNvPr id="82" name="TextBox 81">
          <a:extLst>
            <a:ext uri="{FF2B5EF4-FFF2-40B4-BE49-F238E27FC236}">
              <a16:creationId xmlns:a16="http://schemas.microsoft.com/office/drawing/2014/main" id="{00000000-0008-0000-0100-000052000000}"/>
            </a:ext>
          </a:extLst>
        </xdr:cNvPr>
        <xdr:cNvSpPr txBox="1"/>
      </xdr:nvSpPr>
      <xdr:spPr>
        <a:xfrm>
          <a:off x="12211050" y="3336607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00147" cy="1661918"/>
    <xdr:sp macro="" textlink="">
      <xdr:nvSpPr>
        <xdr:cNvPr id="83" name="TextBox 82">
          <a:extLst>
            <a:ext uri="{FF2B5EF4-FFF2-40B4-BE49-F238E27FC236}">
              <a16:creationId xmlns:a16="http://schemas.microsoft.com/office/drawing/2014/main" id="{00000000-0008-0000-0100-000053000000}"/>
            </a:ext>
          </a:extLst>
        </xdr:cNvPr>
        <xdr:cNvSpPr txBox="1"/>
      </xdr:nvSpPr>
      <xdr:spPr>
        <a:xfrm>
          <a:off x="12211050" y="3336607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592" cy="1661918"/>
    <xdr:sp macro="" textlink="">
      <xdr:nvSpPr>
        <xdr:cNvPr id="84" name="TextBox 83">
          <a:extLst>
            <a:ext uri="{FF2B5EF4-FFF2-40B4-BE49-F238E27FC236}">
              <a16:creationId xmlns:a16="http://schemas.microsoft.com/office/drawing/2014/main" id="{00000000-0008-0000-0100-000054000000}"/>
            </a:ext>
          </a:extLst>
        </xdr:cNvPr>
        <xdr:cNvSpPr txBox="1"/>
      </xdr:nvSpPr>
      <xdr:spPr>
        <a:xfrm>
          <a:off x="12211050" y="3336607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106" cy="1746584"/>
    <xdr:sp macro="" textlink="">
      <xdr:nvSpPr>
        <xdr:cNvPr id="85" name="TextBox 84">
          <a:extLst>
            <a:ext uri="{FF2B5EF4-FFF2-40B4-BE49-F238E27FC236}">
              <a16:creationId xmlns:a16="http://schemas.microsoft.com/office/drawing/2014/main" id="{00000000-0008-0000-0100-000055000000}"/>
            </a:ext>
          </a:extLst>
        </xdr:cNvPr>
        <xdr:cNvSpPr txBox="1"/>
      </xdr:nvSpPr>
      <xdr:spPr>
        <a:xfrm>
          <a:off x="12211050" y="263461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106" cy="1661918"/>
    <xdr:sp macro="" textlink="">
      <xdr:nvSpPr>
        <xdr:cNvPr id="86" name="TextBox 85">
          <a:extLst>
            <a:ext uri="{FF2B5EF4-FFF2-40B4-BE49-F238E27FC236}">
              <a16:creationId xmlns:a16="http://schemas.microsoft.com/office/drawing/2014/main" id="{00000000-0008-0000-0100-000056000000}"/>
            </a:ext>
          </a:extLst>
        </xdr:cNvPr>
        <xdr:cNvSpPr txBox="1"/>
      </xdr:nvSpPr>
      <xdr:spPr>
        <a:xfrm>
          <a:off x="12211050" y="3336607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87" name="TextBox 86">
          <a:extLst>
            <a:ext uri="{FF2B5EF4-FFF2-40B4-BE49-F238E27FC236}">
              <a16:creationId xmlns:a16="http://schemas.microsoft.com/office/drawing/2014/main" id="{00000000-0008-0000-0100-000057000000}"/>
            </a:ext>
          </a:extLst>
        </xdr:cNvPr>
        <xdr:cNvSpPr txBox="1"/>
      </xdr:nvSpPr>
      <xdr:spPr>
        <a:xfrm>
          <a:off x="1221105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88" name="TextBox 87">
          <a:extLst>
            <a:ext uri="{FF2B5EF4-FFF2-40B4-BE49-F238E27FC236}">
              <a16:creationId xmlns:a16="http://schemas.microsoft.com/office/drawing/2014/main" id="{00000000-0008-0000-0100-000058000000}"/>
            </a:ext>
          </a:extLst>
        </xdr:cNvPr>
        <xdr:cNvSpPr txBox="1"/>
      </xdr:nvSpPr>
      <xdr:spPr>
        <a:xfrm>
          <a:off x="12211050"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83569"/>
    <xdr:sp macro="" textlink="">
      <xdr:nvSpPr>
        <xdr:cNvPr id="89" name="TextBox 88">
          <a:extLst>
            <a:ext uri="{FF2B5EF4-FFF2-40B4-BE49-F238E27FC236}">
              <a16:creationId xmlns:a16="http://schemas.microsoft.com/office/drawing/2014/main" id="{00000000-0008-0000-0100-000059000000}"/>
            </a:ext>
          </a:extLst>
        </xdr:cNvPr>
        <xdr:cNvSpPr txBox="1"/>
      </xdr:nvSpPr>
      <xdr:spPr>
        <a:xfrm>
          <a:off x="6724650" y="203549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29844" cy="1744986"/>
    <xdr:sp macro="" textlink="">
      <xdr:nvSpPr>
        <xdr:cNvPr id="90" name="TextBox 89">
          <a:extLst>
            <a:ext uri="{FF2B5EF4-FFF2-40B4-BE49-F238E27FC236}">
              <a16:creationId xmlns:a16="http://schemas.microsoft.com/office/drawing/2014/main" id="{00000000-0008-0000-0100-00005A000000}"/>
            </a:ext>
          </a:extLst>
        </xdr:cNvPr>
        <xdr:cNvSpPr txBox="1"/>
      </xdr:nvSpPr>
      <xdr:spPr>
        <a:xfrm>
          <a:off x="6724650" y="164115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76302"/>
    <xdr:sp macro="" textlink="">
      <xdr:nvSpPr>
        <xdr:cNvPr id="91" name="TextBox 90">
          <a:extLst>
            <a:ext uri="{FF2B5EF4-FFF2-40B4-BE49-F238E27FC236}">
              <a16:creationId xmlns:a16="http://schemas.microsoft.com/office/drawing/2014/main" id="{00000000-0008-0000-0100-00005B000000}"/>
            </a:ext>
          </a:extLst>
        </xdr:cNvPr>
        <xdr:cNvSpPr txBox="1"/>
      </xdr:nvSpPr>
      <xdr:spPr>
        <a:xfrm>
          <a:off x="6724650" y="203549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92" name="TextBox 91">
          <a:extLst>
            <a:ext uri="{FF2B5EF4-FFF2-40B4-BE49-F238E27FC236}">
              <a16:creationId xmlns:a16="http://schemas.microsoft.com/office/drawing/2014/main" id="{00000000-0008-0000-0100-00005C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843" cy="1742629"/>
    <xdr:sp macro="" textlink="">
      <xdr:nvSpPr>
        <xdr:cNvPr id="93" name="TextBox 92">
          <a:extLst>
            <a:ext uri="{FF2B5EF4-FFF2-40B4-BE49-F238E27FC236}">
              <a16:creationId xmlns:a16="http://schemas.microsoft.com/office/drawing/2014/main" id="{00000000-0008-0000-0100-00005D000000}"/>
            </a:ext>
          </a:extLst>
        </xdr:cNvPr>
        <xdr:cNvSpPr txBox="1"/>
      </xdr:nvSpPr>
      <xdr:spPr>
        <a:xfrm>
          <a:off x="6724650" y="164115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843" cy="1676302"/>
    <xdr:sp macro="" textlink="">
      <xdr:nvSpPr>
        <xdr:cNvPr id="94" name="TextBox 93">
          <a:extLst>
            <a:ext uri="{FF2B5EF4-FFF2-40B4-BE49-F238E27FC236}">
              <a16:creationId xmlns:a16="http://schemas.microsoft.com/office/drawing/2014/main" id="{00000000-0008-0000-0100-00005E000000}"/>
            </a:ext>
          </a:extLst>
        </xdr:cNvPr>
        <xdr:cNvSpPr txBox="1"/>
      </xdr:nvSpPr>
      <xdr:spPr>
        <a:xfrm>
          <a:off x="6724650" y="203549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95" name="TextBox 94">
          <a:extLst>
            <a:ext uri="{FF2B5EF4-FFF2-40B4-BE49-F238E27FC236}">
              <a16:creationId xmlns:a16="http://schemas.microsoft.com/office/drawing/2014/main" id="{00000000-0008-0000-0100-00005F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96" name="TextBox 95">
          <a:extLst>
            <a:ext uri="{FF2B5EF4-FFF2-40B4-BE49-F238E27FC236}">
              <a16:creationId xmlns:a16="http://schemas.microsoft.com/office/drawing/2014/main" id="{00000000-0008-0000-0100-000060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97" name="TextBox 96">
          <a:extLst>
            <a:ext uri="{FF2B5EF4-FFF2-40B4-BE49-F238E27FC236}">
              <a16:creationId xmlns:a16="http://schemas.microsoft.com/office/drawing/2014/main" id="{00000000-0008-0000-0100-000061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1363" cy="1676302"/>
    <xdr:sp macro="" textlink="">
      <xdr:nvSpPr>
        <xdr:cNvPr id="98" name="TextBox 97">
          <a:extLst>
            <a:ext uri="{FF2B5EF4-FFF2-40B4-BE49-F238E27FC236}">
              <a16:creationId xmlns:a16="http://schemas.microsoft.com/office/drawing/2014/main" id="{00000000-0008-0000-0100-000062000000}"/>
            </a:ext>
          </a:extLst>
        </xdr:cNvPr>
        <xdr:cNvSpPr txBox="1"/>
      </xdr:nvSpPr>
      <xdr:spPr>
        <a:xfrm>
          <a:off x="6724650" y="203549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445197" cy="1676302"/>
    <xdr:sp macro="" textlink="">
      <xdr:nvSpPr>
        <xdr:cNvPr id="99" name="TextBox 98">
          <a:extLst>
            <a:ext uri="{FF2B5EF4-FFF2-40B4-BE49-F238E27FC236}">
              <a16:creationId xmlns:a16="http://schemas.microsoft.com/office/drawing/2014/main" id="{00000000-0008-0000-0100-000063000000}"/>
            </a:ext>
          </a:extLst>
        </xdr:cNvPr>
        <xdr:cNvSpPr txBox="1"/>
      </xdr:nvSpPr>
      <xdr:spPr>
        <a:xfrm>
          <a:off x="6724650" y="203549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100" name="TextBox 99">
          <a:extLst>
            <a:ext uri="{FF2B5EF4-FFF2-40B4-BE49-F238E27FC236}">
              <a16:creationId xmlns:a16="http://schemas.microsoft.com/office/drawing/2014/main" id="{00000000-0008-0000-0100-000064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101" name="TextBox 100">
          <a:extLst>
            <a:ext uri="{FF2B5EF4-FFF2-40B4-BE49-F238E27FC236}">
              <a16:creationId xmlns:a16="http://schemas.microsoft.com/office/drawing/2014/main" id="{00000000-0008-0000-0100-000065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843" cy="1776039"/>
    <xdr:sp macro="" textlink="">
      <xdr:nvSpPr>
        <xdr:cNvPr id="102" name="TextBox 101">
          <a:extLst>
            <a:ext uri="{FF2B5EF4-FFF2-40B4-BE49-F238E27FC236}">
              <a16:creationId xmlns:a16="http://schemas.microsoft.com/office/drawing/2014/main" id="{00000000-0008-0000-0100-000066000000}"/>
            </a:ext>
          </a:extLst>
        </xdr:cNvPr>
        <xdr:cNvSpPr txBox="1"/>
      </xdr:nvSpPr>
      <xdr:spPr>
        <a:xfrm>
          <a:off x="6724650" y="2413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103" name="TextBox 102">
          <a:extLst>
            <a:ext uri="{FF2B5EF4-FFF2-40B4-BE49-F238E27FC236}">
              <a16:creationId xmlns:a16="http://schemas.microsoft.com/office/drawing/2014/main" id="{00000000-0008-0000-0100-000067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104" name="TextBox 103">
          <a:extLst>
            <a:ext uri="{FF2B5EF4-FFF2-40B4-BE49-F238E27FC236}">
              <a16:creationId xmlns:a16="http://schemas.microsoft.com/office/drawing/2014/main" id="{00000000-0008-0000-0100-000068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620421"/>
    <xdr:sp macro="" textlink="">
      <xdr:nvSpPr>
        <xdr:cNvPr id="105" name="TextBox 104">
          <a:extLst>
            <a:ext uri="{FF2B5EF4-FFF2-40B4-BE49-F238E27FC236}">
              <a16:creationId xmlns:a16="http://schemas.microsoft.com/office/drawing/2014/main" id="{00000000-0008-0000-0100-000069000000}"/>
            </a:ext>
          </a:extLst>
        </xdr:cNvPr>
        <xdr:cNvSpPr txBox="1"/>
      </xdr:nvSpPr>
      <xdr:spPr>
        <a:xfrm>
          <a:off x="40147875" y="203549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5226" cy="1842257"/>
    <xdr:sp macro="" textlink="">
      <xdr:nvSpPr>
        <xdr:cNvPr id="106" name="TextBox 105">
          <a:extLst>
            <a:ext uri="{FF2B5EF4-FFF2-40B4-BE49-F238E27FC236}">
              <a16:creationId xmlns:a16="http://schemas.microsoft.com/office/drawing/2014/main" id="{00000000-0008-0000-0100-00006A000000}"/>
            </a:ext>
          </a:extLst>
        </xdr:cNvPr>
        <xdr:cNvSpPr txBox="1"/>
      </xdr:nvSpPr>
      <xdr:spPr>
        <a:xfrm>
          <a:off x="40147875" y="164115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587258"/>
    <xdr:sp macro="" textlink="">
      <xdr:nvSpPr>
        <xdr:cNvPr id="107" name="TextBox 106">
          <a:extLst>
            <a:ext uri="{FF2B5EF4-FFF2-40B4-BE49-F238E27FC236}">
              <a16:creationId xmlns:a16="http://schemas.microsoft.com/office/drawing/2014/main" id="{00000000-0008-0000-0100-00006B000000}"/>
            </a:ext>
          </a:extLst>
        </xdr:cNvPr>
        <xdr:cNvSpPr txBox="1"/>
      </xdr:nvSpPr>
      <xdr:spPr>
        <a:xfrm>
          <a:off x="40147875" y="203549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932" cy="1587258"/>
    <xdr:sp macro="" textlink="">
      <xdr:nvSpPr>
        <xdr:cNvPr id="108" name="TextBox 107">
          <a:extLst>
            <a:ext uri="{FF2B5EF4-FFF2-40B4-BE49-F238E27FC236}">
              <a16:creationId xmlns:a16="http://schemas.microsoft.com/office/drawing/2014/main" id="{00000000-0008-0000-0100-00006C000000}"/>
            </a:ext>
          </a:extLst>
        </xdr:cNvPr>
        <xdr:cNvSpPr txBox="1"/>
      </xdr:nvSpPr>
      <xdr:spPr>
        <a:xfrm>
          <a:off x="63354585" y="203549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109" name="TextBox 108">
          <a:extLst>
            <a:ext uri="{FF2B5EF4-FFF2-40B4-BE49-F238E27FC236}">
              <a16:creationId xmlns:a16="http://schemas.microsoft.com/office/drawing/2014/main" id="{00000000-0008-0000-0100-00006D000000}"/>
            </a:ext>
          </a:extLst>
        </xdr:cNvPr>
        <xdr:cNvSpPr txBox="1"/>
      </xdr:nvSpPr>
      <xdr:spPr>
        <a:xfrm>
          <a:off x="6942772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110" name="TextBox 109">
          <a:extLst>
            <a:ext uri="{FF2B5EF4-FFF2-40B4-BE49-F238E27FC236}">
              <a16:creationId xmlns:a16="http://schemas.microsoft.com/office/drawing/2014/main" id="{00000000-0008-0000-0100-00006E000000}"/>
            </a:ext>
          </a:extLst>
        </xdr:cNvPr>
        <xdr:cNvSpPr txBox="1"/>
      </xdr:nvSpPr>
      <xdr:spPr>
        <a:xfrm>
          <a:off x="6942772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593" cy="1587258"/>
    <xdr:sp macro="" textlink="">
      <xdr:nvSpPr>
        <xdr:cNvPr id="111" name="TextBox 110">
          <a:extLst>
            <a:ext uri="{FF2B5EF4-FFF2-40B4-BE49-F238E27FC236}">
              <a16:creationId xmlns:a16="http://schemas.microsoft.com/office/drawing/2014/main" id="{00000000-0008-0000-0100-00006F000000}"/>
            </a:ext>
          </a:extLst>
        </xdr:cNvPr>
        <xdr:cNvSpPr txBox="1"/>
      </xdr:nvSpPr>
      <xdr:spPr>
        <a:xfrm>
          <a:off x="65008125" y="203549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8203" cy="1587258"/>
    <xdr:sp macro="" textlink="">
      <xdr:nvSpPr>
        <xdr:cNvPr id="112" name="TextBox 111">
          <a:extLst>
            <a:ext uri="{FF2B5EF4-FFF2-40B4-BE49-F238E27FC236}">
              <a16:creationId xmlns:a16="http://schemas.microsoft.com/office/drawing/2014/main" id="{00000000-0008-0000-0100-000070000000}"/>
            </a:ext>
          </a:extLst>
        </xdr:cNvPr>
        <xdr:cNvSpPr txBox="1"/>
      </xdr:nvSpPr>
      <xdr:spPr>
        <a:xfrm>
          <a:off x="80200500" y="203549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113" name="TextBox 112">
          <a:extLst>
            <a:ext uri="{FF2B5EF4-FFF2-40B4-BE49-F238E27FC236}">
              <a16:creationId xmlns:a16="http://schemas.microsoft.com/office/drawing/2014/main" id="{00000000-0008-0000-0100-000071000000}"/>
            </a:ext>
          </a:extLst>
        </xdr:cNvPr>
        <xdr:cNvSpPr txBox="1"/>
      </xdr:nvSpPr>
      <xdr:spPr>
        <a:xfrm>
          <a:off x="6445948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114" name="TextBox 113">
          <a:extLst>
            <a:ext uri="{FF2B5EF4-FFF2-40B4-BE49-F238E27FC236}">
              <a16:creationId xmlns:a16="http://schemas.microsoft.com/office/drawing/2014/main" id="{00000000-0008-0000-0100-000072000000}"/>
            </a:ext>
          </a:extLst>
        </xdr:cNvPr>
        <xdr:cNvSpPr txBox="1"/>
      </xdr:nvSpPr>
      <xdr:spPr>
        <a:xfrm>
          <a:off x="6445948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115" name="TextBox 114">
          <a:extLst>
            <a:ext uri="{FF2B5EF4-FFF2-40B4-BE49-F238E27FC236}">
              <a16:creationId xmlns:a16="http://schemas.microsoft.com/office/drawing/2014/main" id="{00000000-0008-0000-0100-000073000000}"/>
            </a:ext>
          </a:extLst>
        </xdr:cNvPr>
        <xdr:cNvSpPr txBox="1"/>
      </xdr:nvSpPr>
      <xdr:spPr>
        <a:xfrm>
          <a:off x="686028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116" name="TextBox 115">
          <a:extLst>
            <a:ext uri="{FF2B5EF4-FFF2-40B4-BE49-F238E27FC236}">
              <a16:creationId xmlns:a16="http://schemas.microsoft.com/office/drawing/2014/main" id="{00000000-0008-0000-0100-000074000000}"/>
            </a:ext>
          </a:extLst>
        </xdr:cNvPr>
        <xdr:cNvSpPr txBox="1"/>
      </xdr:nvSpPr>
      <xdr:spPr>
        <a:xfrm>
          <a:off x="641832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222"/>
    <xdr:sp macro="" textlink="">
      <xdr:nvSpPr>
        <xdr:cNvPr id="117" name="TextBox 116">
          <a:extLst>
            <a:ext uri="{FF2B5EF4-FFF2-40B4-BE49-F238E27FC236}">
              <a16:creationId xmlns:a16="http://schemas.microsoft.com/office/drawing/2014/main" id="{00000000-0008-0000-0100-000075000000}"/>
            </a:ext>
          </a:extLst>
        </xdr:cNvPr>
        <xdr:cNvSpPr txBox="1"/>
      </xdr:nvSpPr>
      <xdr:spPr>
        <a:xfrm>
          <a:off x="24126825" y="203549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635145" cy="1748771"/>
    <xdr:sp macro="" textlink="">
      <xdr:nvSpPr>
        <xdr:cNvPr id="118" name="TextBox 117">
          <a:extLst>
            <a:ext uri="{FF2B5EF4-FFF2-40B4-BE49-F238E27FC236}">
              <a16:creationId xmlns:a16="http://schemas.microsoft.com/office/drawing/2014/main" id="{00000000-0008-0000-0100-000076000000}"/>
            </a:ext>
          </a:extLst>
        </xdr:cNvPr>
        <xdr:cNvSpPr txBox="1"/>
      </xdr:nvSpPr>
      <xdr:spPr>
        <a:xfrm>
          <a:off x="24126825" y="164115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119"/>
    <xdr:sp macro="" textlink="">
      <xdr:nvSpPr>
        <xdr:cNvPr id="119" name="TextBox 118">
          <a:extLst>
            <a:ext uri="{FF2B5EF4-FFF2-40B4-BE49-F238E27FC236}">
              <a16:creationId xmlns:a16="http://schemas.microsoft.com/office/drawing/2014/main" id="{00000000-0008-0000-0100-000077000000}"/>
            </a:ext>
          </a:extLst>
        </xdr:cNvPr>
        <xdr:cNvSpPr txBox="1"/>
      </xdr:nvSpPr>
      <xdr:spPr>
        <a:xfrm>
          <a:off x="24126825" y="203549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114" cy="1662119"/>
    <xdr:sp macro="" textlink="">
      <xdr:nvSpPr>
        <xdr:cNvPr id="120" name="TextBox 119">
          <a:extLst>
            <a:ext uri="{FF2B5EF4-FFF2-40B4-BE49-F238E27FC236}">
              <a16:creationId xmlns:a16="http://schemas.microsoft.com/office/drawing/2014/main" id="{00000000-0008-0000-0100-000078000000}"/>
            </a:ext>
          </a:extLst>
        </xdr:cNvPr>
        <xdr:cNvSpPr txBox="1"/>
      </xdr:nvSpPr>
      <xdr:spPr>
        <a:xfrm>
          <a:off x="24126825" y="203549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426" cy="1731221"/>
    <xdr:sp macro="" textlink="">
      <xdr:nvSpPr>
        <xdr:cNvPr id="121" name="TextBox 120">
          <a:extLst>
            <a:ext uri="{FF2B5EF4-FFF2-40B4-BE49-F238E27FC236}">
              <a16:creationId xmlns:a16="http://schemas.microsoft.com/office/drawing/2014/main" id="{00000000-0008-0000-0100-000079000000}"/>
            </a:ext>
          </a:extLst>
        </xdr:cNvPr>
        <xdr:cNvSpPr txBox="1"/>
      </xdr:nvSpPr>
      <xdr:spPr>
        <a:xfrm>
          <a:off x="24126825" y="164115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426" cy="1662119"/>
    <xdr:sp macro="" textlink="">
      <xdr:nvSpPr>
        <xdr:cNvPr id="122" name="TextBox 121">
          <a:extLst>
            <a:ext uri="{FF2B5EF4-FFF2-40B4-BE49-F238E27FC236}">
              <a16:creationId xmlns:a16="http://schemas.microsoft.com/office/drawing/2014/main" id="{00000000-0008-0000-0100-00007A000000}"/>
            </a:ext>
          </a:extLst>
        </xdr:cNvPr>
        <xdr:cNvSpPr txBox="1"/>
      </xdr:nvSpPr>
      <xdr:spPr>
        <a:xfrm>
          <a:off x="24126825" y="203549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123" name="TextBox 122">
          <a:extLst>
            <a:ext uri="{FF2B5EF4-FFF2-40B4-BE49-F238E27FC236}">
              <a16:creationId xmlns:a16="http://schemas.microsoft.com/office/drawing/2014/main" id="{00000000-0008-0000-0100-00007B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5961" cy="1731221"/>
    <xdr:sp macro="" textlink="">
      <xdr:nvSpPr>
        <xdr:cNvPr id="124" name="TextBox 123">
          <a:extLst>
            <a:ext uri="{FF2B5EF4-FFF2-40B4-BE49-F238E27FC236}">
              <a16:creationId xmlns:a16="http://schemas.microsoft.com/office/drawing/2014/main" id="{00000000-0008-0000-0100-00007C000000}"/>
            </a:ext>
          </a:extLst>
        </xdr:cNvPr>
        <xdr:cNvSpPr txBox="1"/>
      </xdr:nvSpPr>
      <xdr:spPr>
        <a:xfrm>
          <a:off x="24126825" y="164115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125" name="TextBox 124">
          <a:extLst>
            <a:ext uri="{FF2B5EF4-FFF2-40B4-BE49-F238E27FC236}">
              <a16:creationId xmlns:a16="http://schemas.microsoft.com/office/drawing/2014/main" id="{00000000-0008-0000-0100-00007D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4833" cy="1662119"/>
    <xdr:sp macro="" textlink="">
      <xdr:nvSpPr>
        <xdr:cNvPr id="126" name="TextBox 125">
          <a:extLst>
            <a:ext uri="{FF2B5EF4-FFF2-40B4-BE49-F238E27FC236}">
              <a16:creationId xmlns:a16="http://schemas.microsoft.com/office/drawing/2014/main" id="{00000000-0008-0000-0100-00007E000000}"/>
            </a:ext>
          </a:extLst>
        </xdr:cNvPr>
        <xdr:cNvSpPr txBox="1"/>
      </xdr:nvSpPr>
      <xdr:spPr>
        <a:xfrm>
          <a:off x="24126825" y="203549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510" cy="1731221"/>
    <xdr:sp macro="" textlink="">
      <xdr:nvSpPr>
        <xdr:cNvPr id="127" name="TextBox 126">
          <a:extLst>
            <a:ext uri="{FF2B5EF4-FFF2-40B4-BE49-F238E27FC236}">
              <a16:creationId xmlns:a16="http://schemas.microsoft.com/office/drawing/2014/main" id="{00000000-0008-0000-0100-00007F000000}"/>
            </a:ext>
          </a:extLst>
        </xdr:cNvPr>
        <xdr:cNvSpPr txBox="1"/>
      </xdr:nvSpPr>
      <xdr:spPr>
        <a:xfrm>
          <a:off x="24126825" y="164115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10" cy="1662119"/>
    <xdr:sp macro="" textlink="">
      <xdr:nvSpPr>
        <xdr:cNvPr id="128" name="TextBox 127">
          <a:extLst>
            <a:ext uri="{FF2B5EF4-FFF2-40B4-BE49-F238E27FC236}">
              <a16:creationId xmlns:a16="http://schemas.microsoft.com/office/drawing/2014/main" id="{00000000-0008-0000-0100-000080000000}"/>
            </a:ext>
          </a:extLst>
        </xdr:cNvPr>
        <xdr:cNvSpPr txBox="1"/>
      </xdr:nvSpPr>
      <xdr:spPr>
        <a:xfrm>
          <a:off x="24126825" y="203549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877" cy="1662343"/>
    <xdr:sp macro="" textlink="">
      <xdr:nvSpPr>
        <xdr:cNvPr id="129" name="TextBox 128">
          <a:extLst>
            <a:ext uri="{FF2B5EF4-FFF2-40B4-BE49-F238E27FC236}">
              <a16:creationId xmlns:a16="http://schemas.microsoft.com/office/drawing/2014/main" id="{00000000-0008-0000-0100-000081000000}"/>
            </a:ext>
          </a:extLst>
        </xdr:cNvPr>
        <xdr:cNvSpPr txBox="1"/>
      </xdr:nvSpPr>
      <xdr:spPr>
        <a:xfrm>
          <a:off x="24126825" y="2413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82510" cy="1662343"/>
    <xdr:sp macro="" textlink="">
      <xdr:nvSpPr>
        <xdr:cNvPr id="130" name="TextBox 129">
          <a:extLst>
            <a:ext uri="{FF2B5EF4-FFF2-40B4-BE49-F238E27FC236}">
              <a16:creationId xmlns:a16="http://schemas.microsoft.com/office/drawing/2014/main" id="{00000000-0008-0000-0100-000082000000}"/>
            </a:ext>
          </a:extLst>
        </xdr:cNvPr>
        <xdr:cNvSpPr txBox="1"/>
      </xdr:nvSpPr>
      <xdr:spPr>
        <a:xfrm>
          <a:off x="24126825" y="2413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961" cy="1662343"/>
    <xdr:sp macro="" textlink="">
      <xdr:nvSpPr>
        <xdr:cNvPr id="131" name="TextBox 130">
          <a:extLst>
            <a:ext uri="{FF2B5EF4-FFF2-40B4-BE49-F238E27FC236}">
              <a16:creationId xmlns:a16="http://schemas.microsoft.com/office/drawing/2014/main" id="{00000000-0008-0000-0100-000083000000}"/>
            </a:ext>
          </a:extLst>
        </xdr:cNvPr>
        <xdr:cNvSpPr txBox="1"/>
      </xdr:nvSpPr>
      <xdr:spPr>
        <a:xfrm>
          <a:off x="24126825" y="2413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934"/>
    <xdr:sp macro="" textlink="">
      <xdr:nvSpPr>
        <xdr:cNvPr id="132" name="TextBox 131">
          <a:extLst>
            <a:ext uri="{FF2B5EF4-FFF2-40B4-BE49-F238E27FC236}">
              <a16:creationId xmlns:a16="http://schemas.microsoft.com/office/drawing/2014/main" id="{00000000-0008-0000-0100-000084000000}"/>
            </a:ext>
          </a:extLst>
        </xdr:cNvPr>
        <xdr:cNvSpPr txBox="1"/>
      </xdr:nvSpPr>
      <xdr:spPr>
        <a:xfrm>
          <a:off x="11972925" y="203549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2128" cy="1742770"/>
    <xdr:sp macro="" textlink="">
      <xdr:nvSpPr>
        <xdr:cNvPr id="133" name="TextBox 132">
          <a:extLst>
            <a:ext uri="{FF2B5EF4-FFF2-40B4-BE49-F238E27FC236}">
              <a16:creationId xmlns:a16="http://schemas.microsoft.com/office/drawing/2014/main" id="{00000000-0008-0000-0100-000085000000}"/>
            </a:ext>
          </a:extLst>
        </xdr:cNvPr>
        <xdr:cNvSpPr txBox="1"/>
      </xdr:nvSpPr>
      <xdr:spPr>
        <a:xfrm>
          <a:off x="11972925" y="164115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831"/>
    <xdr:sp macro="" textlink="">
      <xdr:nvSpPr>
        <xdr:cNvPr id="134" name="TextBox 133">
          <a:extLst>
            <a:ext uri="{FF2B5EF4-FFF2-40B4-BE49-F238E27FC236}">
              <a16:creationId xmlns:a16="http://schemas.microsoft.com/office/drawing/2014/main" id="{00000000-0008-0000-0100-000086000000}"/>
            </a:ext>
          </a:extLst>
        </xdr:cNvPr>
        <xdr:cNvSpPr txBox="1"/>
      </xdr:nvSpPr>
      <xdr:spPr>
        <a:xfrm>
          <a:off x="11972925" y="203549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5023"/>
    <xdr:sp macro="" textlink="">
      <xdr:nvSpPr>
        <xdr:cNvPr id="135" name="TextBox 134">
          <a:extLst>
            <a:ext uri="{FF2B5EF4-FFF2-40B4-BE49-F238E27FC236}">
              <a16:creationId xmlns:a16="http://schemas.microsoft.com/office/drawing/2014/main" id="{00000000-0008-0000-0100-000087000000}"/>
            </a:ext>
          </a:extLst>
        </xdr:cNvPr>
        <xdr:cNvSpPr txBox="1"/>
      </xdr:nvSpPr>
      <xdr:spPr>
        <a:xfrm>
          <a:off x="77438250" y="203549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837" cy="1717993"/>
    <xdr:sp macro="" textlink="">
      <xdr:nvSpPr>
        <xdr:cNvPr id="136" name="TextBox 135">
          <a:extLst>
            <a:ext uri="{FF2B5EF4-FFF2-40B4-BE49-F238E27FC236}">
              <a16:creationId xmlns:a16="http://schemas.microsoft.com/office/drawing/2014/main" id="{00000000-0008-0000-0100-000088000000}"/>
            </a:ext>
          </a:extLst>
        </xdr:cNvPr>
        <xdr:cNvSpPr txBox="1"/>
      </xdr:nvSpPr>
      <xdr:spPr>
        <a:xfrm>
          <a:off x="77438250" y="164115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4935"/>
    <xdr:sp macro="" textlink="">
      <xdr:nvSpPr>
        <xdr:cNvPr id="137" name="TextBox 136">
          <a:extLst>
            <a:ext uri="{FF2B5EF4-FFF2-40B4-BE49-F238E27FC236}">
              <a16:creationId xmlns:a16="http://schemas.microsoft.com/office/drawing/2014/main" id="{00000000-0008-0000-0100-000089000000}"/>
            </a:ext>
          </a:extLst>
        </xdr:cNvPr>
        <xdr:cNvSpPr txBox="1"/>
      </xdr:nvSpPr>
      <xdr:spPr>
        <a:xfrm>
          <a:off x="77438250" y="203549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4773" cy="1434935"/>
    <xdr:sp macro="" textlink="">
      <xdr:nvSpPr>
        <xdr:cNvPr id="138" name="TextBox 137">
          <a:extLst>
            <a:ext uri="{FF2B5EF4-FFF2-40B4-BE49-F238E27FC236}">
              <a16:creationId xmlns:a16="http://schemas.microsoft.com/office/drawing/2014/main" id="{00000000-0008-0000-0100-00008A000000}"/>
            </a:ext>
          </a:extLst>
        </xdr:cNvPr>
        <xdr:cNvSpPr txBox="1"/>
      </xdr:nvSpPr>
      <xdr:spPr>
        <a:xfrm>
          <a:off x="43199685" y="203549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139" name="TextBox 138">
          <a:extLst>
            <a:ext uri="{FF2B5EF4-FFF2-40B4-BE49-F238E27FC236}">
              <a16:creationId xmlns:a16="http://schemas.microsoft.com/office/drawing/2014/main" id="{00000000-0008-0000-0100-00008B000000}"/>
            </a:ext>
          </a:extLst>
        </xdr:cNvPr>
        <xdr:cNvSpPr txBox="1"/>
      </xdr:nvSpPr>
      <xdr:spPr>
        <a:xfrm>
          <a:off x="547878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140" name="TextBox 139">
          <a:extLst>
            <a:ext uri="{FF2B5EF4-FFF2-40B4-BE49-F238E27FC236}">
              <a16:creationId xmlns:a16="http://schemas.microsoft.com/office/drawing/2014/main" id="{00000000-0008-0000-0100-00008C000000}"/>
            </a:ext>
          </a:extLst>
        </xdr:cNvPr>
        <xdr:cNvSpPr txBox="1"/>
      </xdr:nvSpPr>
      <xdr:spPr>
        <a:xfrm>
          <a:off x="547878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141" name="TextBox 140">
          <a:extLst>
            <a:ext uri="{FF2B5EF4-FFF2-40B4-BE49-F238E27FC236}">
              <a16:creationId xmlns:a16="http://schemas.microsoft.com/office/drawing/2014/main" id="{00000000-0008-0000-0100-00008D000000}"/>
            </a:ext>
          </a:extLst>
        </xdr:cNvPr>
        <xdr:cNvSpPr txBox="1"/>
      </xdr:nvSpPr>
      <xdr:spPr>
        <a:xfrm>
          <a:off x="547878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142" name="TextBox 141">
          <a:extLst>
            <a:ext uri="{FF2B5EF4-FFF2-40B4-BE49-F238E27FC236}">
              <a16:creationId xmlns:a16="http://schemas.microsoft.com/office/drawing/2014/main" id="{00000000-0008-0000-0100-00008E000000}"/>
            </a:ext>
          </a:extLst>
        </xdr:cNvPr>
        <xdr:cNvSpPr txBox="1"/>
      </xdr:nvSpPr>
      <xdr:spPr>
        <a:xfrm>
          <a:off x="139065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143" name="TextBox 142">
          <a:extLst>
            <a:ext uri="{FF2B5EF4-FFF2-40B4-BE49-F238E27FC236}">
              <a16:creationId xmlns:a16="http://schemas.microsoft.com/office/drawing/2014/main" id="{00000000-0008-0000-0100-00008F000000}"/>
            </a:ext>
          </a:extLst>
        </xdr:cNvPr>
        <xdr:cNvSpPr txBox="1"/>
      </xdr:nvSpPr>
      <xdr:spPr>
        <a:xfrm>
          <a:off x="139065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144" name="TextBox 143">
          <a:extLst>
            <a:ext uri="{FF2B5EF4-FFF2-40B4-BE49-F238E27FC236}">
              <a16:creationId xmlns:a16="http://schemas.microsoft.com/office/drawing/2014/main" id="{00000000-0008-0000-0100-000090000000}"/>
            </a:ext>
          </a:extLst>
        </xdr:cNvPr>
        <xdr:cNvSpPr txBox="1"/>
      </xdr:nvSpPr>
      <xdr:spPr>
        <a:xfrm>
          <a:off x="139065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145" name="TextBox 144">
          <a:extLst>
            <a:ext uri="{FF2B5EF4-FFF2-40B4-BE49-F238E27FC236}">
              <a16:creationId xmlns:a16="http://schemas.microsoft.com/office/drawing/2014/main" id="{00000000-0008-0000-0100-000091000000}"/>
            </a:ext>
          </a:extLst>
        </xdr:cNvPr>
        <xdr:cNvSpPr txBox="1"/>
      </xdr:nvSpPr>
      <xdr:spPr>
        <a:xfrm>
          <a:off x="81585435"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146" name="TextBox 145">
          <a:extLst>
            <a:ext uri="{FF2B5EF4-FFF2-40B4-BE49-F238E27FC236}">
              <a16:creationId xmlns:a16="http://schemas.microsoft.com/office/drawing/2014/main" id="{00000000-0008-0000-0100-000092000000}"/>
            </a:ext>
          </a:extLst>
        </xdr:cNvPr>
        <xdr:cNvSpPr txBox="1"/>
      </xdr:nvSpPr>
      <xdr:spPr>
        <a:xfrm>
          <a:off x="58658760"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757028" cy="1746347"/>
    <xdr:sp macro="" textlink="">
      <xdr:nvSpPr>
        <xdr:cNvPr id="147" name="TextBox 146">
          <a:extLst>
            <a:ext uri="{FF2B5EF4-FFF2-40B4-BE49-F238E27FC236}">
              <a16:creationId xmlns:a16="http://schemas.microsoft.com/office/drawing/2014/main" id="{00000000-0008-0000-0100-000093000000}"/>
            </a:ext>
          </a:extLst>
        </xdr:cNvPr>
        <xdr:cNvSpPr txBox="1"/>
      </xdr:nvSpPr>
      <xdr:spPr>
        <a:xfrm>
          <a:off x="46781085" y="164115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757028" cy="1661857"/>
    <xdr:sp macro="" textlink="">
      <xdr:nvSpPr>
        <xdr:cNvPr id="148" name="TextBox 147">
          <a:extLst>
            <a:ext uri="{FF2B5EF4-FFF2-40B4-BE49-F238E27FC236}">
              <a16:creationId xmlns:a16="http://schemas.microsoft.com/office/drawing/2014/main" id="{00000000-0008-0000-0100-000094000000}"/>
            </a:ext>
          </a:extLst>
        </xdr:cNvPr>
        <xdr:cNvSpPr txBox="1"/>
      </xdr:nvSpPr>
      <xdr:spPr>
        <a:xfrm>
          <a:off x="46781085" y="203549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0178" cy="1661857"/>
    <xdr:sp macro="" textlink="">
      <xdr:nvSpPr>
        <xdr:cNvPr id="149" name="TextBox 148">
          <a:extLst>
            <a:ext uri="{FF2B5EF4-FFF2-40B4-BE49-F238E27FC236}">
              <a16:creationId xmlns:a16="http://schemas.microsoft.com/office/drawing/2014/main" id="{00000000-0008-0000-0100-000095000000}"/>
            </a:ext>
          </a:extLst>
        </xdr:cNvPr>
        <xdr:cNvSpPr txBox="1"/>
      </xdr:nvSpPr>
      <xdr:spPr>
        <a:xfrm>
          <a:off x="46228635" y="203549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9642" cy="1678802"/>
    <xdr:sp macro="" textlink="">
      <xdr:nvSpPr>
        <xdr:cNvPr id="150" name="TextBox 149">
          <a:extLst>
            <a:ext uri="{FF2B5EF4-FFF2-40B4-BE49-F238E27FC236}">
              <a16:creationId xmlns:a16="http://schemas.microsoft.com/office/drawing/2014/main" id="{00000000-0008-0000-0100-000096000000}"/>
            </a:ext>
          </a:extLst>
        </xdr:cNvPr>
        <xdr:cNvSpPr txBox="1"/>
      </xdr:nvSpPr>
      <xdr:spPr>
        <a:xfrm>
          <a:off x="46504860" y="2413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419"/>
    <xdr:sp macro="" textlink="">
      <xdr:nvSpPr>
        <xdr:cNvPr id="151" name="TextBox 150">
          <a:extLst>
            <a:ext uri="{FF2B5EF4-FFF2-40B4-BE49-F238E27FC236}">
              <a16:creationId xmlns:a16="http://schemas.microsoft.com/office/drawing/2014/main" id="{00000000-0008-0000-0100-000097000000}"/>
            </a:ext>
          </a:extLst>
        </xdr:cNvPr>
        <xdr:cNvSpPr txBox="1"/>
      </xdr:nvSpPr>
      <xdr:spPr>
        <a:xfrm>
          <a:off x="50368200" y="203549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0582" cy="1759058"/>
    <xdr:sp macro="" textlink="">
      <xdr:nvSpPr>
        <xdr:cNvPr id="152" name="TextBox 151">
          <a:extLst>
            <a:ext uri="{FF2B5EF4-FFF2-40B4-BE49-F238E27FC236}">
              <a16:creationId xmlns:a16="http://schemas.microsoft.com/office/drawing/2014/main" id="{00000000-0008-0000-0100-000098000000}"/>
            </a:ext>
          </a:extLst>
        </xdr:cNvPr>
        <xdr:cNvSpPr txBox="1"/>
      </xdr:nvSpPr>
      <xdr:spPr>
        <a:xfrm>
          <a:off x="50368200" y="164115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316"/>
    <xdr:sp macro="" textlink="">
      <xdr:nvSpPr>
        <xdr:cNvPr id="153" name="TextBox 152">
          <a:extLst>
            <a:ext uri="{FF2B5EF4-FFF2-40B4-BE49-F238E27FC236}">
              <a16:creationId xmlns:a16="http://schemas.microsoft.com/office/drawing/2014/main" id="{00000000-0008-0000-0100-000099000000}"/>
            </a:ext>
          </a:extLst>
        </xdr:cNvPr>
        <xdr:cNvSpPr txBox="1"/>
      </xdr:nvSpPr>
      <xdr:spPr>
        <a:xfrm>
          <a:off x="50368200" y="203549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21" cy="1650316"/>
    <xdr:sp macro="" textlink="">
      <xdr:nvSpPr>
        <xdr:cNvPr id="154" name="TextBox 153">
          <a:extLst>
            <a:ext uri="{FF2B5EF4-FFF2-40B4-BE49-F238E27FC236}">
              <a16:creationId xmlns:a16="http://schemas.microsoft.com/office/drawing/2014/main" id="{00000000-0008-0000-0100-00009A000000}"/>
            </a:ext>
          </a:extLst>
        </xdr:cNvPr>
        <xdr:cNvSpPr txBox="1"/>
      </xdr:nvSpPr>
      <xdr:spPr>
        <a:xfrm>
          <a:off x="50108485" y="203549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155" name="TextBox 154">
          <a:extLst>
            <a:ext uri="{FF2B5EF4-FFF2-40B4-BE49-F238E27FC236}">
              <a16:creationId xmlns:a16="http://schemas.microsoft.com/office/drawing/2014/main" id="{00000000-0008-0000-0100-00009B000000}"/>
            </a:ext>
          </a:extLst>
        </xdr:cNvPr>
        <xdr:cNvSpPr txBox="1"/>
      </xdr:nvSpPr>
      <xdr:spPr>
        <a:xfrm>
          <a:off x="11157585"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156" name="TextBox 155">
          <a:extLst>
            <a:ext uri="{FF2B5EF4-FFF2-40B4-BE49-F238E27FC236}">
              <a16:creationId xmlns:a16="http://schemas.microsoft.com/office/drawing/2014/main" id="{00000000-0008-0000-0100-00009C000000}"/>
            </a:ext>
          </a:extLst>
        </xdr:cNvPr>
        <xdr:cNvSpPr txBox="1"/>
      </xdr:nvSpPr>
      <xdr:spPr>
        <a:xfrm>
          <a:off x="2219706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157" name="TextBox 156">
          <a:extLst>
            <a:ext uri="{FF2B5EF4-FFF2-40B4-BE49-F238E27FC236}">
              <a16:creationId xmlns:a16="http://schemas.microsoft.com/office/drawing/2014/main" id="{00000000-0008-0000-0100-00009D000000}"/>
            </a:ext>
          </a:extLst>
        </xdr:cNvPr>
        <xdr:cNvSpPr txBox="1"/>
      </xdr:nvSpPr>
      <xdr:spPr>
        <a:xfrm>
          <a:off x="7557135"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2021"/>
    <xdr:sp macro="" textlink="">
      <xdr:nvSpPr>
        <xdr:cNvPr id="158" name="TextBox 157">
          <a:extLst>
            <a:ext uri="{FF2B5EF4-FFF2-40B4-BE49-F238E27FC236}">
              <a16:creationId xmlns:a16="http://schemas.microsoft.com/office/drawing/2014/main" id="{00000000-0008-0000-0100-00009E000000}"/>
            </a:ext>
          </a:extLst>
        </xdr:cNvPr>
        <xdr:cNvSpPr txBox="1"/>
      </xdr:nvSpPr>
      <xdr:spPr>
        <a:xfrm>
          <a:off x="11420475" y="203549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966" cy="1748948"/>
    <xdr:sp macro="" textlink="">
      <xdr:nvSpPr>
        <xdr:cNvPr id="159" name="TextBox 158">
          <a:extLst>
            <a:ext uri="{FF2B5EF4-FFF2-40B4-BE49-F238E27FC236}">
              <a16:creationId xmlns:a16="http://schemas.microsoft.com/office/drawing/2014/main" id="{00000000-0008-0000-0100-00009F000000}"/>
            </a:ext>
          </a:extLst>
        </xdr:cNvPr>
        <xdr:cNvSpPr txBox="1"/>
      </xdr:nvSpPr>
      <xdr:spPr>
        <a:xfrm>
          <a:off x="11420475" y="164115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1918"/>
    <xdr:sp macro="" textlink="">
      <xdr:nvSpPr>
        <xdr:cNvPr id="160" name="TextBox 159">
          <a:extLst>
            <a:ext uri="{FF2B5EF4-FFF2-40B4-BE49-F238E27FC236}">
              <a16:creationId xmlns:a16="http://schemas.microsoft.com/office/drawing/2014/main" id="{00000000-0008-0000-0100-0000A0000000}"/>
            </a:ext>
          </a:extLst>
        </xdr:cNvPr>
        <xdr:cNvSpPr txBox="1"/>
      </xdr:nvSpPr>
      <xdr:spPr>
        <a:xfrm>
          <a:off x="11420475" y="203549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5265" cy="1661918"/>
    <xdr:sp macro="" textlink="">
      <xdr:nvSpPr>
        <xdr:cNvPr id="161" name="TextBox 160">
          <a:extLst>
            <a:ext uri="{FF2B5EF4-FFF2-40B4-BE49-F238E27FC236}">
              <a16:creationId xmlns:a16="http://schemas.microsoft.com/office/drawing/2014/main" id="{00000000-0008-0000-0100-0000A1000000}"/>
            </a:ext>
          </a:extLst>
        </xdr:cNvPr>
        <xdr:cNvSpPr txBox="1"/>
      </xdr:nvSpPr>
      <xdr:spPr>
        <a:xfrm>
          <a:off x="10341610" y="203549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945" cy="1661918"/>
    <xdr:sp macro="" textlink="">
      <xdr:nvSpPr>
        <xdr:cNvPr id="162" name="TextBox 161">
          <a:extLst>
            <a:ext uri="{FF2B5EF4-FFF2-40B4-BE49-F238E27FC236}">
              <a16:creationId xmlns:a16="http://schemas.microsoft.com/office/drawing/2014/main" id="{00000000-0008-0000-0100-0000A2000000}"/>
            </a:ext>
          </a:extLst>
        </xdr:cNvPr>
        <xdr:cNvSpPr txBox="1"/>
      </xdr:nvSpPr>
      <xdr:spPr>
        <a:xfrm>
          <a:off x="32163385" y="203549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2021"/>
    <xdr:sp macro="" textlink="">
      <xdr:nvSpPr>
        <xdr:cNvPr id="163" name="TextBox 162">
          <a:extLst>
            <a:ext uri="{FF2B5EF4-FFF2-40B4-BE49-F238E27FC236}">
              <a16:creationId xmlns:a16="http://schemas.microsoft.com/office/drawing/2014/main" id="{00000000-0008-0000-0100-0000A3000000}"/>
            </a:ext>
          </a:extLst>
        </xdr:cNvPr>
        <xdr:cNvSpPr txBox="1"/>
      </xdr:nvSpPr>
      <xdr:spPr>
        <a:xfrm>
          <a:off x="14458950" y="203549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3095" cy="1748948"/>
    <xdr:sp macro="" textlink="">
      <xdr:nvSpPr>
        <xdr:cNvPr id="164" name="TextBox 163">
          <a:extLst>
            <a:ext uri="{FF2B5EF4-FFF2-40B4-BE49-F238E27FC236}">
              <a16:creationId xmlns:a16="http://schemas.microsoft.com/office/drawing/2014/main" id="{00000000-0008-0000-0100-0000A4000000}"/>
            </a:ext>
          </a:extLst>
        </xdr:cNvPr>
        <xdr:cNvSpPr txBox="1"/>
      </xdr:nvSpPr>
      <xdr:spPr>
        <a:xfrm>
          <a:off x="14458950" y="164115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1918"/>
    <xdr:sp macro="" textlink="">
      <xdr:nvSpPr>
        <xdr:cNvPr id="165" name="TextBox 164">
          <a:extLst>
            <a:ext uri="{FF2B5EF4-FFF2-40B4-BE49-F238E27FC236}">
              <a16:creationId xmlns:a16="http://schemas.microsoft.com/office/drawing/2014/main" id="{00000000-0008-0000-0100-0000A5000000}"/>
            </a:ext>
          </a:extLst>
        </xdr:cNvPr>
        <xdr:cNvSpPr txBox="1"/>
      </xdr:nvSpPr>
      <xdr:spPr>
        <a:xfrm>
          <a:off x="14458950" y="203549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166" name="TextBox 165">
          <a:extLst>
            <a:ext uri="{FF2B5EF4-FFF2-40B4-BE49-F238E27FC236}">
              <a16:creationId xmlns:a16="http://schemas.microsoft.com/office/drawing/2014/main" id="{00000000-0008-0000-0100-0000A6000000}"/>
            </a:ext>
          </a:extLst>
        </xdr:cNvPr>
        <xdr:cNvSpPr txBox="1"/>
      </xdr:nvSpPr>
      <xdr:spPr>
        <a:xfrm>
          <a:off x="14458950"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021" cy="1746584"/>
    <xdr:sp macro="" textlink="">
      <xdr:nvSpPr>
        <xdr:cNvPr id="167" name="TextBox 166">
          <a:extLst>
            <a:ext uri="{FF2B5EF4-FFF2-40B4-BE49-F238E27FC236}">
              <a16:creationId xmlns:a16="http://schemas.microsoft.com/office/drawing/2014/main" id="{00000000-0008-0000-0100-0000A7000000}"/>
            </a:ext>
          </a:extLst>
        </xdr:cNvPr>
        <xdr:cNvSpPr txBox="1"/>
      </xdr:nvSpPr>
      <xdr:spPr>
        <a:xfrm>
          <a:off x="14458950" y="164115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021" cy="1661918"/>
    <xdr:sp macro="" textlink="">
      <xdr:nvSpPr>
        <xdr:cNvPr id="168" name="TextBox 167">
          <a:extLst>
            <a:ext uri="{FF2B5EF4-FFF2-40B4-BE49-F238E27FC236}">
              <a16:creationId xmlns:a16="http://schemas.microsoft.com/office/drawing/2014/main" id="{00000000-0008-0000-0100-0000A8000000}"/>
            </a:ext>
          </a:extLst>
        </xdr:cNvPr>
        <xdr:cNvSpPr txBox="1"/>
      </xdr:nvSpPr>
      <xdr:spPr>
        <a:xfrm>
          <a:off x="14458950" y="203549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00147" cy="1661918"/>
    <xdr:sp macro="" textlink="">
      <xdr:nvSpPr>
        <xdr:cNvPr id="169" name="TextBox 168">
          <a:extLst>
            <a:ext uri="{FF2B5EF4-FFF2-40B4-BE49-F238E27FC236}">
              <a16:creationId xmlns:a16="http://schemas.microsoft.com/office/drawing/2014/main" id="{00000000-0008-0000-0100-0000A9000000}"/>
            </a:ext>
          </a:extLst>
        </xdr:cNvPr>
        <xdr:cNvSpPr txBox="1"/>
      </xdr:nvSpPr>
      <xdr:spPr>
        <a:xfrm>
          <a:off x="14458950" y="203549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592" cy="1661918"/>
    <xdr:sp macro="" textlink="">
      <xdr:nvSpPr>
        <xdr:cNvPr id="170" name="TextBox 169">
          <a:extLst>
            <a:ext uri="{FF2B5EF4-FFF2-40B4-BE49-F238E27FC236}">
              <a16:creationId xmlns:a16="http://schemas.microsoft.com/office/drawing/2014/main" id="{00000000-0008-0000-0100-0000AA000000}"/>
            </a:ext>
          </a:extLst>
        </xdr:cNvPr>
        <xdr:cNvSpPr txBox="1"/>
      </xdr:nvSpPr>
      <xdr:spPr>
        <a:xfrm>
          <a:off x="14458950" y="203549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106" cy="1746584"/>
    <xdr:sp macro="" textlink="">
      <xdr:nvSpPr>
        <xdr:cNvPr id="171" name="TextBox 170">
          <a:extLst>
            <a:ext uri="{FF2B5EF4-FFF2-40B4-BE49-F238E27FC236}">
              <a16:creationId xmlns:a16="http://schemas.microsoft.com/office/drawing/2014/main" id="{00000000-0008-0000-0100-0000AB000000}"/>
            </a:ext>
          </a:extLst>
        </xdr:cNvPr>
        <xdr:cNvSpPr txBox="1"/>
      </xdr:nvSpPr>
      <xdr:spPr>
        <a:xfrm>
          <a:off x="14458950" y="164115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106" cy="1661918"/>
    <xdr:sp macro="" textlink="">
      <xdr:nvSpPr>
        <xdr:cNvPr id="172" name="TextBox 171">
          <a:extLst>
            <a:ext uri="{FF2B5EF4-FFF2-40B4-BE49-F238E27FC236}">
              <a16:creationId xmlns:a16="http://schemas.microsoft.com/office/drawing/2014/main" id="{00000000-0008-0000-0100-0000AC000000}"/>
            </a:ext>
          </a:extLst>
        </xdr:cNvPr>
        <xdr:cNvSpPr txBox="1"/>
      </xdr:nvSpPr>
      <xdr:spPr>
        <a:xfrm>
          <a:off x="14458950" y="203549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173" name="TextBox 172">
          <a:extLst>
            <a:ext uri="{FF2B5EF4-FFF2-40B4-BE49-F238E27FC236}">
              <a16:creationId xmlns:a16="http://schemas.microsoft.com/office/drawing/2014/main" id="{00000000-0008-0000-0100-0000AD000000}"/>
            </a:ext>
          </a:extLst>
        </xdr:cNvPr>
        <xdr:cNvSpPr txBox="1"/>
      </xdr:nvSpPr>
      <xdr:spPr>
        <a:xfrm>
          <a:off x="1445895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174" name="TextBox 173">
          <a:extLst>
            <a:ext uri="{FF2B5EF4-FFF2-40B4-BE49-F238E27FC236}">
              <a16:creationId xmlns:a16="http://schemas.microsoft.com/office/drawing/2014/main" id="{00000000-0008-0000-0100-0000AE000000}"/>
            </a:ext>
          </a:extLst>
        </xdr:cNvPr>
        <xdr:cNvSpPr txBox="1"/>
      </xdr:nvSpPr>
      <xdr:spPr>
        <a:xfrm>
          <a:off x="14458950"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0766" cy="1679418"/>
    <xdr:sp macro="" textlink="">
      <xdr:nvSpPr>
        <xdr:cNvPr id="189" name="TextBox 188">
          <a:extLst>
            <a:ext uri="{FF2B5EF4-FFF2-40B4-BE49-F238E27FC236}">
              <a16:creationId xmlns:a16="http://schemas.microsoft.com/office/drawing/2014/main" id="{00000000-0008-0000-0100-0000BD000000}"/>
            </a:ext>
          </a:extLst>
        </xdr:cNvPr>
        <xdr:cNvSpPr txBox="1"/>
      </xdr:nvSpPr>
      <xdr:spPr>
        <a:xfrm>
          <a:off x="5086350" y="257651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60766" cy="1747852"/>
    <xdr:sp macro="" textlink="">
      <xdr:nvSpPr>
        <xdr:cNvPr id="190" name="TextBox 189">
          <a:extLst>
            <a:ext uri="{FF2B5EF4-FFF2-40B4-BE49-F238E27FC236}">
              <a16:creationId xmlns:a16="http://schemas.microsoft.com/office/drawing/2014/main" id="{00000000-0008-0000-0100-0000BE000000}"/>
            </a:ext>
          </a:extLst>
        </xdr:cNvPr>
        <xdr:cNvSpPr txBox="1"/>
      </xdr:nvSpPr>
      <xdr:spPr>
        <a:xfrm>
          <a:off x="5086350" y="20364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0766" cy="1682488"/>
    <xdr:sp macro="" textlink="">
      <xdr:nvSpPr>
        <xdr:cNvPr id="191" name="TextBox 190">
          <a:extLst>
            <a:ext uri="{FF2B5EF4-FFF2-40B4-BE49-F238E27FC236}">
              <a16:creationId xmlns:a16="http://schemas.microsoft.com/office/drawing/2014/main" id="{00000000-0008-0000-0100-0000BF000000}"/>
            </a:ext>
          </a:extLst>
        </xdr:cNvPr>
        <xdr:cNvSpPr txBox="1"/>
      </xdr:nvSpPr>
      <xdr:spPr>
        <a:xfrm>
          <a:off x="5086350" y="257651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5927" cy="1755464"/>
    <xdr:sp macro="" textlink="">
      <xdr:nvSpPr>
        <xdr:cNvPr id="192" name="TextBox 191">
          <a:extLst>
            <a:ext uri="{FF2B5EF4-FFF2-40B4-BE49-F238E27FC236}">
              <a16:creationId xmlns:a16="http://schemas.microsoft.com/office/drawing/2014/main" id="{00000000-0008-0000-0100-0000C0000000}"/>
            </a:ext>
          </a:extLst>
        </xdr:cNvPr>
        <xdr:cNvSpPr txBox="1"/>
      </xdr:nvSpPr>
      <xdr:spPr>
        <a:xfrm>
          <a:off x="9538335" y="2036445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5927" cy="1682488"/>
    <xdr:sp macro="" textlink="">
      <xdr:nvSpPr>
        <xdr:cNvPr id="193" name="TextBox 192">
          <a:extLst>
            <a:ext uri="{FF2B5EF4-FFF2-40B4-BE49-F238E27FC236}">
              <a16:creationId xmlns:a16="http://schemas.microsoft.com/office/drawing/2014/main" id="{00000000-0008-0000-0100-0000C1000000}"/>
            </a:ext>
          </a:extLst>
        </xdr:cNvPr>
        <xdr:cNvSpPr txBox="1"/>
      </xdr:nvSpPr>
      <xdr:spPr>
        <a:xfrm>
          <a:off x="9538335" y="257651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194" name="TextBox 193">
          <a:extLst>
            <a:ext uri="{FF2B5EF4-FFF2-40B4-BE49-F238E27FC236}">
              <a16:creationId xmlns:a16="http://schemas.microsoft.com/office/drawing/2014/main" id="{00000000-0008-0000-0100-0000C2000000}"/>
            </a:ext>
          </a:extLst>
        </xdr:cNvPr>
        <xdr:cNvSpPr txBox="1"/>
      </xdr:nvSpPr>
      <xdr:spPr>
        <a:xfrm>
          <a:off x="896683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6010" cy="1755464"/>
    <xdr:sp macro="" textlink="">
      <xdr:nvSpPr>
        <xdr:cNvPr id="195" name="TextBox 194">
          <a:extLst>
            <a:ext uri="{FF2B5EF4-FFF2-40B4-BE49-F238E27FC236}">
              <a16:creationId xmlns:a16="http://schemas.microsoft.com/office/drawing/2014/main" id="{00000000-0008-0000-0100-0000C3000000}"/>
            </a:ext>
          </a:extLst>
        </xdr:cNvPr>
        <xdr:cNvSpPr txBox="1"/>
      </xdr:nvSpPr>
      <xdr:spPr>
        <a:xfrm>
          <a:off x="1544002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a:t>1</a:t>
          </a:r>
        </a:p>
      </xdr:txBody>
    </xdr:sp>
    <xdr:clientData/>
  </xdr:oneCellAnchor>
  <xdr:oneCellAnchor>
    <xdr:from>
      <xdr:col>4</xdr:col>
      <xdr:colOff>0</xdr:colOff>
      <xdr:row>89</xdr:row>
      <xdr:rowOff>0</xdr:rowOff>
    </xdr:from>
    <xdr:ext cx="3556010" cy="1682488"/>
    <xdr:sp macro="" textlink="">
      <xdr:nvSpPr>
        <xdr:cNvPr id="196" name="TextBox 195">
          <a:extLst>
            <a:ext uri="{FF2B5EF4-FFF2-40B4-BE49-F238E27FC236}">
              <a16:creationId xmlns:a16="http://schemas.microsoft.com/office/drawing/2014/main" id="{00000000-0008-0000-0100-0000C4000000}"/>
            </a:ext>
          </a:extLst>
        </xdr:cNvPr>
        <xdr:cNvSpPr txBox="1"/>
      </xdr:nvSpPr>
      <xdr:spPr>
        <a:xfrm>
          <a:off x="1544002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5846" cy="1682488"/>
    <xdr:sp macro="" textlink="">
      <xdr:nvSpPr>
        <xdr:cNvPr id="197" name="TextBox 196">
          <a:extLst>
            <a:ext uri="{FF2B5EF4-FFF2-40B4-BE49-F238E27FC236}">
              <a16:creationId xmlns:a16="http://schemas.microsoft.com/office/drawing/2014/main" id="{00000000-0008-0000-0100-0000C5000000}"/>
            </a:ext>
          </a:extLst>
        </xdr:cNvPr>
        <xdr:cNvSpPr txBox="1"/>
      </xdr:nvSpPr>
      <xdr:spPr>
        <a:xfrm>
          <a:off x="11915775" y="257651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3718" cy="1682488"/>
    <xdr:sp macro="" textlink="">
      <xdr:nvSpPr>
        <xdr:cNvPr id="198" name="TextBox 197">
          <a:extLst>
            <a:ext uri="{FF2B5EF4-FFF2-40B4-BE49-F238E27FC236}">
              <a16:creationId xmlns:a16="http://schemas.microsoft.com/office/drawing/2014/main" id="{00000000-0008-0000-0100-0000C6000000}"/>
            </a:ext>
          </a:extLst>
        </xdr:cNvPr>
        <xdr:cNvSpPr txBox="1"/>
      </xdr:nvSpPr>
      <xdr:spPr>
        <a:xfrm>
          <a:off x="16868775" y="257651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6010" cy="1755464"/>
    <xdr:sp macro="" textlink="">
      <xdr:nvSpPr>
        <xdr:cNvPr id="199" name="TextBox 198">
          <a:extLst>
            <a:ext uri="{FF2B5EF4-FFF2-40B4-BE49-F238E27FC236}">
              <a16:creationId xmlns:a16="http://schemas.microsoft.com/office/drawing/2014/main" id="{00000000-0008-0000-0100-0000C7000000}"/>
            </a:ext>
          </a:extLst>
        </xdr:cNvPr>
        <xdr:cNvSpPr txBox="1"/>
      </xdr:nvSpPr>
      <xdr:spPr>
        <a:xfrm>
          <a:off x="1134808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200" name="TextBox 199">
          <a:extLst>
            <a:ext uri="{FF2B5EF4-FFF2-40B4-BE49-F238E27FC236}">
              <a16:creationId xmlns:a16="http://schemas.microsoft.com/office/drawing/2014/main" id="{00000000-0008-0000-0100-0000C8000000}"/>
            </a:ext>
          </a:extLst>
        </xdr:cNvPr>
        <xdr:cNvSpPr txBox="1"/>
      </xdr:nvSpPr>
      <xdr:spPr>
        <a:xfrm>
          <a:off x="1134808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55927" cy="1741250"/>
    <xdr:sp macro="" textlink="">
      <xdr:nvSpPr>
        <xdr:cNvPr id="201" name="TextBox 200">
          <a:extLst>
            <a:ext uri="{FF2B5EF4-FFF2-40B4-BE49-F238E27FC236}">
              <a16:creationId xmlns:a16="http://schemas.microsoft.com/office/drawing/2014/main" id="{00000000-0008-0000-0100-0000C9000000}"/>
            </a:ext>
          </a:extLst>
        </xdr:cNvPr>
        <xdr:cNvSpPr txBox="1"/>
      </xdr:nvSpPr>
      <xdr:spPr>
        <a:xfrm>
          <a:off x="9252585" y="3035617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56010" cy="1741250"/>
    <xdr:sp macro="" textlink="">
      <xdr:nvSpPr>
        <xdr:cNvPr id="202" name="TextBox 201">
          <a:extLst>
            <a:ext uri="{FF2B5EF4-FFF2-40B4-BE49-F238E27FC236}">
              <a16:creationId xmlns:a16="http://schemas.microsoft.com/office/drawing/2014/main" id="{00000000-0008-0000-0100-0000CA000000}"/>
            </a:ext>
          </a:extLst>
        </xdr:cNvPr>
        <xdr:cNvSpPr txBox="1"/>
      </xdr:nvSpPr>
      <xdr:spPr>
        <a:xfrm>
          <a:off x="10967085" y="3035617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7719" cy="1679418"/>
    <xdr:sp macro="" textlink="">
      <xdr:nvSpPr>
        <xdr:cNvPr id="188" name="TextBox 187">
          <a:extLst>
            <a:ext uri="{FF2B5EF4-FFF2-40B4-BE49-F238E27FC236}">
              <a16:creationId xmlns:a16="http://schemas.microsoft.com/office/drawing/2014/main" id="{00000000-0008-0000-0100-0000BC000000}"/>
            </a:ext>
          </a:extLst>
        </xdr:cNvPr>
        <xdr:cNvSpPr txBox="1"/>
      </xdr:nvSpPr>
      <xdr:spPr>
        <a:xfrm>
          <a:off x="5619750" y="205835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37719" cy="1747852"/>
    <xdr:sp macro="" textlink="">
      <xdr:nvSpPr>
        <xdr:cNvPr id="203" name="TextBox 202">
          <a:extLst>
            <a:ext uri="{FF2B5EF4-FFF2-40B4-BE49-F238E27FC236}">
              <a16:creationId xmlns:a16="http://schemas.microsoft.com/office/drawing/2014/main" id="{00000000-0008-0000-0100-0000CB000000}"/>
            </a:ext>
          </a:extLst>
        </xdr:cNvPr>
        <xdr:cNvSpPr txBox="1"/>
      </xdr:nvSpPr>
      <xdr:spPr>
        <a:xfrm>
          <a:off x="5619750" y="166401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7719" cy="1672229"/>
    <xdr:sp macro="" textlink="">
      <xdr:nvSpPr>
        <xdr:cNvPr id="204" name="TextBox 203">
          <a:extLst>
            <a:ext uri="{FF2B5EF4-FFF2-40B4-BE49-F238E27FC236}">
              <a16:creationId xmlns:a16="http://schemas.microsoft.com/office/drawing/2014/main" id="{00000000-0008-0000-0100-0000CC000000}"/>
            </a:ext>
          </a:extLst>
        </xdr:cNvPr>
        <xdr:cNvSpPr txBox="1"/>
      </xdr:nvSpPr>
      <xdr:spPr>
        <a:xfrm>
          <a:off x="5619750" y="205835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205" name="TextBox 204">
          <a:extLst>
            <a:ext uri="{FF2B5EF4-FFF2-40B4-BE49-F238E27FC236}">
              <a16:creationId xmlns:a16="http://schemas.microsoft.com/office/drawing/2014/main" id="{00000000-0008-0000-0100-0000CD000000}"/>
            </a:ext>
          </a:extLst>
        </xdr:cNvPr>
        <xdr:cNvSpPr txBox="1"/>
      </xdr:nvSpPr>
      <xdr:spPr>
        <a:xfrm>
          <a:off x="6576060"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382" cy="1755464"/>
    <xdr:sp macro="" textlink="">
      <xdr:nvSpPr>
        <xdr:cNvPr id="206" name="TextBox 205">
          <a:extLst>
            <a:ext uri="{FF2B5EF4-FFF2-40B4-BE49-F238E27FC236}">
              <a16:creationId xmlns:a16="http://schemas.microsoft.com/office/drawing/2014/main" id="{00000000-0008-0000-0100-0000CE000000}"/>
            </a:ext>
          </a:extLst>
        </xdr:cNvPr>
        <xdr:cNvSpPr txBox="1"/>
      </xdr:nvSpPr>
      <xdr:spPr>
        <a:xfrm>
          <a:off x="9195435" y="166401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382" cy="1672229"/>
    <xdr:sp macro="" textlink="">
      <xdr:nvSpPr>
        <xdr:cNvPr id="207" name="TextBox 206">
          <a:extLst>
            <a:ext uri="{FF2B5EF4-FFF2-40B4-BE49-F238E27FC236}">
              <a16:creationId xmlns:a16="http://schemas.microsoft.com/office/drawing/2014/main" id="{00000000-0008-0000-0100-0000CF000000}"/>
            </a:ext>
          </a:extLst>
        </xdr:cNvPr>
        <xdr:cNvSpPr txBox="1"/>
      </xdr:nvSpPr>
      <xdr:spPr>
        <a:xfrm>
          <a:off x="9195435" y="205835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208" name="TextBox 207">
          <a:extLst>
            <a:ext uri="{FF2B5EF4-FFF2-40B4-BE49-F238E27FC236}">
              <a16:creationId xmlns:a16="http://schemas.microsoft.com/office/drawing/2014/main" id="{00000000-0008-0000-0100-0000D0000000}"/>
            </a:ext>
          </a:extLst>
        </xdr:cNvPr>
        <xdr:cNvSpPr txBox="1"/>
      </xdr:nvSpPr>
      <xdr:spPr>
        <a:xfrm>
          <a:off x="8719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465" cy="1755464"/>
    <xdr:sp macro="" textlink="">
      <xdr:nvSpPr>
        <xdr:cNvPr id="209" name="TextBox 208">
          <a:extLst>
            <a:ext uri="{FF2B5EF4-FFF2-40B4-BE49-F238E27FC236}">
              <a16:creationId xmlns:a16="http://schemas.microsoft.com/office/drawing/2014/main" id="{00000000-0008-0000-0100-0000D1000000}"/>
            </a:ext>
          </a:extLst>
        </xdr:cNvPr>
        <xdr:cNvSpPr txBox="1"/>
      </xdr:nvSpPr>
      <xdr:spPr>
        <a:xfrm>
          <a:off x="1443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210" name="TextBox 209">
          <a:extLst>
            <a:ext uri="{FF2B5EF4-FFF2-40B4-BE49-F238E27FC236}">
              <a16:creationId xmlns:a16="http://schemas.microsoft.com/office/drawing/2014/main" id="{00000000-0008-0000-0100-0000D2000000}"/>
            </a:ext>
          </a:extLst>
        </xdr:cNvPr>
        <xdr:cNvSpPr txBox="1"/>
      </xdr:nvSpPr>
      <xdr:spPr>
        <a:xfrm>
          <a:off x="1443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2831" cy="1672229"/>
    <xdr:sp macro="" textlink="">
      <xdr:nvSpPr>
        <xdr:cNvPr id="211" name="TextBox 210">
          <a:extLst>
            <a:ext uri="{FF2B5EF4-FFF2-40B4-BE49-F238E27FC236}">
              <a16:creationId xmlns:a16="http://schemas.microsoft.com/office/drawing/2014/main" id="{00000000-0008-0000-0100-0000D3000000}"/>
            </a:ext>
          </a:extLst>
        </xdr:cNvPr>
        <xdr:cNvSpPr txBox="1"/>
      </xdr:nvSpPr>
      <xdr:spPr>
        <a:xfrm>
          <a:off x="11096625" y="20583525"/>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465" cy="1755464"/>
    <xdr:sp macro="" textlink="">
      <xdr:nvSpPr>
        <xdr:cNvPr id="212" name="TextBox 211">
          <a:extLst>
            <a:ext uri="{FF2B5EF4-FFF2-40B4-BE49-F238E27FC236}">
              <a16:creationId xmlns:a16="http://schemas.microsoft.com/office/drawing/2014/main" id="{00000000-0008-0000-0100-0000D4000000}"/>
            </a:ext>
          </a:extLst>
        </xdr:cNvPr>
        <xdr:cNvSpPr txBox="1"/>
      </xdr:nvSpPr>
      <xdr:spPr>
        <a:xfrm>
          <a:off x="1062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213" name="TextBox 212">
          <a:extLst>
            <a:ext uri="{FF2B5EF4-FFF2-40B4-BE49-F238E27FC236}">
              <a16:creationId xmlns:a16="http://schemas.microsoft.com/office/drawing/2014/main" id="{00000000-0008-0000-0100-0000D5000000}"/>
            </a:ext>
          </a:extLst>
        </xdr:cNvPr>
        <xdr:cNvSpPr txBox="1"/>
      </xdr:nvSpPr>
      <xdr:spPr>
        <a:xfrm>
          <a:off x="1062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382" cy="1741250"/>
    <xdr:sp macro="" textlink="">
      <xdr:nvSpPr>
        <xdr:cNvPr id="214" name="TextBox 213">
          <a:extLst>
            <a:ext uri="{FF2B5EF4-FFF2-40B4-BE49-F238E27FC236}">
              <a16:creationId xmlns:a16="http://schemas.microsoft.com/office/drawing/2014/main" id="{00000000-0008-0000-0100-0000D6000000}"/>
            </a:ext>
          </a:extLst>
        </xdr:cNvPr>
        <xdr:cNvSpPr txBox="1"/>
      </xdr:nvSpPr>
      <xdr:spPr>
        <a:xfrm>
          <a:off x="8957310" y="2697480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465" cy="1741250"/>
    <xdr:sp macro="" textlink="">
      <xdr:nvSpPr>
        <xdr:cNvPr id="215" name="TextBox 214">
          <a:extLst>
            <a:ext uri="{FF2B5EF4-FFF2-40B4-BE49-F238E27FC236}">
              <a16:creationId xmlns:a16="http://schemas.microsoft.com/office/drawing/2014/main" id="{00000000-0008-0000-0100-0000D7000000}"/>
            </a:ext>
          </a:extLst>
        </xdr:cNvPr>
        <xdr:cNvSpPr txBox="1"/>
      </xdr:nvSpPr>
      <xdr:spPr>
        <a:xfrm>
          <a:off x="1419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465" cy="1741250"/>
    <xdr:sp macro="" textlink="">
      <xdr:nvSpPr>
        <xdr:cNvPr id="216" name="TextBox 215">
          <a:extLst>
            <a:ext uri="{FF2B5EF4-FFF2-40B4-BE49-F238E27FC236}">
              <a16:creationId xmlns:a16="http://schemas.microsoft.com/office/drawing/2014/main" id="{00000000-0008-0000-0100-0000D8000000}"/>
            </a:ext>
          </a:extLst>
        </xdr:cNvPr>
        <xdr:cNvSpPr txBox="1"/>
      </xdr:nvSpPr>
      <xdr:spPr>
        <a:xfrm>
          <a:off x="1038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382" cy="1741250"/>
    <xdr:sp macro="" textlink="">
      <xdr:nvSpPr>
        <xdr:cNvPr id="217" name="TextBox 216">
          <a:extLst>
            <a:ext uri="{FF2B5EF4-FFF2-40B4-BE49-F238E27FC236}">
              <a16:creationId xmlns:a16="http://schemas.microsoft.com/office/drawing/2014/main" id="{00000000-0008-0000-0100-0000D9000000}"/>
            </a:ext>
          </a:extLst>
        </xdr:cNvPr>
        <xdr:cNvSpPr txBox="1"/>
      </xdr:nvSpPr>
      <xdr:spPr>
        <a:xfrm>
          <a:off x="8957310" y="243649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465" cy="1741250"/>
    <xdr:sp macro="" textlink="">
      <xdr:nvSpPr>
        <xdr:cNvPr id="218" name="TextBox 217">
          <a:extLst>
            <a:ext uri="{FF2B5EF4-FFF2-40B4-BE49-F238E27FC236}">
              <a16:creationId xmlns:a16="http://schemas.microsoft.com/office/drawing/2014/main" id="{00000000-0008-0000-0100-0000DA000000}"/>
            </a:ext>
          </a:extLst>
        </xdr:cNvPr>
        <xdr:cNvSpPr txBox="1"/>
      </xdr:nvSpPr>
      <xdr:spPr>
        <a:xfrm>
          <a:off x="1419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465" cy="1741250"/>
    <xdr:sp macro="" textlink="">
      <xdr:nvSpPr>
        <xdr:cNvPr id="219" name="TextBox 218">
          <a:extLst>
            <a:ext uri="{FF2B5EF4-FFF2-40B4-BE49-F238E27FC236}">
              <a16:creationId xmlns:a16="http://schemas.microsoft.com/office/drawing/2014/main" id="{00000000-0008-0000-0100-0000DB000000}"/>
            </a:ext>
          </a:extLst>
        </xdr:cNvPr>
        <xdr:cNvSpPr txBox="1"/>
      </xdr:nvSpPr>
      <xdr:spPr>
        <a:xfrm>
          <a:off x="1038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83569"/>
    <xdr:sp macro="" textlink="">
      <xdr:nvSpPr>
        <xdr:cNvPr id="220" name="TextBox 219">
          <a:extLst>
            <a:ext uri="{FF2B5EF4-FFF2-40B4-BE49-F238E27FC236}">
              <a16:creationId xmlns:a16="http://schemas.microsoft.com/office/drawing/2014/main" id="{00000000-0008-0000-0100-0000DC00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29844" cy="1744986"/>
    <xdr:sp macro="" textlink="">
      <xdr:nvSpPr>
        <xdr:cNvPr id="221" name="TextBox 220">
          <a:extLst>
            <a:ext uri="{FF2B5EF4-FFF2-40B4-BE49-F238E27FC236}">
              <a16:creationId xmlns:a16="http://schemas.microsoft.com/office/drawing/2014/main" id="{00000000-0008-0000-0100-0000DD00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76302"/>
    <xdr:sp macro="" textlink="">
      <xdr:nvSpPr>
        <xdr:cNvPr id="222" name="TextBox 221">
          <a:extLst>
            <a:ext uri="{FF2B5EF4-FFF2-40B4-BE49-F238E27FC236}">
              <a16:creationId xmlns:a16="http://schemas.microsoft.com/office/drawing/2014/main" id="{00000000-0008-0000-0100-0000DE00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223" name="TextBox 222">
          <a:extLst>
            <a:ext uri="{FF2B5EF4-FFF2-40B4-BE49-F238E27FC236}">
              <a16:creationId xmlns:a16="http://schemas.microsoft.com/office/drawing/2014/main" id="{00000000-0008-0000-0100-0000DF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843" cy="1742629"/>
    <xdr:sp macro="" textlink="">
      <xdr:nvSpPr>
        <xdr:cNvPr id="224" name="TextBox 223">
          <a:extLst>
            <a:ext uri="{FF2B5EF4-FFF2-40B4-BE49-F238E27FC236}">
              <a16:creationId xmlns:a16="http://schemas.microsoft.com/office/drawing/2014/main" id="{00000000-0008-0000-0100-0000E000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843" cy="1676302"/>
    <xdr:sp macro="" textlink="">
      <xdr:nvSpPr>
        <xdr:cNvPr id="225" name="TextBox 224">
          <a:extLst>
            <a:ext uri="{FF2B5EF4-FFF2-40B4-BE49-F238E27FC236}">
              <a16:creationId xmlns:a16="http://schemas.microsoft.com/office/drawing/2014/main" id="{00000000-0008-0000-0100-0000E100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226" name="TextBox 225">
          <a:extLst>
            <a:ext uri="{FF2B5EF4-FFF2-40B4-BE49-F238E27FC236}">
              <a16:creationId xmlns:a16="http://schemas.microsoft.com/office/drawing/2014/main" id="{00000000-0008-0000-0100-0000E2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227" name="TextBox 226">
          <a:extLst>
            <a:ext uri="{FF2B5EF4-FFF2-40B4-BE49-F238E27FC236}">
              <a16:creationId xmlns:a16="http://schemas.microsoft.com/office/drawing/2014/main" id="{00000000-0008-0000-0100-0000E3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228" name="TextBox 227">
          <a:extLst>
            <a:ext uri="{FF2B5EF4-FFF2-40B4-BE49-F238E27FC236}">
              <a16:creationId xmlns:a16="http://schemas.microsoft.com/office/drawing/2014/main" id="{00000000-0008-0000-0100-0000E4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1363" cy="1676302"/>
    <xdr:sp macro="" textlink="">
      <xdr:nvSpPr>
        <xdr:cNvPr id="229" name="TextBox 228">
          <a:extLst>
            <a:ext uri="{FF2B5EF4-FFF2-40B4-BE49-F238E27FC236}">
              <a16:creationId xmlns:a16="http://schemas.microsoft.com/office/drawing/2014/main" id="{00000000-0008-0000-0100-0000E500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445197" cy="1676302"/>
    <xdr:sp macro="" textlink="">
      <xdr:nvSpPr>
        <xdr:cNvPr id="230" name="TextBox 229">
          <a:extLst>
            <a:ext uri="{FF2B5EF4-FFF2-40B4-BE49-F238E27FC236}">
              <a16:creationId xmlns:a16="http://schemas.microsoft.com/office/drawing/2014/main" id="{00000000-0008-0000-0100-0000E600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231" name="TextBox 230">
          <a:extLst>
            <a:ext uri="{FF2B5EF4-FFF2-40B4-BE49-F238E27FC236}">
              <a16:creationId xmlns:a16="http://schemas.microsoft.com/office/drawing/2014/main" id="{00000000-0008-0000-0100-0000E7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232" name="TextBox 231">
          <a:extLst>
            <a:ext uri="{FF2B5EF4-FFF2-40B4-BE49-F238E27FC236}">
              <a16:creationId xmlns:a16="http://schemas.microsoft.com/office/drawing/2014/main" id="{00000000-0008-0000-0100-0000E8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843" cy="1776039"/>
    <xdr:sp macro="" textlink="">
      <xdr:nvSpPr>
        <xdr:cNvPr id="233" name="TextBox 232">
          <a:extLst>
            <a:ext uri="{FF2B5EF4-FFF2-40B4-BE49-F238E27FC236}">
              <a16:creationId xmlns:a16="http://schemas.microsoft.com/office/drawing/2014/main" id="{00000000-0008-0000-0100-0000E900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234" name="TextBox 233">
          <a:extLst>
            <a:ext uri="{FF2B5EF4-FFF2-40B4-BE49-F238E27FC236}">
              <a16:creationId xmlns:a16="http://schemas.microsoft.com/office/drawing/2014/main" id="{00000000-0008-0000-0100-0000EA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235" name="TextBox 234">
          <a:extLst>
            <a:ext uri="{FF2B5EF4-FFF2-40B4-BE49-F238E27FC236}">
              <a16:creationId xmlns:a16="http://schemas.microsoft.com/office/drawing/2014/main" id="{00000000-0008-0000-0100-0000EB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620421"/>
    <xdr:sp macro="" textlink="">
      <xdr:nvSpPr>
        <xdr:cNvPr id="236" name="TextBox 235">
          <a:extLst>
            <a:ext uri="{FF2B5EF4-FFF2-40B4-BE49-F238E27FC236}">
              <a16:creationId xmlns:a16="http://schemas.microsoft.com/office/drawing/2014/main" id="{00000000-0008-0000-0100-0000EC00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5226" cy="1842257"/>
    <xdr:sp macro="" textlink="">
      <xdr:nvSpPr>
        <xdr:cNvPr id="237" name="TextBox 236">
          <a:extLst>
            <a:ext uri="{FF2B5EF4-FFF2-40B4-BE49-F238E27FC236}">
              <a16:creationId xmlns:a16="http://schemas.microsoft.com/office/drawing/2014/main" id="{00000000-0008-0000-0100-0000ED00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587258"/>
    <xdr:sp macro="" textlink="">
      <xdr:nvSpPr>
        <xdr:cNvPr id="238" name="TextBox 237">
          <a:extLst>
            <a:ext uri="{FF2B5EF4-FFF2-40B4-BE49-F238E27FC236}">
              <a16:creationId xmlns:a16="http://schemas.microsoft.com/office/drawing/2014/main" id="{00000000-0008-0000-0100-0000EE00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932" cy="1587258"/>
    <xdr:sp macro="" textlink="">
      <xdr:nvSpPr>
        <xdr:cNvPr id="239" name="TextBox 238">
          <a:extLst>
            <a:ext uri="{FF2B5EF4-FFF2-40B4-BE49-F238E27FC236}">
              <a16:creationId xmlns:a16="http://schemas.microsoft.com/office/drawing/2014/main" id="{00000000-0008-0000-0100-0000EF00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240" name="TextBox 239">
          <a:extLst>
            <a:ext uri="{FF2B5EF4-FFF2-40B4-BE49-F238E27FC236}">
              <a16:creationId xmlns:a16="http://schemas.microsoft.com/office/drawing/2014/main" id="{00000000-0008-0000-0100-0000F0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241" name="TextBox 240">
          <a:extLst>
            <a:ext uri="{FF2B5EF4-FFF2-40B4-BE49-F238E27FC236}">
              <a16:creationId xmlns:a16="http://schemas.microsoft.com/office/drawing/2014/main" id="{00000000-0008-0000-0100-0000F1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593" cy="1587258"/>
    <xdr:sp macro="" textlink="">
      <xdr:nvSpPr>
        <xdr:cNvPr id="242" name="TextBox 241">
          <a:extLst>
            <a:ext uri="{FF2B5EF4-FFF2-40B4-BE49-F238E27FC236}">
              <a16:creationId xmlns:a16="http://schemas.microsoft.com/office/drawing/2014/main" id="{00000000-0008-0000-0100-0000F200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8203" cy="1587258"/>
    <xdr:sp macro="" textlink="">
      <xdr:nvSpPr>
        <xdr:cNvPr id="243" name="TextBox 242">
          <a:extLst>
            <a:ext uri="{FF2B5EF4-FFF2-40B4-BE49-F238E27FC236}">
              <a16:creationId xmlns:a16="http://schemas.microsoft.com/office/drawing/2014/main" id="{00000000-0008-0000-0100-0000F300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244" name="TextBox 243">
          <a:extLst>
            <a:ext uri="{FF2B5EF4-FFF2-40B4-BE49-F238E27FC236}">
              <a16:creationId xmlns:a16="http://schemas.microsoft.com/office/drawing/2014/main" id="{00000000-0008-0000-0100-0000F4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245" name="TextBox 244">
          <a:extLst>
            <a:ext uri="{FF2B5EF4-FFF2-40B4-BE49-F238E27FC236}">
              <a16:creationId xmlns:a16="http://schemas.microsoft.com/office/drawing/2014/main" id="{00000000-0008-0000-0100-0000F5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246" name="TextBox 245">
          <a:extLst>
            <a:ext uri="{FF2B5EF4-FFF2-40B4-BE49-F238E27FC236}">
              <a16:creationId xmlns:a16="http://schemas.microsoft.com/office/drawing/2014/main" id="{00000000-0008-0000-0100-0000F6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247" name="TextBox 246">
          <a:extLst>
            <a:ext uri="{FF2B5EF4-FFF2-40B4-BE49-F238E27FC236}">
              <a16:creationId xmlns:a16="http://schemas.microsoft.com/office/drawing/2014/main" id="{00000000-0008-0000-0100-0000F7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222"/>
    <xdr:sp macro="" textlink="">
      <xdr:nvSpPr>
        <xdr:cNvPr id="248" name="TextBox 247">
          <a:extLst>
            <a:ext uri="{FF2B5EF4-FFF2-40B4-BE49-F238E27FC236}">
              <a16:creationId xmlns:a16="http://schemas.microsoft.com/office/drawing/2014/main" id="{00000000-0008-0000-0100-0000F800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635145" cy="1748771"/>
    <xdr:sp macro="" textlink="">
      <xdr:nvSpPr>
        <xdr:cNvPr id="249" name="TextBox 248">
          <a:extLst>
            <a:ext uri="{FF2B5EF4-FFF2-40B4-BE49-F238E27FC236}">
              <a16:creationId xmlns:a16="http://schemas.microsoft.com/office/drawing/2014/main" id="{00000000-0008-0000-0100-0000F900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119"/>
    <xdr:sp macro="" textlink="">
      <xdr:nvSpPr>
        <xdr:cNvPr id="250" name="TextBox 249">
          <a:extLst>
            <a:ext uri="{FF2B5EF4-FFF2-40B4-BE49-F238E27FC236}">
              <a16:creationId xmlns:a16="http://schemas.microsoft.com/office/drawing/2014/main" id="{00000000-0008-0000-0100-0000FA00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114" cy="1662119"/>
    <xdr:sp macro="" textlink="">
      <xdr:nvSpPr>
        <xdr:cNvPr id="251" name="TextBox 250">
          <a:extLst>
            <a:ext uri="{FF2B5EF4-FFF2-40B4-BE49-F238E27FC236}">
              <a16:creationId xmlns:a16="http://schemas.microsoft.com/office/drawing/2014/main" id="{00000000-0008-0000-0100-0000FB00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426" cy="1731221"/>
    <xdr:sp macro="" textlink="">
      <xdr:nvSpPr>
        <xdr:cNvPr id="252" name="TextBox 251">
          <a:extLst>
            <a:ext uri="{FF2B5EF4-FFF2-40B4-BE49-F238E27FC236}">
              <a16:creationId xmlns:a16="http://schemas.microsoft.com/office/drawing/2014/main" id="{00000000-0008-0000-0100-0000FC00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426" cy="1662119"/>
    <xdr:sp macro="" textlink="">
      <xdr:nvSpPr>
        <xdr:cNvPr id="253" name="TextBox 252">
          <a:extLst>
            <a:ext uri="{FF2B5EF4-FFF2-40B4-BE49-F238E27FC236}">
              <a16:creationId xmlns:a16="http://schemas.microsoft.com/office/drawing/2014/main" id="{00000000-0008-0000-0100-0000FD00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254" name="TextBox 253">
          <a:extLst>
            <a:ext uri="{FF2B5EF4-FFF2-40B4-BE49-F238E27FC236}">
              <a16:creationId xmlns:a16="http://schemas.microsoft.com/office/drawing/2014/main" id="{00000000-0008-0000-0100-0000FE00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5961" cy="1731221"/>
    <xdr:sp macro="" textlink="">
      <xdr:nvSpPr>
        <xdr:cNvPr id="255" name="TextBox 254">
          <a:extLst>
            <a:ext uri="{FF2B5EF4-FFF2-40B4-BE49-F238E27FC236}">
              <a16:creationId xmlns:a16="http://schemas.microsoft.com/office/drawing/2014/main" id="{00000000-0008-0000-0100-0000FF00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256" name="TextBox 255">
          <a:extLst>
            <a:ext uri="{FF2B5EF4-FFF2-40B4-BE49-F238E27FC236}">
              <a16:creationId xmlns:a16="http://schemas.microsoft.com/office/drawing/2014/main" id="{00000000-0008-0000-0100-000000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4833" cy="1662119"/>
    <xdr:sp macro="" textlink="">
      <xdr:nvSpPr>
        <xdr:cNvPr id="257" name="TextBox 256">
          <a:extLst>
            <a:ext uri="{FF2B5EF4-FFF2-40B4-BE49-F238E27FC236}">
              <a16:creationId xmlns:a16="http://schemas.microsoft.com/office/drawing/2014/main" id="{00000000-0008-0000-0100-000001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510" cy="1731221"/>
    <xdr:sp macro="" textlink="">
      <xdr:nvSpPr>
        <xdr:cNvPr id="258" name="TextBox 257">
          <a:extLst>
            <a:ext uri="{FF2B5EF4-FFF2-40B4-BE49-F238E27FC236}">
              <a16:creationId xmlns:a16="http://schemas.microsoft.com/office/drawing/2014/main" id="{00000000-0008-0000-0100-000002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10" cy="1662119"/>
    <xdr:sp macro="" textlink="">
      <xdr:nvSpPr>
        <xdr:cNvPr id="259" name="TextBox 258">
          <a:extLst>
            <a:ext uri="{FF2B5EF4-FFF2-40B4-BE49-F238E27FC236}">
              <a16:creationId xmlns:a16="http://schemas.microsoft.com/office/drawing/2014/main" id="{00000000-0008-0000-0100-000003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877" cy="1662343"/>
    <xdr:sp macro="" textlink="">
      <xdr:nvSpPr>
        <xdr:cNvPr id="260" name="TextBox 259">
          <a:extLst>
            <a:ext uri="{FF2B5EF4-FFF2-40B4-BE49-F238E27FC236}">
              <a16:creationId xmlns:a16="http://schemas.microsoft.com/office/drawing/2014/main" id="{00000000-0008-0000-0100-000004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82510" cy="1662343"/>
    <xdr:sp macro="" textlink="">
      <xdr:nvSpPr>
        <xdr:cNvPr id="261" name="TextBox 260">
          <a:extLst>
            <a:ext uri="{FF2B5EF4-FFF2-40B4-BE49-F238E27FC236}">
              <a16:creationId xmlns:a16="http://schemas.microsoft.com/office/drawing/2014/main" id="{00000000-0008-0000-0100-000005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961" cy="1662343"/>
    <xdr:sp macro="" textlink="">
      <xdr:nvSpPr>
        <xdr:cNvPr id="262" name="TextBox 261">
          <a:extLst>
            <a:ext uri="{FF2B5EF4-FFF2-40B4-BE49-F238E27FC236}">
              <a16:creationId xmlns:a16="http://schemas.microsoft.com/office/drawing/2014/main" id="{00000000-0008-0000-0100-000006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934"/>
    <xdr:sp macro="" textlink="">
      <xdr:nvSpPr>
        <xdr:cNvPr id="263" name="TextBox 262">
          <a:extLst>
            <a:ext uri="{FF2B5EF4-FFF2-40B4-BE49-F238E27FC236}">
              <a16:creationId xmlns:a16="http://schemas.microsoft.com/office/drawing/2014/main" id="{00000000-0008-0000-0100-000007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2128" cy="1742770"/>
    <xdr:sp macro="" textlink="">
      <xdr:nvSpPr>
        <xdr:cNvPr id="264" name="TextBox 263">
          <a:extLst>
            <a:ext uri="{FF2B5EF4-FFF2-40B4-BE49-F238E27FC236}">
              <a16:creationId xmlns:a16="http://schemas.microsoft.com/office/drawing/2014/main" id="{00000000-0008-0000-0100-000008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831"/>
    <xdr:sp macro="" textlink="">
      <xdr:nvSpPr>
        <xdr:cNvPr id="265" name="TextBox 264">
          <a:extLst>
            <a:ext uri="{FF2B5EF4-FFF2-40B4-BE49-F238E27FC236}">
              <a16:creationId xmlns:a16="http://schemas.microsoft.com/office/drawing/2014/main" id="{00000000-0008-0000-0100-000009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5023"/>
    <xdr:sp macro="" textlink="">
      <xdr:nvSpPr>
        <xdr:cNvPr id="266" name="TextBox 265">
          <a:extLst>
            <a:ext uri="{FF2B5EF4-FFF2-40B4-BE49-F238E27FC236}">
              <a16:creationId xmlns:a16="http://schemas.microsoft.com/office/drawing/2014/main" id="{00000000-0008-0000-0100-00000A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837" cy="1717993"/>
    <xdr:sp macro="" textlink="">
      <xdr:nvSpPr>
        <xdr:cNvPr id="267" name="TextBox 266">
          <a:extLst>
            <a:ext uri="{FF2B5EF4-FFF2-40B4-BE49-F238E27FC236}">
              <a16:creationId xmlns:a16="http://schemas.microsoft.com/office/drawing/2014/main" id="{00000000-0008-0000-0100-00000B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4935"/>
    <xdr:sp macro="" textlink="">
      <xdr:nvSpPr>
        <xdr:cNvPr id="268" name="TextBox 267">
          <a:extLst>
            <a:ext uri="{FF2B5EF4-FFF2-40B4-BE49-F238E27FC236}">
              <a16:creationId xmlns:a16="http://schemas.microsoft.com/office/drawing/2014/main" id="{00000000-0008-0000-0100-00000C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4773" cy="1434935"/>
    <xdr:sp macro="" textlink="">
      <xdr:nvSpPr>
        <xdr:cNvPr id="269" name="TextBox 268">
          <a:extLst>
            <a:ext uri="{FF2B5EF4-FFF2-40B4-BE49-F238E27FC236}">
              <a16:creationId xmlns:a16="http://schemas.microsoft.com/office/drawing/2014/main" id="{00000000-0008-0000-0100-00000D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270" name="TextBox 269">
          <a:extLst>
            <a:ext uri="{FF2B5EF4-FFF2-40B4-BE49-F238E27FC236}">
              <a16:creationId xmlns:a16="http://schemas.microsoft.com/office/drawing/2014/main" id="{00000000-0008-0000-0100-00000E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271" name="TextBox 270">
          <a:extLst>
            <a:ext uri="{FF2B5EF4-FFF2-40B4-BE49-F238E27FC236}">
              <a16:creationId xmlns:a16="http://schemas.microsoft.com/office/drawing/2014/main" id="{00000000-0008-0000-0100-00000F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272" name="TextBox 271">
          <a:extLst>
            <a:ext uri="{FF2B5EF4-FFF2-40B4-BE49-F238E27FC236}">
              <a16:creationId xmlns:a16="http://schemas.microsoft.com/office/drawing/2014/main" id="{00000000-0008-0000-0100-000010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273" name="TextBox 272">
          <a:extLst>
            <a:ext uri="{FF2B5EF4-FFF2-40B4-BE49-F238E27FC236}">
              <a16:creationId xmlns:a16="http://schemas.microsoft.com/office/drawing/2014/main" id="{00000000-0008-0000-0100-000011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274" name="TextBox 273">
          <a:extLst>
            <a:ext uri="{FF2B5EF4-FFF2-40B4-BE49-F238E27FC236}">
              <a16:creationId xmlns:a16="http://schemas.microsoft.com/office/drawing/2014/main" id="{00000000-0008-0000-0100-000012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275" name="TextBox 274">
          <a:extLst>
            <a:ext uri="{FF2B5EF4-FFF2-40B4-BE49-F238E27FC236}">
              <a16:creationId xmlns:a16="http://schemas.microsoft.com/office/drawing/2014/main" id="{00000000-0008-0000-0100-000013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276" name="TextBox 275">
          <a:extLst>
            <a:ext uri="{FF2B5EF4-FFF2-40B4-BE49-F238E27FC236}">
              <a16:creationId xmlns:a16="http://schemas.microsoft.com/office/drawing/2014/main" id="{00000000-0008-0000-0100-000014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277" name="TextBox 276">
          <a:extLst>
            <a:ext uri="{FF2B5EF4-FFF2-40B4-BE49-F238E27FC236}">
              <a16:creationId xmlns:a16="http://schemas.microsoft.com/office/drawing/2014/main" id="{00000000-0008-0000-0100-000015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757028" cy="1746347"/>
    <xdr:sp macro="" textlink="">
      <xdr:nvSpPr>
        <xdr:cNvPr id="278" name="TextBox 277">
          <a:extLst>
            <a:ext uri="{FF2B5EF4-FFF2-40B4-BE49-F238E27FC236}">
              <a16:creationId xmlns:a16="http://schemas.microsoft.com/office/drawing/2014/main" id="{00000000-0008-0000-0100-000016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757028" cy="1661857"/>
    <xdr:sp macro="" textlink="">
      <xdr:nvSpPr>
        <xdr:cNvPr id="279" name="TextBox 278">
          <a:extLst>
            <a:ext uri="{FF2B5EF4-FFF2-40B4-BE49-F238E27FC236}">
              <a16:creationId xmlns:a16="http://schemas.microsoft.com/office/drawing/2014/main" id="{00000000-0008-0000-0100-000017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0178" cy="1661857"/>
    <xdr:sp macro="" textlink="">
      <xdr:nvSpPr>
        <xdr:cNvPr id="280" name="TextBox 279">
          <a:extLst>
            <a:ext uri="{FF2B5EF4-FFF2-40B4-BE49-F238E27FC236}">
              <a16:creationId xmlns:a16="http://schemas.microsoft.com/office/drawing/2014/main" id="{00000000-0008-0000-0100-000018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9642" cy="1678802"/>
    <xdr:sp macro="" textlink="">
      <xdr:nvSpPr>
        <xdr:cNvPr id="281" name="TextBox 280">
          <a:extLst>
            <a:ext uri="{FF2B5EF4-FFF2-40B4-BE49-F238E27FC236}">
              <a16:creationId xmlns:a16="http://schemas.microsoft.com/office/drawing/2014/main" id="{00000000-0008-0000-0100-000019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419"/>
    <xdr:sp macro="" textlink="">
      <xdr:nvSpPr>
        <xdr:cNvPr id="282" name="TextBox 281">
          <a:extLst>
            <a:ext uri="{FF2B5EF4-FFF2-40B4-BE49-F238E27FC236}">
              <a16:creationId xmlns:a16="http://schemas.microsoft.com/office/drawing/2014/main" id="{00000000-0008-0000-0100-00001A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0582" cy="1759058"/>
    <xdr:sp macro="" textlink="">
      <xdr:nvSpPr>
        <xdr:cNvPr id="283" name="TextBox 282">
          <a:extLst>
            <a:ext uri="{FF2B5EF4-FFF2-40B4-BE49-F238E27FC236}">
              <a16:creationId xmlns:a16="http://schemas.microsoft.com/office/drawing/2014/main" id="{00000000-0008-0000-0100-00001B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316"/>
    <xdr:sp macro="" textlink="">
      <xdr:nvSpPr>
        <xdr:cNvPr id="284" name="TextBox 283">
          <a:extLst>
            <a:ext uri="{FF2B5EF4-FFF2-40B4-BE49-F238E27FC236}">
              <a16:creationId xmlns:a16="http://schemas.microsoft.com/office/drawing/2014/main" id="{00000000-0008-0000-0100-00001C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21" cy="1650316"/>
    <xdr:sp macro="" textlink="">
      <xdr:nvSpPr>
        <xdr:cNvPr id="285" name="TextBox 284">
          <a:extLst>
            <a:ext uri="{FF2B5EF4-FFF2-40B4-BE49-F238E27FC236}">
              <a16:creationId xmlns:a16="http://schemas.microsoft.com/office/drawing/2014/main" id="{00000000-0008-0000-0100-00001D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286" name="TextBox 285">
          <a:extLst>
            <a:ext uri="{FF2B5EF4-FFF2-40B4-BE49-F238E27FC236}">
              <a16:creationId xmlns:a16="http://schemas.microsoft.com/office/drawing/2014/main" id="{00000000-0008-0000-0100-00001E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287" name="TextBox 286">
          <a:extLst>
            <a:ext uri="{FF2B5EF4-FFF2-40B4-BE49-F238E27FC236}">
              <a16:creationId xmlns:a16="http://schemas.microsoft.com/office/drawing/2014/main" id="{00000000-0008-0000-0100-00001F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288" name="TextBox 287">
          <a:extLst>
            <a:ext uri="{FF2B5EF4-FFF2-40B4-BE49-F238E27FC236}">
              <a16:creationId xmlns:a16="http://schemas.microsoft.com/office/drawing/2014/main" id="{00000000-0008-0000-0100-000020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2021"/>
    <xdr:sp macro="" textlink="">
      <xdr:nvSpPr>
        <xdr:cNvPr id="289" name="TextBox 288">
          <a:extLst>
            <a:ext uri="{FF2B5EF4-FFF2-40B4-BE49-F238E27FC236}">
              <a16:creationId xmlns:a16="http://schemas.microsoft.com/office/drawing/2014/main" id="{00000000-0008-0000-0100-000021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966" cy="1748948"/>
    <xdr:sp macro="" textlink="">
      <xdr:nvSpPr>
        <xdr:cNvPr id="290" name="TextBox 289">
          <a:extLst>
            <a:ext uri="{FF2B5EF4-FFF2-40B4-BE49-F238E27FC236}">
              <a16:creationId xmlns:a16="http://schemas.microsoft.com/office/drawing/2014/main" id="{00000000-0008-0000-0100-000022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1918"/>
    <xdr:sp macro="" textlink="">
      <xdr:nvSpPr>
        <xdr:cNvPr id="291" name="TextBox 290">
          <a:extLst>
            <a:ext uri="{FF2B5EF4-FFF2-40B4-BE49-F238E27FC236}">
              <a16:creationId xmlns:a16="http://schemas.microsoft.com/office/drawing/2014/main" id="{00000000-0008-0000-0100-000023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5265" cy="1661918"/>
    <xdr:sp macro="" textlink="">
      <xdr:nvSpPr>
        <xdr:cNvPr id="292" name="TextBox 291">
          <a:extLst>
            <a:ext uri="{FF2B5EF4-FFF2-40B4-BE49-F238E27FC236}">
              <a16:creationId xmlns:a16="http://schemas.microsoft.com/office/drawing/2014/main" id="{00000000-0008-0000-0100-000024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945" cy="1661918"/>
    <xdr:sp macro="" textlink="">
      <xdr:nvSpPr>
        <xdr:cNvPr id="293" name="TextBox 292">
          <a:extLst>
            <a:ext uri="{FF2B5EF4-FFF2-40B4-BE49-F238E27FC236}">
              <a16:creationId xmlns:a16="http://schemas.microsoft.com/office/drawing/2014/main" id="{00000000-0008-0000-0100-000025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2021"/>
    <xdr:sp macro="" textlink="">
      <xdr:nvSpPr>
        <xdr:cNvPr id="294" name="TextBox 293">
          <a:extLst>
            <a:ext uri="{FF2B5EF4-FFF2-40B4-BE49-F238E27FC236}">
              <a16:creationId xmlns:a16="http://schemas.microsoft.com/office/drawing/2014/main" id="{00000000-0008-0000-0100-000026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3095" cy="1748948"/>
    <xdr:sp macro="" textlink="">
      <xdr:nvSpPr>
        <xdr:cNvPr id="295" name="TextBox 294">
          <a:extLst>
            <a:ext uri="{FF2B5EF4-FFF2-40B4-BE49-F238E27FC236}">
              <a16:creationId xmlns:a16="http://schemas.microsoft.com/office/drawing/2014/main" id="{00000000-0008-0000-0100-000027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1918"/>
    <xdr:sp macro="" textlink="">
      <xdr:nvSpPr>
        <xdr:cNvPr id="296" name="TextBox 295">
          <a:extLst>
            <a:ext uri="{FF2B5EF4-FFF2-40B4-BE49-F238E27FC236}">
              <a16:creationId xmlns:a16="http://schemas.microsoft.com/office/drawing/2014/main" id="{00000000-0008-0000-0100-000028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297" name="TextBox 296">
          <a:extLst>
            <a:ext uri="{FF2B5EF4-FFF2-40B4-BE49-F238E27FC236}">
              <a16:creationId xmlns:a16="http://schemas.microsoft.com/office/drawing/2014/main" id="{00000000-0008-0000-0100-000029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021" cy="1746584"/>
    <xdr:sp macro="" textlink="">
      <xdr:nvSpPr>
        <xdr:cNvPr id="298" name="TextBox 297">
          <a:extLst>
            <a:ext uri="{FF2B5EF4-FFF2-40B4-BE49-F238E27FC236}">
              <a16:creationId xmlns:a16="http://schemas.microsoft.com/office/drawing/2014/main" id="{00000000-0008-0000-0100-00002A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021" cy="1661918"/>
    <xdr:sp macro="" textlink="">
      <xdr:nvSpPr>
        <xdr:cNvPr id="299" name="TextBox 298">
          <a:extLst>
            <a:ext uri="{FF2B5EF4-FFF2-40B4-BE49-F238E27FC236}">
              <a16:creationId xmlns:a16="http://schemas.microsoft.com/office/drawing/2014/main" id="{00000000-0008-0000-0100-00002B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00147" cy="1661918"/>
    <xdr:sp macro="" textlink="">
      <xdr:nvSpPr>
        <xdr:cNvPr id="300" name="TextBox 299">
          <a:extLst>
            <a:ext uri="{FF2B5EF4-FFF2-40B4-BE49-F238E27FC236}">
              <a16:creationId xmlns:a16="http://schemas.microsoft.com/office/drawing/2014/main" id="{00000000-0008-0000-0100-00002C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592" cy="1661918"/>
    <xdr:sp macro="" textlink="">
      <xdr:nvSpPr>
        <xdr:cNvPr id="301" name="TextBox 300">
          <a:extLst>
            <a:ext uri="{FF2B5EF4-FFF2-40B4-BE49-F238E27FC236}">
              <a16:creationId xmlns:a16="http://schemas.microsoft.com/office/drawing/2014/main" id="{00000000-0008-0000-0100-00002D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106" cy="1746584"/>
    <xdr:sp macro="" textlink="">
      <xdr:nvSpPr>
        <xdr:cNvPr id="302" name="TextBox 301">
          <a:extLst>
            <a:ext uri="{FF2B5EF4-FFF2-40B4-BE49-F238E27FC236}">
              <a16:creationId xmlns:a16="http://schemas.microsoft.com/office/drawing/2014/main" id="{00000000-0008-0000-0100-00002E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106" cy="1661918"/>
    <xdr:sp macro="" textlink="">
      <xdr:nvSpPr>
        <xdr:cNvPr id="303" name="TextBox 302">
          <a:extLst>
            <a:ext uri="{FF2B5EF4-FFF2-40B4-BE49-F238E27FC236}">
              <a16:creationId xmlns:a16="http://schemas.microsoft.com/office/drawing/2014/main" id="{00000000-0008-0000-0100-00002F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304" name="TextBox 303">
          <a:extLst>
            <a:ext uri="{FF2B5EF4-FFF2-40B4-BE49-F238E27FC236}">
              <a16:creationId xmlns:a16="http://schemas.microsoft.com/office/drawing/2014/main" id="{00000000-0008-0000-0100-000030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305" name="TextBox 304">
          <a:extLst>
            <a:ext uri="{FF2B5EF4-FFF2-40B4-BE49-F238E27FC236}">
              <a16:creationId xmlns:a16="http://schemas.microsoft.com/office/drawing/2014/main" id="{00000000-0008-0000-0100-000031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83569"/>
    <xdr:sp macro="" textlink="">
      <xdr:nvSpPr>
        <xdr:cNvPr id="306" name="TextBox 305">
          <a:extLst>
            <a:ext uri="{FF2B5EF4-FFF2-40B4-BE49-F238E27FC236}">
              <a16:creationId xmlns:a16="http://schemas.microsoft.com/office/drawing/2014/main" id="{00000000-0008-0000-0100-00003201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29844" cy="1744986"/>
    <xdr:sp macro="" textlink="">
      <xdr:nvSpPr>
        <xdr:cNvPr id="307" name="TextBox 306">
          <a:extLst>
            <a:ext uri="{FF2B5EF4-FFF2-40B4-BE49-F238E27FC236}">
              <a16:creationId xmlns:a16="http://schemas.microsoft.com/office/drawing/2014/main" id="{00000000-0008-0000-0100-00003301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76302"/>
    <xdr:sp macro="" textlink="">
      <xdr:nvSpPr>
        <xdr:cNvPr id="308" name="TextBox 307">
          <a:extLst>
            <a:ext uri="{FF2B5EF4-FFF2-40B4-BE49-F238E27FC236}">
              <a16:creationId xmlns:a16="http://schemas.microsoft.com/office/drawing/2014/main" id="{00000000-0008-0000-0100-00003401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309" name="TextBox 308">
          <a:extLst>
            <a:ext uri="{FF2B5EF4-FFF2-40B4-BE49-F238E27FC236}">
              <a16:creationId xmlns:a16="http://schemas.microsoft.com/office/drawing/2014/main" id="{00000000-0008-0000-0100-000035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843" cy="1742629"/>
    <xdr:sp macro="" textlink="">
      <xdr:nvSpPr>
        <xdr:cNvPr id="310" name="TextBox 309">
          <a:extLst>
            <a:ext uri="{FF2B5EF4-FFF2-40B4-BE49-F238E27FC236}">
              <a16:creationId xmlns:a16="http://schemas.microsoft.com/office/drawing/2014/main" id="{00000000-0008-0000-0100-00003601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843" cy="1676302"/>
    <xdr:sp macro="" textlink="">
      <xdr:nvSpPr>
        <xdr:cNvPr id="311" name="TextBox 310">
          <a:extLst>
            <a:ext uri="{FF2B5EF4-FFF2-40B4-BE49-F238E27FC236}">
              <a16:creationId xmlns:a16="http://schemas.microsoft.com/office/drawing/2014/main" id="{00000000-0008-0000-0100-00003701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312" name="TextBox 311">
          <a:extLst>
            <a:ext uri="{FF2B5EF4-FFF2-40B4-BE49-F238E27FC236}">
              <a16:creationId xmlns:a16="http://schemas.microsoft.com/office/drawing/2014/main" id="{00000000-0008-0000-0100-000038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313" name="TextBox 312">
          <a:extLst>
            <a:ext uri="{FF2B5EF4-FFF2-40B4-BE49-F238E27FC236}">
              <a16:creationId xmlns:a16="http://schemas.microsoft.com/office/drawing/2014/main" id="{00000000-0008-0000-0100-000039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314" name="TextBox 313">
          <a:extLst>
            <a:ext uri="{FF2B5EF4-FFF2-40B4-BE49-F238E27FC236}">
              <a16:creationId xmlns:a16="http://schemas.microsoft.com/office/drawing/2014/main" id="{00000000-0008-0000-0100-00003A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1363" cy="1676302"/>
    <xdr:sp macro="" textlink="">
      <xdr:nvSpPr>
        <xdr:cNvPr id="315" name="TextBox 314">
          <a:extLst>
            <a:ext uri="{FF2B5EF4-FFF2-40B4-BE49-F238E27FC236}">
              <a16:creationId xmlns:a16="http://schemas.microsoft.com/office/drawing/2014/main" id="{00000000-0008-0000-0100-00003B01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445197" cy="1676302"/>
    <xdr:sp macro="" textlink="">
      <xdr:nvSpPr>
        <xdr:cNvPr id="316" name="TextBox 315">
          <a:extLst>
            <a:ext uri="{FF2B5EF4-FFF2-40B4-BE49-F238E27FC236}">
              <a16:creationId xmlns:a16="http://schemas.microsoft.com/office/drawing/2014/main" id="{00000000-0008-0000-0100-00003C01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317" name="TextBox 316">
          <a:extLst>
            <a:ext uri="{FF2B5EF4-FFF2-40B4-BE49-F238E27FC236}">
              <a16:creationId xmlns:a16="http://schemas.microsoft.com/office/drawing/2014/main" id="{00000000-0008-0000-0100-00003D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318" name="TextBox 317">
          <a:extLst>
            <a:ext uri="{FF2B5EF4-FFF2-40B4-BE49-F238E27FC236}">
              <a16:creationId xmlns:a16="http://schemas.microsoft.com/office/drawing/2014/main" id="{00000000-0008-0000-0100-00003E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843" cy="1776039"/>
    <xdr:sp macro="" textlink="">
      <xdr:nvSpPr>
        <xdr:cNvPr id="319" name="TextBox 318">
          <a:extLst>
            <a:ext uri="{FF2B5EF4-FFF2-40B4-BE49-F238E27FC236}">
              <a16:creationId xmlns:a16="http://schemas.microsoft.com/office/drawing/2014/main" id="{00000000-0008-0000-0100-00003F01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320" name="TextBox 319">
          <a:extLst>
            <a:ext uri="{FF2B5EF4-FFF2-40B4-BE49-F238E27FC236}">
              <a16:creationId xmlns:a16="http://schemas.microsoft.com/office/drawing/2014/main" id="{00000000-0008-0000-0100-000040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321" name="TextBox 320">
          <a:extLst>
            <a:ext uri="{FF2B5EF4-FFF2-40B4-BE49-F238E27FC236}">
              <a16:creationId xmlns:a16="http://schemas.microsoft.com/office/drawing/2014/main" id="{00000000-0008-0000-0100-000041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620421"/>
    <xdr:sp macro="" textlink="">
      <xdr:nvSpPr>
        <xdr:cNvPr id="322" name="TextBox 321">
          <a:extLst>
            <a:ext uri="{FF2B5EF4-FFF2-40B4-BE49-F238E27FC236}">
              <a16:creationId xmlns:a16="http://schemas.microsoft.com/office/drawing/2014/main" id="{00000000-0008-0000-0100-00004201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5226" cy="1842257"/>
    <xdr:sp macro="" textlink="">
      <xdr:nvSpPr>
        <xdr:cNvPr id="323" name="TextBox 322">
          <a:extLst>
            <a:ext uri="{FF2B5EF4-FFF2-40B4-BE49-F238E27FC236}">
              <a16:creationId xmlns:a16="http://schemas.microsoft.com/office/drawing/2014/main" id="{00000000-0008-0000-0100-00004301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587258"/>
    <xdr:sp macro="" textlink="">
      <xdr:nvSpPr>
        <xdr:cNvPr id="324" name="TextBox 323">
          <a:extLst>
            <a:ext uri="{FF2B5EF4-FFF2-40B4-BE49-F238E27FC236}">
              <a16:creationId xmlns:a16="http://schemas.microsoft.com/office/drawing/2014/main" id="{00000000-0008-0000-0100-00004401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932" cy="1587258"/>
    <xdr:sp macro="" textlink="">
      <xdr:nvSpPr>
        <xdr:cNvPr id="325" name="TextBox 324">
          <a:extLst>
            <a:ext uri="{FF2B5EF4-FFF2-40B4-BE49-F238E27FC236}">
              <a16:creationId xmlns:a16="http://schemas.microsoft.com/office/drawing/2014/main" id="{00000000-0008-0000-0100-00004501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326" name="TextBox 325">
          <a:extLst>
            <a:ext uri="{FF2B5EF4-FFF2-40B4-BE49-F238E27FC236}">
              <a16:creationId xmlns:a16="http://schemas.microsoft.com/office/drawing/2014/main" id="{00000000-0008-0000-0100-000046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327" name="TextBox 326">
          <a:extLst>
            <a:ext uri="{FF2B5EF4-FFF2-40B4-BE49-F238E27FC236}">
              <a16:creationId xmlns:a16="http://schemas.microsoft.com/office/drawing/2014/main" id="{00000000-0008-0000-0100-000047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593" cy="1587258"/>
    <xdr:sp macro="" textlink="">
      <xdr:nvSpPr>
        <xdr:cNvPr id="328" name="TextBox 327">
          <a:extLst>
            <a:ext uri="{FF2B5EF4-FFF2-40B4-BE49-F238E27FC236}">
              <a16:creationId xmlns:a16="http://schemas.microsoft.com/office/drawing/2014/main" id="{00000000-0008-0000-0100-00004801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8203" cy="1587258"/>
    <xdr:sp macro="" textlink="">
      <xdr:nvSpPr>
        <xdr:cNvPr id="329" name="TextBox 328">
          <a:extLst>
            <a:ext uri="{FF2B5EF4-FFF2-40B4-BE49-F238E27FC236}">
              <a16:creationId xmlns:a16="http://schemas.microsoft.com/office/drawing/2014/main" id="{00000000-0008-0000-0100-00004901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330" name="TextBox 329">
          <a:extLst>
            <a:ext uri="{FF2B5EF4-FFF2-40B4-BE49-F238E27FC236}">
              <a16:creationId xmlns:a16="http://schemas.microsoft.com/office/drawing/2014/main" id="{00000000-0008-0000-0100-00004A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331" name="TextBox 330">
          <a:extLst>
            <a:ext uri="{FF2B5EF4-FFF2-40B4-BE49-F238E27FC236}">
              <a16:creationId xmlns:a16="http://schemas.microsoft.com/office/drawing/2014/main" id="{00000000-0008-0000-0100-00004B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332" name="TextBox 331">
          <a:extLst>
            <a:ext uri="{FF2B5EF4-FFF2-40B4-BE49-F238E27FC236}">
              <a16:creationId xmlns:a16="http://schemas.microsoft.com/office/drawing/2014/main" id="{00000000-0008-0000-0100-00004C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333" name="TextBox 332">
          <a:extLst>
            <a:ext uri="{FF2B5EF4-FFF2-40B4-BE49-F238E27FC236}">
              <a16:creationId xmlns:a16="http://schemas.microsoft.com/office/drawing/2014/main" id="{00000000-0008-0000-0100-00004D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222"/>
    <xdr:sp macro="" textlink="">
      <xdr:nvSpPr>
        <xdr:cNvPr id="334" name="TextBox 333">
          <a:extLst>
            <a:ext uri="{FF2B5EF4-FFF2-40B4-BE49-F238E27FC236}">
              <a16:creationId xmlns:a16="http://schemas.microsoft.com/office/drawing/2014/main" id="{00000000-0008-0000-0100-00004E01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635145" cy="1748771"/>
    <xdr:sp macro="" textlink="">
      <xdr:nvSpPr>
        <xdr:cNvPr id="335" name="TextBox 334">
          <a:extLst>
            <a:ext uri="{FF2B5EF4-FFF2-40B4-BE49-F238E27FC236}">
              <a16:creationId xmlns:a16="http://schemas.microsoft.com/office/drawing/2014/main" id="{00000000-0008-0000-0100-00004F01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119"/>
    <xdr:sp macro="" textlink="">
      <xdr:nvSpPr>
        <xdr:cNvPr id="336" name="TextBox 335">
          <a:extLst>
            <a:ext uri="{FF2B5EF4-FFF2-40B4-BE49-F238E27FC236}">
              <a16:creationId xmlns:a16="http://schemas.microsoft.com/office/drawing/2014/main" id="{00000000-0008-0000-0100-00005001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114" cy="1662119"/>
    <xdr:sp macro="" textlink="">
      <xdr:nvSpPr>
        <xdr:cNvPr id="337" name="TextBox 336">
          <a:extLst>
            <a:ext uri="{FF2B5EF4-FFF2-40B4-BE49-F238E27FC236}">
              <a16:creationId xmlns:a16="http://schemas.microsoft.com/office/drawing/2014/main" id="{00000000-0008-0000-0100-00005101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426" cy="1731221"/>
    <xdr:sp macro="" textlink="">
      <xdr:nvSpPr>
        <xdr:cNvPr id="338" name="TextBox 337">
          <a:extLst>
            <a:ext uri="{FF2B5EF4-FFF2-40B4-BE49-F238E27FC236}">
              <a16:creationId xmlns:a16="http://schemas.microsoft.com/office/drawing/2014/main" id="{00000000-0008-0000-0100-00005201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426" cy="1662119"/>
    <xdr:sp macro="" textlink="">
      <xdr:nvSpPr>
        <xdr:cNvPr id="339" name="TextBox 338">
          <a:extLst>
            <a:ext uri="{FF2B5EF4-FFF2-40B4-BE49-F238E27FC236}">
              <a16:creationId xmlns:a16="http://schemas.microsoft.com/office/drawing/2014/main" id="{00000000-0008-0000-0100-00005301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340" name="TextBox 339">
          <a:extLst>
            <a:ext uri="{FF2B5EF4-FFF2-40B4-BE49-F238E27FC236}">
              <a16:creationId xmlns:a16="http://schemas.microsoft.com/office/drawing/2014/main" id="{00000000-0008-0000-0100-000054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5961" cy="1731221"/>
    <xdr:sp macro="" textlink="">
      <xdr:nvSpPr>
        <xdr:cNvPr id="341" name="TextBox 340">
          <a:extLst>
            <a:ext uri="{FF2B5EF4-FFF2-40B4-BE49-F238E27FC236}">
              <a16:creationId xmlns:a16="http://schemas.microsoft.com/office/drawing/2014/main" id="{00000000-0008-0000-0100-00005501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342" name="TextBox 341">
          <a:extLst>
            <a:ext uri="{FF2B5EF4-FFF2-40B4-BE49-F238E27FC236}">
              <a16:creationId xmlns:a16="http://schemas.microsoft.com/office/drawing/2014/main" id="{00000000-0008-0000-0100-000056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4833" cy="1662119"/>
    <xdr:sp macro="" textlink="">
      <xdr:nvSpPr>
        <xdr:cNvPr id="343" name="TextBox 342">
          <a:extLst>
            <a:ext uri="{FF2B5EF4-FFF2-40B4-BE49-F238E27FC236}">
              <a16:creationId xmlns:a16="http://schemas.microsoft.com/office/drawing/2014/main" id="{00000000-0008-0000-0100-000057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510" cy="1731221"/>
    <xdr:sp macro="" textlink="">
      <xdr:nvSpPr>
        <xdr:cNvPr id="344" name="TextBox 343">
          <a:extLst>
            <a:ext uri="{FF2B5EF4-FFF2-40B4-BE49-F238E27FC236}">
              <a16:creationId xmlns:a16="http://schemas.microsoft.com/office/drawing/2014/main" id="{00000000-0008-0000-0100-000058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10" cy="1662119"/>
    <xdr:sp macro="" textlink="">
      <xdr:nvSpPr>
        <xdr:cNvPr id="345" name="TextBox 344">
          <a:extLst>
            <a:ext uri="{FF2B5EF4-FFF2-40B4-BE49-F238E27FC236}">
              <a16:creationId xmlns:a16="http://schemas.microsoft.com/office/drawing/2014/main" id="{00000000-0008-0000-0100-000059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877" cy="1662343"/>
    <xdr:sp macro="" textlink="">
      <xdr:nvSpPr>
        <xdr:cNvPr id="346" name="TextBox 345">
          <a:extLst>
            <a:ext uri="{FF2B5EF4-FFF2-40B4-BE49-F238E27FC236}">
              <a16:creationId xmlns:a16="http://schemas.microsoft.com/office/drawing/2014/main" id="{00000000-0008-0000-0100-00005A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82510" cy="1662343"/>
    <xdr:sp macro="" textlink="">
      <xdr:nvSpPr>
        <xdr:cNvPr id="347" name="TextBox 346">
          <a:extLst>
            <a:ext uri="{FF2B5EF4-FFF2-40B4-BE49-F238E27FC236}">
              <a16:creationId xmlns:a16="http://schemas.microsoft.com/office/drawing/2014/main" id="{00000000-0008-0000-0100-00005B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961" cy="1662343"/>
    <xdr:sp macro="" textlink="">
      <xdr:nvSpPr>
        <xdr:cNvPr id="348" name="TextBox 347">
          <a:extLst>
            <a:ext uri="{FF2B5EF4-FFF2-40B4-BE49-F238E27FC236}">
              <a16:creationId xmlns:a16="http://schemas.microsoft.com/office/drawing/2014/main" id="{00000000-0008-0000-0100-00005C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934"/>
    <xdr:sp macro="" textlink="">
      <xdr:nvSpPr>
        <xdr:cNvPr id="349" name="TextBox 348">
          <a:extLst>
            <a:ext uri="{FF2B5EF4-FFF2-40B4-BE49-F238E27FC236}">
              <a16:creationId xmlns:a16="http://schemas.microsoft.com/office/drawing/2014/main" id="{00000000-0008-0000-0100-00005D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2128" cy="1742770"/>
    <xdr:sp macro="" textlink="">
      <xdr:nvSpPr>
        <xdr:cNvPr id="350" name="TextBox 349">
          <a:extLst>
            <a:ext uri="{FF2B5EF4-FFF2-40B4-BE49-F238E27FC236}">
              <a16:creationId xmlns:a16="http://schemas.microsoft.com/office/drawing/2014/main" id="{00000000-0008-0000-0100-00005E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831"/>
    <xdr:sp macro="" textlink="">
      <xdr:nvSpPr>
        <xdr:cNvPr id="351" name="TextBox 350">
          <a:extLst>
            <a:ext uri="{FF2B5EF4-FFF2-40B4-BE49-F238E27FC236}">
              <a16:creationId xmlns:a16="http://schemas.microsoft.com/office/drawing/2014/main" id="{00000000-0008-0000-0100-00005F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5023"/>
    <xdr:sp macro="" textlink="">
      <xdr:nvSpPr>
        <xdr:cNvPr id="352" name="TextBox 351">
          <a:extLst>
            <a:ext uri="{FF2B5EF4-FFF2-40B4-BE49-F238E27FC236}">
              <a16:creationId xmlns:a16="http://schemas.microsoft.com/office/drawing/2014/main" id="{00000000-0008-0000-0100-000060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837" cy="1717993"/>
    <xdr:sp macro="" textlink="">
      <xdr:nvSpPr>
        <xdr:cNvPr id="353" name="TextBox 352">
          <a:extLst>
            <a:ext uri="{FF2B5EF4-FFF2-40B4-BE49-F238E27FC236}">
              <a16:creationId xmlns:a16="http://schemas.microsoft.com/office/drawing/2014/main" id="{00000000-0008-0000-0100-000061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4935"/>
    <xdr:sp macro="" textlink="">
      <xdr:nvSpPr>
        <xdr:cNvPr id="354" name="TextBox 353">
          <a:extLst>
            <a:ext uri="{FF2B5EF4-FFF2-40B4-BE49-F238E27FC236}">
              <a16:creationId xmlns:a16="http://schemas.microsoft.com/office/drawing/2014/main" id="{00000000-0008-0000-0100-000062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356" name="TextBox 355">
          <a:extLst>
            <a:ext uri="{FF2B5EF4-FFF2-40B4-BE49-F238E27FC236}">
              <a16:creationId xmlns:a16="http://schemas.microsoft.com/office/drawing/2014/main" id="{00000000-0008-0000-0100-000064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357" name="TextBox 356">
          <a:extLst>
            <a:ext uri="{FF2B5EF4-FFF2-40B4-BE49-F238E27FC236}">
              <a16:creationId xmlns:a16="http://schemas.microsoft.com/office/drawing/2014/main" id="{00000000-0008-0000-0100-000065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358" name="TextBox 357">
          <a:extLst>
            <a:ext uri="{FF2B5EF4-FFF2-40B4-BE49-F238E27FC236}">
              <a16:creationId xmlns:a16="http://schemas.microsoft.com/office/drawing/2014/main" id="{00000000-0008-0000-0100-000066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359" name="TextBox 358">
          <a:extLst>
            <a:ext uri="{FF2B5EF4-FFF2-40B4-BE49-F238E27FC236}">
              <a16:creationId xmlns:a16="http://schemas.microsoft.com/office/drawing/2014/main" id="{00000000-0008-0000-0100-000067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360" name="TextBox 359">
          <a:extLst>
            <a:ext uri="{FF2B5EF4-FFF2-40B4-BE49-F238E27FC236}">
              <a16:creationId xmlns:a16="http://schemas.microsoft.com/office/drawing/2014/main" id="{00000000-0008-0000-0100-000068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361" name="TextBox 360">
          <a:extLst>
            <a:ext uri="{FF2B5EF4-FFF2-40B4-BE49-F238E27FC236}">
              <a16:creationId xmlns:a16="http://schemas.microsoft.com/office/drawing/2014/main" id="{00000000-0008-0000-0100-000069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362" name="TextBox 361">
          <a:extLst>
            <a:ext uri="{FF2B5EF4-FFF2-40B4-BE49-F238E27FC236}">
              <a16:creationId xmlns:a16="http://schemas.microsoft.com/office/drawing/2014/main" id="{00000000-0008-0000-0100-00006A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363" name="TextBox 362">
          <a:extLst>
            <a:ext uri="{FF2B5EF4-FFF2-40B4-BE49-F238E27FC236}">
              <a16:creationId xmlns:a16="http://schemas.microsoft.com/office/drawing/2014/main" id="{00000000-0008-0000-0100-00006B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757028" cy="1746347"/>
    <xdr:sp macro="" textlink="">
      <xdr:nvSpPr>
        <xdr:cNvPr id="364" name="TextBox 363">
          <a:extLst>
            <a:ext uri="{FF2B5EF4-FFF2-40B4-BE49-F238E27FC236}">
              <a16:creationId xmlns:a16="http://schemas.microsoft.com/office/drawing/2014/main" id="{00000000-0008-0000-0100-00006C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757028" cy="1661857"/>
    <xdr:sp macro="" textlink="">
      <xdr:nvSpPr>
        <xdr:cNvPr id="365" name="TextBox 364">
          <a:extLst>
            <a:ext uri="{FF2B5EF4-FFF2-40B4-BE49-F238E27FC236}">
              <a16:creationId xmlns:a16="http://schemas.microsoft.com/office/drawing/2014/main" id="{00000000-0008-0000-0100-00006D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0178" cy="1661857"/>
    <xdr:sp macro="" textlink="">
      <xdr:nvSpPr>
        <xdr:cNvPr id="366" name="TextBox 365">
          <a:extLst>
            <a:ext uri="{FF2B5EF4-FFF2-40B4-BE49-F238E27FC236}">
              <a16:creationId xmlns:a16="http://schemas.microsoft.com/office/drawing/2014/main" id="{00000000-0008-0000-0100-00006E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9642" cy="1678802"/>
    <xdr:sp macro="" textlink="">
      <xdr:nvSpPr>
        <xdr:cNvPr id="367" name="TextBox 366">
          <a:extLst>
            <a:ext uri="{FF2B5EF4-FFF2-40B4-BE49-F238E27FC236}">
              <a16:creationId xmlns:a16="http://schemas.microsoft.com/office/drawing/2014/main" id="{00000000-0008-0000-0100-00006F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419"/>
    <xdr:sp macro="" textlink="">
      <xdr:nvSpPr>
        <xdr:cNvPr id="368" name="TextBox 367">
          <a:extLst>
            <a:ext uri="{FF2B5EF4-FFF2-40B4-BE49-F238E27FC236}">
              <a16:creationId xmlns:a16="http://schemas.microsoft.com/office/drawing/2014/main" id="{00000000-0008-0000-0100-000070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0582" cy="1759058"/>
    <xdr:sp macro="" textlink="">
      <xdr:nvSpPr>
        <xdr:cNvPr id="369" name="TextBox 368">
          <a:extLst>
            <a:ext uri="{FF2B5EF4-FFF2-40B4-BE49-F238E27FC236}">
              <a16:creationId xmlns:a16="http://schemas.microsoft.com/office/drawing/2014/main" id="{00000000-0008-0000-0100-000071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316"/>
    <xdr:sp macro="" textlink="">
      <xdr:nvSpPr>
        <xdr:cNvPr id="370" name="TextBox 369">
          <a:extLst>
            <a:ext uri="{FF2B5EF4-FFF2-40B4-BE49-F238E27FC236}">
              <a16:creationId xmlns:a16="http://schemas.microsoft.com/office/drawing/2014/main" id="{00000000-0008-0000-0100-000072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21" cy="1650316"/>
    <xdr:sp macro="" textlink="">
      <xdr:nvSpPr>
        <xdr:cNvPr id="371" name="TextBox 370">
          <a:extLst>
            <a:ext uri="{FF2B5EF4-FFF2-40B4-BE49-F238E27FC236}">
              <a16:creationId xmlns:a16="http://schemas.microsoft.com/office/drawing/2014/main" id="{00000000-0008-0000-0100-000073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372" name="TextBox 371">
          <a:extLst>
            <a:ext uri="{FF2B5EF4-FFF2-40B4-BE49-F238E27FC236}">
              <a16:creationId xmlns:a16="http://schemas.microsoft.com/office/drawing/2014/main" id="{00000000-0008-0000-0100-000074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373" name="TextBox 372">
          <a:extLst>
            <a:ext uri="{FF2B5EF4-FFF2-40B4-BE49-F238E27FC236}">
              <a16:creationId xmlns:a16="http://schemas.microsoft.com/office/drawing/2014/main" id="{00000000-0008-0000-0100-000075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374" name="TextBox 373">
          <a:extLst>
            <a:ext uri="{FF2B5EF4-FFF2-40B4-BE49-F238E27FC236}">
              <a16:creationId xmlns:a16="http://schemas.microsoft.com/office/drawing/2014/main" id="{00000000-0008-0000-0100-000076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2021"/>
    <xdr:sp macro="" textlink="">
      <xdr:nvSpPr>
        <xdr:cNvPr id="375" name="TextBox 374">
          <a:extLst>
            <a:ext uri="{FF2B5EF4-FFF2-40B4-BE49-F238E27FC236}">
              <a16:creationId xmlns:a16="http://schemas.microsoft.com/office/drawing/2014/main" id="{00000000-0008-0000-0100-000077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966" cy="1748948"/>
    <xdr:sp macro="" textlink="">
      <xdr:nvSpPr>
        <xdr:cNvPr id="376" name="TextBox 375">
          <a:extLst>
            <a:ext uri="{FF2B5EF4-FFF2-40B4-BE49-F238E27FC236}">
              <a16:creationId xmlns:a16="http://schemas.microsoft.com/office/drawing/2014/main" id="{00000000-0008-0000-0100-000078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1918"/>
    <xdr:sp macro="" textlink="">
      <xdr:nvSpPr>
        <xdr:cNvPr id="377" name="TextBox 376">
          <a:extLst>
            <a:ext uri="{FF2B5EF4-FFF2-40B4-BE49-F238E27FC236}">
              <a16:creationId xmlns:a16="http://schemas.microsoft.com/office/drawing/2014/main" id="{00000000-0008-0000-0100-000079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5265" cy="1661918"/>
    <xdr:sp macro="" textlink="">
      <xdr:nvSpPr>
        <xdr:cNvPr id="378" name="TextBox 377">
          <a:extLst>
            <a:ext uri="{FF2B5EF4-FFF2-40B4-BE49-F238E27FC236}">
              <a16:creationId xmlns:a16="http://schemas.microsoft.com/office/drawing/2014/main" id="{00000000-0008-0000-0100-00007A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945" cy="1661918"/>
    <xdr:sp macro="" textlink="">
      <xdr:nvSpPr>
        <xdr:cNvPr id="379" name="TextBox 378">
          <a:extLst>
            <a:ext uri="{FF2B5EF4-FFF2-40B4-BE49-F238E27FC236}">
              <a16:creationId xmlns:a16="http://schemas.microsoft.com/office/drawing/2014/main" id="{00000000-0008-0000-0100-00007B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2021"/>
    <xdr:sp macro="" textlink="">
      <xdr:nvSpPr>
        <xdr:cNvPr id="380" name="TextBox 379">
          <a:extLst>
            <a:ext uri="{FF2B5EF4-FFF2-40B4-BE49-F238E27FC236}">
              <a16:creationId xmlns:a16="http://schemas.microsoft.com/office/drawing/2014/main" id="{00000000-0008-0000-0100-00007C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3095" cy="1748948"/>
    <xdr:sp macro="" textlink="">
      <xdr:nvSpPr>
        <xdr:cNvPr id="381" name="TextBox 380">
          <a:extLst>
            <a:ext uri="{FF2B5EF4-FFF2-40B4-BE49-F238E27FC236}">
              <a16:creationId xmlns:a16="http://schemas.microsoft.com/office/drawing/2014/main" id="{00000000-0008-0000-0100-00007D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1918"/>
    <xdr:sp macro="" textlink="">
      <xdr:nvSpPr>
        <xdr:cNvPr id="382" name="TextBox 381">
          <a:extLst>
            <a:ext uri="{FF2B5EF4-FFF2-40B4-BE49-F238E27FC236}">
              <a16:creationId xmlns:a16="http://schemas.microsoft.com/office/drawing/2014/main" id="{00000000-0008-0000-0100-00007E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383" name="TextBox 382">
          <a:extLst>
            <a:ext uri="{FF2B5EF4-FFF2-40B4-BE49-F238E27FC236}">
              <a16:creationId xmlns:a16="http://schemas.microsoft.com/office/drawing/2014/main" id="{00000000-0008-0000-0100-00007F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021" cy="1746584"/>
    <xdr:sp macro="" textlink="">
      <xdr:nvSpPr>
        <xdr:cNvPr id="384" name="TextBox 383">
          <a:extLst>
            <a:ext uri="{FF2B5EF4-FFF2-40B4-BE49-F238E27FC236}">
              <a16:creationId xmlns:a16="http://schemas.microsoft.com/office/drawing/2014/main" id="{00000000-0008-0000-0100-000080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021" cy="1661918"/>
    <xdr:sp macro="" textlink="">
      <xdr:nvSpPr>
        <xdr:cNvPr id="385" name="TextBox 384">
          <a:extLst>
            <a:ext uri="{FF2B5EF4-FFF2-40B4-BE49-F238E27FC236}">
              <a16:creationId xmlns:a16="http://schemas.microsoft.com/office/drawing/2014/main" id="{00000000-0008-0000-0100-000081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00147" cy="1661918"/>
    <xdr:sp macro="" textlink="">
      <xdr:nvSpPr>
        <xdr:cNvPr id="386" name="TextBox 385">
          <a:extLst>
            <a:ext uri="{FF2B5EF4-FFF2-40B4-BE49-F238E27FC236}">
              <a16:creationId xmlns:a16="http://schemas.microsoft.com/office/drawing/2014/main" id="{00000000-0008-0000-0100-000082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592" cy="1661918"/>
    <xdr:sp macro="" textlink="">
      <xdr:nvSpPr>
        <xdr:cNvPr id="387" name="TextBox 386">
          <a:extLst>
            <a:ext uri="{FF2B5EF4-FFF2-40B4-BE49-F238E27FC236}">
              <a16:creationId xmlns:a16="http://schemas.microsoft.com/office/drawing/2014/main" id="{00000000-0008-0000-0100-000083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106" cy="1746584"/>
    <xdr:sp macro="" textlink="">
      <xdr:nvSpPr>
        <xdr:cNvPr id="388" name="TextBox 387">
          <a:extLst>
            <a:ext uri="{FF2B5EF4-FFF2-40B4-BE49-F238E27FC236}">
              <a16:creationId xmlns:a16="http://schemas.microsoft.com/office/drawing/2014/main" id="{00000000-0008-0000-0100-000084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106" cy="1661918"/>
    <xdr:sp macro="" textlink="">
      <xdr:nvSpPr>
        <xdr:cNvPr id="389" name="TextBox 388">
          <a:extLst>
            <a:ext uri="{FF2B5EF4-FFF2-40B4-BE49-F238E27FC236}">
              <a16:creationId xmlns:a16="http://schemas.microsoft.com/office/drawing/2014/main" id="{00000000-0008-0000-0100-000085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390" name="TextBox 389">
          <a:extLst>
            <a:ext uri="{FF2B5EF4-FFF2-40B4-BE49-F238E27FC236}">
              <a16:creationId xmlns:a16="http://schemas.microsoft.com/office/drawing/2014/main" id="{00000000-0008-0000-0100-000086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391" name="TextBox 390">
          <a:extLst>
            <a:ext uri="{FF2B5EF4-FFF2-40B4-BE49-F238E27FC236}">
              <a16:creationId xmlns:a16="http://schemas.microsoft.com/office/drawing/2014/main" id="{00000000-0008-0000-0100-000087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0766" cy="1679418"/>
    <xdr:sp macro="" textlink="">
      <xdr:nvSpPr>
        <xdr:cNvPr id="392" name="TextBox 391">
          <a:extLst>
            <a:ext uri="{FF2B5EF4-FFF2-40B4-BE49-F238E27FC236}">
              <a16:creationId xmlns:a16="http://schemas.microsoft.com/office/drawing/2014/main" id="{00000000-0008-0000-0100-000088010000}"/>
            </a:ext>
          </a:extLst>
        </xdr:cNvPr>
        <xdr:cNvSpPr txBox="1"/>
      </xdr:nvSpPr>
      <xdr:spPr>
        <a:xfrm>
          <a:off x="15201900" y="2257425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60766" cy="1747852"/>
    <xdr:sp macro="" textlink="">
      <xdr:nvSpPr>
        <xdr:cNvPr id="393" name="TextBox 392">
          <a:extLst>
            <a:ext uri="{FF2B5EF4-FFF2-40B4-BE49-F238E27FC236}">
              <a16:creationId xmlns:a16="http://schemas.microsoft.com/office/drawing/2014/main" id="{00000000-0008-0000-0100-000089010000}"/>
            </a:ext>
          </a:extLst>
        </xdr:cNvPr>
        <xdr:cNvSpPr txBox="1"/>
      </xdr:nvSpPr>
      <xdr:spPr>
        <a:xfrm>
          <a:off x="15201900" y="18202275"/>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0766" cy="1682488"/>
    <xdr:sp macro="" textlink="">
      <xdr:nvSpPr>
        <xdr:cNvPr id="394" name="TextBox 393">
          <a:extLst>
            <a:ext uri="{FF2B5EF4-FFF2-40B4-BE49-F238E27FC236}">
              <a16:creationId xmlns:a16="http://schemas.microsoft.com/office/drawing/2014/main" id="{00000000-0008-0000-0100-00008A010000}"/>
            </a:ext>
          </a:extLst>
        </xdr:cNvPr>
        <xdr:cNvSpPr txBox="1"/>
      </xdr:nvSpPr>
      <xdr:spPr>
        <a:xfrm>
          <a:off x="15201900" y="2257425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5927" cy="1755464"/>
    <xdr:sp macro="" textlink="">
      <xdr:nvSpPr>
        <xdr:cNvPr id="395" name="TextBox 394">
          <a:extLst>
            <a:ext uri="{FF2B5EF4-FFF2-40B4-BE49-F238E27FC236}">
              <a16:creationId xmlns:a16="http://schemas.microsoft.com/office/drawing/2014/main" id="{00000000-0008-0000-0100-00008B010000}"/>
            </a:ext>
          </a:extLst>
        </xdr:cNvPr>
        <xdr:cNvSpPr txBox="1"/>
      </xdr:nvSpPr>
      <xdr:spPr>
        <a:xfrm>
          <a:off x="31703010" y="18202275"/>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5927" cy="1682488"/>
    <xdr:sp macro="" textlink="">
      <xdr:nvSpPr>
        <xdr:cNvPr id="396" name="TextBox 395">
          <a:extLst>
            <a:ext uri="{FF2B5EF4-FFF2-40B4-BE49-F238E27FC236}">
              <a16:creationId xmlns:a16="http://schemas.microsoft.com/office/drawing/2014/main" id="{00000000-0008-0000-0100-00008C010000}"/>
            </a:ext>
          </a:extLst>
        </xdr:cNvPr>
        <xdr:cNvSpPr txBox="1"/>
      </xdr:nvSpPr>
      <xdr:spPr>
        <a:xfrm>
          <a:off x="31703010" y="2257425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397" name="TextBox 396">
          <a:extLst>
            <a:ext uri="{FF2B5EF4-FFF2-40B4-BE49-F238E27FC236}">
              <a16:creationId xmlns:a16="http://schemas.microsoft.com/office/drawing/2014/main" id="{00000000-0008-0000-0100-00008D010000}"/>
            </a:ext>
          </a:extLst>
        </xdr:cNvPr>
        <xdr:cNvSpPr txBox="1"/>
      </xdr:nvSpPr>
      <xdr:spPr>
        <a:xfrm>
          <a:off x="3241738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399" name="TextBox 398">
          <a:extLst>
            <a:ext uri="{FF2B5EF4-FFF2-40B4-BE49-F238E27FC236}">
              <a16:creationId xmlns:a16="http://schemas.microsoft.com/office/drawing/2014/main" id="{00000000-0008-0000-0100-00008F010000}"/>
            </a:ext>
          </a:extLst>
        </xdr:cNvPr>
        <xdr:cNvSpPr txBox="1"/>
      </xdr:nvSpPr>
      <xdr:spPr>
        <a:xfrm>
          <a:off x="2526982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5846" cy="1682488"/>
    <xdr:sp macro="" textlink="">
      <xdr:nvSpPr>
        <xdr:cNvPr id="400" name="TextBox 399">
          <a:extLst>
            <a:ext uri="{FF2B5EF4-FFF2-40B4-BE49-F238E27FC236}">
              <a16:creationId xmlns:a16="http://schemas.microsoft.com/office/drawing/2014/main" id="{00000000-0008-0000-0100-000090010000}"/>
            </a:ext>
          </a:extLst>
        </xdr:cNvPr>
        <xdr:cNvSpPr txBox="1"/>
      </xdr:nvSpPr>
      <xdr:spPr>
        <a:xfrm>
          <a:off x="19059525" y="2257425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3718" cy="1682488"/>
    <xdr:sp macro="" textlink="">
      <xdr:nvSpPr>
        <xdr:cNvPr id="401" name="TextBox 400">
          <a:extLst>
            <a:ext uri="{FF2B5EF4-FFF2-40B4-BE49-F238E27FC236}">
              <a16:creationId xmlns:a16="http://schemas.microsoft.com/office/drawing/2014/main" id="{00000000-0008-0000-0100-000091010000}"/>
            </a:ext>
          </a:extLst>
        </xdr:cNvPr>
        <xdr:cNvSpPr txBox="1"/>
      </xdr:nvSpPr>
      <xdr:spPr>
        <a:xfrm>
          <a:off x="26698575" y="2257425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6010" cy="1755464"/>
    <xdr:sp macro="" textlink="">
      <xdr:nvSpPr>
        <xdr:cNvPr id="402" name="TextBox 401">
          <a:extLst>
            <a:ext uri="{FF2B5EF4-FFF2-40B4-BE49-F238E27FC236}">
              <a16:creationId xmlns:a16="http://schemas.microsoft.com/office/drawing/2014/main" id="{00000000-0008-0000-0100-000092010000}"/>
            </a:ext>
          </a:extLst>
        </xdr:cNvPr>
        <xdr:cNvSpPr txBox="1"/>
      </xdr:nvSpPr>
      <xdr:spPr>
        <a:xfrm>
          <a:off x="12633960"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403" name="TextBox 402">
          <a:extLst>
            <a:ext uri="{FF2B5EF4-FFF2-40B4-BE49-F238E27FC236}">
              <a16:creationId xmlns:a16="http://schemas.microsoft.com/office/drawing/2014/main" id="{00000000-0008-0000-0100-000093010000}"/>
            </a:ext>
          </a:extLst>
        </xdr:cNvPr>
        <xdr:cNvSpPr txBox="1"/>
      </xdr:nvSpPr>
      <xdr:spPr>
        <a:xfrm>
          <a:off x="12633960"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55927" cy="1741250"/>
    <xdr:sp macro="" textlink="">
      <xdr:nvSpPr>
        <xdr:cNvPr id="404" name="TextBox 403">
          <a:extLst>
            <a:ext uri="{FF2B5EF4-FFF2-40B4-BE49-F238E27FC236}">
              <a16:creationId xmlns:a16="http://schemas.microsoft.com/office/drawing/2014/main" id="{00000000-0008-0000-0100-000094010000}"/>
            </a:ext>
          </a:extLst>
        </xdr:cNvPr>
        <xdr:cNvSpPr txBox="1"/>
      </xdr:nvSpPr>
      <xdr:spPr>
        <a:xfrm>
          <a:off x="10833735" y="2641282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56010" cy="1741250"/>
    <xdr:sp macro="" textlink="">
      <xdr:nvSpPr>
        <xdr:cNvPr id="405" name="TextBox 404">
          <a:extLst>
            <a:ext uri="{FF2B5EF4-FFF2-40B4-BE49-F238E27FC236}">
              <a16:creationId xmlns:a16="http://schemas.microsoft.com/office/drawing/2014/main" id="{00000000-0008-0000-0100-000095010000}"/>
            </a:ext>
          </a:extLst>
        </xdr:cNvPr>
        <xdr:cNvSpPr txBox="1"/>
      </xdr:nvSpPr>
      <xdr:spPr>
        <a:xfrm>
          <a:off x="30274260" y="2641282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7719" cy="1679418"/>
    <xdr:sp macro="" textlink="">
      <xdr:nvSpPr>
        <xdr:cNvPr id="406" name="TextBox 405">
          <a:extLst>
            <a:ext uri="{FF2B5EF4-FFF2-40B4-BE49-F238E27FC236}">
              <a16:creationId xmlns:a16="http://schemas.microsoft.com/office/drawing/2014/main" id="{00000000-0008-0000-0100-000096010000}"/>
            </a:ext>
          </a:extLst>
        </xdr:cNvPr>
        <xdr:cNvSpPr txBox="1"/>
      </xdr:nvSpPr>
      <xdr:spPr>
        <a:xfrm>
          <a:off x="5943600" y="2257425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37719" cy="1747852"/>
    <xdr:sp macro="" textlink="">
      <xdr:nvSpPr>
        <xdr:cNvPr id="407" name="TextBox 406">
          <a:extLst>
            <a:ext uri="{FF2B5EF4-FFF2-40B4-BE49-F238E27FC236}">
              <a16:creationId xmlns:a16="http://schemas.microsoft.com/office/drawing/2014/main" id="{00000000-0008-0000-0100-000097010000}"/>
            </a:ext>
          </a:extLst>
        </xdr:cNvPr>
        <xdr:cNvSpPr txBox="1"/>
      </xdr:nvSpPr>
      <xdr:spPr>
        <a:xfrm>
          <a:off x="5943600" y="182022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7719" cy="1672229"/>
    <xdr:sp macro="" textlink="">
      <xdr:nvSpPr>
        <xdr:cNvPr id="408" name="TextBox 407">
          <a:extLst>
            <a:ext uri="{FF2B5EF4-FFF2-40B4-BE49-F238E27FC236}">
              <a16:creationId xmlns:a16="http://schemas.microsoft.com/office/drawing/2014/main" id="{00000000-0008-0000-0100-000098010000}"/>
            </a:ext>
          </a:extLst>
        </xdr:cNvPr>
        <xdr:cNvSpPr txBox="1"/>
      </xdr:nvSpPr>
      <xdr:spPr>
        <a:xfrm>
          <a:off x="5943600" y="2257425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409" name="TextBox 408">
          <a:extLst>
            <a:ext uri="{FF2B5EF4-FFF2-40B4-BE49-F238E27FC236}">
              <a16:creationId xmlns:a16="http://schemas.microsoft.com/office/drawing/2014/main" id="{00000000-0008-0000-0100-000099010000}"/>
            </a:ext>
          </a:extLst>
        </xdr:cNvPr>
        <xdr:cNvSpPr txBox="1"/>
      </xdr:nvSpPr>
      <xdr:spPr>
        <a:xfrm>
          <a:off x="826198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382" cy="1755464"/>
    <xdr:sp macro="" textlink="">
      <xdr:nvSpPr>
        <xdr:cNvPr id="410" name="TextBox 409">
          <a:extLst>
            <a:ext uri="{FF2B5EF4-FFF2-40B4-BE49-F238E27FC236}">
              <a16:creationId xmlns:a16="http://schemas.microsoft.com/office/drawing/2014/main" id="{00000000-0008-0000-0100-00009A010000}"/>
            </a:ext>
          </a:extLst>
        </xdr:cNvPr>
        <xdr:cNvSpPr txBox="1"/>
      </xdr:nvSpPr>
      <xdr:spPr>
        <a:xfrm>
          <a:off x="15462885" y="182022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382" cy="1672229"/>
    <xdr:sp macro="" textlink="">
      <xdr:nvSpPr>
        <xdr:cNvPr id="411" name="TextBox 410">
          <a:extLst>
            <a:ext uri="{FF2B5EF4-FFF2-40B4-BE49-F238E27FC236}">
              <a16:creationId xmlns:a16="http://schemas.microsoft.com/office/drawing/2014/main" id="{00000000-0008-0000-0100-00009B010000}"/>
            </a:ext>
          </a:extLst>
        </xdr:cNvPr>
        <xdr:cNvSpPr txBox="1"/>
      </xdr:nvSpPr>
      <xdr:spPr>
        <a:xfrm>
          <a:off x="15462885" y="2257425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412" name="TextBox 411">
          <a:extLst>
            <a:ext uri="{FF2B5EF4-FFF2-40B4-BE49-F238E27FC236}">
              <a16:creationId xmlns:a16="http://schemas.microsoft.com/office/drawing/2014/main" id="{00000000-0008-0000-0100-00009C010000}"/>
            </a:ext>
          </a:extLst>
        </xdr:cNvPr>
        <xdr:cNvSpPr txBox="1"/>
      </xdr:nvSpPr>
      <xdr:spPr>
        <a:xfrm>
          <a:off x="1469136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465" cy="1755464"/>
    <xdr:sp macro="" textlink="">
      <xdr:nvSpPr>
        <xdr:cNvPr id="413" name="TextBox 412">
          <a:extLst>
            <a:ext uri="{FF2B5EF4-FFF2-40B4-BE49-F238E27FC236}">
              <a16:creationId xmlns:a16="http://schemas.microsoft.com/office/drawing/2014/main" id="{00000000-0008-0000-0100-00009D010000}"/>
            </a:ext>
          </a:extLst>
        </xdr:cNvPr>
        <xdr:cNvSpPr txBox="1"/>
      </xdr:nvSpPr>
      <xdr:spPr>
        <a:xfrm>
          <a:off x="26940510"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414" name="TextBox 413">
          <a:extLst>
            <a:ext uri="{FF2B5EF4-FFF2-40B4-BE49-F238E27FC236}">
              <a16:creationId xmlns:a16="http://schemas.microsoft.com/office/drawing/2014/main" id="{00000000-0008-0000-0100-00009E010000}"/>
            </a:ext>
          </a:extLst>
        </xdr:cNvPr>
        <xdr:cNvSpPr txBox="1"/>
      </xdr:nvSpPr>
      <xdr:spPr>
        <a:xfrm>
          <a:off x="2694051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2831" cy="1672229"/>
    <xdr:sp macro="" textlink="">
      <xdr:nvSpPr>
        <xdr:cNvPr id="415" name="TextBox 414">
          <a:extLst>
            <a:ext uri="{FF2B5EF4-FFF2-40B4-BE49-F238E27FC236}">
              <a16:creationId xmlns:a16="http://schemas.microsoft.com/office/drawing/2014/main" id="{00000000-0008-0000-0100-00009F010000}"/>
            </a:ext>
          </a:extLst>
        </xdr:cNvPr>
        <xdr:cNvSpPr txBox="1"/>
      </xdr:nvSpPr>
      <xdr:spPr>
        <a:xfrm>
          <a:off x="20983575" y="2257425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465" cy="1755464"/>
    <xdr:sp macro="" textlink="">
      <xdr:nvSpPr>
        <xdr:cNvPr id="416" name="TextBox 415">
          <a:extLst>
            <a:ext uri="{FF2B5EF4-FFF2-40B4-BE49-F238E27FC236}">
              <a16:creationId xmlns:a16="http://schemas.microsoft.com/office/drawing/2014/main" id="{00000000-0008-0000-0100-0000A0010000}"/>
            </a:ext>
          </a:extLst>
        </xdr:cNvPr>
        <xdr:cNvSpPr txBox="1"/>
      </xdr:nvSpPr>
      <xdr:spPr>
        <a:xfrm>
          <a:off x="18034635"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382" cy="1741250"/>
    <xdr:sp macro="" textlink="">
      <xdr:nvSpPr>
        <xdr:cNvPr id="418" name="TextBox 417">
          <a:extLst>
            <a:ext uri="{FF2B5EF4-FFF2-40B4-BE49-F238E27FC236}">
              <a16:creationId xmlns:a16="http://schemas.microsoft.com/office/drawing/2014/main" id="{00000000-0008-0000-0100-0000A2010000}"/>
            </a:ext>
          </a:extLst>
        </xdr:cNvPr>
        <xdr:cNvSpPr txBox="1"/>
      </xdr:nvSpPr>
      <xdr:spPr>
        <a:xfrm>
          <a:off x="14948535" y="2913697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465" cy="1741250"/>
    <xdr:sp macro="" textlink="">
      <xdr:nvSpPr>
        <xdr:cNvPr id="419" name="TextBox 418">
          <a:extLst>
            <a:ext uri="{FF2B5EF4-FFF2-40B4-BE49-F238E27FC236}">
              <a16:creationId xmlns:a16="http://schemas.microsoft.com/office/drawing/2014/main" id="{00000000-0008-0000-0100-0000A3010000}"/>
            </a:ext>
          </a:extLst>
        </xdr:cNvPr>
        <xdr:cNvSpPr txBox="1"/>
      </xdr:nvSpPr>
      <xdr:spPr>
        <a:xfrm>
          <a:off x="25988010" y="2913697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465" cy="1741250"/>
    <xdr:sp macro="" textlink="">
      <xdr:nvSpPr>
        <xdr:cNvPr id="420" name="TextBox 419">
          <a:extLst>
            <a:ext uri="{FF2B5EF4-FFF2-40B4-BE49-F238E27FC236}">
              <a16:creationId xmlns:a16="http://schemas.microsoft.com/office/drawing/2014/main" id="{00000000-0008-0000-0100-0000A4010000}"/>
            </a:ext>
          </a:extLst>
        </xdr:cNvPr>
        <xdr:cNvSpPr txBox="1"/>
      </xdr:nvSpPr>
      <xdr:spPr>
        <a:xfrm>
          <a:off x="17520285" y="2913697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382" cy="1741250"/>
    <xdr:sp macro="" textlink="">
      <xdr:nvSpPr>
        <xdr:cNvPr id="421" name="TextBox 420">
          <a:extLst>
            <a:ext uri="{FF2B5EF4-FFF2-40B4-BE49-F238E27FC236}">
              <a16:creationId xmlns:a16="http://schemas.microsoft.com/office/drawing/2014/main" id="{00000000-0008-0000-0100-0000A5010000}"/>
            </a:ext>
          </a:extLst>
        </xdr:cNvPr>
        <xdr:cNvSpPr txBox="1"/>
      </xdr:nvSpPr>
      <xdr:spPr>
        <a:xfrm>
          <a:off x="14948535" y="2641282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465" cy="1741250"/>
    <xdr:sp macro="" textlink="">
      <xdr:nvSpPr>
        <xdr:cNvPr id="422" name="TextBox 421">
          <a:extLst>
            <a:ext uri="{FF2B5EF4-FFF2-40B4-BE49-F238E27FC236}">
              <a16:creationId xmlns:a16="http://schemas.microsoft.com/office/drawing/2014/main" id="{00000000-0008-0000-0100-0000A6010000}"/>
            </a:ext>
          </a:extLst>
        </xdr:cNvPr>
        <xdr:cNvSpPr txBox="1"/>
      </xdr:nvSpPr>
      <xdr:spPr>
        <a:xfrm>
          <a:off x="25988010"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465" cy="1741250"/>
    <xdr:sp macro="" textlink="">
      <xdr:nvSpPr>
        <xdr:cNvPr id="423" name="TextBox 422">
          <a:extLst>
            <a:ext uri="{FF2B5EF4-FFF2-40B4-BE49-F238E27FC236}">
              <a16:creationId xmlns:a16="http://schemas.microsoft.com/office/drawing/2014/main" id="{00000000-0008-0000-0100-0000A7010000}"/>
            </a:ext>
          </a:extLst>
        </xdr:cNvPr>
        <xdr:cNvSpPr txBox="1"/>
      </xdr:nvSpPr>
      <xdr:spPr>
        <a:xfrm>
          <a:off x="17520285"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twoCellAnchor>
    <xdr:from>
      <xdr:col>4</xdr:col>
      <xdr:colOff>838200</xdr:colOff>
      <xdr:row>55</xdr:row>
      <xdr:rowOff>0</xdr:rowOff>
    </xdr:from>
    <xdr:to>
      <xdr:col>4</xdr:col>
      <xdr:colOff>4368044</xdr:colOff>
      <xdr:row>63</xdr:row>
      <xdr:rowOff>144786</xdr:rowOff>
    </xdr:to>
    <xdr:sp macro="" textlink="">
      <xdr:nvSpPr>
        <xdr:cNvPr id="424" name="TextBox 2">
          <a:extLst>
            <a:ext uri="{FF2B5EF4-FFF2-40B4-BE49-F238E27FC236}">
              <a16:creationId xmlns:a16="http://schemas.microsoft.com/office/drawing/2014/main" id="{00000000-0008-0000-0100-0000A8010000}"/>
            </a:ext>
          </a:extLst>
        </xdr:cNvPr>
        <xdr:cNvSpPr txBox="1"/>
      </xdr:nvSpPr>
      <xdr:spPr>
        <a:xfrm>
          <a:off x="7467600" y="1198245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4381043</xdr:colOff>
      <xdr:row>63</xdr:row>
      <xdr:rowOff>142429</xdr:rowOff>
    </xdr:to>
    <xdr:sp macro="" textlink="">
      <xdr:nvSpPr>
        <xdr:cNvPr id="425" name="TextBox 5">
          <a:extLst>
            <a:ext uri="{FF2B5EF4-FFF2-40B4-BE49-F238E27FC236}">
              <a16:creationId xmlns:a16="http://schemas.microsoft.com/office/drawing/2014/main" id="{00000000-0008-0000-0100-0000A9010000}"/>
            </a:ext>
          </a:extLst>
        </xdr:cNvPr>
        <xdr:cNvSpPr txBox="1"/>
      </xdr:nvSpPr>
      <xdr:spPr>
        <a:xfrm>
          <a:off x="7467600" y="1198245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26" name="TextBox 8">
          <a:extLst>
            <a:ext uri="{FF2B5EF4-FFF2-40B4-BE49-F238E27FC236}">
              <a16:creationId xmlns:a16="http://schemas.microsoft.com/office/drawing/2014/main" id="{00000000-0008-0000-0100-0000AA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27" name="TextBox 12">
          <a:extLst>
            <a:ext uri="{FF2B5EF4-FFF2-40B4-BE49-F238E27FC236}">
              <a16:creationId xmlns:a16="http://schemas.microsoft.com/office/drawing/2014/main" id="{00000000-0008-0000-0100-0000AB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4423426</xdr:colOff>
      <xdr:row>64</xdr:row>
      <xdr:rowOff>51557</xdr:rowOff>
    </xdr:to>
    <xdr:sp macro="" textlink="">
      <xdr:nvSpPr>
        <xdr:cNvPr id="428" name="TextBox 18">
          <a:extLst>
            <a:ext uri="{FF2B5EF4-FFF2-40B4-BE49-F238E27FC236}">
              <a16:creationId xmlns:a16="http://schemas.microsoft.com/office/drawing/2014/main" id="{00000000-0008-0000-0100-0000AC010000}"/>
            </a:ext>
          </a:extLst>
        </xdr:cNvPr>
        <xdr:cNvSpPr txBox="1"/>
      </xdr:nvSpPr>
      <xdr:spPr>
        <a:xfrm>
          <a:off x="7467600" y="119824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29" name="TextBox 21">
          <a:extLst>
            <a:ext uri="{FF2B5EF4-FFF2-40B4-BE49-F238E27FC236}">
              <a16:creationId xmlns:a16="http://schemas.microsoft.com/office/drawing/2014/main" id="{00000000-0008-0000-0100-0000AD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30" name="TextBox 25">
          <a:extLst>
            <a:ext uri="{FF2B5EF4-FFF2-40B4-BE49-F238E27FC236}">
              <a16:creationId xmlns:a16="http://schemas.microsoft.com/office/drawing/2014/main" id="{00000000-0008-0000-0100-0000AE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4473345</xdr:colOff>
      <xdr:row>63</xdr:row>
      <xdr:rowOff>148571</xdr:rowOff>
    </xdr:to>
    <xdr:sp macro="" textlink="">
      <xdr:nvSpPr>
        <xdr:cNvPr id="431" name="TextBox 30">
          <a:extLst>
            <a:ext uri="{FF2B5EF4-FFF2-40B4-BE49-F238E27FC236}">
              <a16:creationId xmlns:a16="http://schemas.microsoft.com/office/drawing/2014/main" id="{00000000-0008-0000-0100-0000AF010000}"/>
            </a:ext>
          </a:extLst>
        </xdr:cNvPr>
        <xdr:cNvSpPr txBox="1"/>
      </xdr:nvSpPr>
      <xdr:spPr>
        <a:xfrm>
          <a:off x="7467600" y="119824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4420626</xdr:colOff>
      <xdr:row>63</xdr:row>
      <xdr:rowOff>131021</xdr:rowOff>
    </xdr:to>
    <xdr:sp macro="" textlink="">
      <xdr:nvSpPr>
        <xdr:cNvPr id="432" name="TextBox 33">
          <a:extLst>
            <a:ext uri="{FF2B5EF4-FFF2-40B4-BE49-F238E27FC236}">
              <a16:creationId xmlns:a16="http://schemas.microsoft.com/office/drawing/2014/main" id="{00000000-0008-0000-0100-0000B0010000}"/>
            </a:ext>
          </a:extLst>
        </xdr:cNvPr>
        <xdr:cNvSpPr txBox="1"/>
      </xdr:nvSpPr>
      <xdr:spPr>
        <a:xfrm>
          <a:off x="7467600" y="119824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4414161</xdr:colOff>
      <xdr:row>63</xdr:row>
      <xdr:rowOff>131021</xdr:rowOff>
    </xdr:to>
    <xdr:sp macro="" textlink="">
      <xdr:nvSpPr>
        <xdr:cNvPr id="433" name="TextBox 36">
          <a:extLst>
            <a:ext uri="{FF2B5EF4-FFF2-40B4-BE49-F238E27FC236}">
              <a16:creationId xmlns:a16="http://schemas.microsoft.com/office/drawing/2014/main" id="{00000000-0008-0000-0100-0000B1010000}"/>
            </a:ext>
          </a:extLst>
        </xdr:cNvPr>
        <xdr:cNvSpPr txBox="1"/>
      </xdr:nvSpPr>
      <xdr:spPr>
        <a:xfrm>
          <a:off x="7467600" y="119824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4420710</xdr:colOff>
      <xdr:row>63</xdr:row>
      <xdr:rowOff>131021</xdr:rowOff>
    </xdr:to>
    <xdr:sp macro="" textlink="">
      <xdr:nvSpPr>
        <xdr:cNvPr id="434" name="TextBox 39">
          <a:extLst>
            <a:ext uri="{FF2B5EF4-FFF2-40B4-BE49-F238E27FC236}">
              <a16:creationId xmlns:a16="http://schemas.microsoft.com/office/drawing/2014/main" id="{00000000-0008-0000-0100-0000B2010000}"/>
            </a:ext>
          </a:extLst>
        </xdr:cNvPr>
        <xdr:cNvSpPr txBox="1"/>
      </xdr:nvSpPr>
      <xdr:spPr>
        <a:xfrm>
          <a:off x="7467600" y="119824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4430328</xdr:colOff>
      <xdr:row>63</xdr:row>
      <xdr:rowOff>142570</xdr:rowOff>
    </xdr:to>
    <xdr:sp macro="" textlink="">
      <xdr:nvSpPr>
        <xdr:cNvPr id="435" name="TextBox 45">
          <a:extLst>
            <a:ext uri="{FF2B5EF4-FFF2-40B4-BE49-F238E27FC236}">
              <a16:creationId xmlns:a16="http://schemas.microsoft.com/office/drawing/2014/main" id="{00000000-0008-0000-0100-0000B3010000}"/>
            </a:ext>
          </a:extLst>
        </xdr:cNvPr>
        <xdr:cNvSpPr txBox="1"/>
      </xdr:nvSpPr>
      <xdr:spPr>
        <a:xfrm>
          <a:off x="7467600" y="119824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4411037</xdr:colOff>
      <xdr:row>63</xdr:row>
      <xdr:rowOff>117793</xdr:rowOff>
    </xdr:to>
    <xdr:sp macro="" textlink="">
      <xdr:nvSpPr>
        <xdr:cNvPr id="436" name="TextBox 48">
          <a:extLst>
            <a:ext uri="{FF2B5EF4-FFF2-40B4-BE49-F238E27FC236}">
              <a16:creationId xmlns:a16="http://schemas.microsoft.com/office/drawing/2014/main" id="{00000000-0008-0000-0100-0000B4010000}"/>
            </a:ext>
          </a:extLst>
        </xdr:cNvPr>
        <xdr:cNvSpPr txBox="1"/>
      </xdr:nvSpPr>
      <xdr:spPr>
        <a:xfrm>
          <a:off x="7467600" y="119824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37" name="TextBox 52">
          <a:extLst>
            <a:ext uri="{FF2B5EF4-FFF2-40B4-BE49-F238E27FC236}">
              <a16:creationId xmlns:a16="http://schemas.microsoft.com/office/drawing/2014/main" id="{00000000-0008-0000-0100-0000B5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38" name="TextBox 55">
          <a:extLst>
            <a:ext uri="{FF2B5EF4-FFF2-40B4-BE49-F238E27FC236}">
              <a16:creationId xmlns:a16="http://schemas.microsoft.com/office/drawing/2014/main" id="{00000000-0008-0000-0100-0000B6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4595228</xdr:colOff>
      <xdr:row>63</xdr:row>
      <xdr:rowOff>146147</xdr:rowOff>
    </xdr:to>
    <xdr:sp macro="" textlink="">
      <xdr:nvSpPr>
        <xdr:cNvPr id="439" name="TextBox 59">
          <a:extLst>
            <a:ext uri="{FF2B5EF4-FFF2-40B4-BE49-F238E27FC236}">
              <a16:creationId xmlns:a16="http://schemas.microsoft.com/office/drawing/2014/main" id="{00000000-0008-0000-0100-0000B7010000}"/>
            </a:ext>
          </a:extLst>
        </xdr:cNvPr>
        <xdr:cNvSpPr txBox="1"/>
      </xdr:nvSpPr>
      <xdr:spPr>
        <a:xfrm>
          <a:off x="7467600" y="119824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4418782</xdr:colOff>
      <xdr:row>63</xdr:row>
      <xdr:rowOff>158858</xdr:rowOff>
    </xdr:to>
    <xdr:sp macro="" textlink="">
      <xdr:nvSpPr>
        <xdr:cNvPr id="440" name="TextBox 64">
          <a:extLst>
            <a:ext uri="{FF2B5EF4-FFF2-40B4-BE49-F238E27FC236}">
              <a16:creationId xmlns:a16="http://schemas.microsoft.com/office/drawing/2014/main" id="{00000000-0008-0000-0100-0000B8010000}"/>
            </a:ext>
          </a:extLst>
        </xdr:cNvPr>
        <xdr:cNvSpPr txBox="1"/>
      </xdr:nvSpPr>
      <xdr:spPr>
        <a:xfrm>
          <a:off x="7467600" y="119824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4411166</xdr:colOff>
      <xdr:row>63</xdr:row>
      <xdr:rowOff>148748</xdr:rowOff>
    </xdr:to>
    <xdr:sp macro="" textlink="">
      <xdr:nvSpPr>
        <xdr:cNvPr id="441" name="TextBox 71">
          <a:extLst>
            <a:ext uri="{FF2B5EF4-FFF2-40B4-BE49-F238E27FC236}">
              <a16:creationId xmlns:a16="http://schemas.microsoft.com/office/drawing/2014/main" id="{00000000-0008-0000-0100-0000B9010000}"/>
            </a:ext>
          </a:extLst>
        </xdr:cNvPr>
        <xdr:cNvSpPr txBox="1"/>
      </xdr:nvSpPr>
      <xdr:spPr>
        <a:xfrm>
          <a:off x="7467600" y="119824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4411295</xdr:colOff>
      <xdr:row>63</xdr:row>
      <xdr:rowOff>148748</xdr:rowOff>
    </xdr:to>
    <xdr:sp macro="" textlink="">
      <xdr:nvSpPr>
        <xdr:cNvPr id="442" name="TextBox 76">
          <a:extLst>
            <a:ext uri="{FF2B5EF4-FFF2-40B4-BE49-F238E27FC236}">
              <a16:creationId xmlns:a16="http://schemas.microsoft.com/office/drawing/2014/main" id="{00000000-0008-0000-0100-0000BA010000}"/>
            </a:ext>
          </a:extLst>
        </xdr:cNvPr>
        <xdr:cNvSpPr txBox="1"/>
      </xdr:nvSpPr>
      <xdr:spPr>
        <a:xfrm>
          <a:off x="7467600" y="119824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4424221</xdr:colOff>
      <xdr:row>63</xdr:row>
      <xdr:rowOff>146384</xdr:rowOff>
    </xdr:to>
    <xdr:sp macro="" textlink="">
      <xdr:nvSpPr>
        <xdr:cNvPr id="443" name="TextBox 79">
          <a:extLst>
            <a:ext uri="{FF2B5EF4-FFF2-40B4-BE49-F238E27FC236}">
              <a16:creationId xmlns:a16="http://schemas.microsoft.com/office/drawing/2014/main" id="{00000000-0008-0000-0100-0000BB010000}"/>
            </a:ext>
          </a:extLst>
        </xdr:cNvPr>
        <xdr:cNvSpPr txBox="1"/>
      </xdr:nvSpPr>
      <xdr:spPr>
        <a:xfrm>
          <a:off x="7467600" y="119824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4424306</xdr:colOff>
      <xdr:row>63</xdr:row>
      <xdr:rowOff>146384</xdr:rowOff>
    </xdr:to>
    <xdr:sp macro="" textlink="">
      <xdr:nvSpPr>
        <xdr:cNvPr id="444" name="TextBox 83">
          <a:extLst>
            <a:ext uri="{FF2B5EF4-FFF2-40B4-BE49-F238E27FC236}">
              <a16:creationId xmlns:a16="http://schemas.microsoft.com/office/drawing/2014/main" id="{00000000-0008-0000-0100-0000BC010000}"/>
            </a:ext>
          </a:extLst>
        </xdr:cNvPr>
        <xdr:cNvSpPr txBox="1"/>
      </xdr:nvSpPr>
      <xdr:spPr>
        <a:xfrm>
          <a:off x="7467600" y="119824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4368044</xdr:colOff>
      <xdr:row>63</xdr:row>
      <xdr:rowOff>144786</xdr:rowOff>
    </xdr:to>
    <xdr:sp macro="" textlink="">
      <xdr:nvSpPr>
        <xdr:cNvPr id="445" name="TextBox 88">
          <a:extLst>
            <a:ext uri="{FF2B5EF4-FFF2-40B4-BE49-F238E27FC236}">
              <a16:creationId xmlns:a16="http://schemas.microsoft.com/office/drawing/2014/main" id="{00000000-0008-0000-0100-0000BD010000}"/>
            </a:ext>
          </a:extLst>
        </xdr:cNvPr>
        <xdr:cNvSpPr txBox="1"/>
      </xdr:nvSpPr>
      <xdr:spPr>
        <a:xfrm>
          <a:off x="7467600" y="1198245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4381043</xdr:colOff>
      <xdr:row>63</xdr:row>
      <xdr:rowOff>142429</xdr:rowOff>
    </xdr:to>
    <xdr:sp macro="" textlink="">
      <xdr:nvSpPr>
        <xdr:cNvPr id="446" name="TextBox 91">
          <a:extLst>
            <a:ext uri="{FF2B5EF4-FFF2-40B4-BE49-F238E27FC236}">
              <a16:creationId xmlns:a16="http://schemas.microsoft.com/office/drawing/2014/main" id="{00000000-0008-0000-0100-0000BE010000}"/>
            </a:ext>
          </a:extLst>
        </xdr:cNvPr>
        <xdr:cNvSpPr txBox="1"/>
      </xdr:nvSpPr>
      <xdr:spPr>
        <a:xfrm>
          <a:off x="7467600" y="1198245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47" name="TextBox 94">
          <a:extLst>
            <a:ext uri="{FF2B5EF4-FFF2-40B4-BE49-F238E27FC236}">
              <a16:creationId xmlns:a16="http://schemas.microsoft.com/office/drawing/2014/main" id="{00000000-0008-0000-0100-0000BF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48" name="TextBox 98">
          <a:extLst>
            <a:ext uri="{FF2B5EF4-FFF2-40B4-BE49-F238E27FC236}">
              <a16:creationId xmlns:a16="http://schemas.microsoft.com/office/drawing/2014/main" id="{00000000-0008-0000-0100-0000C0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4423426</xdr:colOff>
      <xdr:row>64</xdr:row>
      <xdr:rowOff>51557</xdr:rowOff>
    </xdr:to>
    <xdr:sp macro="" textlink="">
      <xdr:nvSpPr>
        <xdr:cNvPr id="449" name="TextBox 104">
          <a:extLst>
            <a:ext uri="{FF2B5EF4-FFF2-40B4-BE49-F238E27FC236}">
              <a16:creationId xmlns:a16="http://schemas.microsoft.com/office/drawing/2014/main" id="{00000000-0008-0000-0100-0000C1010000}"/>
            </a:ext>
          </a:extLst>
        </xdr:cNvPr>
        <xdr:cNvSpPr txBox="1"/>
      </xdr:nvSpPr>
      <xdr:spPr>
        <a:xfrm>
          <a:off x="7467600" y="119824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50" name="TextBox 107">
          <a:extLst>
            <a:ext uri="{FF2B5EF4-FFF2-40B4-BE49-F238E27FC236}">
              <a16:creationId xmlns:a16="http://schemas.microsoft.com/office/drawing/2014/main" id="{00000000-0008-0000-0100-0000C2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51" name="TextBox 111">
          <a:extLst>
            <a:ext uri="{FF2B5EF4-FFF2-40B4-BE49-F238E27FC236}">
              <a16:creationId xmlns:a16="http://schemas.microsoft.com/office/drawing/2014/main" id="{00000000-0008-0000-0100-0000C3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4473345</xdr:colOff>
      <xdr:row>63</xdr:row>
      <xdr:rowOff>148571</xdr:rowOff>
    </xdr:to>
    <xdr:sp macro="" textlink="">
      <xdr:nvSpPr>
        <xdr:cNvPr id="452" name="TextBox 116">
          <a:extLst>
            <a:ext uri="{FF2B5EF4-FFF2-40B4-BE49-F238E27FC236}">
              <a16:creationId xmlns:a16="http://schemas.microsoft.com/office/drawing/2014/main" id="{00000000-0008-0000-0100-0000C4010000}"/>
            </a:ext>
          </a:extLst>
        </xdr:cNvPr>
        <xdr:cNvSpPr txBox="1"/>
      </xdr:nvSpPr>
      <xdr:spPr>
        <a:xfrm>
          <a:off x="7467600" y="119824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4420626</xdr:colOff>
      <xdr:row>63</xdr:row>
      <xdr:rowOff>131021</xdr:rowOff>
    </xdr:to>
    <xdr:sp macro="" textlink="">
      <xdr:nvSpPr>
        <xdr:cNvPr id="453" name="TextBox 119">
          <a:extLst>
            <a:ext uri="{FF2B5EF4-FFF2-40B4-BE49-F238E27FC236}">
              <a16:creationId xmlns:a16="http://schemas.microsoft.com/office/drawing/2014/main" id="{00000000-0008-0000-0100-0000C5010000}"/>
            </a:ext>
          </a:extLst>
        </xdr:cNvPr>
        <xdr:cNvSpPr txBox="1"/>
      </xdr:nvSpPr>
      <xdr:spPr>
        <a:xfrm>
          <a:off x="7467600" y="119824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4414161</xdr:colOff>
      <xdr:row>63</xdr:row>
      <xdr:rowOff>131021</xdr:rowOff>
    </xdr:to>
    <xdr:sp macro="" textlink="">
      <xdr:nvSpPr>
        <xdr:cNvPr id="454" name="TextBox 122">
          <a:extLst>
            <a:ext uri="{FF2B5EF4-FFF2-40B4-BE49-F238E27FC236}">
              <a16:creationId xmlns:a16="http://schemas.microsoft.com/office/drawing/2014/main" id="{00000000-0008-0000-0100-0000C6010000}"/>
            </a:ext>
          </a:extLst>
        </xdr:cNvPr>
        <xdr:cNvSpPr txBox="1"/>
      </xdr:nvSpPr>
      <xdr:spPr>
        <a:xfrm>
          <a:off x="7467600" y="119824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4420710</xdr:colOff>
      <xdr:row>63</xdr:row>
      <xdr:rowOff>131021</xdr:rowOff>
    </xdr:to>
    <xdr:sp macro="" textlink="">
      <xdr:nvSpPr>
        <xdr:cNvPr id="455" name="TextBox 125">
          <a:extLst>
            <a:ext uri="{FF2B5EF4-FFF2-40B4-BE49-F238E27FC236}">
              <a16:creationId xmlns:a16="http://schemas.microsoft.com/office/drawing/2014/main" id="{00000000-0008-0000-0100-0000C7010000}"/>
            </a:ext>
          </a:extLst>
        </xdr:cNvPr>
        <xdr:cNvSpPr txBox="1"/>
      </xdr:nvSpPr>
      <xdr:spPr>
        <a:xfrm>
          <a:off x="7467600" y="119824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4430328</xdr:colOff>
      <xdr:row>63</xdr:row>
      <xdr:rowOff>142570</xdr:rowOff>
    </xdr:to>
    <xdr:sp macro="" textlink="">
      <xdr:nvSpPr>
        <xdr:cNvPr id="456" name="TextBox 131">
          <a:extLst>
            <a:ext uri="{FF2B5EF4-FFF2-40B4-BE49-F238E27FC236}">
              <a16:creationId xmlns:a16="http://schemas.microsoft.com/office/drawing/2014/main" id="{00000000-0008-0000-0100-0000C8010000}"/>
            </a:ext>
          </a:extLst>
        </xdr:cNvPr>
        <xdr:cNvSpPr txBox="1"/>
      </xdr:nvSpPr>
      <xdr:spPr>
        <a:xfrm>
          <a:off x="7467600" y="119824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4411037</xdr:colOff>
      <xdr:row>63</xdr:row>
      <xdr:rowOff>117793</xdr:rowOff>
    </xdr:to>
    <xdr:sp macro="" textlink="">
      <xdr:nvSpPr>
        <xdr:cNvPr id="457" name="TextBox 134">
          <a:extLst>
            <a:ext uri="{FF2B5EF4-FFF2-40B4-BE49-F238E27FC236}">
              <a16:creationId xmlns:a16="http://schemas.microsoft.com/office/drawing/2014/main" id="{00000000-0008-0000-0100-0000C9010000}"/>
            </a:ext>
          </a:extLst>
        </xdr:cNvPr>
        <xdr:cNvSpPr txBox="1"/>
      </xdr:nvSpPr>
      <xdr:spPr>
        <a:xfrm>
          <a:off x="7467600" y="119824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58" name="TextBox 138">
          <a:extLst>
            <a:ext uri="{FF2B5EF4-FFF2-40B4-BE49-F238E27FC236}">
              <a16:creationId xmlns:a16="http://schemas.microsoft.com/office/drawing/2014/main" id="{00000000-0008-0000-0100-0000CA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59" name="TextBox 141">
          <a:extLst>
            <a:ext uri="{FF2B5EF4-FFF2-40B4-BE49-F238E27FC236}">
              <a16:creationId xmlns:a16="http://schemas.microsoft.com/office/drawing/2014/main" id="{00000000-0008-0000-0100-0000CB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4595228</xdr:colOff>
      <xdr:row>63</xdr:row>
      <xdr:rowOff>146147</xdr:rowOff>
    </xdr:to>
    <xdr:sp macro="" textlink="">
      <xdr:nvSpPr>
        <xdr:cNvPr id="460" name="TextBox 145">
          <a:extLst>
            <a:ext uri="{FF2B5EF4-FFF2-40B4-BE49-F238E27FC236}">
              <a16:creationId xmlns:a16="http://schemas.microsoft.com/office/drawing/2014/main" id="{00000000-0008-0000-0100-0000CC010000}"/>
            </a:ext>
          </a:extLst>
        </xdr:cNvPr>
        <xdr:cNvSpPr txBox="1"/>
      </xdr:nvSpPr>
      <xdr:spPr>
        <a:xfrm>
          <a:off x="7467600" y="119824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4418782</xdr:colOff>
      <xdr:row>63</xdr:row>
      <xdr:rowOff>158858</xdr:rowOff>
    </xdr:to>
    <xdr:sp macro="" textlink="">
      <xdr:nvSpPr>
        <xdr:cNvPr id="461" name="TextBox 150">
          <a:extLst>
            <a:ext uri="{FF2B5EF4-FFF2-40B4-BE49-F238E27FC236}">
              <a16:creationId xmlns:a16="http://schemas.microsoft.com/office/drawing/2014/main" id="{00000000-0008-0000-0100-0000CD010000}"/>
            </a:ext>
          </a:extLst>
        </xdr:cNvPr>
        <xdr:cNvSpPr txBox="1"/>
      </xdr:nvSpPr>
      <xdr:spPr>
        <a:xfrm>
          <a:off x="7467600" y="119824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4411166</xdr:colOff>
      <xdr:row>63</xdr:row>
      <xdr:rowOff>148748</xdr:rowOff>
    </xdr:to>
    <xdr:sp macro="" textlink="">
      <xdr:nvSpPr>
        <xdr:cNvPr id="462" name="TextBox 157">
          <a:extLst>
            <a:ext uri="{FF2B5EF4-FFF2-40B4-BE49-F238E27FC236}">
              <a16:creationId xmlns:a16="http://schemas.microsoft.com/office/drawing/2014/main" id="{00000000-0008-0000-0100-0000CE010000}"/>
            </a:ext>
          </a:extLst>
        </xdr:cNvPr>
        <xdr:cNvSpPr txBox="1"/>
      </xdr:nvSpPr>
      <xdr:spPr>
        <a:xfrm>
          <a:off x="7467600" y="119824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4411295</xdr:colOff>
      <xdr:row>63</xdr:row>
      <xdr:rowOff>148748</xdr:rowOff>
    </xdr:to>
    <xdr:sp macro="" textlink="">
      <xdr:nvSpPr>
        <xdr:cNvPr id="463" name="TextBox 162">
          <a:extLst>
            <a:ext uri="{FF2B5EF4-FFF2-40B4-BE49-F238E27FC236}">
              <a16:creationId xmlns:a16="http://schemas.microsoft.com/office/drawing/2014/main" id="{00000000-0008-0000-0100-0000CF010000}"/>
            </a:ext>
          </a:extLst>
        </xdr:cNvPr>
        <xdr:cNvSpPr txBox="1"/>
      </xdr:nvSpPr>
      <xdr:spPr>
        <a:xfrm>
          <a:off x="7467600" y="119824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4424221</xdr:colOff>
      <xdr:row>63</xdr:row>
      <xdr:rowOff>146384</xdr:rowOff>
    </xdr:to>
    <xdr:sp macro="" textlink="">
      <xdr:nvSpPr>
        <xdr:cNvPr id="464" name="TextBox 165">
          <a:extLst>
            <a:ext uri="{FF2B5EF4-FFF2-40B4-BE49-F238E27FC236}">
              <a16:creationId xmlns:a16="http://schemas.microsoft.com/office/drawing/2014/main" id="{00000000-0008-0000-0100-0000D0010000}"/>
            </a:ext>
          </a:extLst>
        </xdr:cNvPr>
        <xdr:cNvSpPr txBox="1"/>
      </xdr:nvSpPr>
      <xdr:spPr>
        <a:xfrm>
          <a:off x="7467600" y="119824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4424306</xdr:colOff>
      <xdr:row>63</xdr:row>
      <xdr:rowOff>146384</xdr:rowOff>
    </xdr:to>
    <xdr:sp macro="" textlink="">
      <xdr:nvSpPr>
        <xdr:cNvPr id="465" name="TextBox 169">
          <a:extLst>
            <a:ext uri="{FF2B5EF4-FFF2-40B4-BE49-F238E27FC236}">
              <a16:creationId xmlns:a16="http://schemas.microsoft.com/office/drawing/2014/main" id="{00000000-0008-0000-0100-0000D1010000}"/>
            </a:ext>
          </a:extLst>
        </xdr:cNvPr>
        <xdr:cNvSpPr txBox="1"/>
      </xdr:nvSpPr>
      <xdr:spPr>
        <a:xfrm>
          <a:off x="7467600" y="119824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4398966</xdr:colOff>
      <xdr:row>63</xdr:row>
      <xdr:rowOff>147652</xdr:rowOff>
    </xdr:to>
    <xdr:sp macro="" textlink="">
      <xdr:nvSpPr>
        <xdr:cNvPr id="466" name="TextBox 174">
          <a:extLst>
            <a:ext uri="{FF2B5EF4-FFF2-40B4-BE49-F238E27FC236}">
              <a16:creationId xmlns:a16="http://schemas.microsoft.com/office/drawing/2014/main" id="{00000000-0008-0000-0100-0000D2010000}"/>
            </a:ext>
          </a:extLst>
        </xdr:cNvPr>
        <xdr:cNvSpPr txBox="1"/>
      </xdr:nvSpPr>
      <xdr:spPr>
        <a:xfrm>
          <a:off x="7467600" y="11982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4394127</xdr:colOff>
      <xdr:row>63</xdr:row>
      <xdr:rowOff>155264</xdr:rowOff>
    </xdr:to>
    <xdr:sp macro="" textlink="">
      <xdr:nvSpPr>
        <xdr:cNvPr id="467" name="TextBox 176">
          <a:extLst>
            <a:ext uri="{FF2B5EF4-FFF2-40B4-BE49-F238E27FC236}">
              <a16:creationId xmlns:a16="http://schemas.microsoft.com/office/drawing/2014/main" id="{00000000-0008-0000-0100-0000D3010000}"/>
            </a:ext>
          </a:extLst>
        </xdr:cNvPr>
        <xdr:cNvSpPr txBox="1"/>
      </xdr:nvSpPr>
      <xdr:spPr>
        <a:xfrm>
          <a:off x="7467600" y="1198245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933450</xdr:colOff>
      <xdr:row>55</xdr:row>
      <xdr:rowOff>95250</xdr:rowOff>
    </xdr:from>
    <xdr:to>
      <xdr:col>4</xdr:col>
      <xdr:colOff>4489460</xdr:colOff>
      <xdr:row>64</xdr:row>
      <xdr:rowOff>60014</xdr:rowOff>
    </xdr:to>
    <xdr:sp macro="" textlink="">
      <xdr:nvSpPr>
        <xdr:cNvPr id="468" name="TextBox 179">
          <a:extLst>
            <a:ext uri="{FF2B5EF4-FFF2-40B4-BE49-F238E27FC236}">
              <a16:creationId xmlns:a16="http://schemas.microsoft.com/office/drawing/2014/main" id="{00000000-0008-0000-0100-0000D4010000}"/>
            </a:ext>
          </a:extLst>
        </xdr:cNvPr>
        <xdr:cNvSpPr txBox="1"/>
      </xdr:nvSpPr>
      <xdr:spPr>
        <a:xfrm>
          <a:off x="7467600" y="11982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4394210</xdr:colOff>
      <xdr:row>63</xdr:row>
      <xdr:rowOff>155264</xdr:rowOff>
    </xdr:to>
    <xdr:sp macro="" textlink="">
      <xdr:nvSpPr>
        <xdr:cNvPr id="469" name="TextBox 183">
          <a:extLst>
            <a:ext uri="{FF2B5EF4-FFF2-40B4-BE49-F238E27FC236}">
              <a16:creationId xmlns:a16="http://schemas.microsoft.com/office/drawing/2014/main" id="{00000000-0008-0000-0100-0000D5010000}"/>
            </a:ext>
          </a:extLst>
        </xdr:cNvPr>
        <xdr:cNvSpPr txBox="1"/>
      </xdr:nvSpPr>
      <xdr:spPr>
        <a:xfrm>
          <a:off x="7467600" y="11982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55</xdr:row>
      <xdr:rowOff>0</xdr:rowOff>
    </xdr:from>
    <xdr:to>
      <xdr:col>2</xdr:col>
      <xdr:colOff>7138169</xdr:colOff>
      <xdr:row>63</xdr:row>
      <xdr:rowOff>147652</xdr:rowOff>
    </xdr:to>
    <xdr:sp macro="" textlink="">
      <xdr:nvSpPr>
        <xdr:cNvPr id="470" name="TextBox 188">
          <a:extLst>
            <a:ext uri="{FF2B5EF4-FFF2-40B4-BE49-F238E27FC236}">
              <a16:creationId xmlns:a16="http://schemas.microsoft.com/office/drawing/2014/main" id="{00000000-0008-0000-0100-0000D6010000}"/>
            </a:ext>
          </a:extLst>
        </xdr:cNvPr>
        <xdr:cNvSpPr txBox="1"/>
      </xdr:nvSpPr>
      <xdr:spPr>
        <a:xfrm>
          <a:off x="2133600" y="11982450"/>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4382582</xdr:colOff>
      <xdr:row>63</xdr:row>
      <xdr:rowOff>155264</xdr:rowOff>
    </xdr:to>
    <xdr:sp macro="" textlink="">
      <xdr:nvSpPr>
        <xdr:cNvPr id="471" name="TextBox 191">
          <a:extLst>
            <a:ext uri="{FF2B5EF4-FFF2-40B4-BE49-F238E27FC236}">
              <a16:creationId xmlns:a16="http://schemas.microsoft.com/office/drawing/2014/main" id="{00000000-0008-0000-0100-0000D7010000}"/>
            </a:ext>
          </a:extLst>
        </xdr:cNvPr>
        <xdr:cNvSpPr txBox="1"/>
      </xdr:nvSpPr>
      <xdr:spPr>
        <a:xfrm>
          <a:off x="7467600" y="11982450"/>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4382665</xdr:colOff>
      <xdr:row>63</xdr:row>
      <xdr:rowOff>155264</xdr:rowOff>
    </xdr:to>
    <xdr:sp macro="" textlink="">
      <xdr:nvSpPr>
        <xdr:cNvPr id="472" name="TextBox 194">
          <a:extLst>
            <a:ext uri="{FF2B5EF4-FFF2-40B4-BE49-F238E27FC236}">
              <a16:creationId xmlns:a16="http://schemas.microsoft.com/office/drawing/2014/main" id="{00000000-0008-0000-0100-0000D8010000}"/>
            </a:ext>
          </a:extLst>
        </xdr:cNvPr>
        <xdr:cNvSpPr txBox="1"/>
      </xdr:nvSpPr>
      <xdr:spPr>
        <a:xfrm>
          <a:off x="7467600" y="1198245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4382665</xdr:colOff>
      <xdr:row>63</xdr:row>
      <xdr:rowOff>155264</xdr:rowOff>
    </xdr:to>
    <xdr:sp macro="" textlink="">
      <xdr:nvSpPr>
        <xdr:cNvPr id="473" name="TextBox 197">
          <a:extLst>
            <a:ext uri="{FF2B5EF4-FFF2-40B4-BE49-F238E27FC236}">
              <a16:creationId xmlns:a16="http://schemas.microsoft.com/office/drawing/2014/main" id="{00000000-0008-0000-0100-0000D9010000}"/>
            </a:ext>
          </a:extLst>
        </xdr:cNvPr>
        <xdr:cNvSpPr txBox="1"/>
      </xdr:nvSpPr>
      <xdr:spPr>
        <a:xfrm>
          <a:off x="7467600" y="1198245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4368044</xdr:colOff>
      <xdr:row>63</xdr:row>
      <xdr:rowOff>144786</xdr:rowOff>
    </xdr:to>
    <xdr:sp macro="" textlink="">
      <xdr:nvSpPr>
        <xdr:cNvPr id="474" name="TextBox 206">
          <a:extLst>
            <a:ext uri="{FF2B5EF4-FFF2-40B4-BE49-F238E27FC236}">
              <a16:creationId xmlns:a16="http://schemas.microsoft.com/office/drawing/2014/main" id="{00000000-0008-0000-0100-0000DA010000}"/>
            </a:ext>
          </a:extLst>
        </xdr:cNvPr>
        <xdr:cNvSpPr txBox="1"/>
      </xdr:nvSpPr>
      <xdr:spPr>
        <a:xfrm>
          <a:off x="7467600" y="1198245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4381043</xdr:colOff>
      <xdr:row>63</xdr:row>
      <xdr:rowOff>142429</xdr:rowOff>
    </xdr:to>
    <xdr:sp macro="" textlink="">
      <xdr:nvSpPr>
        <xdr:cNvPr id="475" name="TextBox 209">
          <a:extLst>
            <a:ext uri="{FF2B5EF4-FFF2-40B4-BE49-F238E27FC236}">
              <a16:creationId xmlns:a16="http://schemas.microsoft.com/office/drawing/2014/main" id="{00000000-0008-0000-0100-0000DB010000}"/>
            </a:ext>
          </a:extLst>
        </xdr:cNvPr>
        <xdr:cNvSpPr txBox="1"/>
      </xdr:nvSpPr>
      <xdr:spPr>
        <a:xfrm>
          <a:off x="7467600" y="1198245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76" name="TextBox 212">
          <a:extLst>
            <a:ext uri="{FF2B5EF4-FFF2-40B4-BE49-F238E27FC236}">
              <a16:creationId xmlns:a16="http://schemas.microsoft.com/office/drawing/2014/main" id="{00000000-0008-0000-0100-0000DC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77" name="TextBox 216">
          <a:extLst>
            <a:ext uri="{FF2B5EF4-FFF2-40B4-BE49-F238E27FC236}">
              <a16:creationId xmlns:a16="http://schemas.microsoft.com/office/drawing/2014/main" id="{00000000-0008-0000-0100-0000DD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4423426</xdr:colOff>
      <xdr:row>64</xdr:row>
      <xdr:rowOff>51557</xdr:rowOff>
    </xdr:to>
    <xdr:sp macro="" textlink="">
      <xdr:nvSpPr>
        <xdr:cNvPr id="478" name="TextBox 222">
          <a:extLst>
            <a:ext uri="{FF2B5EF4-FFF2-40B4-BE49-F238E27FC236}">
              <a16:creationId xmlns:a16="http://schemas.microsoft.com/office/drawing/2014/main" id="{00000000-0008-0000-0100-0000DE010000}"/>
            </a:ext>
          </a:extLst>
        </xdr:cNvPr>
        <xdr:cNvSpPr txBox="1"/>
      </xdr:nvSpPr>
      <xdr:spPr>
        <a:xfrm>
          <a:off x="7467600" y="119824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79" name="TextBox 225">
          <a:extLst>
            <a:ext uri="{FF2B5EF4-FFF2-40B4-BE49-F238E27FC236}">
              <a16:creationId xmlns:a16="http://schemas.microsoft.com/office/drawing/2014/main" id="{00000000-0008-0000-0100-0000DF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80" name="TextBox 229">
          <a:extLst>
            <a:ext uri="{FF2B5EF4-FFF2-40B4-BE49-F238E27FC236}">
              <a16:creationId xmlns:a16="http://schemas.microsoft.com/office/drawing/2014/main" id="{00000000-0008-0000-0100-0000E0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4473345</xdr:colOff>
      <xdr:row>63</xdr:row>
      <xdr:rowOff>148571</xdr:rowOff>
    </xdr:to>
    <xdr:sp macro="" textlink="">
      <xdr:nvSpPr>
        <xdr:cNvPr id="481" name="TextBox 234">
          <a:extLst>
            <a:ext uri="{FF2B5EF4-FFF2-40B4-BE49-F238E27FC236}">
              <a16:creationId xmlns:a16="http://schemas.microsoft.com/office/drawing/2014/main" id="{00000000-0008-0000-0100-0000E1010000}"/>
            </a:ext>
          </a:extLst>
        </xdr:cNvPr>
        <xdr:cNvSpPr txBox="1"/>
      </xdr:nvSpPr>
      <xdr:spPr>
        <a:xfrm>
          <a:off x="7467600" y="119824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4420626</xdr:colOff>
      <xdr:row>63</xdr:row>
      <xdr:rowOff>131021</xdr:rowOff>
    </xdr:to>
    <xdr:sp macro="" textlink="">
      <xdr:nvSpPr>
        <xdr:cNvPr id="482" name="TextBox 237">
          <a:extLst>
            <a:ext uri="{FF2B5EF4-FFF2-40B4-BE49-F238E27FC236}">
              <a16:creationId xmlns:a16="http://schemas.microsoft.com/office/drawing/2014/main" id="{00000000-0008-0000-0100-0000E2010000}"/>
            </a:ext>
          </a:extLst>
        </xdr:cNvPr>
        <xdr:cNvSpPr txBox="1"/>
      </xdr:nvSpPr>
      <xdr:spPr>
        <a:xfrm>
          <a:off x="7467600" y="119824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4414161</xdr:colOff>
      <xdr:row>63</xdr:row>
      <xdr:rowOff>131021</xdr:rowOff>
    </xdr:to>
    <xdr:sp macro="" textlink="">
      <xdr:nvSpPr>
        <xdr:cNvPr id="483" name="TextBox 240">
          <a:extLst>
            <a:ext uri="{FF2B5EF4-FFF2-40B4-BE49-F238E27FC236}">
              <a16:creationId xmlns:a16="http://schemas.microsoft.com/office/drawing/2014/main" id="{00000000-0008-0000-0100-0000E3010000}"/>
            </a:ext>
          </a:extLst>
        </xdr:cNvPr>
        <xdr:cNvSpPr txBox="1"/>
      </xdr:nvSpPr>
      <xdr:spPr>
        <a:xfrm>
          <a:off x="7467600" y="119824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4420710</xdr:colOff>
      <xdr:row>63</xdr:row>
      <xdr:rowOff>131021</xdr:rowOff>
    </xdr:to>
    <xdr:sp macro="" textlink="">
      <xdr:nvSpPr>
        <xdr:cNvPr id="484" name="TextBox 243">
          <a:extLst>
            <a:ext uri="{FF2B5EF4-FFF2-40B4-BE49-F238E27FC236}">
              <a16:creationId xmlns:a16="http://schemas.microsoft.com/office/drawing/2014/main" id="{00000000-0008-0000-0100-0000E4010000}"/>
            </a:ext>
          </a:extLst>
        </xdr:cNvPr>
        <xdr:cNvSpPr txBox="1"/>
      </xdr:nvSpPr>
      <xdr:spPr>
        <a:xfrm>
          <a:off x="7467600" y="119824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4430328</xdr:colOff>
      <xdr:row>63</xdr:row>
      <xdr:rowOff>142570</xdr:rowOff>
    </xdr:to>
    <xdr:sp macro="" textlink="">
      <xdr:nvSpPr>
        <xdr:cNvPr id="485" name="TextBox 249">
          <a:extLst>
            <a:ext uri="{FF2B5EF4-FFF2-40B4-BE49-F238E27FC236}">
              <a16:creationId xmlns:a16="http://schemas.microsoft.com/office/drawing/2014/main" id="{00000000-0008-0000-0100-0000E5010000}"/>
            </a:ext>
          </a:extLst>
        </xdr:cNvPr>
        <xdr:cNvSpPr txBox="1"/>
      </xdr:nvSpPr>
      <xdr:spPr>
        <a:xfrm>
          <a:off x="7467600" y="119824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4411037</xdr:colOff>
      <xdr:row>63</xdr:row>
      <xdr:rowOff>117793</xdr:rowOff>
    </xdr:to>
    <xdr:sp macro="" textlink="">
      <xdr:nvSpPr>
        <xdr:cNvPr id="486" name="TextBox 252">
          <a:extLst>
            <a:ext uri="{FF2B5EF4-FFF2-40B4-BE49-F238E27FC236}">
              <a16:creationId xmlns:a16="http://schemas.microsoft.com/office/drawing/2014/main" id="{00000000-0008-0000-0100-0000E6010000}"/>
            </a:ext>
          </a:extLst>
        </xdr:cNvPr>
        <xdr:cNvSpPr txBox="1"/>
      </xdr:nvSpPr>
      <xdr:spPr>
        <a:xfrm>
          <a:off x="7467600" y="119824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87" name="TextBox 256">
          <a:extLst>
            <a:ext uri="{FF2B5EF4-FFF2-40B4-BE49-F238E27FC236}">
              <a16:creationId xmlns:a16="http://schemas.microsoft.com/office/drawing/2014/main" id="{00000000-0008-0000-0100-0000E7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88" name="TextBox 259">
          <a:extLst>
            <a:ext uri="{FF2B5EF4-FFF2-40B4-BE49-F238E27FC236}">
              <a16:creationId xmlns:a16="http://schemas.microsoft.com/office/drawing/2014/main" id="{00000000-0008-0000-0100-0000E8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4595228</xdr:colOff>
      <xdr:row>63</xdr:row>
      <xdr:rowOff>146147</xdr:rowOff>
    </xdr:to>
    <xdr:sp macro="" textlink="">
      <xdr:nvSpPr>
        <xdr:cNvPr id="489" name="TextBox 263">
          <a:extLst>
            <a:ext uri="{FF2B5EF4-FFF2-40B4-BE49-F238E27FC236}">
              <a16:creationId xmlns:a16="http://schemas.microsoft.com/office/drawing/2014/main" id="{00000000-0008-0000-0100-0000E9010000}"/>
            </a:ext>
          </a:extLst>
        </xdr:cNvPr>
        <xdr:cNvSpPr txBox="1"/>
      </xdr:nvSpPr>
      <xdr:spPr>
        <a:xfrm>
          <a:off x="7467600" y="119824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4418782</xdr:colOff>
      <xdr:row>63</xdr:row>
      <xdr:rowOff>158858</xdr:rowOff>
    </xdr:to>
    <xdr:sp macro="" textlink="">
      <xdr:nvSpPr>
        <xdr:cNvPr id="490" name="TextBox 268">
          <a:extLst>
            <a:ext uri="{FF2B5EF4-FFF2-40B4-BE49-F238E27FC236}">
              <a16:creationId xmlns:a16="http://schemas.microsoft.com/office/drawing/2014/main" id="{00000000-0008-0000-0100-0000EA010000}"/>
            </a:ext>
          </a:extLst>
        </xdr:cNvPr>
        <xdr:cNvSpPr txBox="1"/>
      </xdr:nvSpPr>
      <xdr:spPr>
        <a:xfrm>
          <a:off x="7467600" y="119824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4411166</xdr:colOff>
      <xdr:row>63</xdr:row>
      <xdr:rowOff>148748</xdr:rowOff>
    </xdr:to>
    <xdr:sp macro="" textlink="">
      <xdr:nvSpPr>
        <xdr:cNvPr id="491" name="TextBox 275">
          <a:extLst>
            <a:ext uri="{FF2B5EF4-FFF2-40B4-BE49-F238E27FC236}">
              <a16:creationId xmlns:a16="http://schemas.microsoft.com/office/drawing/2014/main" id="{00000000-0008-0000-0100-0000EB010000}"/>
            </a:ext>
          </a:extLst>
        </xdr:cNvPr>
        <xdr:cNvSpPr txBox="1"/>
      </xdr:nvSpPr>
      <xdr:spPr>
        <a:xfrm>
          <a:off x="7467600" y="119824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4411295</xdr:colOff>
      <xdr:row>63</xdr:row>
      <xdr:rowOff>148748</xdr:rowOff>
    </xdr:to>
    <xdr:sp macro="" textlink="">
      <xdr:nvSpPr>
        <xdr:cNvPr id="492" name="TextBox 280">
          <a:extLst>
            <a:ext uri="{FF2B5EF4-FFF2-40B4-BE49-F238E27FC236}">
              <a16:creationId xmlns:a16="http://schemas.microsoft.com/office/drawing/2014/main" id="{00000000-0008-0000-0100-0000EC010000}"/>
            </a:ext>
          </a:extLst>
        </xdr:cNvPr>
        <xdr:cNvSpPr txBox="1"/>
      </xdr:nvSpPr>
      <xdr:spPr>
        <a:xfrm>
          <a:off x="7467600" y="119824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4424221</xdr:colOff>
      <xdr:row>63</xdr:row>
      <xdr:rowOff>146384</xdr:rowOff>
    </xdr:to>
    <xdr:sp macro="" textlink="">
      <xdr:nvSpPr>
        <xdr:cNvPr id="493" name="TextBox 283">
          <a:extLst>
            <a:ext uri="{FF2B5EF4-FFF2-40B4-BE49-F238E27FC236}">
              <a16:creationId xmlns:a16="http://schemas.microsoft.com/office/drawing/2014/main" id="{00000000-0008-0000-0100-0000ED010000}"/>
            </a:ext>
          </a:extLst>
        </xdr:cNvPr>
        <xdr:cNvSpPr txBox="1"/>
      </xdr:nvSpPr>
      <xdr:spPr>
        <a:xfrm>
          <a:off x="7467600" y="119824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4424306</xdr:colOff>
      <xdr:row>63</xdr:row>
      <xdr:rowOff>146384</xdr:rowOff>
    </xdr:to>
    <xdr:sp macro="" textlink="">
      <xdr:nvSpPr>
        <xdr:cNvPr id="494" name="TextBox 287">
          <a:extLst>
            <a:ext uri="{FF2B5EF4-FFF2-40B4-BE49-F238E27FC236}">
              <a16:creationId xmlns:a16="http://schemas.microsoft.com/office/drawing/2014/main" id="{00000000-0008-0000-0100-0000EE010000}"/>
            </a:ext>
          </a:extLst>
        </xdr:cNvPr>
        <xdr:cNvSpPr txBox="1"/>
      </xdr:nvSpPr>
      <xdr:spPr>
        <a:xfrm>
          <a:off x="7467600" y="119824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4368044</xdr:colOff>
      <xdr:row>63</xdr:row>
      <xdr:rowOff>144786</xdr:rowOff>
    </xdr:to>
    <xdr:sp macro="" textlink="">
      <xdr:nvSpPr>
        <xdr:cNvPr id="495" name="TextBox 292">
          <a:extLst>
            <a:ext uri="{FF2B5EF4-FFF2-40B4-BE49-F238E27FC236}">
              <a16:creationId xmlns:a16="http://schemas.microsoft.com/office/drawing/2014/main" id="{00000000-0008-0000-0100-0000EF010000}"/>
            </a:ext>
          </a:extLst>
        </xdr:cNvPr>
        <xdr:cNvSpPr txBox="1"/>
      </xdr:nvSpPr>
      <xdr:spPr>
        <a:xfrm>
          <a:off x="7467600" y="1198245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4381043</xdr:colOff>
      <xdr:row>63</xdr:row>
      <xdr:rowOff>142429</xdr:rowOff>
    </xdr:to>
    <xdr:sp macro="" textlink="">
      <xdr:nvSpPr>
        <xdr:cNvPr id="496" name="TextBox 295">
          <a:extLst>
            <a:ext uri="{FF2B5EF4-FFF2-40B4-BE49-F238E27FC236}">
              <a16:creationId xmlns:a16="http://schemas.microsoft.com/office/drawing/2014/main" id="{00000000-0008-0000-0100-0000F0010000}"/>
            </a:ext>
          </a:extLst>
        </xdr:cNvPr>
        <xdr:cNvSpPr txBox="1"/>
      </xdr:nvSpPr>
      <xdr:spPr>
        <a:xfrm>
          <a:off x="7467600" y="1198245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97" name="TextBox 298">
          <a:extLst>
            <a:ext uri="{FF2B5EF4-FFF2-40B4-BE49-F238E27FC236}">
              <a16:creationId xmlns:a16="http://schemas.microsoft.com/office/drawing/2014/main" id="{00000000-0008-0000-0100-0000F1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98" name="TextBox 302">
          <a:extLst>
            <a:ext uri="{FF2B5EF4-FFF2-40B4-BE49-F238E27FC236}">
              <a16:creationId xmlns:a16="http://schemas.microsoft.com/office/drawing/2014/main" id="{00000000-0008-0000-0100-0000F2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4423426</xdr:colOff>
      <xdr:row>64</xdr:row>
      <xdr:rowOff>51557</xdr:rowOff>
    </xdr:to>
    <xdr:sp macro="" textlink="">
      <xdr:nvSpPr>
        <xdr:cNvPr id="499" name="TextBox 308">
          <a:extLst>
            <a:ext uri="{FF2B5EF4-FFF2-40B4-BE49-F238E27FC236}">
              <a16:creationId xmlns:a16="http://schemas.microsoft.com/office/drawing/2014/main" id="{00000000-0008-0000-0100-0000F3010000}"/>
            </a:ext>
          </a:extLst>
        </xdr:cNvPr>
        <xdr:cNvSpPr txBox="1"/>
      </xdr:nvSpPr>
      <xdr:spPr>
        <a:xfrm>
          <a:off x="7467600" y="119824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500" name="TextBox 311">
          <a:extLst>
            <a:ext uri="{FF2B5EF4-FFF2-40B4-BE49-F238E27FC236}">
              <a16:creationId xmlns:a16="http://schemas.microsoft.com/office/drawing/2014/main" id="{00000000-0008-0000-0100-0000F4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501" name="TextBox 315">
          <a:extLst>
            <a:ext uri="{FF2B5EF4-FFF2-40B4-BE49-F238E27FC236}">
              <a16:creationId xmlns:a16="http://schemas.microsoft.com/office/drawing/2014/main" id="{00000000-0008-0000-0100-0000F5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4473345</xdr:colOff>
      <xdr:row>63</xdr:row>
      <xdr:rowOff>148571</xdr:rowOff>
    </xdr:to>
    <xdr:sp macro="" textlink="">
      <xdr:nvSpPr>
        <xdr:cNvPr id="502" name="TextBox 320">
          <a:extLst>
            <a:ext uri="{FF2B5EF4-FFF2-40B4-BE49-F238E27FC236}">
              <a16:creationId xmlns:a16="http://schemas.microsoft.com/office/drawing/2014/main" id="{00000000-0008-0000-0100-0000F6010000}"/>
            </a:ext>
          </a:extLst>
        </xdr:cNvPr>
        <xdr:cNvSpPr txBox="1"/>
      </xdr:nvSpPr>
      <xdr:spPr>
        <a:xfrm>
          <a:off x="7467600" y="119824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4420626</xdr:colOff>
      <xdr:row>63</xdr:row>
      <xdr:rowOff>131021</xdr:rowOff>
    </xdr:to>
    <xdr:sp macro="" textlink="">
      <xdr:nvSpPr>
        <xdr:cNvPr id="503" name="TextBox 323">
          <a:extLst>
            <a:ext uri="{FF2B5EF4-FFF2-40B4-BE49-F238E27FC236}">
              <a16:creationId xmlns:a16="http://schemas.microsoft.com/office/drawing/2014/main" id="{00000000-0008-0000-0100-0000F7010000}"/>
            </a:ext>
          </a:extLst>
        </xdr:cNvPr>
        <xdr:cNvSpPr txBox="1"/>
      </xdr:nvSpPr>
      <xdr:spPr>
        <a:xfrm>
          <a:off x="7467600" y="119824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4414161</xdr:colOff>
      <xdr:row>63</xdr:row>
      <xdr:rowOff>131021</xdr:rowOff>
    </xdr:to>
    <xdr:sp macro="" textlink="">
      <xdr:nvSpPr>
        <xdr:cNvPr id="504" name="TextBox 326">
          <a:extLst>
            <a:ext uri="{FF2B5EF4-FFF2-40B4-BE49-F238E27FC236}">
              <a16:creationId xmlns:a16="http://schemas.microsoft.com/office/drawing/2014/main" id="{00000000-0008-0000-0100-0000F8010000}"/>
            </a:ext>
          </a:extLst>
        </xdr:cNvPr>
        <xdr:cNvSpPr txBox="1"/>
      </xdr:nvSpPr>
      <xdr:spPr>
        <a:xfrm>
          <a:off x="7467600" y="119824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4420710</xdr:colOff>
      <xdr:row>63</xdr:row>
      <xdr:rowOff>131021</xdr:rowOff>
    </xdr:to>
    <xdr:sp macro="" textlink="">
      <xdr:nvSpPr>
        <xdr:cNvPr id="505" name="TextBox 329">
          <a:extLst>
            <a:ext uri="{FF2B5EF4-FFF2-40B4-BE49-F238E27FC236}">
              <a16:creationId xmlns:a16="http://schemas.microsoft.com/office/drawing/2014/main" id="{00000000-0008-0000-0100-0000F9010000}"/>
            </a:ext>
          </a:extLst>
        </xdr:cNvPr>
        <xdr:cNvSpPr txBox="1"/>
      </xdr:nvSpPr>
      <xdr:spPr>
        <a:xfrm>
          <a:off x="7467600" y="119824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4430328</xdr:colOff>
      <xdr:row>63</xdr:row>
      <xdr:rowOff>142570</xdr:rowOff>
    </xdr:to>
    <xdr:sp macro="" textlink="">
      <xdr:nvSpPr>
        <xdr:cNvPr id="506" name="TextBox 335">
          <a:extLst>
            <a:ext uri="{FF2B5EF4-FFF2-40B4-BE49-F238E27FC236}">
              <a16:creationId xmlns:a16="http://schemas.microsoft.com/office/drawing/2014/main" id="{00000000-0008-0000-0100-0000FA010000}"/>
            </a:ext>
          </a:extLst>
        </xdr:cNvPr>
        <xdr:cNvSpPr txBox="1"/>
      </xdr:nvSpPr>
      <xdr:spPr>
        <a:xfrm>
          <a:off x="7467600" y="119824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4411037</xdr:colOff>
      <xdr:row>63</xdr:row>
      <xdr:rowOff>117793</xdr:rowOff>
    </xdr:to>
    <xdr:sp macro="" textlink="">
      <xdr:nvSpPr>
        <xdr:cNvPr id="507" name="TextBox 338">
          <a:extLst>
            <a:ext uri="{FF2B5EF4-FFF2-40B4-BE49-F238E27FC236}">
              <a16:creationId xmlns:a16="http://schemas.microsoft.com/office/drawing/2014/main" id="{00000000-0008-0000-0100-0000FB010000}"/>
            </a:ext>
          </a:extLst>
        </xdr:cNvPr>
        <xdr:cNvSpPr txBox="1"/>
      </xdr:nvSpPr>
      <xdr:spPr>
        <a:xfrm>
          <a:off x="7467600" y="119824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508" name="TextBox 342">
          <a:extLst>
            <a:ext uri="{FF2B5EF4-FFF2-40B4-BE49-F238E27FC236}">
              <a16:creationId xmlns:a16="http://schemas.microsoft.com/office/drawing/2014/main" id="{00000000-0008-0000-0100-0000FC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509" name="TextBox 345">
          <a:extLst>
            <a:ext uri="{FF2B5EF4-FFF2-40B4-BE49-F238E27FC236}">
              <a16:creationId xmlns:a16="http://schemas.microsoft.com/office/drawing/2014/main" id="{00000000-0008-0000-0100-0000FD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4595228</xdr:colOff>
      <xdr:row>63</xdr:row>
      <xdr:rowOff>146147</xdr:rowOff>
    </xdr:to>
    <xdr:sp macro="" textlink="">
      <xdr:nvSpPr>
        <xdr:cNvPr id="510" name="TextBox 349">
          <a:extLst>
            <a:ext uri="{FF2B5EF4-FFF2-40B4-BE49-F238E27FC236}">
              <a16:creationId xmlns:a16="http://schemas.microsoft.com/office/drawing/2014/main" id="{00000000-0008-0000-0100-0000FE010000}"/>
            </a:ext>
          </a:extLst>
        </xdr:cNvPr>
        <xdr:cNvSpPr txBox="1"/>
      </xdr:nvSpPr>
      <xdr:spPr>
        <a:xfrm>
          <a:off x="7467600" y="119824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4418782</xdr:colOff>
      <xdr:row>63</xdr:row>
      <xdr:rowOff>158858</xdr:rowOff>
    </xdr:to>
    <xdr:sp macro="" textlink="">
      <xdr:nvSpPr>
        <xdr:cNvPr id="511" name="TextBox 354">
          <a:extLst>
            <a:ext uri="{FF2B5EF4-FFF2-40B4-BE49-F238E27FC236}">
              <a16:creationId xmlns:a16="http://schemas.microsoft.com/office/drawing/2014/main" id="{00000000-0008-0000-0100-0000FF010000}"/>
            </a:ext>
          </a:extLst>
        </xdr:cNvPr>
        <xdr:cNvSpPr txBox="1"/>
      </xdr:nvSpPr>
      <xdr:spPr>
        <a:xfrm>
          <a:off x="7467600" y="119824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4411166</xdr:colOff>
      <xdr:row>63</xdr:row>
      <xdr:rowOff>148748</xdr:rowOff>
    </xdr:to>
    <xdr:sp macro="" textlink="">
      <xdr:nvSpPr>
        <xdr:cNvPr id="512" name="TextBox 361">
          <a:extLst>
            <a:ext uri="{FF2B5EF4-FFF2-40B4-BE49-F238E27FC236}">
              <a16:creationId xmlns:a16="http://schemas.microsoft.com/office/drawing/2014/main" id="{00000000-0008-0000-0100-000000020000}"/>
            </a:ext>
          </a:extLst>
        </xdr:cNvPr>
        <xdr:cNvSpPr txBox="1"/>
      </xdr:nvSpPr>
      <xdr:spPr>
        <a:xfrm>
          <a:off x="7467600" y="119824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4411295</xdr:colOff>
      <xdr:row>63</xdr:row>
      <xdr:rowOff>148748</xdr:rowOff>
    </xdr:to>
    <xdr:sp macro="" textlink="">
      <xdr:nvSpPr>
        <xdr:cNvPr id="513" name="TextBox 366">
          <a:extLst>
            <a:ext uri="{FF2B5EF4-FFF2-40B4-BE49-F238E27FC236}">
              <a16:creationId xmlns:a16="http://schemas.microsoft.com/office/drawing/2014/main" id="{00000000-0008-0000-0100-000001020000}"/>
            </a:ext>
          </a:extLst>
        </xdr:cNvPr>
        <xdr:cNvSpPr txBox="1"/>
      </xdr:nvSpPr>
      <xdr:spPr>
        <a:xfrm>
          <a:off x="7467600" y="119824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4424221</xdr:colOff>
      <xdr:row>63</xdr:row>
      <xdr:rowOff>146384</xdr:rowOff>
    </xdr:to>
    <xdr:sp macro="" textlink="">
      <xdr:nvSpPr>
        <xdr:cNvPr id="514" name="TextBox 369">
          <a:extLst>
            <a:ext uri="{FF2B5EF4-FFF2-40B4-BE49-F238E27FC236}">
              <a16:creationId xmlns:a16="http://schemas.microsoft.com/office/drawing/2014/main" id="{00000000-0008-0000-0100-000002020000}"/>
            </a:ext>
          </a:extLst>
        </xdr:cNvPr>
        <xdr:cNvSpPr txBox="1"/>
      </xdr:nvSpPr>
      <xdr:spPr>
        <a:xfrm>
          <a:off x="7467600" y="119824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4424306</xdr:colOff>
      <xdr:row>63</xdr:row>
      <xdr:rowOff>146384</xdr:rowOff>
    </xdr:to>
    <xdr:sp macro="" textlink="">
      <xdr:nvSpPr>
        <xdr:cNvPr id="515" name="TextBox 373">
          <a:extLst>
            <a:ext uri="{FF2B5EF4-FFF2-40B4-BE49-F238E27FC236}">
              <a16:creationId xmlns:a16="http://schemas.microsoft.com/office/drawing/2014/main" id="{00000000-0008-0000-0100-000003020000}"/>
            </a:ext>
          </a:extLst>
        </xdr:cNvPr>
        <xdr:cNvSpPr txBox="1"/>
      </xdr:nvSpPr>
      <xdr:spPr>
        <a:xfrm>
          <a:off x="7467600" y="119824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4398966</xdr:colOff>
      <xdr:row>63</xdr:row>
      <xdr:rowOff>147652</xdr:rowOff>
    </xdr:to>
    <xdr:sp macro="" textlink="">
      <xdr:nvSpPr>
        <xdr:cNvPr id="516" name="TextBox 378">
          <a:extLst>
            <a:ext uri="{FF2B5EF4-FFF2-40B4-BE49-F238E27FC236}">
              <a16:creationId xmlns:a16="http://schemas.microsoft.com/office/drawing/2014/main" id="{00000000-0008-0000-0100-000004020000}"/>
            </a:ext>
          </a:extLst>
        </xdr:cNvPr>
        <xdr:cNvSpPr txBox="1"/>
      </xdr:nvSpPr>
      <xdr:spPr>
        <a:xfrm>
          <a:off x="7467600" y="11982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2545080</xdr:colOff>
      <xdr:row>55</xdr:row>
      <xdr:rowOff>0</xdr:rowOff>
    </xdr:from>
    <xdr:to>
      <xdr:col>4</xdr:col>
      <xdr:colOff>4394127</xdr:colOff>
      <xdr:row>57</xdr:row>
      <xdr:rowOff>68580</xdr:rowOff>
    </xdr:to>
    <xdr:sp macro="" textlink="">
      <xdr:nvSpPr>
        <xdr:cNvPr id="517" name="TextBox 380">
          <a:extLst>
            <a:ext uri="{FF2B5EF4-FFF2-40B4-BE49-F238E27FC236}">
              <a16:creationId xmlns:a16="http://schemas.microsoft.com/office/drawing/2014/main" id="{00000000-0008-0000-0100-000005020000}"/>
            </a:ext>
          </a:extLst>
        </xdr:cNvPr>
        <xdr:cNvSpPr txBox="1"/>
      </xdr:nvSpPr>
      <xdr:spPr>
        <a:xfrm>
          <a:off x="11468100" y="18859500"/>
          <a:ext cx="1849047" cy="44958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1409700</xdr:colOff>
      <xdr:row>56</xdr:row>
      <xdr:rowOff>182880</xdr:rowOff>
    </xdr:from>
    <xdr:to>
      <xdr:col>4</xdr:col>
      <xdr:colOff>3040380</xdr:colOff>
      <xdr:row>57</xdr:row>
      <xdr:rowOff>175260</xdr:rowOff>
    </xdr:to>
    <xdr:sp macro="" textlink="">
      <xdr:nvSpPr>
        <xdr:cNvPr id="518" name="TextBox 383">
          <a:extLst>
            <a:ext uri="{FF2B5EF4-FFF2-40B4-BE49-F238E27FC236}">
              <a16:creationId xmlns:a16="http://schemas.microsoft.com/office/drawing/2014/main" id="{00000000-0008-0000-0100-000006020000}"/>
            </a:ext>
          </a:extLst>
        </xdr:cNvPr>
        <xdr:cNvSpPr txBox="1"/>
      </xdr:nvSpPr>
      <xdr:spPr>
        <a:xfrm>
          <a:off x="10332720" y="19232880"/>
          <a:ext cx="1630680" cy="18288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302444</xdr:rowOff>
    </xdr:to>
    <xdr:sp macro="" textlink="">
      <xdr:nvSpPr>
        <xdr:cNvPr id="519" name="TextBox 1">
          <a:extLst>
            <a:ext uri="{FF2B5EF4-FFF2-40B4-BE49-F238E27FC236}">
              <a16:creationId xmlns:a16="http://schemas.microsoft.com/office/drawing/2014/main" id="{00000000-0008-0000-0100-000007020000}"/>
            </a:ext>
          </a:extLst>
        </xdr:cNvPr>
        <xdr:cNvSpPr txBox="1"/>
      </xdr:nvSpPr>
      <xdr:spPr>
        <a:xfrm>
          <a:off x="7467600" y="150590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295177</xdr:rowOff>
    </xdr:to>
    <xdr:sp macro="" textlink="">
      <xdr:nvSpPr>
        <xdr:cNvPr id="520" name="TextBox 3">
          <a:extLst>
            <a:ext uri="{FF2B5EF4-FFF2-40B4-BE49-F238E27FC236}">
              <a16:creationId xmlns:a16="http://schemas.microsoft.com/office/drawing/2014/main" id="{00000000-0008-0000-0100-000008020000}"/>
            </a:ext>
          </a:extLst>
        </xdr:cNvPr>
        <xdr:cNvSpPr txBox="1"/>
      </xdr:nvSpPr>
      <xdr:spPr>
        <a:xfrm>
          <a:off x="7467600" y="150590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21" name="TextBox 4">
          <a:extLst>
            <a:ext uri="{FF2B5EF4-FFF2-40B4-BE49-F238E27FC236}">
              <a16:creationId xmlns:a16="http://schemas.microsoft.com/office/drawing/2014/main" id="{00000000-0008-0000-0100-000009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4381043</xdr:colOff>
      <xdr:row>70</xdr:row>
      <xdr:rowOff>295177</xdr:rowOff>
    </xdr:to>
    <xdr:sp macro="" textlink="">
      <xdr:nvSpPr>
        <xdr:cNvPr id="522" name="TextBox 6">
          <a:extLst>
            <a:ext uri="{FF2B5EF4-FFF2-40B4-BE49-F238E27FC236}">
              <a16:creationId xmlns:a16="http://schemas.microsoft.com/office/drawing/2014/main" id="{00000000-0008-0000-0100-00000A020000}"/>
            </a:ext>
          </a:extLst>
        </xdr:cNvPr>
        <xdr:cNvSpPr txBox="1"/>
      </xdr:nvSpPr>
      <xdr:spPr>
        <a:xfrm>
          <a:off x="7467600" y="150590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23" name="TextBox 7">
          <a:extLst>
            <a:ext uri="{FF2B5EF4-FFF2-40B4-BE49-F238E27FC236}">
              <a16:creationId xmlns:a16="http://schemas.microsoft.com/office/drawing/2014/main" id="{00000000-0008-0000-0100-00000B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24" name="TextBox 9">
          <a:extLst>
            <a:ext uri="{FF2B5EF4-FFF2-40B4-BE49-F238E27FC236}">
              <a16:creationId xmlns:a16="http://schemas.microsoft.com/office/drawing/2014/main" id="{00000000-0008-0000-0100-00000C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4369563</xdr:colOff>
      <xdr:row>70</xdr:row>
      <xdr:rowOff>295177</xdr:rowOff>
    </xdr:to>
    <xdr:sp macro="" textlink="">
      <xdr:nvSpPr>
        <xdr:cNvPr id="525" name="TextBox 10">
          <a:extLst>
            <a:ext uri="{FF2B5EF4-FFF2-40B4-BE49-F238E27FC236}">
              <a16:creationId xmlns:a16="http://schemas.microsoft.com/office/drawing/2014/main" id="{00000000-0008-0000-0100-00000D020000}"/>
            </a:ext>
          </a:extLst>
        </xdr:cNvPr>
        <xdr:cNvSpPr txBox="1"/>
      </xdr:nvSpPr>
      <xdr:spPr>
        <a:xfrm>
          <a:off x="7467600" y="150590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4283397</xdr:colOff>
      <xdr:row>70</xdr:row>
      <xdr:rowOff>295177</xdr:rowOff>
    </xdr:to>
    <xdr:sp macro="" textlink="">
      <xdr:nvSpPr>
        <xdr:cNvPr id="526" name="TextBox 11">
          <a:extLst>
            <a:ext uri="{FF2B5EF4-FFF2-40B4-BE49-F238E27FC236}">
              <a16:creationId xmlns:a16="http://schemas.microsoft.com/office/drawing/2014/main" id="{00000000-0008-0000-0100-00000E020000}"/>
            </a:ext>
          </a:extLst>
        </xdr:cNvPr>
        <xdr:cNvSpPr txBox="1"/>
      </xdr:nvSpPr>
      <xdr:spPr>
        <a:xfrm>
          <a:off x="7467600" y="150590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27" name="TextBox 13">
          <a:extLst>
            <a:ext uri="{FF2B5EF4-FFF2-40B4-BE49-F238E27FC236}">
              <a16:creationId xmlns:a16="http://schemas.microsoft.com/office/drawing/2014/main" id="{00000000-0008-0000-0100-00000F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239296</xdr:rowOff>
    </xdr:to>
    <xdr:sp macro="" textlink="">
      <xdr:nvSpPr>
        <xdr:cNvPr id="528" name="TextBox 17">
          <a:extLst>
            <a:ext uri="{FF2B5EF4-FFF2-40B4-BE49-F238E27FC236}">
              <a16:creationId xmlns:a16="http://schemas.microsoft.com/office/drawing/2014/main" id="{00000000-0008-0000-0100-000010020000}"/>
            </a:ext>
          </a:extLst>
        </xdr:cNvPr>
        <xdr:cNvSpPr txBox="1"/>
      </xdr:nvSpPr>
      <xdr:spPr>
        <a:xfrm>
          <a:off x="7467600" y="150590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206133</xdr:rowOff>
    </xdr:to>
    <xdr:sp macro="" textlink="">
      <xdr:nvSpPr>
        <xdr:cNvPr id="529" name="TextBox 19">
          <a:extLst>
            <a:ext uri="{FF2B5EF4-FFF2-40B4-BE49-F238E27FC236}">
              <a16:creationId xmlns:a16="http://schemas.microsoft.com/office/drawing/2014/main" id="{00000000-0008-0000-0100-000011020000}"/>
            </a:ext>
          </a:extLst>
        </xdr:cNvPr>
        <xdr:cNvSpPr txBox="1"/>
      </xdr:nvSpPr>
      <xdr:spPr>
        <a:xfrm>
          <a:off x="7467600" y="150590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4476132</xdr:colOff>
      <xdr:row>70</xdr:row>
      <xdr:rowOff>206133</xdr:rowOff>
    </xdr:to>
    <xdr:sp macro="" textlink="">
      <xdr:nvSpPr>
        <xdr:cNvPr id="530" name="TextBox 20">
          <a:extLst>
            <a:ext uri="{FF2B5EF4-FFF2-40B4-BE49-F238E27FC236}">
              <a16:creationId xmlns:a16="http://schemas.microsoft.com/office/drawing/2014/main" id="{00000000-0008-0000-0100-000012020000}"/>
            </a:ext>
          </a:extLst>
        </xdr:cNvPr>
        <xdr:cNvSpPr txBox="1"/>
      </xdr:nvSpPr>
      <xdr:spPr>
        <a:xfrm>
          <a:off x="7467600" y="150590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531" name="TextBox 22">
          <a:extLst>
            <a:ext uri="{FF2B5EF4-FFF2-40B4-BE49-F238E27FC236}">
              <a16:creationId xmlns:a16="http://schemas.microsoft.com/office/drawing/2014/main" id="{00000000-0008-0000-0100-000013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4422793</xdr:colOff>
      <xdr:row>70</xdr:row>
      <xdr:rowOff>206133</xdr:rowOff>
    </xdr:to>
    <xdr:sp macro="" textlink="">
      <xdr:nvSpPr>
        <xdr:cNvPr id="532" name="TextBox 23">
          <a:extLst>
            <a:ext uri="{FF2B5EF4-FFF2-40B4-BE49-F238E27FC236}">
              <a16:creationId xmlns:a16="http://schemas.microsoft.com/office/drawing/2014/main" id="{00000000-0008-0000-0100-000014020000}"/>
            </a:ext>
          </a:extLst>
        </xdr:cNvPr>
        <xdr:cNvSpPr txBox="1"/>
      </xdr:nvSpPr>
      <xdr:spPr>
        <a:xfrm>
          <a:off x="7467600" y="150590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4366403</xdr:colOff>
      <xdr:row>70</xdr:row>
      <xdr:rowOff>206133</xdr:rowOff>
    </xdr:to>
    <xdr:sp macro="" textlink="">
      <xdr:nvSpPr>
        <xdr:cNvPr id="533" name="TextBox 24">
          <a:extLst>
            <a:ext uri="{FF2B5EF4-FFF2-40B4-BE49-F238E27FC236}">
              <a16:creationId xmlns:a16="http://schemas.microsoft.com/office/drawing/2014/main" id="{00000000-0008-0000-0100-000015020000}"/>
            </a:ext>
          </a:extLst>
        </xdr:cNvPr>
        <xdr:cNvSpPr txBox="1"/>
      </xdr:nvSpPr>
      <xdr:spPr>
        <a:xfrm>
          <a:off x="7467600" y="150590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534" name="TextBox 26">
          <a:extLst>
            <a:ext uri="{FF2B5EF4-FFF2-40B4-BE49-F238E27FC236}">
              <a16:creationId xmlns:a16="http://schemas.microsoft.com/office/drawing/2014/main" id="{00000000-0008-0000-0100-000016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281097</xdr:rowOff>
    </xdr:to>
    <xdr:sp macro="" textlink="">
      <xdr:nvSpPr>
        <xdr:cNvPr id="535" name="TextBox 29">
          <a:extLst>
            <a:ext uri="{FF2B5EF4-FFF2-40B4-BE49-F238E27FC236}">
              <a16:creationId xmlns:a16="http://schemas.microsoft.com/office/drawing/2014/main" id="{00000000-0008-0000-0100-000017020000}"/>
            </a:ext>
          </a:extLst>
        </xdr:cNvPr>
        <xdr:cNvSpPr txBox="1"/>
      </xdr:nvSpPr>
      <xdr:spPr>
        <a:xfrm>
          <a:off x="7467600" y="150590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280994</xdr:rowOff>
    </xdr:to>
    <xdr:sp macro="" textlink="">
      <xdr:nvSpPr>
        <xdr:cNvPr id="536" name="TextBox 31">
          <a:extLst>
            <a:ext uri="{FF2B5EF4-FFF2-40B4-BE49-F238E27FC236}">
              <a16:creationId xmlns:a16="http://schemas.microsoft.com/office/drawing/2014/main" id="{00000000-0008-0000-0100-000018020000}"/>
            </a:ext>
          </a:extLst>
        </xdr:cNvPr>
        <xdr:cNvSpPr txBox="1"/>
      </xdr:nvSpPr>
      <xdr:spPr>
        <a:xfrm>
          <a:off x="7467600" y="150590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4475314</xdr:colOff>
      <xdr:row>70</xdr:row>
      <xdr:rowOff>280994</xdr:rowOff>
    </xdr:to>
    <xdr:sp macro="" textlink="">
      <xdr:nvSpPr>
        <xdr:cNvPr id="537" name="TextBox 32">
          <a:extLst>
            <a:ext uri="{FF2B5EF4-FFF2-40B4-BE49-F238E27FC236}">
              <a16:creationId xmlns:a16="http://schemas.microsoft.com/office/drawing/2014/main" id="{00000000-0008-0000-0100-000019020000}"/>
            </a:ext>
          </a:extLst>
        </xdr:cNvPr>
        <xdr:cNvSpPr txBox="1"/>
      </xdr:nvSpPr>
      <xdr:spPr>
        <a:xfrm>
          <a:off x="7467600" y="150590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4420626</xdr:colOff>
      <xdr:row>70</xdr:row>
      <xdr:rowOff>280994</xdr:rowOff>
    </xdr:to>
    <xdr:sp macro="" textlink="">
      <xdr:nvSpPr>
        <xdr:cNvPr id="538" name="TextBox 34">
          <a:extLst>
            <a:ext uri="{FF2B5EF4-FFF2-40B4-BE49-F238E27FC236}">
              <a16:creationId xmlns:a16="http://schemas.microsoft.com/office/drawing/2014/main" id="{00000000-0008-0000-0100-00001A020000}"/>
            </a:ext>
          </a:extLst>
        </xdr:cNvPr>
        <xdr:cNvSpPr txBox="1"/>
      </xdr:nvSpPr>
      <xdr:spPr>
        <a:xfrm>
          <a:off x="7467600" y="150590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539" name="TextBox 35">
          <a:extLst>
            <a:ext uri="{FF2B5EF4-FFF2-40B4-BE49-F238E27FC236}">
              <a16:creationId xmlns:a16="http://schemas.microsoft.com/office/drawing/2014/main" id="{00000000-0008-0000-0100-00001B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540" name="TextBox 37">
          <a:extLst>
            <a:ext uri="{FF2B5EF4-FFF2-40B4-BE49-F238E27FC236}">
              <a16:creationId xmlns:a16="http://schemas.microsoft.com/office/drawing/2014/main" id="{00000000-0008-0000-0100-00001C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4473033</xdr:colOff>
      <xdr:row>70</xdr:row>
      <xdr:rowOff>280994</xdr:rowOff>
    </xdr:to>
    <xdr:sp macro="" textlink="">
      <xdr:nvSpPr>
        <xdr:cNvPr id="541" name="TextBox 38">
          <a:extLst>
            <a:ext uri="{FF2B5EF4-FFF2-40B4-BE49-F238E27FC236}">
              <a16:creationId xmlns:a16="http://schemas.microsoft.com/office/drawing/2014/main" id="{00000000-0008-0000-0100-00001D020000}"/>
            </a:ext>
          </a:extLst>
        </xdr:cNvPr>
        <xdr:cNvSpPr txBox="1"/>
      </xdr:nvSpPr>
      <xdr:spPr>
        <a:xfrm>
          <a:off x="7467600" y="150590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4420710</xdr:colOff>
      <xdr:row>70</xdr:row>
      <xdr:rowOff>280994</xdr:rowOff>
    </xdr:to>
    <xdr:sp macro="" textlink="">
      <xdr:nvSpPr>
        <xdr:cNvPr id="542" name="TextBox 40">
          <a:extLst>
            <a:ext uri="{FF2B5EF4-FFF2-40B4-BE49-F238E27FC236}">
              <a16:creationId xmlns:a16="http://schemas.microsoft.com/office/drawing/2014/main" id="{00000000-0008-0000-0100-00001E020000}"/>
            </a:ext>
          </a:extLst>
        </xdr:cNvPr>
        <xdr:cNvSpPr txBox="1"/>
      </xdr:nvSpPr>
      <xdr:spPr>
        <a:xfrm>
          <a:off x="7467600" y="150590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268809</xdr:rowOff>
    </xdr:to>
    <xdr:sp macro="" textlink="">
      <xdr:nvSpPr>
        <xdr:cNvPr id="543" name="TextBox 44">
          <a:extLst>
            <a:ext uri="{FF2B5EF4-FFF2-40B4-BE49-F238E27FC236}">
              <a16:creationId xmlns:a16="http://schemas.microsoft.com/office/drawing/2014/main" id="{00000000-0008-0000-0100-00001F020000}"/>
            </a:ext>
          </a:extLst>
        </xdr:cNvPr>
        <xdr:cNvSpPr txBox="1"/>
      </xdr:nvSpPr>
      <xdr:spPr>
        <a:xfrm>
          <a:off x="7467600" y="150590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268706</xdr:rowOff>
    </xdr:to>
    <xdr:sp macro="" textlink="">
      <xdr:nvSpPr>
        <xdr:cNvPr id="544" name="TextBox 46">
          <a:extLst>
            <a:ext uri="{FF2B5EF4-FFF2-40B4-BE49-F238E27FC236}">
              <a16:creationId xmlns:a16="http://schemas.microsoft.com/office/drawing/2014/main" id="{00000000-0008-0000-0100-000020020000}"/>
            </a:ext>
          </a:extLst>
        </xdr:cNvPr>
        <xdr:cNvSpPr txBox="1"/>
      </xdr:nvSpPr>
      <xdr:spPr>
        <a:xfrm>
          <a:off x="7467600" y="150590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53898</xdr:rowOff>
    </xdr:to>
    <xdr:sp macro="" textlink="">
      <xdr:nvSpPr>
        <xdr:cNvPr id="545" name="TextBox 47">
          <a:extLst>
            <a:ext uri="{FF2B5EF4-FFF2-40B4-BE49-F238E27FC236}">
              <a16:creationId xmlns:a16="http://schemas.microsoft.com/office/drawing/2014/main" id="{00000000-0008-0000-0100-000021020000}"/>
            </a:ext>
          </a:extLst>
        </xdr:cNvPr>
        <xdr:cNvSpPr txBox="1"/>
      </xdr:nvSpPr>
      <xdr:spPr>
        <a:xfrm>
          <a:off x="7467600" y="150590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53810</xdr:rowOff>
    </xdr:to>
    <xdr:sp macro="" textlink="">
      <xdr:nvSpPr>
        <xdr:cNvPr id="546" name="TextBox 49">
          <a:extLst>
            <a:ext uri="{FF2B5EF4-FFF2-40B4-BE49-F238E27FC236}">
              <a16:creationId xmlns:a16="http://schemas.microsoft.com/office/drawing/2014/main" id="{00000000-0008-0000-0100-000022020000}"/>
            </a:ext>
          </a:extLst>
        </xdr:cNvPr>
        <xdr:cNvSpPr txBox="1"/>
      </xdr:nvSpPr>
      <xdr:spPr>
        <a:xfrm>
          <a:off x="7467600" y="150590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4412973</xdr:colOff>
      <xdr:row>70</xdr:row>
      <xdr:rowOff>53810</xdr:rowOff>
    </xdr:to>
    <xdr:sp macro="" textlink="">
      <xdr:nvSpPr>
        <xdr:cNvPr id="547" name="TextBox 50">
          <a:extLst>
            <a:ext uri="{FF2B5EF4-FFF2-40B4-BE49-F238E27FC236}">
              <a16:creationId xmlns:a16="http://schemas.microsoft.com/office/drawing/2014/main" id="{00000000-0008-0000-0100-000023020000}"/>
            </a:ext>
          </a:extLst>
        </xdr:cNvPr>
        <xdr:cNvSpPr txBox="1"/>
      </xdr:nvSpPr>
      <xdr:spPr>
        <a:xfrm>
          <a:off x="7467600" y="150590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548" name="TextBox 51">
          <a:extLst>
            <a:ext uri="{FF2B5EF4-FFF2-40B4-BE49-F238E27FC236}">
              <a16:creationId xmlns:a16="http://schemas.microsoft.com/office/drawing/2014/main" id="{00000000-0008-0000-0100-000024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549" name="TextBox 53">
          <a:extLst>
            <a:ext uri="{FF2B5EF4-FFF2-40B4-BE49-F238E27FC236}">
              <a16:creationId xmlns:a16="http://schemas.microsoft.com/office/drawing/2014/main" id="{00000000-0008-0000-0100-000025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550" name="TextBox 54">
          <a:extLst>
            <a:ext uri="{FF2B5EF4-FFF2-40B4-BE49-F238E27FC236}">
              <a16:creationId xmlns:a16="http://schemas.microsoft.com/office/drawing/2014/main" id="{00000000-0008-0000-0100-000026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551" name="TextBox 56">
          <a:extLst>
            <a:ext uri="{FF2B5EF4-FFF2-40B4-BE49-F238E27FC236}">
              <a16:creationId xmlns:a16="http://schemas.microsoft.com/office/drawing/2014/main" id="{00000000-0008-0000-0100-000027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552" name="TextBox 57">
          <a:extLst>
            <a:ext uri="{FF2B5EF4-FFF2-40B4-BE49-F238E27FC236}">
              <a16:creationId xmlns:a16="http://schemas.microsoft.com/office/drawing/2014/main" id="{00000000-0008-0000-0100-000028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553" name="TextBox 58">
          <a:extLst>
            <a:ext uri="{FF2B5EF4-FFF2-40B4-BE49-F238E27FC236}">
              <a16:creationId xmlns:a16="http://schemas.microsoft.com/office/drawing/2014/main" id="{00000000-0008-0000-0100-000029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4595228</xdr:colOff>
      <xdr:row>70</xdr:row>
      <xdr:rowOff>280732</xdr:rowOff>
    </xdr:to>
    <xdr:sp macro="" textlink="">
      <xdr:nvSpPr>
        <xdr:cNvPr id="554" name="TextBox 60">
          <a:extLst>
            <a:ext uri="{FF2B5EF4-FFF2-40B4-BE49-F238E27FC236}">
              <a16:creationId xmlns:a16="http://schemas.microsoft.com/office/drawing/2014/main" id="{00000000-0008-0000-0100-00002A020000}"/>
            </a:ext>
          </a:extLst>
        </xdr:cNvPr>
        <xdr:cNvSpPr txBox="1"/>
      </xdr:nvSpPr>
      <xdr:spPr>
        <a:xfrm>
          <a:off x="7467600" y="150590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4428378</xdr:colOff>
      <xdr:row>70</xdr:row>
      <xdr:rowOff>280732</xdr:rowOff>
    </xdr:to>
    <xdr:sp macro="" textlink="">
      <xdr:nvSpPr>
        <xdr:cNvPr id="555" name="TextBox 61">
          <a:extLst>
            <a:ext uri="{FF2B5EF4-FFF2-40B4-BE49-F238E27FC236}">
              <a16:creationId xmlns:a16="http://schemas.microsoft.com/office/drawing/2014/main" id="{00000000-0008-0000-0100-00002B020000}"/>
            </a:ext>
          </a:extLst>
        </xdr:cNvPr>
        <xdr:cNvSpPr txBox="1"/>
      </xdr:nvSpPr>
      <xdr:spPr>
        <a:xfrm>
          <a:off x="7467600" y="150590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269294</xdr:rowOff>
    </xdr:to>
    <xdr:sp macro="" textlink="">
      <xdr:nvSpPr>
        <xdr:cNvPr id="556" name="TextBox 63">
          <a:extLst>
            <a:ext uri="{FF2B5EF4-FFF2-40B4-BE49-F238E27FC236}">
              <a16:creationId xmlns:a16="http://schemas.microsoft.com/office/drawing/2014/main" id="{00000000-0008-0000-0100-00002C020000}"/>
            </a:ext>
          </a:extLst>
        </xdr:cNvPr>
        <xdr:cNvSpPr txBox="1"/>
      </xdr:nvSpPr>
      <xdr:spPr>
        <a:xfrm>
          <a:off x="7467600" y="150590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269191</xdr:rowOff>
    </xdr:to>
    <xdr:sp macro="" textlink="">
      <xdr:nvSpPr>
        <xdr:cNvPr id="557" name="TextBox 65">
          <a:extLst>
            <a:ext uri="{FF2B5EF4-FFF2-40B4-BE49-F238E27FC236}">
              <a16:creationId xmlns:a16="http://schemas.microsoft.com/office/drawing/2014/main" id="{00000000-0008-0000-0100-00002D020000}"/>
            </a:ext>
          </a:extLst>
        </xdr:cNvPr>
        <xdr:cNvSpPr txBox="1"/>
      </xdr:nvSpPr>
      <xdr:spPr>
        <a:xfrm>
          <a:off x="7467600" y="150590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4420721</xdr:colOff>
      <xdr:row>70</xdr:row>
      <xdr:rowOff>269191</xdr:rowOff>
    </xdr:to>
    <xdr:sp macro="" textlink="">
      <xdr:nvSpPr>
        <xdr:cNvPr id="558" name="TextBox 66">
          <a:extLst>
            <a:ext uri="{FF2B5EF4-FFF2-40B4-BE49-F238E27FC236}">
              <a16:creationId xmlns:a16="http://schemas.microsoft.com/office/drawing/2014/main" id="{00000000-0008-0000-0100-00002E020000}"/>
            </a:ext>
          </a:extLst>
        </xdr:cNvPr>
        <xdr:cNvSpPr txBox="1"/>
      </xdr:nvSpPr>
      <xdr:spPr>
        <a:xfrm>
          <a:off x="7467600" y="150590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559" name="TextBox 67">
          <a:extLst>
            <a:ext uri="{FF2B5EF4-FFF2-40B4-BE49-F238E27FC236}">
              <a16:creationId xmlns:a16="http://schemas.microsoft.com/office/drawing/2014/main" id="{00000000-0008-0000-0100-00002F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280896</xdr:rowOff>
    </xdr:to>
    <xdr:sp macro="" textlink="">
      <xdr:nvSpPr>
        <xdr:cNvPr id="560" name="TextBox 70">
          <a:extLst>
            <a:ext uri="{FF2B5EF4-FFF2-40B4-BE49-F238E27FC236}">
              <a16:creationId xmlns:a16="http://schemas.microsoft.com/office/drawing/2014/main" id="{00000000-0008-0000-0100-000030020000}"/>
            </a:ext>
          </a:extLst>
        </xdr:cNvPr>
        <xdr:cNvSpPr txBox="1"/>
      </xdr:nvSpPr>
      <xdr:spPr>
        <a:xfrm>
          <a:off x="7467600" y="150590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280793</xdr:rowOff>
    </xdr:to>
    <xdr:sp macro="" textlink="">
      <xdr:nvSpPr>
        <xdr:cNvPr id="561" name="TextBox 72">
          <a:extLst>
            <a:ext uri="{FF2B5EF4-FFF2-40B4-BE49-F238E27FC236}">
              <a16:creationId xmlns:a16="http://schemas.microsoft.com/office/drawing/2014/main" id="{00000000-0008-0000-0100-000031020000}"/>
            </a:ext>
          </a:extLst>
        </xdr:cNvPr>
        <xdr:cNvSpPr txBox="1"/>
      </xdr:nvSpPr>
      <xdr:spPr>
        <a:xfrm>
          <a:off x="7467600" y="150590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4403465</xdr:colOff>
      <xdr:row>70</xdr:row>
      <xdr:rowOff>280793</xdr:rowOff>
    </xdr:to>
    <xdr:sp macro="" textlink="">
      <xdr:nvSpPr>
        <xdr:cNvPr id="562" name="TextBox 73">
          <a:extLst>
            <a:ext uri="{FF2B5EF4-FFF2-40B4-BE49-F238E27FC236}">
              <a16:creationId xmlns:a16="http://schemas.microsoft.com/office/drawing/2014/main" id="{00000000-0008-0000-0100-000032020000}"/>
            </a:ext>
          </a:extLst>
        </xdr:cNvPr>
        <xdr:cNvSpPr txBox="1"/>
      </xdr:nvSpPr>
      <xdr:spPr>
        <a:xfrm>
          <a:off x="7467600" y="150590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4419145</xdr:colOff>
      <xdr:row>70</xdr:row>
      <xdr:rowOff>280793</xdr:rowOff>
    </xdr:to>
    <xdr:sp macro="" textlink="">
      <xdr:nvSpPr>
        <xdr:cNvPr id="563" name="TextBox 74">
          <a:extLst>
            <a:ext uri="{FF2B5EF4-FFF2-40B4-BE49-F238E27FC236}">
              <a16:creationId xmlns:a16="http://schemas.microsoft.com/office/drawing/2014/main" id="{00000000-0008-0000-0100-000033020000}"/>
            </a:ext>
          </a:extLst>
        </xdr:cNvPr>
        <xdr:cNvSpPr txBox="1"/>
      </xdr:nvSpPr>
      <xdr:spPr>
        <a:xfrm>
          <a:off x="7467600" y="150590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280896</xdr:rowOff>
    </xdr:to>
    <xdr:sp macro="" textlink="">
      <xdr:nvSpPr>
        <xdr:cNvPr id="564" name="TextBox 75">
          <a:extLst>
            <a:ext uri="{FF2B5EF4-FFF2-40B4-BE49-F238E27FC236}">
              <a16:creationId xmlns:a16="http://schemas.microsoft.com/office/drawing/2014/main" id="{00000000-0008-0000-0100-000034020000}"/>
            </a:ext>
          </a:extLst>
        </xdr:cNvPr>
        <xdr:cNvSpPr txBox="1"/>
      </xdr:nvSpPr>
      <xdr:spPr>
        <a:xfrm>
          <a:off x="7467600" y="150590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280793</xdr:rowOff>
    </xdr:to>
    <xdr:sp macro="" textlink="">
      <xdr:nvSpPr>
        <xdr:cNvPr id="565" name="TextBox 77">
          <a:extLst>
            <a:ext uri="{FF2B5EF4-FFF2-40B4-BE49-F238E27FC236}">
              <a16:creationId xmlns:a16="http://schemas.microsoft.com/office/drawing/2014/main" id="{00000000-0008-0000-0100-000035020000}"/>
            </a:ext>
          </a:extLst>
        </xdr:cNvPr>
        <xdr:cNvSpPr txBox="1"/>
      </xdr:nvSpPr>
      <xdr:spPr>
        <a:xfrm>
          <a:off x="7467600" y="150590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566" name="TextBox 78">
          <a:extLst>
            <a:ext uri="{FF2B5EF4-FFF2-40B4-BE49-F238E27FC236}">
              <a16:creationId xmlns:a16="http://schemas.microsoft.com/office/drawing/2014/main" id="{00000000-0008-0000-0100-000036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4424221</xdr:colOff>
      <xdr:row>70</xdr:row>
      <xdr:rowOff>280793</xdr:rowOff>
    </xdr:to>
    <xdr:sp macro="" textlink="">
      <xdr:nvSpPr>
        <xdr:cNvPr id="567" name="TextBox 80">
          <a:extLst>
            <a:ext uri="{FF2B5EF4-FFF2-40B4-BE49-F238E27FC236}">
              <a16:creationId xmlns:a16="http://schemas.microsoft.com/office/drawing/2014/main" id="{00000000-0008-0000-0100-000037020000}"/>
            </a:ext>
          </a:extLst>
        </xdr:cNvPr>
        <xdr:cNvSpPr txBox="1"/>
      </xdr:nvSpPr>
      <xdr:spPr>
        <a:xfrm>
          <a:off x="7467600" y="150590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4438347</xdr:colOff>
      <xdr:row>70</xdr:row>
      <xdr:rowOff>280793</xdr:rowOff>
    </xdr:to>
    <xdr:sp macro="" textlink="">
      <xdr:nvSpPr>
        <xdr:cNvPr id="568" name="TextBox 81">
          <a:extLst>
            <a:ext uri="{FF2B5EF4-FFF2-40B4-BE49-F238E27FC236}">
              <a16:creationId xmlns:a16="http://schemas.microsoft.com/office/drawing/2014/main" id="{00000000-0008-0000-0100-000038020000}"/>
            </a:ext>
          </a:extLst>
        </xdr:cNvPr>
        <xdr:cNvSpPr txBox="1"/>
      </xdr:nvSpPr>
      <xdr:spPr>
        <a:xfrm>
          <a:off x="7467600" y="150590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4421792</xdr:colOff>
      <xdr:row>70</xdr:row>
      <xdr:rowOff>280793</xdr:rowOff>
    </xdr:to>
    <xdr:sp macro="" textlink="">
      <xdr:nvSpPr>
        <xdr:cNvPr id="569" name="TextBox 82">
          <a:extLst>
            <a:ext uri="{FF2B5EF4-FFF2-40B4-BE49-F238E27FC236}">
              <a16:creationId xmlns:a16="http://schemas.microsoft.com/office/drawing/2014/main" id="{00000000-0008-0000-0100-000039020000}"/>
            </a:ext>
          </a:extLst>
        </xdr:cNvPr>
        <xdr:cNvSpPr txBox="1"/>
      </xdr:nvSpPr>
      <xdr:spPr>
        <a:xfrm>
          <a:off x="7467600" y="150590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4424306</xdr:colOff>
      <xdr:row>70</xdr:row>
      <xdr:rowOff>280793</xdr:rowOff>
    </xdr:to>
    <xdr:sp macro="" textlink="">
      <xdr:nvSpPr>
        <xdr:cNvPr id="570" name="TextBox 84">
          <a:extLst>
            <a:ext uri="{FF2B5EF4-FFF2-40B4-BE49-F238E27FC236}">
              <a16:creationId xmlns:a16="http://schemas.microsoft.com/office/drawing/2014/main" id="{00000000-0008-0000-0100-00003A020000}"/>
            </a:ext>
          </a:extLst>
        </xdr:cNvPr>
        <xdr:cNvSpPr txBox="1"/>
      </xdr:nvSpPr>
      <xdr:spPr>
        <a:xfrm>
          <a:off x="7467600" y="150590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302444</xdr:rowOff>
    </xdr:to>
    <xdr:sp macro="" textlink="">
      <xdr:nvSpPr>
        <xdr:cNvPr id="571" name="TextBox 87">
          <a:extLst>
            <a:ext uri="{FF2B5EF4-FFF2-40B4-BE49-F238E27FC236}">
              <a16:creationId xmlns:a16="http://schemas.microsoft.com/office/drawing/2014/main" id="{00000000-0008-0000-0100-00003B020000}"/>
            </a:ext>
          </a:extLst>
        </xdr:cNvPr>
        <xdr:cNvSpPr txBox="1"/>
      </xdr:nvSpPr>
      <xdr:spPr>
        <a:xfrm>
          <a:off x="7467600" y="150590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295177</xdr:rowOff>
    </xdr:to>
    <xdr:sp macro="" textlink="">
      <xdr:nvSpPr>
        <xdr:cNvPr id="572" name="TextBox 89">
          <a:extLst>
            <a:ext uri="{FF2B5EF4-FFF2-40B4-BE49-F238E27FC236}">
              <a16:creationId xmlns:a16="http://schemas.microsoft.com/office/drawing/2014/main" id="{00000000-0008-0000-0100-00003C020000}"/>
            </a:ext>
          </a:extLst>
        </xdr:cNvPr>
        <xdr:cNvSpPr txBox="1"/>
      </xdr:nvSpPr>
      <xdr:spPr>
        <a:xfrm>
          <a:off x="7467600" y="150590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73" name="TextBox 90">
          <a:extLst>
            <a:ext uri="{FF2B5EF4-FFF2-40B4-BE49-F238E27FC236}">
              <a16:creationId xmlns:a16="http://schemas.microsoft.com/office/drawing/2014/main" id="{00000000-0008-0000-0100-00003D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4381043</xdr:colOff>
      <xdr:row>70</xdr:row>
      <xdr:rowOff>295177</xdr:rowOff>
    </xdr:to>
    <xdr:sp macro="" textlink="">
      <xdr:nvSpPr>
        <xdr:cNvPr id="574" name="TextBox 92">
          <a:extLst>
            <a:ext uri="{FF2B5EF4-FFF2-40B4-BE49-F238E27FC236}">
              <a16:creationId xmlns:a16="http://schemas.microsoft.com/office/drawing/2014/main" id="{00000000-0008-0000-0100-00003E020000}"/>
            </a:ext>
          </a:extLst>
        </xdr:cNvPr>
        <xdr:cNvSpPr txBox="1"/>
      </xdr:nvSpPr>
      <xdr:spPr>
        <a:xfrm>
          <a:off x="7467600" y="150590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75" name="TextBox 93">
          <a:extLst>
            <a:ext uri="{FF2B5EF4-FFF2-40B4-BE49-F238E27FC236}">
              <a16:creationId xmlns:a16="http://schemas.microsoft.com/office/drawing/2014/main" id="{00000000-0008-0000-0100-00003F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76" name="TextBox 95">
          <a:extLst>
            <a:ext uri="{FF2B5EF4-FFF2-40B4-BE49-F238E27FC236}">
              <a16:creationId xmlns:a16="http://schemas.microsoft.com/office/drawing/2014/main" id="{00000000-0008-0000-0100-000040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4369563</xdr:colOff>
      <xdr:row>70</xdr:row>
      <xdr:rowOff>295177</xdr:rowOff>
    </xdr:to>
    <xdr:sp macro="" textlink="">
      <xdr:nvSpPr>
        <xdr:cNvPr id="577" name="TextBox 96">
          <a:extLst>
            <a:ext uri="{FF2B5EF4-FFF2-40B4-BE49-F238E27FC236}">
              <a16:creationId xmlns:a16="http://schemas.microsoft.com/office/drawing/2014/main" id="{00000000-0008-0000-0100-000041020000}"/>
            </a:ext>
          </a:extLst>
        </xdr:cNvPr>
        <xdr:cNvSpPr txBox="1"/>
      </xdr:nvSpPr>
      <xdr:spPr>
        <a:xfrm>
          <a:off x="7467600" y="150590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4283397</xdr:colOff>
      <xdr:row>70</xdr:row>
      <xdr:rowOff>295177</xdr:rowOff>
    </xdr:to>
    <xdr:sp macro="" textlink="">
      <xdr:nvSpPr>
        <xdr:cNvPr id="578" name="TextBox 97">
          <a:extLst>
            <a:ext uri="{FF2B5EF4-FFF2-40B4-BE49-F238E27FC236}">
              <a16:creationId xmlns:a16="http://schemas.microsoft.com/office/drawing/2014/main" id="{00000000-0008-0000-0100-000042020000}"/>
            </a:ext>
          </a:extLst>
        </xdr:cNvPr>
        <xdr:cNvSpPr txBox="1"/>
      </xdr:nvSpPr>
      <xdr:spPr>
        <a:xfrm>
          <a:off x="7467600" y="150590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79" name="TextBox 99">
          <a:extLst>
            <a:ext uri="{FF2B5EF4-FFF2-40B4-BE49-F238E27FC236}">
              <a16:creationId xmlns:a16="http://schemas.microsoft.com/office/drawing/2014/main" id="{00000000-0008-0000-0100-000043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239296</xdr:rowOff>
    </xdr:to>
    <xdr:sp macro="" textlink="">
      <xdr:nvSpPr>
        <xdr:cNvPr id="580" name="TextBox 103">
          <a:extLst>
            <a:ext uri="{FF2B5EF4-FFF2-40B4-BE49-F238E27FC236}">
              <a16:creationId xmlns:a16="http://schemas.microsoft.com/office/drawing/2014/main" id="{00000000-0008-0000-0100-000044020000}"/>
            </a:ext>
          </a:extLst>
        </xdr:cNvPr>
        <xdr:cNvSpPr txBox="1"/>
      </xdr:nvSpPr>
      <xdr:spPr>
        <a:xfrm>
          <a:off x="7467600" y="150590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206133</xdr:rowOff>
    </xdr:to>
    <xdr:sp macro="" textlink="">
      <xdr:nvSpPr>
        <xdr:cNvPr id="581" name="TextBox 105">
          <a:extLst>
            <a:ext uri="{FF2B5EF4-FFF2-40B4-BE49-F238E27FC236}">
              <a16:creationId xmlns:a16="http://schemas.microsoft.com/office/drawing/2014/main" id="{00000000-0008-0000-0100-000045020000}"/>
            </a:ext>
          </a:extLst>
        </xdr:cNvPr>
        <xdr:cNvSpPr txBox="1"/>
      </xdr:nvSpPr>
      <xdr:spPr>
        <a:xfrm>
          <a:off x="7467600" y="150590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4476132</xdr:colOff>
      <xdr:row>70</xdr:row>
      <xdr:rowOff>206133</xdr:rowOff>
    </xdr:to>
    <xdr:sp macro="" textlink="">
      <xdr:nvSpPr>
        <xdr:cNvPr id="582" name="TextBox 106">
          <a:extLst>
            <a:ext uri="{FF2B5EF4-FFF2-40B4-BE49-F238E27FC236}">
              <a16:creationId xmlns:a16="http://schemas.microsoft.com/office/drawing/2014/main" id="{00000000-0008-0000-0100-000046020000}"/>
            </a:ext>
          </a:extLst>
        </xdr:cNvPr>
        <xdr:cNvSpPr txBox="1"/>
      </xdr:nvSpPr>
      <xdr:spPr>
        <a:xfrm>
          <a:off x="7467600" y="150590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583" name="TextBox 108">
          <a:extLst>
            <a:ext uri="{FF2B5EF4-FFF2-40B4-BE49-F238E27FC236}">
              <a16:creationId xmlns:a16="http://schemas.microsoft.com/office/drawing/2014/main" id="{00000000-0008-0000-0100-000047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4422793</xdr:colOff>
      <xdr:row>70</xdr:row>
      <xdr:rowOff>206133</xdr:rowOff>
    </xdr:to>
    <xdr:sp macro="" textlink="">
      <xdr:nvSpPr>
        <xdr:cNvPr id="584" name="TextBox 109">
          <a:extLst>
            <a:ext uri="{FF2B5EF4-FFF2-40B4-BE49-F238E27FC236}">
              <a16:creationId xmlns:a16="http://schemas.microsoft.com/office/drawing/2014/main" id="{00000000-0008-0000-0100-000048020000}"/>
            </a:ext>
          </a:extLst>
        </xdr:cNvPr>
        <xdr:cNvSpPr txBox="1"/>
      </xdr:nvSpPr>
      <xdr:spPr>
        <a:xfrm>
          <a:off x="7467600" y="150590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4366403</xdr:colOff>
      <xdr:row>70</xdr:row>
      <xdr:rowOff>206133</xdr:rowOff>
    </xdr:to>
    <xdr:sp macro="" textlink="">
      <xdr:nvSpPr>
        <xdr:cNvPr id="585" name="TextBox 110">
          <a:extLst>
            <a:ext uri="{FF2B5EF4-FFF2-40B4-BE49-F238E27FC236}">
              <a16:creationId xmlns:a16="http://schemas.microsoft.com/office/drawing/2014/main" id="{00000000-0008-0000-0100-000049020000}"/>
            </a:ext>
          </a:extLst>
        </xdr:cNvPr>
        <xdr:cNvSpPr txBox="1"/>
      </xdr:nvSpPr>
      <xdr:spPr>
        <a:xfrm>
          <a:off x="7467600" y="150590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586" name="TextBox 112">
          <a:extLst>
            <a:ext uri="{FF2B5EF4-FFF2-40B4-BE49-F238E27FC236}">
              <a16:creationId xmlns:a16="http://schemas.microsoft.com/office/drawing/2014/main" id="{00000000-0008-0000-0100-00004A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281097</xdr:rowOff>
    </xdr:to>
    <xdr:sp macro="" textlink="">
      <xdr:nvSpPr>
        <xdr:cNvPr id="587" name="TextBox 115">
          <a:extLst>
            <a:ext uri="{FF2B5EF4-FFF2-40B4-BE49-F238E27FC236}">
              <a16:creationId xmlns:a16="http://schemas.microsoft.com/office/drawing/2014/main" id="{00000000-0008-0000-0100-00004B020000}"/>
            </a:ext>
          </a:extLst>
        </xdr:cNvPr>
        <xdr:cNvSpPr txBox="1"/>
      </xdr:nvSpPr>
      <xdr:spPr>
        <a:xfrm>
          <a:off x="7467600" y="150590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280994</xdr:rowOff>
    </xdr:to>
    <xdr:sp macro="" textlink="">
      <xdr:nvSpPr>
        <xdr:cNvPr id="588" name="TextBox 117">
          <a:extLst>
            <a:ext uri="{FF2B5EF4-FFF2-40B4-BE49-F238E27FC236}">
              <a16:creationId xmlns:a16="http://schemas.microsoft.com/office/drawing/2014/main" id="{00000000-0008-0000-0100-00004C020000}"/>
            </a:ext>
          </a:extLst>
        </xdr:cNvPr>
        <xdr:cNvSpPr txBox="1"/>
      </xdr:nvSpPr>
      <xdr:spPr>
        <a:xfrm>
          <a:off x="7467600" y="150590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4475314</xdr:colOff>
      <xdr:row>70</xdr:row>
      <xdr:rowOff>280994</xdr:rowOff>
    </xdr:to>
    <xdr:sp macro="" textlink="">
      <xdr:nvSpPr>
        <xdr:cNvPr id="589" name="TextBox 118">
          <a:extLst>
            <a:ext uri="{FF2B5EF4-FFF2-40B4-BE49-F238E27FC236}">
              <a16:creationId xmlns:a16="http://schemas.microsoft.com/office/drawing/2014/main" id="{00000000-0008-0000-0100-00004D020000}"/>
            </a:ext>
          </a:extLst>
        </xdr:cNvPr>
        <xdr:cNvSpPr txBox="1"/>
      </xdr:nvSpPr>
      <xdr:spPr>
        <a:xfrm>
          <a:off x="7467600" y="150590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4420626</xdr:colOff>
      <xdr:row>70</xdr:row>
      <xdr:rowOff>280994</xdr:rowOff>
    </xdr:to>
    <xdr:sp macro="" textlink="">
      <xdr:nvSpPr>
        <xdr:cNvPr id="590" name="TextBox 120">
          <a:extLst>
            <a:ext uri="{FF2B5EF4-FFF2-40B4-BE49-F238E27FC236}">
              <a16:creationId xmlns:a16="http://schemas.microsoft.com/office/drawing/2014/main" id="{00000000-0008-0000-0100-00004E020000}"/>
            </a:ext>
          </a:extLst>
        </xdr:cNvPr>
        <xdr:cNvSpPr txBox="1"/>
      </xdr:nvSpPr>
      <xdr:spPr>
        <a:xfrm>
          <a:off x="7467600" y="150590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591" name="TextBox 121">
          <a:extLst>
            <a:ext uri="{FF2B5EF4-FFF2-40B4-BE49-F238E27FC236}">
              <a16:creationId xmlns:a16="http://schemas.microsoft.com/office/drawing/2014/main" id="{00000000-0008-0000-0100-00004F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592" name="TextBox 123">
          <a:extLst>
            <a:ext uri="{FF2B5EF4-FFF2-40B4-BE49-F238E27FC236}">
              <a16:creationId xmlns:a16="http://schemas.microsoft.com/office/drawing/2014/main" id="{00000000-0008-0000-0100-000050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4473033</xdr:colOff>
      <xdr:row>70</xdr:row>
      <xdr:rowOff>280994</xdr:rowOff>
    </xdr:to>
    <xdr:sp macro="" textlink="">
      <xdr:nvSpPr>
        <xdr:cNvPr id="593" name="TextBox 124">
          <a:extLst>
            <a:ext uri="{FF2B5EF4-FFF2-40B4-BE49-F238E27FC236}">
              <a16:creationId xmlns:a16="http://schemas.microsoft.com/office/drawing/2014/main" id="{00000000-0008-0000-0100-000051020000}"/>
            </a:ext>
          </a:extLst>
        </xdr:cNvPr>
        <xdr:cNvSpPr txBox="1"/>
      </xdr:nvSpPr>
      <xdr:spPr>
        <a:xfrm>
          <a:off x="7467600" y="150590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4420710</xdr:colOff>
      <xdr:row>70</xdr:row>
      <xdr:rowOff>280994</xdr:rowOff>
    </xdr:to>
    <xdr:sp macro="" textlink="">
      <xdr:nvSpPr>
        <xdr:cNvPr id="594" name="TextBox 126">
          <a:extLst>
            <a:ext uri="{FF2B5EF4-FFF2-40B4-BE49-F238E27FC236}">
              <a16:creationId xmlns:a16="http://schemas.microsoft.com/office/drawing/2014/main" id="{00000000-0008-0000-0100-000052020000}"/>
            </a:ext>
          </a:extLst>
        </xdr:cNvPr>
        <xdr:cNvSpPr txBox="1"/>
      </xdr:nvSpPr>
      <xdr:spPr>
        <a:xfrm>
          <a:off x="7467600" y="150590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268809</xdr:rowOff>
    </xdr:to>
    <xdr:sp macro="" textlink="">
      <xdr:nvSpPr>
        <xdr:cNvPr id="595" name="TextBox 130">
          <a:extLst>
            <a:ext uri="{FF2B5EF4-FFF2-40B4-BE49-F238E27FC236}">
              <a16:creationId xmlns:a16="http://schemas.microsoft.com/office/drawing/2014/main" id="{00000000-0008-0000-0100-000053020000}"/>
            </a:ext>
          </a:extLst>
        </xdr:cNvPr>
        <xdr:cNvSpPr txBox="1"/>
      </xdr:nvSpPr>
      <xdr:spPr>
        <a:xfrm>
          <a:off x="7467600" y="150590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268706</xdr:rowOff>
    </xdr:to>
    <xdr:sp macro="" textlink="">
      <xdr:nvSpPr>
        <xdr:cNvPr id="596" name="TextBox 132">
          <a:extLst>
            <a:ext uri="{FF2B5EF4-FFF2-40B4-BE49-F238E27FC236}">
              <a16:creationId xmlns:a16="http://schemas.microsoft.com/office/drawing/2014/main" id="{00000000-0008-0000-0100-000054020000}"/>
            </a:ext>
          </a:extLst>
        </xdr:cNvPr>
        <xdr:cNvSpPr txBox="1"/>
      </xdr:nvSpPr>
      <xdr:spPr>
        <a:xfrm>
          <a:off x="7467600" y="150590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53898</xdr:rowOff>
    </xdr:to>
    <xdr:sp macro="" textlink="">
      <xdr:nvSpPr>
        <xdr:cNvPr id="597" name="TextBox 133">
          <a:extLst>
            <a:ext uri="{FF2B5EF4-FFF2-40B4-BE49-F238E27FC236}">
              <a16:creationId xmlns:a16="http://schemas.microsoft.com/office/drawing/2014/main" id="{00000000-0008-0000-0100-000055020000}"/>
            </a:ext>
          </a:extLst>
        </xdr:cNvPr>
        <xdr:cNvSpPr txBox="1"/>
      </xdr:nvSpPr>
      <xdr:spPr>
        <a:xfrm>
          <a:off x="7467600" y="150590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53810</xdr:rowOff>
    </xdr:to>
    <xdr:sp macro="" textlink="">
      <xdr:nvSpPr>
        <xdr:cNvPr id="598" name="TextBox 135">
          <a:extLst>
            <a:ext uri="{FF2B5EF4-FFF2-40B4-BE49-F238E27FC236}">
              <a16:creationId xmlns:a16="http://schemas.microsoft.com/office/drawing/2014/main" id="{00000000-0008-0000-0100-000056020000}"/>
            </a:ext>
          </a:extLst>
        </xdr:cNvPr>
        <xdr:cNvSpPr txBox="1"/>
      </xdr:nvSpPr>
      <xdr:spPr>
        <a:xfrm>
          <a:off x="7467600" y="150590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4412973</xdr:colOff>
      <xdr:row>70</xdr:row>
      <xdr:rowOff>53810</xdr:rowOff>
    </xdr:to>
    <xdr:sp macro="" textlink="">
      <xdr:nvSpPr>
        <xdr:cNvPr id="599" name="TextBox 136">
          <a:extLst>
            <a:ext uri="{FF2B5EF4-FFF2-40B4-BE49-F238E27FC236}">
              <a16:creationId xmlns:a16="http://schemas.microsoft.com/office/drawing/2014/main" id="{00000000-0008-0000-0100-000057020000}"/>
            </a:ext>
          </a:extLst>
        </xdr:cNvPr>
        <xdr:cNvSpPr txBox="1"/>
      </xdr:nvSpPr>
      <xdr:spPr>
        <a:xfrm>
          <a:off x="7467600" y="150590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600" name="TextBox 137">
          <a:extLst>
            <a:ext uri="{FF2B5EF4-FFF2-40B4-BE49-F238E27FC236}">
              <a16:creationId xmlns:a16="http://schemas.microsoft.com/office/drawing/2014/main" id="{00000000-0008-0000-0100-000058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601" name="TextBox 139">
          <a:extLst>
            <a:ext uri="{FF2B5EF4-FFF2-40B4-BE49-F238E27FC236}">
              <a16:creationId xmlns:a16="http://schemas.microsoft.com/office/drawing/2014/main" id="{00000000-0008-0000-0100-000059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602" name="TextBox 140">
          <a:extLst>
            <a:ext uri="{FF2B5EF4-FFF2-40B4-BE49-F238E27FC236}">
              <a16:creationId xmlns:a16="http://schemas.microsoft.com/office/drawing/2014/main" id="{00000000-0008-0000-0100-00005A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603" name="TextBox 142">
          <a:extLst>
            <a:ext uri="{FF2B5EF4-FFF2-40B4-BE49-F238E27FC236}">
              <a16:creationId xmlns:a16="http://schemas.microsoft.com/office/drawing/2014/main" id="{00000000-0008-0000-0100-00005B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604" name="TextBox 143">
          <a:extLst>
            <a:ext uri="{FF2B5EF4-FFF2-40B4-BE49-F238E27FC236}">
              <a16:creationId xmlns:a16="http://schemas.microsoft.com/office/drawing/2014/main" id="{00000000-0008-0000-0100-00005C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605" name="TextBox 144">
          <a:extLst>
            <a:ext uri="{FF2B5EF4-FFF2-40B4-BE49-F238E27FC236}">
              <a16:creationId xmlns:a16="http://schemas.microsoft.com/office/drawing/2014/main" id="{00000000-0008-0000-0100-00005D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4595228</xdr:colOff>
      <xdr:row>70</xdr:row>
      <xdr:rowOff>280732</xdr:rowOff>
    </xdr:to>
    <xdr:sp macro="" textlink="">
      <xdr:nvSpPr>
        <xdr:cNvPr id="606" name="TextBox 146">
          <a:extLst>
            <a:ext uri="{FF2B5EF4-FFF2-40B4-BE49-F238E27FC236}">
              <a16:creationId xmlns:a16="http://schemas.microsoft.com/office/drawing/2014/main" id="{00000000-0008-0000-0100-00005E020000}"/>
            </a:ext>
          </a:extLst>
        </xdr:cNvPr>
        <xdr:cNvSpPr txBox="1"/>
      </xdr:nvSpPr>
      <xdr:spPr>
        <a:xfrm>
          <a:off x="7467600" y="150590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4428378</xdr:colOff>
      <xdr:row>70</xdr:row>
      <xdr:rowOff>280732</xdr:rowOff>
    </xdr:to>
    <xdr:sp macro="" textlink="">
      <xdr:nvSpPr>
        <xdr:cNvPr id="607" name="TextBox 147">
          <a:extLst>
            <a:ext uri="{FF2B5EF4-FFF2-40B4-BE49-F238E27FC236}">
              <a16:creationId xmlns:a16="http://schemas.microsoft.com/office/drawing/2014/main" id="{00000000-0008-0000-0100-00005F020000}"/>
            </a:ext>
          </a:extLst>
        </xdr:cNvPr>
        <xdr:cNvSpPr txBox="1"/>
      </xdr:nvSpPr>
      <xdr:spPr>
        <a:xfrm>
          <a:off x="7467600" y="150590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269294</xdr:rowOff>
    </xdr:to>
    <xdr:sp macro="" textlink="">
      <xdr:nvSpPr>
        <xdr:cNvPr id="608" name="TextBox 149">
          <a:extLst>
            <a:ext uri="{FF2B5EF4-FFF2-40B4-BE49-F238E27FC236}">
              <a16:creationId xmlns:a16="http://schemas.microsoft.com/office/drawing/2014/main" id="{00000000-0008-0000-0100-000060020000}"/>
            </a:ext>
          </a:extLst>
        </xdr:cNvPr>
        <xdr:cNvSpPr txBox="1"/>
      </xdr:nvSpPr>
      <xdr:spPr>
        <a:xfrm>
          <a:off x="7467600" y="150590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269191</xdr:rowOff>
    </xdr:to>
    <xdr:sp macro="" textlink="">
      <xdr:nvSpPr>
        <xdr:cNvPr id="609" name="TextBox 151">
          <a:extLst>
            <a:ext uri="{FF2B5EF4-FFF2-40B4-BE49-F238E27FC236}">
              <a16:creationId xmlns:a16="http://schemas.microsoft.com/office/drawing/2014/main" id="{00000000-0008-0000-0100-000061020000}"/>
            </a:ext>
          </a:extLst>
        </xdr:cNvPr>
        <xdr:cNvSpPr txBox="1"/>
      </xdr:nvSpPr>
      <xdr:spPr>
        <a:xfrm>
          <a:off x="7467600" y="150590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4420721</xdr:colOff>
      <xdr:row>70</xdr:row>
      <xdr:rowOff>269191</xdr:rowOff>
    </xdr:to>
    <xdr:sp macro="" textlink="">
      <xdr:nvSpPr>
        <xdr:cNvPr id="610" name="TextBox 152">
          <a:extLst>
            <a:ext uri="{FF2B5EF4-FFF2-40B4-BE49-F238E27FC236}">
              <a16:creationId xmlns:a16="http://schemas.microsoft.com/office/drawing/2014/main" id="{00000000-0008-0000-0100-000062020000}"/>
            </a:ext>
          </a:extLst>
        </xdr:cNvPr>
        <xdr:cNvSpPr txBox="1"/>
      </xdr:nvSpPr>
      <xdr:spPr>
        <a:xfrm>
          <a:off x="7467600" y="150590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611" name="TextBox 153">
          <a:extLst>
            <a:ext uri="{FF2B5EF4-FFF2-40B4-BE49-F238E27FC236}">
              <a16:creationId xmlns:a16="http://schemas.microsoft.com/office/drawing/2014/main" id="{00000000-0008-0000-0100-000063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280896</xdr:rowOff>
    </xdr:to>
    <xdr:sp macro="" textlink="">
      <xdr:nvSpPr>
        <xdr:cNvPr id="612" name="TextBox 156">
          <a:extLst>
            <a:ext uri="{FF2B5EF4-FFF2-40B4-BE49-F238E27FC236}">
              <a16:creationId xmlns:a16="http://schemas.microsoft.com/office/drawing/2014/main" id="{00000000-0008-0000-0100-000064020000}"/>
            </a:ext>
          </a:extLst>
        </xdr:cNvPr>
        <xdr:cNvSpPr txBox="1"/>
      </xdr:nvSpPr>
      <xdr:spPr>
        <a:xfrm>
          <a:off x="7467600" y="150590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280793</xdr:rowOff>
    </xdr:to>
    <xdr:sp macro="" textlink="">
      <xdr:nvSpPr>
        <xdr:cNvPr id="613" name="TextBox 158">
          <a:extLst>
            <a:ext uri="{FF2B5EF4-FFF2-40B4-BE49-F238E27FC236}">
              <a16:creationId xmlns:a16="http://schemas.microsoft.com/office/drawing/2014/main" id="{00000000-0008-0000-0100-000065020000}"/>
            </a:ext>
          </a:extLst>
        </xdr:cNvPr>
        <xdr:cNvSpPr txBox="1"/>
      </xdr:nvSpPr>
      <xdr:spPr>
        <a:xfrm>
          <a:off x="7467600" y="150590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4403465</xdr:colOff>
      <xdr:row>70</xdr:row>
      <xdr:rowOff>280793</xdr:rowOff>
    </xdr:to>
    <xdr:sp macro="" textlink="">
      <xdr:nvSpPr>
        <xdr:cNvPr id="614" name="TextBox 159">
          <a:extLst>
            <a:ext uri="{FF2B5EF4-FFF2-40B4-BE49-F238E27FC236}">
              <a16:creationId xmlns:a16="http://schemas.microsoft.com/office/drawing/2014/main" id="{00000000-0008-0000-0100-000066020000}"/>
            </a:ext>
          </a:extLst>
        </xdr:cNvPr>
        <xdr:cNvSpPr txBox="1"/>
      </xdr:nvSpPr>
      <xdr:spPr>
        <a:xfrm>
          <a:off x="7467600" y="150590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4419145</xdr:colOff>
      <xdr:row>70</xdr:row>
      <xdr:rowOff>280793</xdr:rowOff>
    </xdr:to>
    <xdr:sp macro="" textlink="">
      <xdr:nvSpPr>
        <xdr:cNvPr id="615" name="TextBox 160">
          <a:extLst>
            <a:ext uri="{FF2B5EF4-FFF2-40B4-BE49-F238E27FC236}">
              <a16:creationId xmlns:a16="http://schemas.microsoft.com/office/drawing/2014/main" id="{00000000-0008-0000-0100-000067020000}"/>
            </a:ext>
          </a:extLst>
        </xdr:cNvPr>
        <xdr:cNvSpPr txBox="1"/>
      </xdr:nvSpPr>
      <xdr:spPr>
        <a:xfrm>
          <a:off x="7467600" y="150590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280896</xdr:rowOff>
    </xdr:to>
    <xdr:sp macro="" textlink="">
      <xdr:nvSpPr>
        <xdr:cNvPr id="616" name="TextBox 161">
          <a:extLst>
            <a:ext uri="{FF2B5EF4-FFF2-40B4-BE49-F238E27FC236}">
              <a16:creationId xmlns:a16="http://schemas.microsoft.com/office/drawing/2014/main" id="{00000000-0008-0000-0100-000068020000}"/>
            </a:ext>
          </a:extLst>
        </xdr:cNvPr>
        <xdr:cNvSpPr txBox="1"/>
      </xdr:nvSpPr>
      <xdr:spPr>
        <a:xfrm>
          <a:off x="7467600" y="150590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280793</xdr:rowOff>
    </xdr:to>
    <xdr:sp macro="" textlink="">
      <xdr:nvSpPr>
        <xdr:cNvPr id="617" name="TextBox 163">
          <a:extLst>
            <a:ext uri="{FF2B5EF4-FFF2-40B4-BE49-F238E27FC236}">
              <a16:creationId xmlns:a16="http://schemas.microsoft.com/office/drawing/2014/main" id="{00000000-0008-0000-0100-000069020000}"/>
            </a:ext>
          </a:extLst>
        </xdr:cNvPr>
        <xdr:cNvSpPr txBox="1"/>
      </xdr:nvSpPr>
      <xdr:spPr>
        <a:xfrm>
          <a:off x="7467600" y="150590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618" name="TextBox 164">
          <a:extLst>
            <a:ext uri="{FF2B5EF4-FFF2-40B4-BE49-F238E27FC236}">
              <a16:creationId xmlns:a16="http://schemas.microsoft.com/office/drawing/2014/main" id="{00000000-0008-0000-0100-00006A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4424221</xdr:colOff>
      <xdr:row>70</xdr:row>
      <xdr:rowOff>280793</xdr:rowOff>
    </xdr:to>
    <xdr:sp macro="" textlink="">
      <xdr:nvSpPr>
        <xdr:cNvPr id="619" name="TextBox 166">
          <a:extLst>
            <a:ext uri="{FF2B5EF4-FFF2-40B4-BE49-F238E27FC236}">
              <a16:creationId xmlns:a16="http://schemas.microsoft.com/office/drawing/2014/main" id="{00000000-0008-0000-0100-00006B020000}"/>
            </a:ext>
          </a:extLst>
        </xdr:cNvPr>
        <xdr:cNvSpPr txBox="1"/>
      </xdr:nvSpPr>
      <xdr:spPr>
        <a:xfrm>
          <a:off x="7467600" y="150590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4438347</xdr:colOff>
      <xdr:row>70</xdr:row>
      <xdr:rowOff>280793</xdr:rowOff>
    </xdr:to>
    <xdr:sp macro="" textlink="">
      <xdr:nvSpPr>
        <xdr:cNvPr id="620" name="TextBox 167">
          <a:extLst>
            <a:ext uri="{FF2B5EF4-FFF2-40B4-BE49-F238E27FC236}">
              <a16:creationId xmlns:a16="http://schemas.microsoft.com/office/drawing/2014/main" id="{00000000-0008-0000-0100-00006C020000}"/>
            </a:ext>
          </a:extLst>
        </xdr:cNvPr>
        <xdr:cNvSpPr txBox="1"/>
      </xdr:nvSpPr>
      <xdr:spPr>
        <a:xfrm>
          <a:off x="7467600" y="150590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4421792</xdr:colOff>
      <xdr:row>70</xdr:row>
      <xdr:rowOff>280793</xdr:rowOff>
    </xdr:to>
    <xdr:sp macro="" textlink="">
      <xdr:nvSpPr>
        <xdr:cNvPr id="621" name="TextBox 168">
          <a:extLst>
            <a:ext uri="{FF2B5EF4-FFF2-40B4-BE49-F238E27FC236}">
              <a16:creationId xmlns:a16="http://schemas.microsoft.com/office/drawing/2014/main" id="{00000000-0008-0000-0100-00006D020000}"/>
            </a:ext>
          </a:extLst>
        </xdr:cNvPr>
        <xdr:cNvSpPr txBox="1"/>
      </xdr:nvSpPr>
      <xdr:spPr>
        <a:xfrm>
          <a:off x="7467600" y="150590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4424306</xdr:colOff>
      <xdr:row>70</xdr:row>
      <xdr:rowOff>280793</xdr:rowOff>
    </xdr:to>
    <xdr:sp macro="" textlink="">
      <xdr:nvSpPr>
        <xdr:cNvPr id="622" name="TextBox 170">
          <a:extLst>
            <a:ext uri="{FF2B5EF4-FFF2-40B4-BE49-F238E27FC236}">
              <a16:creationId xmlns:a16="http://schemas.microsoft.com/office/drawing/2014/main" id="{00000000-0008-0000-0100-00006E020000}"/>
            </a:ext>
          </a:extLst>
        </xdr:cNvPr>
        <xdr:cNvSpPr txBox="1"/>
      </xdr:nvSpPr>
      <xdr:spPr>
        <a:xfrm>
          <a:off x="7467600" y="150590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4398966</xdr:colOff>
      <xdr:row>70</xdr:row>
      <xdr:rowOff>298293</xdr:rowOff>
    </xdr:to>
    <xdr:sp macro="" textlink="">
      <xdr:nvSpPr>
        <xdr:cNvPr id="623" name="TextBox 173">
          <a:extLst>
            <a:ext uri="{FF2B5EF4-FFF2-40B4-BE49-F238E27FC236}">
              <a16:creationId xmlns:a16="http://schemas.microsoft.com/office/drawing/2014/main" id="{00000000-0008-0000-0100-00006F020000}"/>
            </a:ext>
          </a:extLst>
        </xdr:cNvPr>
        <xdr:cNvSpPr txBox="1"/>
      </xdr:nvSpPr>
      <xdr:spPr>
        <a:xfrm>
          <a:off x="7467600" y="150590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4398966</xdr:colOff>
      <xdr:row>70</xdr:row>
      <xdr:rowOff>301363</xdr:rowOff>
    </xdr:to>
    <xdr:sp macro="" textlink="">
      <xdr:nvSpPr>
        <xdr:cNvPr id="624" name="TextBox 175">
          <a:extLst>
            <a:ext uri="{FF2B5EF4-FFF2-40B4-BE49-F238E27FC236}">
              <a16:creationId xmlns:a16="http://schemas.microsoft.com/office/drawing/2014/main" id="{00000000-0008-0000-0100-000070020000}"/>
            </a:ext>
          </a:extLst>
        </xdr:cNvPr>
        <xdr:cNvSpPr txBox="1"/>
      </xdr:nvSpPr>
      <xdr:spPr>
        <a:xfrm>
          <a:off x="7467600" y="150590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4394127</xdr:colOff>
      <xdr:row>70</xdr:row>
      <xdr:rowOff>301363</xdr:rowOff>
    </xdr:to>
    <xdr:sp macro="" textlink="">
      <xdr:nvSpPr>
        <xdr:cNvPr id="625" name="TextBox 177">
          <a:extLst>
            <a:ext uri="{FF2B5EF4-FFF2-40B4-BE49-F238E27FC236}">
              <a16:creationId xmlns:a16="http://schemas.microsoft.com/office/drawing/2014/main" id="{00000000-0008-0000-0100-000071020000}"/>
            </a:ext>
          </a:extLst>
        </xdr:cNvPr>
        <xdr:cNvSpPr txBox="1"/>
      </xdr:nvSpPr>
      <xdr:spPr>
        <a:xfrm>
          <a:off x="7467600" y="150590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626" name="TextBox 178">
          <a:extLst>
            <a:ext uri="{FF2B5EF4-FFF2-40B4-BE49-F238E27FC236}">
              <a16:creationId xmlns:a16="http://schemas.microsoft.com/office/drawing/2014/main" id="{00000000-0008-0000-0100-000072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627" name="TextBox 180">
          <a:extLst>
            <a:ext uri="{FF2B5EF4-FFF2-40B4-BE49-F238E27FC236}">
              <a16:creationId xmlns:a16="http://schemas.microsoft.com/office/drawing/2014/main" id="{00000000-0008-0000-0100-000073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4394046</xdr:colOff>
      <xdr:row>70</xdr:row>
      <xdr:rowOff>301363</xdr:rowOff>
    </xdr:to>
    <xdr:sp macro="" textlink="">
      <xdr:nvSpPr>
        <xdr:cNvPr id="628" name="TextBox 181">
          <a:extLst>
            <a:ext uri="{FF2B5EF4-FFF2-40B4-BE49-F238E27FC236}">
              <a16:creationId xmlns:a16="http://schemas.microsoft.com/office/drawing/2014/main" id="{00000000-0008-0000-0100-000074020000}"/>
            </a:ext>
          </a:extLst>
        </xdr:cNvPr>
        <xdr:cNvSpPr txBox="1"/>
      </xdr:nvSpPr>
      <xdr:spPr>
        <a:xfrm>
          <a:off x="7467600" y="150590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4361918</xdr:colOff>
      <xdr:row>70</xdr:row>
      <xdr:rowOff>301363</xdr:rowOff>
    </xdr:to>
    <xdr:sp macro="" textlink="">
      <xdr:nvSpPr>
        <xdr:cNvPr id="629" name="TextBox 182">
          <a:extLst>
            <a:ext uri="{FF2B5EF4-FFF2-40B4-BE49-F238E27FC236}">
              <a16:creationId xmlns:a16="http://schemas.microsoft.com/office/drawing/2014/main" id="{00000000-0008-0000-0100-000075020000}"/>
            </a:ext>
          </a:extLst>
        </xdr:cNvPr>
        <xdr:cNvSpPr txBox="1"/>
      </xdr:nvSpPr>
      <xdr:spPr>
        <a:xfrm>
          <a:off x="7467600" y="150590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630" name="TextBox 184">
          <a:extLst>
            <a:ext uri="{FF2B5EF4-FFF2-40B4-BE49-F238E27FC236}">
              <a16:creationId xmlns:a16="http://schemas.microsoft.com/office/drawing/2014/main" id="{00000000-0008-0000-0100-000076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69</xdr:row>
      <xdr:rowOff>142875</xdr:rowOff>
    </xdr:from>
    <xdr:to>
      <xdr:col>2</xdr:col>
      <xdr:colOff>7138169</xdr:colOff>
      <xdr:row>70</xdr:row>
      <xdr:rowOff>298293</xdr:rowOff>
    </xdr:to>
    <xdr:sp macro="" textlink="">
      <xdr:nvSpPr>
        <xdr:cNvPr id="631" name="TextBox 187">
          <a:extLst>
            <a:ext uri="{FF2B5EF4-FFF2-40B4-BE49-F238E27FC236}">
              <a16:creationId xmlns:a16="http://schemas.microsoft.com/office/drawing/2014/main" id="{00000000-0008-0000-0100-000077020000}"/>
            </a:ext>
          </a:extLst>
        </xdr:cNvPr>
        <xdr:cNvSpPr txBox="1"/>
      </xdr:nvSpPr>
      <xdr:spPr>
        <a:xfrm>
          <a:off x="2133600" y="150590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69</xdr:row>
      <xdr:rowOff>142875</xdr:rowOff>
    </xdr:from>
    <xdr:to>
      <xdr:col>2</xdr:col>
      <xdr:colOff>7138169</xdr:colOff>
      <xdr:row>70</xdr:row>
      <xdr:rowOff>291104</xdr:rowOff>
    </xdr:to>
    <xdr:sp macro="" textlink="">
      <xdr:nvSpPr>
        <xdr:cNvPr id="632" name="TextBox 189">
          <a:extLst>
            <a:ext uri="{FF2B5EF4-FFF2-40B4-BE49-F238E27FC236}">
              <a16:creationId xmlns:a16="http://schemas.microsoft.com/office/drawing/2014/main" id="{00000000-0008-0000-0100-000078020000}"/>
            </a:ext>
          </a:extLst>
        </xdr:cNvPr>
        <xdr:cNvSpPr txBox="1"/>
      </xdr:nvSpPr>
      <xdr:spPr>
        <a:xfrm>
          <a:off x="2133600" y="150590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308610</xdr:colOff>
      <xdr:row>69</xdr:row>
      <xdr:rowOff>142875</xdr:rowOff>
    </xdr:from>
    <xdr:to>
      <xdr:col>4</xdr:col>
      <xdr:colOff>3853075</xdr:colOff>
      <xdr:row>70</xdr:row>
      <xdr:rowOff>291104</xdr:rowOff>
    </xdr:to>
    <xdr:sp macro="" textlink="">
      <xdr:nvSpPr>
        <xdr:cNvPr id="633" name="TextBox 190">
          <a:extLst>
            <a:ext uri="{FF2B5EF4-FFF2-40B4-BE49-F238E27FC236}">
              <a16:creationId xmlns:a16="http://schemas.microsoft.com/office/drawing/2014/main" id="{00000000-0008-0000-0100-000079020000}"/>
            </a:ext>
          </a:extLst>
        </xdr:cNvPr>
        <xdr:cNvSpPr txBox="1"/>
      </xdr:nvSpPr>
      <xdr:spPr>
        <a:xfrm>
          <a:off x="693801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4382582</xdr:colOff>
      <xdr:row>70</xdr:row>
      <xdr:rowOff>291104</xdr:rowOff>
    </xdr:to>
    <xdr:sp macro="" textlink="">
      <xdr:nvSpPr>
        <xdr:cNvPr id="634" name="TextBox 192">
          <a:extLst>
            <a:ext uri="{FF2B5EF4-FFF2-40B4-BE49-F238E27FC236}">
              <a16:creationId xmlns:a16="http://schemas.microsoft.com/office/drawing/2014/main" id="{00000000-0008-0000-0100-00007A020000}"/>
            </a:ext>
          </a:extLst>
        </xdr:cNvPr>
        <xdr:cNvSpPr txBox="1"/>
      </xdr:nvSpPr>
      <xdr:spPr>
        <a:xfrm>
          <a:off x="7467600" y="150590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4382665</xdr:colOff>
      <xdr:row>70</xdr:row>
      <xdr:rowOff>291104</xdr:rowOff>
    </xdr:to>
    <xdr:sp macro="" textlink="">
      <xdr:nvSpPr>
        <xdr:cNvPr id="635" name="TextBox 193">
          <a:extLst>
            <a:ext uri="{FF2B5EF4-FFF2-40B4-BE49-F238E27FC236}">
              <a16:creationId xmlns:a16="http://schemas.microsoft.com/office/drawing/2014/main" id="{00000000-0008-0000-0100-00007B020000}"/>
            </a:ext>
          </a:extLst>
        </xdr:cNvPr>
        <xdr:cNvSpPr txBox="1"/>
      </xdr:nvSpPr>
      <xdr:spPr>
        <a:xfrm>
          <a:off x="746760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4382665</xdr:colOff>
      <xdr:row>70</xdr:row>
      <xdr:rowOff>291104</xdr:rowOff>
    </xdr:to>
    <xdr:sp macro="" textlink="">
      <xdr:nvSpPr>
        <xdr:cNvPr id="636" name="TextBox 195">
          <a:extLst>
            <a:ext uri="{FF2B5EF4-FFF2-40B4-BE49-F238E27FC236}">
              <a16:creationId xmlns:a16="http://schemas.microsoft.com/office/drawing/2014/main" id="{00000000-0008-0000-0100-00007C020000}"/>
            </a:ext>
          </a:extLst>
        </xdr:cNvPr>
        <xdr:cNvSpPr txBox="1"/>
      </xdr:nvSpPr>
      <xdr:spPr>
        <a:xfrm>
          <a:off x="746760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4371031</xdr:colOff>
      <xdr:row>70</xdr:row>
      <xdr:rowOff>291104</xdr:rowOff>
    </xdr:to>
    <xdr:sp macro="" textlink="">
      <xdr:nvSpPr>
        <xdr:cNvPr id="637" name="TextBox 196">
          <a:extLst>
            <a:ext uri="{FF2B5EF4-FFF2-40B4-BE49-F238E27FC236}">
              <a16:creationId xmlns:a16="http://schemas.microsoft.com/office/drawing/2014/main" id="{00000000-0008-0000-0100-00007D020000}"/>
            </a:ext>
          </a:extLst>
        </xdr:cNvPr>
        <xdr:cNvSpPr txBox="1"/>
      </xdr:nvSpPr>
      <xdr:spPr>
        <a:xfrm>
          <a:off x="7467600" y="15059025"/>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4382665</xdr:colOff>
      <xdr:row>70</xdr:row>
      <xdr:rowOff>291104</xdr:rowOff>
    </xdr:to>
    <xdr:sp macro="" textlink="">
      <xdr:nvSpPr>
        <xdr:cNvPr id="638" name="TextBox 198">
          <a:extLst>
            <a:ext uri="{FF2B5EF4-FFF2-40B4-BE49-F238E27FC236}">
              <a16:creationId xmlns:a16="http://schemas.microsoft.com/office/drawing/2014/main" id="{00000000-0008-0000-0100-00007E020000}"/>
            </a:ext>
          </a:extLst>
        </xdr:cNvPr>
        <xdr:cNvSpPr txBox="1"/>
      </xdr:nvSpPr>
      <xdr:spPr>
        <a:xfrm>
          <a:off x="746760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302444</xdr:rowOff>
    </xdr:to>
    <xdr:sp macro="" textlink="">
      <xdr:nvSpPr>
        <xdr:cNvPr id="639" name="TextBox 205">
          <a:extLst>
            <a:ext uri="{FF2B5EF4-FFF2-40B4-BE49-F238E27FC236}">
              <a16:creationId xmlns:a16="http://schemas.microsoft.com/office/drawing/2014/main" id="{00000000-0008-0000-0100-00007F020000}"/>
            </a:ext>
          </a:extLst>
        </xdr:cNvPr>
        <xdr:cNvSpPr txBox="1"/>
      </xdr:nvSpPr>
      <xdr:spPr>
        <a:xfrm>
          <a:off x="7467600" y="150590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295177</xdr:rowOff>
    </xdr:to>
    <xdr:sp macro="" textlink="">
      <xdr:nvSpPr>
        <xdr:cNvPr id="640" name="TextBox 207">
          <a:extLst>
            <a:ext uri="{FF2B5EF4-FFF2-40B4-BE49-F238E27FC236}">
              <a16:creationId xmlns:a16="http://schemas.microsoft.com/office/drawing/2014/main" id="{00000000-0008-0000-0100-000080020000}"/>
            </a:ext>
          </a:extLst>
        </xdr:cNvPr>
        <xdr:cNvSpPr txBox="1"/>
      </xdr:nvSpPr>
      <xdr:spPr>
        <a:xfrm>
          <a:off x="7467600" y="150590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41" name="TextBox 208">
          <a:extLst>
            <a:ext uri="{FF2B5EF4-FFF2-40B4-BE49-F238E27FC236}">
              <a16:creationId xmlns:a16="http://schemas.microsoft.com/office/drawing/2014/main" id="{00000000-0008-0000-0100-000081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4381043</xdr:colOff>
      <xdr:row>70</xdr:row>
      <xdr:rowOff>295177</xdr:rowOff>
    </xdr:to>
    <xdr:sp macro="" textlink="">
      <xdr:nvSpPr>
        <xdr:cNvPr id="642" name="TextBox 210">
          <a:extLst>
            <a:ext uri="{FF2B5EF4-FFF2-40B4-BE49-F238E27FC236}">
              <a16:creationId xmlns:a16="http://schemas.microsoft.com/office/drawing/2014/main" id="{00000000-0008-0000-0100-000082020000}"/>
            </a:ext>
          </a:extLst>
        </xdr:cNvPr>
        <xdr:cNvSpPr txBox="1"/>
      </xdr:nvSpPr>
      <xdr:spPr>
        <a:xfrm>
          <a:off x="7467600" y="150590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43" name="TextBox 211">
          <a:extLst>
            <a:ext uri="{FF2B5EF4-FFF2-40B4-BE49-F238E27FC236}">
              <a16:creationId xmlns:a16="http://schemas.microsoft.com/office/drawing/2014/main" id="{00000000-0008-0000-0100-000083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44" name="TextBox 213">
          <a:extLst>
            <a:ext uri="{FF2B5EF4-FFF2-40B4-BE49-F238E27FC236}">
              <a16:creationId xmlns:a16="http://schemas.microsoft.com/office/drawing/2014/main" id="{00000000-0008-0000-0100-000084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4369563</xdr:colOff>
      <xdr:row>70</xdr:row>
      <xdr:rowOff>295177</xdr:rowOff>
    </xdr:to>
    <xdr:sp macro="" textlink="">
      <xdr:nvSpPr>
        <xdr:cNvPr id="645" name="TextBox 214">
          <a:extLst>
            <a:ext uri="{FF2B5EF4-FFF2-40B4-BE49-F238E27FC236}">
              <a16:creationId xmlns:a16="http://schemas.microsoft.com/office/drawing/2014/main" id="{00000000-0008-0000-0100-000085020000}"/>
            </a:ext>
          </a:extLst>
        </xdr:cNvPr>
        <xdr:cNvSpPr txBox="1"/>
      </xdr:nvSpPr>
      <xdr:spPr>
        <a:xfrm>
          <a:off x="7467600" y="150590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4283397</xdr:colOff>
      <xdr:row>70</xdr:row>
      <xdr:rowOff>295177</xdr:rowOff>
    </xdr:to>
    <xdr:sp macro="" textlink="">
      <xdr:nvSpPr>
        <xdr:cNvPr id="646" name="TextBox 215">
          <a:extLst>
            <a:ext uri="{FF2B5EF4-FFF2-40B4-BE49-F238E27FC236}">
              <a16:creationId xmlns:a16="http://schemas.microsoft.com/office/drawing/2014/main" id="{00000000-0008-0000-0100-000086020000}"/>
            </a:ext>
          </a:extLst>
        </xdr:cNvPr>
        <xdr:cNvSpPr txBox="1"/>
      </xdr:nvSpPr>
      <xdr:spPr>
        <a:xfrm>
          <a:off x="7467600" y="150590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47" name="TextBox 217">
          <a:extLst>
            <a:ext uri="{FF2B5EF4-FFF2-40B4-BE49-F238E27FC236}">
              <a16:creationId xmlns:a16="http://schemas.microsoft.com/office/drawing/2014/main" id="{00000000-0008-0000-0100-000087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239296</xdr:rowOff>
    </xdr:to>
    <xdr:sp macro="" textlink="">
      <xdr:nvSpPr>
        <xdr:cNvPr id="648" name="TextBox 221">
          <a:extLst>
            <a:ext uri="{FF2B5EF4-FFF2-40B4-BE49-F238E27FC236}">
              <a16:creationId xmlns:a16="http://schemas.microsoft.com/office/drawing/2014/main" id="{00000000-0008-0000-0100-000088020000}"/>
            </a:ext>
          </a:extLst>
        </xdr:cNvPr>
        <xdr:cNvSpPr txBox="1"/>
      </xdr:nvSpPr>
      <xdr:spPr>
        <a:xfrm>
          <a:off x="7467600" y="150590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206133</xdr:rowOff>
    </xdr:to>
    <xdr:sp macro="" textlink="">
      <xdr:nvSpPr>
        <xdr:cNvPr id="649" name="TextBox 223">
          <a:extLst>
            <a:ext uri="{FF2B5EF4-FFF2-40B4-BE49-F238E27FC236}">
              <a16:creationId xmlns:a16="http://schemas.microsoft.com/office/drawing/2014/main" id="{00000000-0008-0000-0100-000089020000}"/>
            </a:ext>
          </a:extLst>
        </xdr:cNvPr>
        <xdr:cNvSpPr txBox="1"/>
      </xdr:nvSpPr>
      <xdr:spPr>
        <a:xfrm>
          <a:off x="7467600" y="150590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4476132</xdr:colOff>
      <xdr:row>70</xdr:row>
      <xdr:rowOff>206133</xdr:rowOff>
    </xdr:to>
    <xdr:sp macro="" textlink="">
      <xdr:nvSpPr>
        <xdr:cNvPr id="650" name="TextBox 224">
          <a:extLst>
            <a:ext uri="{FF2B5EF4-FFF2-40B4-BE49-F238E27FC236}">
              <a16:creationId xmlns:a16="http://schemas.microsoft.com/office/drawing/2014/main" id="{00000000-0008-0000-0100-00008A020000}"/>
            </a:ext>
          </a:extLst>
        </xdr:cNvPr>
        <xdr:cNvSpPr txBox="1"/>
      </xdr:nvSpPr>
      <xdr:spPr>
        <a:xfrm>
          <a:off x="7467600" y="150590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651" name="TextBox 226">
          <a:extLst>
            <a:ext uri="{FF2B5EF4-FFF2-40B4-BE49-F238E27FC236}">
              <a16:creationId xmlns:a16="http://schemas.microsoft.com/office/drawing/2014/main" id="{00000000-0008-0000-0100-00008B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4422793</xdr:colOff>
      <xdr:row>70</xdr:row>
      <xdr:rowOff>206133</xdr:rowOff>
    </xdr:to>
    <xdr:sp macro="" textlink="">
      <xdr:nvSpPr>
        <xdr:cNvPr id="652" name="TextBox 227">
          <a:extLst>
            <a:ext uri="{FF2B5EF4-FFF2-40B4-BE49-F238E27FC236}">
              <a16:creationId xmlns:a16="http://schemas.microsoft.com/office/drawing/2014/main" id="{00000000-0008-0000-0100-00008C020000}"/>
            </a:ext>
          </a:extLst>
        </xdr:cNvPr>
        <xdr:cNvSpPr txBox="1"/>
      </xdr:nvSpPr>
      <xdr:spPr>
        <a:xfrm>
          <a:off x="7467600" y="150590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4366403</xdr:colOff>
      <xdr:row>70</xdr:row>
      <xdr:rowOff>206133</xdr:rowOff>
    </xdr:to>
    <xdr:sp macro="" textlink="">
      <xdr:nvSpPr>
        <xdr:cNvPr id="653" name="TextBox 228">
          <a:extLst>
            <a:ext uri="{FF2B5EF4-FFF2-40B4-BE49-F238E27FC236}">
              <a16:creationId xmlns:a16="http://schemas.microsoft.com/office/drawing/2014/main" id="{00000000-0008-0000-0100-00008D020000}"/>
            </a:ext>
          </a:extLst>
        </xdr:cNvPr>
        <xdr:cNvSpPr txBox="1"/>
      </xdr:nvSpPr>
      <xdr:spPr>
        <a:xfrm>
          <a:off x="7467600" y="150590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654" name="TextBox 230">
          <a:extLst>
            <a:ext uri="{FF2B5EF4-FFF2-40B4-BE49-F238E27FC236}">
              <a16:creationId xmlns:a16="http://schemas.microsoft.com/office/drawing/2014/main" id="{00000000-0008-0000-0100-00008E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281097</xdr:rowOff>
    </xdr:to>
    <xdr:sp macro="" textlink="">
      <xdr:nvSpPr>
        <xdr:cNvPr id="655" name="TextBox 233">
          <a:extLst>
            <a:ext uri="{FF2B5EF4-FFF2-40B4-BE49-F238E27FC236}">
              <a16:creationId xmlns:a16="http://schemas.microsoft.com/office/drawing/2014/main" id="{00000000-0008-0000-0100-00008F020000}"/>
            </a:ext>
          </a:extLst>
        </xdr:cNvPr>
        <xdr:cNvSpPr txBox="1"/>
      </xdr:nvSpPr>
      <xdr:spPr>
        <a:xfrm>
          <a:off x="7467600" y="150590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280994</xdr:rowOff>
    </xdr:to>
    <xdr:sp macro="" textlink="">
      <xdr:nvSpPr>
        <xdr:cNvPr id="656" name="TextBox 235">
          <a:extLst>
            <a:ext uri="{FF2B5EF4-FFF2-40B4-BE49-F238E27FC236}">
              <a16:creationId xmlns:a16="http://schemas.microsoft.com/office/drawing/2014/main" id="{00000000-0008-0000-0100-000090020000}"/>
            </a:ext>
          </a:extLst>
        </xdr:cNvPr>
        <xdr:cNvSpPr txBox="1"/>
      </xdr:nvSpPr>
      <xdr:spPr>
        <a:xfrm>
          <a:off x="7467600" y="150590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4475314</xdr:colOff>
      <xdr:row>70</xdr:row>
      <xdr:rowOff>280994</xdr:rowOff>
    </xdr:to>
    <xdr:sp macro="" textlink="">
      <xdr:nvSpPr>
        <xdr:cNvPr id="657" name="TextBox 236">
          <a:extLst>
            <a:ext uri="{FF2B5EF4-FFF2-40B4-BE49-F238E27FC236}">
              <a16:creationId xmlns:a16="http://schemas.microsoft.com/office/drawing/2014/main" id="{00000000-0008-0000-0100-000091020000}"/>
            </a:ext>
          </a:extLst>
        </xdr:cNvPr>
        <xdr:cNvSpPr txBox="1"/>
      </xdr:nvSpPr>
      <xdr:spPr>
        <a:xfrm>
          <a:off x="7467600" y="150590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4420626</xdr:colOff>
      <xdr:row>70</xdr:row>
      <xdr:rowOff>280994</xdr:rowOff>
    </xdr:to>
    <xdr:sp macro="" textlink="">
      <xdr:nvSpPr>
        <xdr:cNvPr id="658" name="TextBox 238">
          <a:extLst>
            <a:ext uri="{FF2B5EF4-FFF2-40B4-BE49-F238E27FC236}">
              <a16:creationId xmlns:a16="http://schemas.microsoft.com/office/drawing/2014/main" id="{00000000-0008-0000-0100-000092020000}"/>
            </a:ext>
          </a:extLst>
        </xdr:cNvPr>
        <xdr:cNvSpPr txBox="1"/>
      </xdr:nvSpPr>
      <xdr:spPr>
        <a:xfrm>
          <a:off x="7467600" y="150590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659" name="TextBox 239">
          <a:extLst>
            <a:ext uri="{FF2B5EF4-FFF2-40B4-BE49-F238E27FC236}">
              <a16:creationId xmlns:a16="http://schemas.microsoft.com/office/drawing/2014/main" id="{00000000-0008-0000-0100-000093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660" name="TextBox 241">
          <a:extLst>
            <a:ext uri="{FF2B5EF4-FFF2-40B4-BE49-F238E27FC236}">
              <a16:creationId xmlns:a16="http://schemas.microsoft.com/office/drawing/2014/main" id="{00000000-0008-0000-0100-000094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4473033</xdr:colOff>
      <xdr:row>70</xdr:row>
      <xdr:rowOff>280994</xdr:rowOff>
    </xdr:to>
    <xdr:sp macro="" textlink="">
      <xdr:nvSpPr>
        <xdr:cNvPr id="661" name="TextBox 242">
          <a:extLst>
            <a:ext uri="{FF2B5EF4-FFF2-40B4-BE49-F238E27FC236}">
              <a16:creationId xmlns:a16="http://schemas.microsoft.com/office/drawing/2014/main" id="{00000000-0008-0000-0100-000095020000}"/>
            </a:ext>
          </a:extLst>
        </xdr:cNvPr>
        <xdr:cNvSpPr txBox="1"/>
      </xdr:nvSpPr>
      <xdr:spPr>
        <a:xfrm>
          <a:off x="7467600" y="150590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4420710</xdr:colOff>
      <xdr:row>70</xdr:row>
      <xdr:rowOff>280994</xdr:rowOff>
    </xdr:to>
    <xdr:sp macro="" textlink="">
      <xdr:nvSpPr>
        <xdr:cNvPr id="662" name="TextBox 244">
          <a:extLst>
            <a:ext uri="{FF2B5EF4-FFF2-40B4-BE49-F238E27FC236}">
              <a16:creationId xmlns:a16="http://schemas.microsoft.com/office/drawing/2014/main" id="{00000000-0008-0000-0100-000096020000}"/>
            </a:ext>
          </a:extLst>
        </xdr:cNvPr>
        <xdr:cNvSpPr txBox="1"/>
      </xdr:nvSpPr>
      <xdr:spPr>
        <a:xfrm>
          <a:off x="7467600" y="150590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268809</xdr:rowOff>
    </xdr:to>
    <xdr:sp macro="" textlink="">
      <xdr:nvSpPr>
        <xdr:cNvPr id="663" name="TextBox 248">
          <a:extLst>
            <a:ext uri="{FF2B5EF4-FFF2-40B4-BE49-F238E27FC236}">
              <a16:creationId xmlns:a16="http://schemas.microsoft.com/office/drawing/2014/main" id="{00000000-0008-0000-0100-000097020000}"/>
            </a:ext>
          </a:extLst>
        </xdr:cNvPr>
        <xdr:cNvSpPr txBox="1"/>
      </xdr:nvSpPr>
      <xdr:spPr>
        <a:xfrm>
          <a:off x="7467600" y="150590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268706</xdr:rowOff>
    </xdr:to>
    <xdr:sp macro="" textlink="">
      <xdr:nvSpPr>
        <xdr:cNvPr id="664" name="TextBox 250">
          <a:extLst>
            <a:ext uri="{FF2B5EF4-FFF2-40B4-BE49-F238E27FC236}">
              <a16:creationId xmlns:a16="http://schemas.microsoft.com/office/drawing/2014/main" id="{00000000-0008-0000-0100-000098020000}"/>
            </a:ext>
          </a:extLst>
        </xdr:cNvPr>
        <xdr:cNvSpPr txBox="1"/>
      </xdr:nvSpPr>
      <xdr:spPr>
        <a:xfrm>
          <a:off x="7467600" y="150590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53898</xdr:rowOff>
    </xdr:to>
    <xdr:sp macro="" textlink="">
      <xdr:nvSpPr>
        <xdr:cNvPr id="665" name="TextBox 251">
          <a:extLst>
            <a:ext uri="{FF2B5EF4-FFF2-40B4-BE49-F238E27FC236}">
              <a16:creationId xmlns:a16="http://schemas.microsoft.com/office/drawing/2014/main" id="{00000000-0008-0000-0100-000099020000}"/>
            </a:ext>
          </a:extLst>
        </xdr:cNvPr>
        <xdr:cNvSpPr txBox="1"/>
      </xdr:nvSpPr>
      <xdr:spPr>
        <a:xfrm>
          <a:off x="7467600" y="150590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53810</xdr:rowOff>
    </xdr:to>
    <xdr:sp macro="" textlink="">
      <xdr:nvSpPr>
        <xdr:cNvPr id="666" name="TextBox 253">
          <a:extLst>
            <a:ext uri="{FF2B5EF4-FFF2-40B4-BE49-F238E27FC236}">
              <a16:creationId xmlns:a16="http://schemas.microsoft.com/office/drawing/2014/main" id="{00000000-0008-0000-0100-00009A020000}"/>
            </a:ext>
          </a:extLst>
        </xdr:cNvPr>
        <xdr:cNvSpPr txBox="1"/>
      </xdr:nvSpPr>
      <xdr:spPr>
        <a:xfrm>
          <a:off x="7467600" y="150590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4412973</xdr:colOff>
      <xdr:row>70</xdr:row>
      <xdr:rowOff>53810</xdr:rowOff>
    </xdr:to>
    <xdr:sp macro="" textlink="">
      <xdr:nvSpPr>
        <xdr:cNvPr id="667" name="TextBox 254">
          <a:extLst>
            <a:ext uri="{FF2B5EF4-FFF2-40B4-BE49-F238E27FC236}">
              <a16:creationId xmlns:a16="http://schemas.microsoft.com/office/drawing/2014/main" id="{00000000-0008-0000-0100-00009B020000}"/>
            </a:ext>
          </a:extLst>
        </xdr:cNvPr>
        <xdr:cNvSpPr txBox="1"/>
      </xdr:nvSpPr>
      <xdr:spPr>
        <a:xfrm>
          <a:off x="7467600" y="150590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668" name="TextBox 255">
          <a:extLst>
            <a:ext uri="{FF2B5EF4-FFF2-40B4-BE49-F238E27FC236}">
              <a16:creationId xmlns:a16="http://schemas.microsoft.com/office/drawing/2014/main" id="{00000000-0008-0000-0100-00009C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669" name="TextBox 257">
          <a:extLst>
            <a:ext uri="{FF2B5EF4-FFF2-40B4-BE49-F238E27FC236}">
              <a16:creationId xmlns:a16="http://schemas.microsoft.com/office/drawing/2014/main" id="{00000000-0008-0000-0100-00009D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670" name="TextBox 258">
          <a:extLst>
            <a:ext uri="{FF2B5EF4-FFF2-40B4-BE49-F238E27FC236}">
              <a16:creationId xmlns:a16="http://schemas.microsoft.com/office/drawing/2014/main" id="{00000000-0008-0000-0100-00009E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671" name="TextBox 260">
          <a:extLst>
            <a:ext uri="{FF2B5EF4-FFF2-40B4-BE49-F238E27FC236}">
              <a16:creationId xmlns:a16="http://schemas.microsoft.com/office/drawing/2014/main" id="{00000000-0008-0000-0100-00009F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672" name="TextBox 261">
          <a:extLst>
            <a:ext uri="{FF2B5EF4-FFF2-40B4-BE49-F238E27FC236}">
              <a16:creationId xmlns:a16="http://schemas.microsoft.com/office/drawing/2014/main" id="{00000000-0008-0000-0100-0000A0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673" name="TextBox 262">
          <a:extLst>
            <a:ext uri="{FF2B5EF4-FFF2-40B4-BE49-F238E27FC236}">
              <a16:creationId xmlns:a16="http://schemas.microsoft.com/office/drawing/2014/main" id="{00000000-0008-0000-0100-0000A1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4595228</xdr:colOff>
      <xdr:row>70</xdr:row>
      <xdr:rowOff>280732</xdr:rowOff>
    </xdr:to>
    <xdr:sp macro="" textlink="">
      <xdr:nvSpPr>
        <xdr:cNvPr id="674" name="TextBox 264">
          <a:extLst>
            <a:ext uri="{FF2B5EF4-FFF2-40B4-BE49-F238E27FC236}">
              <a16:creationId xmlns:a16="http://schemas.microsoft.com/office/drawing/2014/main" id="{00000000-0008-0000-0100-0000A2020000}"/>
            </a:ext>
          </a:extLst>
        </xdr:cNvPr>
        <xdr:cNvSpPr txBox="1"/>
      </xdr:nvSpPr>
      <xdr:spPr>
        <a:xfrm>
          <a:off x="7467600" y="150590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4428378</xdr:colOff>
      <xdr:row>70</xdr:row>
      <xdr:rowOff>280732</xdr:rowOff>
    </xdr:to>
    <xdr:sp macro="" textlink="">
      <xdr:nvSpPr>
        <xdr:cNvPr id="675" name="TextBox 265">
          <a:extLst>
            <a:ext uri="{FF2B5EF4-FFF2-40B4-BE49-F238E27FC236}">
              <a16:creationId xmlns:a16="http://schemas.microsoft.com/office/drawing/2014/main" id="{00000000-0008-0000-0100-0000A3020000}"/>
            </a:ext>
          </a:extLst>
        </xdr:cNvPr>
        <xdr:cNvSpPr txBox="1"/>
      </xdr:nvSpPr>
      <xdr:spPr>
        <a:xfrm>
          <a:off x="7467600" y="150590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269294</xdr:rowOff>
    </xdr:to>
    <xdr:sp macro="" textlink="">
      <xdr:nvSpPr>
        <xdr:cNvPr id="676" name="TextBox 267">
          <a:extLst>
            <a:ext uri="{FF2B5EF4-FFF2-40B4-BE49-F238E27FC236}">
              <a16:creationId xmlns:a16="http://schemas.microsoft.com/office/drawing/2014/main" id="{00000000-0008-0000-0100-0000A4020000}"/>
            </a:ext>
          </a:extLst>
        </xdr:cNvPr>
        <xdr:cNvSpPr txBox="1"/>
      </xdr:nvSpPr>
      <xdr:spPr>
        <a:xfrm>
          <a:off x="7467600" y="150590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269191</xdr:rowOff>
    </xdr:to>
    <xdr:sp macro="" textlink="">
      <xdr:nvSpPr>
        <xdr:cNvPr id="677" name="TextBox 269">
          <a:extLst>
            <a:ext uri="{FF2B5EF4-FFF2-40B4-BE49-F238E27FC236}">
              <a16:creationId xmlns:a16="http://schemas.microsoft.com/office/drawing/2014/main" id="{00000000-0008-0000-0100-0000A5020000}"/>
            </a:ext>
          </a:extLst>
        </xdr:cNvPr>
        <xdr:cNvSpPr txBox="1"/>
      </xdr:nvSpPr>
      <xdr:spPr>
        <a:xfrm>
          <a:off x="7467600" y="150590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4420721</xdr:colOff>
      <xdr:row>70</xdr:row>
      <xdr:rowOff>269191</xdr:rowOff>
    </xdr:to>
    <xdr:sp macro="" textlink="">
      <xdr:nvSpPr>
        <xdr:cNvPr id="678" name="TextBox 270">
          <a:extLst>
            <a:ext uri="{FF2B5EF4-FFF2-40B4-BE49-F238E27FC236}">
              <a16:creationId xmlns:a16="http://schemas.microsoft.com/office/drawing/2014/main" id="{00000000-0008-0000-0100-0000A6020000}"/>
            </a:ext>
          </a:extLst>
        </xdr:cNvPr>
        <xdr:cNvSpPr txBox="1"/>
      </xdr:nvSpPr>
      <xdr:spPr>
        <a:xfrm>
          <a:off x="7467600" y="150590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679" name="TextBox 271">
          <a:extLst>
            <a:ext uri="{FF2B5EF4-FFF2-40B4-BE49-F238E27FC236}">
              <a16:creationId xmlns:a16="http://schemas.microsoft.com/office/drawing/2014/main" id="{00000000-0008-0000-0100-0000A7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280896</xdr:rowOff>
    </xdr:to>
    <xdr:sp macro="" textlink="">
      <xdr:nvSpPr>
        <xdr:cNvPr id="680" name="TextBox 274">
          <a:extLst>
            <a:ext uri="{FF2B5EF4-FFF2-40B4-BE49-F238E27FC236}">
              <a16:creationId xmlns:a16="http://schemas.microsoft.com/office/drawing/2014/main" id="{00000000-0008-0000-0100-0000A8020000}"/>
            </a:ext>
          </a:extLst>
        </xdr:cNvPr>
        <xdr:cNvSpPr txBox="1"/>
      </xdr:nvSpPr>
      <xdr:spPr>
        <a:xfrm>
          <a:off x="7467600" y="150590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280793</xdr:rowOff>
    </xdr:to>
    <xdr:sp macro="" textlink="">
      <xdr:nvSpPr>
        <xdr:cNvPr id="681" name="TextBox 276">
          <a:extLst>
            <a:ext uri="{FF2B5EF4-FFF2-40B4-BE49-F238E27FC236}">
              <a16:creationId xmlns:a16="http://schemas.microsoft.com/office/drawing/2014/main" id="{00000000-0008-0000-0100-0000A9020000}"/>
            </a:ext>
          </a:extLst>
        </xdr:cNvPr>
        <xdr:cNvSpPr txBox="1"/>
      </xdr:nvSpPr>
      <xdr:spPr>
        <a:xfrm>
          <a:off x="7467600" y="150590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4403465</xdr:colOff>
      <xdr:row>70</xdr:row>
      <xdr:rowOff>280793</xdr:rowOff>
    </xdr:to>
    <xdr:sp macro="" textlink="">
      <xdr:nvSpPr>
        <xdr:cNvPr id="682" name="TextBox 277">
          <a:extLst>
            <a:ext uri="{FF2B5EF4-FFF2-40B4-BE49-F238E27FC236}">
              <a16:creationId xmlns:a16="http://schemas.microsoft.com/office/drawing/2014/main" id="{00000000-0008-0000-0100-0000AA020000}"/>
            </a:ext>
          </a:extLst>
        </xdr:cNvPr>
        <xdr:cNvSpPr txBox="1"/>
      </xdr:nvSpPr>
      <xdr:spPr>
        <a:xfrm>
          <a:off x="7467600" y="150590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4419145</xdr:colOff>
      <xdr:row>70</xdr:row>
      <xdr:rowOff>280793</xdr:rowOff>
    </xdr:to>
    <xdr:sp macro="" textlink="">
      <xdr:nvSpPr>
        <xdr:cNvPr id="683" name="TextBox 278">
          <a:extLst>
            <a:ext uri="{FF2B5EF4-FFF2-40B4-BE49-F238E27FC236}">
              <a16:creationId xmlns:a16="http://schemas.microsoft.com/office/drawing/2014/main" id="{00000000-0008-0000-0100-0000AB020000}"/>
            </a:ext>
          </a:extLst>
        </xdr:cNvPr>
        <xdr:cNvSpPr txBox="1"/>
      </xdr:nvSpPr>
      <xdr:spPr>
        <a:xfrm>
          <a:off x="7467600" y="150590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280896</xdr:rowOff>
    </xdr:to>
    <xdr:sp macro="" textlink="">
      <xdr:nvSpPr>
        <xdr:cNvPr id="684" name="TextBox 279">
          <a:extLst>
            <a:ext uri="{FF2B5EF4-FFF2-40B4-BE49-F238E27FC236}">
              <a16:creationId xmlns:a16="http://schemas.microsoft.com/office/drawing/2014/main" id="{00000000-0008-0000-0100-0000AC020000}"/>
            </a:ext>
          </a:extLst>
        </xdr:cNvPr>
        <xdr:cNvSpPr txBox="1"/>
      </xdr:nvSpPr>
      <xdr:spPr>
        <a:xfrm>
          <a:off x="7467600" y="150590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280793</xdr:rowOff>
    </xdr:to>
    <xdr:sp macro="" textlink="">
      <xdr:nvSpPr>
        <xdr:cNvPr id="685" name="TextBox 281">
          <a:extLst>
            <a:ext uri="{FF2B5EF4-FFF2-40B4-BE49-F238E27FC236}">
              <a16:creationId xmlns:a16="http://schemas.microsoft.com/office/drawing/2014/main" id="{00000000-0008-0000-0100-0000AD020000}"/>
            </a:ext>
          </a:extLst>
        </xdr:cNvPr>
        <xdr:cNvSpPr txBox="1"/>
      </xdr:nvSpPr>
      <xdr:spPr>
        <a:xfrm>
          <a:off x="7467600" y="150590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686" name="TextBox 282">
          <a:extLst>
            <a:ext uri="{FF2B5EF4-FFF2-40B4-BE49-F238E27FC236}">
              <a16:creationId xmlns:a16="http://schemas.microsoft.com/office/drawing/2014/main" id="{00000000-0008-0000-0100-0000AE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4424221</xdr:colOff>
      <xdr:row>70</xdr:row>
      <xdr:rowOff>280793</xdr:rowOff>
    </xdr:to>
    <xdr:sp macro="" textlink="">
      <xdr:nvSpPr>
        <xdr:cNvPr id="687" name="TextBox 284">
          <a:extLst>
            <a:ext uri="{FF2B5EF4-FFF2-40B4-BE49-F238E27FC236}">
              <a16:creationId xmlns:a16="http://schemas.microsoft.com/office/drawing/2014/main" id="{00000000-0008-0000-0100-0000AF020000}"/>
            </a:ext>
          </a:extLst>
        </xdr:cNvPr>
        <xdr:cNvSpPr txBox="1"/>
      </xdr:nvSpPr>
      <xdr:spPr>
        <a:xfrm>
          <a:off x="7467600" y="150590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4438347</xdr:colOff>
      <xdr:row>70</xdr:row>
      <xdr:rowOff>280793</xdr:rowOff>
    </xdr:to>
    <xdr:sp macro="" textlink="">
      <xdr:nvSpPr>
        <xdr:cNvPr id="688" name="TextBox 285">
          <a:extLst>
            <a:ext uri="{FF2B5EF4-FFF2-40B4-BE49-F238E27FC236}">
              <a16:creationId xmlns:a16="http://schemas.microsoft.com/office/drawing/2014/main" id="{00000000-0008-0000-0100-0000B0020000}"/>
            </a:ext>
          </a:extLst>
        </xdr:cNvPr>
        <xdr:cNvSpPr txBox="1"/>
      </xdr:nvSpPr>
      <xdr:spPr>
        <a:xfrm>
          <a:off x="7467600" y="150590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4421792</xdr:colOff>
      <xdr:row>70</xdr:row>
      <xdr:rowOff>280793</xdr:rowOff>
    </xdr:to>
    <xdr:sp macro="" textlink="">
      <xdr:nvSpPr>
        <xdr:cNvPr id="689" name="TextBox 286">
          <a:extLst>
            <a:ext uri="{FF2B5EF4-FFF2-40B4-BE49-F238E27FC236}">
              <a16:creationId xmlns:a16="http://schemas.microsoft.com/office/drawing/2014/main" id="{00000000-0008-0000-0100-0000B1020000}"/>
            </a:ext>
          </a:extLst>
        </xdr:cNvPr>
        <xdr:cNvSpPr txBox="1"/>
      </xdr:nvSpPr>
      <xdr:spPr>
        <a:xfrm>
          <a:off x="7467600" y="150590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4424306</xdr:colOff>
      <xdr:row>70</xdr:row>
      <xdr:rowOff>280793</xdr:rowOff>
    </xdr:to>
    <xdr:sp macro="" textlink="">
      <xdr:nvSpPr>
        <xdr:cNvPr id="690" name="TextBox 288">
          <a:extLst>
            <a:ext uri="{FF2B5EF4-FFF2-40B4-BE49-F238E27FC236}">
              <a16:creationId xmlns:a16="http://schemas.microsoft.com/office/drawing/2014/main" id="{00000000-0008-0000-0100-0000B2020000}"/>
            </a:ext>
          </a:extLst>
        </xdr:cNvPr>
        <xdr:cNvSpPr txBox="1"/>
      </xdr:nvSpPr>
      <xdr:spPr>
        <a:xfrm>
          <a:off x="7467600" y="150590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302444</xdr:rowOff>
    </xdr:to>
    <xdr:sp macro="" textlink="">
      <xdr:nvSpPr>
        <xdr:cNvPr id="691" name="TextBox 291">
          <a:extLst>
            <a:ext uri="{FF2B5EF4-FFF2-40B4-BE49-F238E27FC236}">
              <a16:creationId xmlns:a16="http://schemas.microsoft.com/office/drawing/2014/main" id="{00000000-0008-0000-0100-0000B3020000}"/>
            </a:ext>
          </a:extLst>
        </xdr:cNvPr>
        <xdr:cNvSpPr txBox="1"/>
      </xdr:nvSpPr>
      <xdr:spPr>
        <a:xfrm>
          <a:off x="7467600" y="150590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295177</xdr:rowOff>
    </xdr:to>
    <xdr:sp macro="" textlink="">
      <xdr:nvSpPr>
        <xdr:cNvPr id="692" name="TextBox 293">
          <a:extLst>
            <a:ext uri="{FF2B5EF4-FFF2-40B4-BE49-F238E27FC236}">
              <a16:creationId xmlns:a16="http://schemas.microsoft.com/office/drawing/2014/main" id="{00000000-0008-0000-0100-0000B4020000}"/>
            </a:ext>
          </a:extLst>
        </xdr:cNvPr>
        <xdr:cNvSpPr txBox="1"/>
      </xdr:nvSpPr>
      <xdr:spPr>
        <a:xfrm>
          <a:off x="7467600" y="150590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93" name="TextBox 294">
          <a:extLst>
            <a:ext uri="{FF2B5EF4-FFF2-40B4-BE49-F238E27FC236}">
              <a16:creationId xmlns:a16="http://schemas.microsoft.com/office/drawing/2014/main" id="{00000000-0008-0000-0100-0000B5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4381043</xdr:colOff>
      <xdr:row>70</xdr:row>
      <xdr:rowOff>295177</xdr:rowOff>
    </xdr:to>
    <xdr:sp macro="" textlink="">
      <xdr:nvSpPr>
        <xdr:cNvPr id="694" name="TextBox 296">
          <a:extLst>
            <a:ext uri="{FF2B5EF4-FFF2-40B4-BE49-F238E27FC236}">
              <a16:creationId xmlns:a16="http://schemas.microsoft.com/office/drawing/2014/main" id="{00000000-0008-0000-0100-0000B6020000}"/>
            </a:ext>
          </a:extLst>
        </xdr:cNvPr>
        <xdr:cNvSpPr txBox="1"/>
      </xdr:nvSpPr>
      <xdr:spPr>
        <a:xfrm>
          <a:off x="7467600" y="150590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95" name="TextBox 297">
          <a:extLst>
            <a:ext uri="{FF2B5EF4-FFF2-40B4-BE49-F238E27FC236}">
              <a16:creationId xmlns:a16="http://schemas.microsoft.com/office/drawing/2014/main" id="{00000000-0008-0000-0100-0000B7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96" name="TextBox 299">
          <a:extLst>
            <a:ext uri="{FF2B5EF4-FFF2-40B4-BE49-F238E27FC236}">
              <a16:creationId xmlns:a16="http://schemas.microsoft.com/office/drawing/2014/main" id="{00000000-0008-0000-0100-0000B8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4369563</xdr:colOff>
      <xdr:row>70</xdr:row>
      <xdr:rowOff>295177</xdr:rowOff>
    </xdr:to>
    <xdr:sp macro="" textlink="">
      <xdr:nvSpPr>
        <xdr:cNvPr id="697" name="TextBox 300">
          <a:extLst>
            <a:ext uri="{FF2B5EF4-FFF2-40B4-BE49-F238E27FC236}">
              <a16:creationId xmlns:a16="http://schemas.microsoft.com/office/drawing/2014/main" id="{00000000-0008-0000-0100-0000B9020000}"/>
            </a:ext>
          </a:extLst>
        </xdr:cNvPr>
        <xdr:cNvSpPr txBox="1"/>
      </xdr:nvSpPr>
      <xdr:spPr>
        <a:xfrm>
          <a:off x="7467600" y="150590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4283397</xdr:colOff>
      <xdr:row>70</xdr:row>
      <xdr:rowOff>295177</xdr:rowOff>
    </xdr:to>
    <xdr:sp macro="" textlink="">
      <xdr:nvSpPr>
        <xdr:cNvPr id="698" name="TextBox 301">
          <a:extLst>
            <a:ext uri="{FF2B5EF4-FFF2-40B4-BE49-F238E27FC236}">
              <a16:creationId xmlns:a16="http://schemas.microsoft.com/office/drawing/2014/main" id="{00000000-0008-0000-0100-0000BA020000}"/>
            </a:ext>
          </a:extLst>
        </xdr:cNvPr>
        <xdr:cNvSpPr txBox="1"/>
      </xdr:nvSpPr>
      <xdr:spPr>
        <a:xfrm>
          <a:off x="7467600" y="150590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99" name="TextBox 303">
          <a:extLst>
            <a:ext uri="{FF2B5EF4-FFF2-40B4-BE49-F238E27FC236}">
              <a16:creationId xmlns:a16="http://schemas.microsoft.com/office/drawing/2014/main" id="{00000000-0008-0000-0100-0000BB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239296</xdr:rowOff>
    </xdr:to>
    <xdr:sp macro="" textlink="">
      <xdr:nvSpPr>
        <xdr:cNvPr id="700" name="TextBox 307">
          <a:extLst>
            <a:ext uri="{FF2B5EF4-FFF2-40B4-BE49-F238E27FC236}">
              <a16:creationId xmlns:a16="http://schemas.microsoft.com/office/drawing/2014/main" id="{00000000-0008-0000-0100-0000BC020000}"/>
            </a:ext>
          </a:extLst>
        </xdr:cNvPr>
        <xdr:cNvSpPr txBox="1"/>
      </xdr:nvSpPr>
      <xdr:spPr>
        <a:xfrm>
          <a:off x="7467600" y="150590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206133</xdr:rowOff>
    </xdr:to>
    <xdr:sp macro="" textlink="">
      <xdr:nvSpPr>
        <xdr:cNvPr id="701" name="TextBox 309">
          <a:extLst>
            <a:ext uri="{FF2B5EF4-FFF2-40B4-BE49-F238E27FC236}">
              <a16:creationId xmlns:a16="http://schemas.microsoft.com/office/drawing/2014/main" id="{00000000-0008-0000-0100-0000BD020000}"/>
            </a:ext>
          </a:extLst>
        </xdr:cNvPr>
        <xdr:cNvSpPr txBox="1"/>
      </xdr:nvSpPr>
      <xdr:spPr>
        <a:xfrm>
          <a:off x="7467600" y="150590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4476132</xdr:colOff>
      <xdr:row>70</xdr:row>
      <xdr:rowOff>206133</xdr:rowOff>
    </xdr:to>
    <xdr:sp macro="" textlink="">
      <xdr:nvSpPr>
        <xdr:cNvPr id="702" name="TextBox 310">
          <a:extLst>
            <a:ext uri="{FF2B5EF4-FFF2-40B4-BE49-F238E27FC236}">
              <a16:creationId xmlns:a16="http://schemas.microsoft.com/office/drawing/2014/main" id="{00000000-0008-0000-0100-0000BE020000}"/>
            </a:ext>
          </a:extLst>
        </xdr:cNvPr>
        <xdr:cNvSpPr txBox="1"/>
      </xdr:nvSpPr>
      <xdr:spPr>
        <a:xfrm>
          <a:off x="7467600" y="150590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703" name="TextBox 312">
          <a:extLst>
            <a:ext uri="{FF2B5EF4-FFF2-40B4-BE49-F238E27FC236}">
              <a16:creationId xmlns:a16="http://schemas.microsoft.com/office/drawing/2014/main" id="{00000000-0008-0000-0100-0000BF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4422793</xdr:colOff>
      <xdr:row>70</xdr:row>
      <xdr:rowOff>206133</xdr:rowOff>
    </xdr:to>
    <xdr:sp macro="" textlink="">
      <xdr:nvSpPr>
        <xdr:cNvPr id="704" name="TextBox 313">
          <a:extLst>
            <a:ext uri="{FF2B5EF4-FFF2-40B4-BE49-F238E27FC236}">
              <a16:creationId xmlns:a16="http://schemas.microsoft.com/office/drawing/2014/main" id="{00000000-0008-0000-0100-0000C0020000}"/>
            </a:ext>
          </a:extLst>
        </xdr:cNvPr>
        <xdr:cNvSpPr txBox="1"/>
      </xdr:nvSpPr>
      <xdr:spPr>
        <a:xfrm>
          <a:off x="7467600" y="150590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4366403</xdr:colOff>
      <xdr:row>70</xdr:row>
      <xdr:rowOff>206133</xdr:rowOff>
    </xdr:to>
    <xdr:sp macro="" textlink="">
      <xdr:nvSpPr>
        <xdr:cNvPr id="705" name="TextBox 314">
          <a:extLst>
            <a:ext uri="{FF2B5EF4-FFF2-40B4-BE49-F238E27FC236}">
              <a16:creationId xmlns:a16="http://schemas.microsoft.com/office/drawing/2014/main" id="{00000000-0008-0000-0100-0000C1020000}"/>
            </a:ext>
          </a:extLst>
        </xdr:cNvPr>
        <xdr:cNvSpPr txBox="1"/>
      </xdr:nvSpPr>
      <xdr:spPr>
        <a:xfrm>
          <a:off x="7467600" y="150590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706" name="TextBox 316">
          <a:extLst>
            <a:ext uri="{FF2B5EF4-FFF2-40B4-BE49-F238E27FC236}">
              <a16:creationId xmlns:a16="http://schemas.microsoft.com/office/drawing/2014/main" id="{00000000-0008-0000-0100-0000C2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281097</xdr:rowOff>
    </xdr:to>
    <xdr:sp macro="" textlink="">
      <xdr:nvSpPr>
        <xdr:cNvPr id="707" name="TextBox 319">
          <a:extLst>
            <a:ext uri="{FF2B5EF4-FFF2-40B4-BE49-F238E27FC236}">
              <a16:creationId xmlns:a16="http://schemas.microsoft.com/office/drawing/2014/main" id="{00000000-0008-0000-0100-0000C3020000}"/>
            </a:ext>
          </a:extLst>
        </xdr:cNvPr>
        <xdr:cNvSpPr txBox="1"/>
      </xdr:nvSpPr>
      <xdr:spPr>
        <a:xfrm>
          <a:off x="7467600" y="150590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280994</xdr:rowOff>
    </xdr:to>
    <xdr:sp macro="" textlink="">
      <xdr:nvSpPr>
        <xdr:cNvPr id="708" name="TextBox 321">
          <a:extLst>
            <a:ext uri="{FF2B5EF4-FFF2-40B4-BE49-F238E27FC236}">
              <a16:creationId xmlns:a16="http://schemas.microsoft.com/office/drawing/2014/main" id="{00000000-0008-0000-0100-0000C4020000}"/>
            </a:ext>
          </a:extLst>
        </xdr:cNvPr>
        <xdr:cNvSpPr txBox="1"/>
      </xdr:nvSpPr>
      <xdr:spPr>
        <a:xfrm>
          <a:off x="7467600" y="150590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4475314</xdr:colOff>
      <xdr:row>70</xdr:row>
      <xdr:rowOff>280994</xdr:rowOff>
    </xdr:to>
    <xdr:sp macro="" textlink="">
      <xdr:nvSpPr>
        <xdr:cNvPr id="709" name="TextBox 322">
          <a:extLst>
            <a:ext uri="{FF2B5EF4-FFF2-40B4-BE49-F238E27FC236}">
              <a16:creationId xmlns:a16="http://schemas.microsoft.com/office/drawing/2014/main" id="{00000000-0008-0000-0100-0000C5020000}"/>
            </a:ext>
          </a:extLst>
        </xdr:cNvPr>
        <xdr:cNvSpPr txBox="1"/>
      </xdr:nvSpPr>
      <xdr:spPr>
        <a:xfrm>
          <a:off x="7467600" y="150590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4420626</xdr:colOff>
      <xdr:row>70</xdr:row>
      <xdr:rowOff>280994</xdr:rowOff>
    </xdr:to>
    <xdr:sp macro="" textlink="">
      <xdr:nvSpPr>
        <xdr:cNvPr id="710" name="TextBox 324">
          <a:extLst>
            <a:ext uri="{FF2B5EF4-FFF2-40B4-BE49-F238E27FC236}">
              <a16:creationId xmlns:a16="http://schemas.microsoft.com/office/drawing/2014/main" id="{00000000-0008-0000-0100-0000C6020000}"/>
            </a:ext>
          </a:extLst>
        </xdr:cNvPr>
        <xdr:cNvSpPr txBox="1"/>
      </xdr:nvSpPr>
      <xdr:spPr>
        <a:xfrm>
          <a:off x="7467600" y="150590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711" name="TextBox 325">
          <a:extLst>
            <a:ext uri="{FF2B5EF4-FFF2-40B4-BE49-F238E27FC236}">
              <a16:creationId xmlns:a16="http://schemas.microsoft.com/office/drawing/2014/main" id="{00000000-0008-0000-0100-0000C7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712" name="TextBox 327">
          <a:extLst>
            <a:ext uri="{FF2B5EF4-FFF2-40B4-BE49-F238E27FC236}">
              <a16:creationId xmlns:a16="http://schemas.microsoft.com/office/drawing/2014/main" id="{00000000-0008-0000-0100-0000C8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4473033</xdr:colOff>
      <xdr:row>70</xdr:row>
      <xdr:rowOff>280994</xdr:rowOff>
    </xdr:to>
    <xdr:sp macro="" textlink="">
      <xdr:nvSpPr>
        <xdr:cNvPr id="713" name="TextBox 328">
          <a:extLst>
            <a:ext uri="{FF2B5EF4-FFF2-40B4-BE49-F238E27FC236}">
              <a16:creationId xmlns:a16="http://schemas.microsoft.com/office/drawing/2014/main" id="{00000000-0008-0000-0100-0000C9020000}"/>
            </a:ext>
          </a:extLst>
        </xdr:cNvPr>
        <xdr:cNvSpPr txBox="1"/>
      </xdr:nvSpPr>
      <xdr:spPr>
        <a:xfrm>
          <a:off x="7467600" y="150590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4420710</xdr:colOff>
      <xdr:row>70</xdr:row>
      <xdr:rowOff>280994</xdr:rowOff>
    </xdr:to>
    <xdr:sp macro="" textlink="">
      <xdr:nvSpPr>
        <xdr:cNvPr id="714" name="TextBox 330">
          <a:extLst>
            <a:ext uri="{FF2B5EF4-FFF2-40B4-BE49-F238E27FC236}">
              <a16:creationId xmlns:a16="http://schemas.microsoft.com/office/drawing/2014/main" id="{00000000-0008-0000-0100-0000CA020000}"/>
            </a:ext>
          </a:extLst>
        </xdr:cNvPr>
        <xdr:cNvSpPr txBox="1"/>
      </xdr:nvSpPr>
      <xdr:spPr>
        <a:xfrm>
          <a:off x="7467600" y="150590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268809</xdr:rowOff>
    </xdr:to>
    <xdr:sp macro="" textlink="">
      <xdr:nvSpPr>
        <xdr:cNvPr id="715" name="TextBox 334">
          <a:extLst>
            <a:ext uri="{FF2B5EF4-FFF2-40B4-BE49-F238E27FC236}">
              <a16:creationId xmlns:a16="http://schemas.microsoft.com/office/drawing/2014/main" id="{00000000-0008-0000-0100-0000CB020000}"/>
            </a:ext>
          </a:extLst>
        </xdr:cNvPr>
        <xdr:cNvSpPr txBox="1"/>
      </xdr:nvSpPr>
      <xdr:spPr>
        <a:xfrm>
          <a:off x="7467600" y="150590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268706</xdr:rowOff>
    </xdr:to>
    <xdr:sp macro="" textlink="">
      <xdr:nvSpPr>
        <xdr:cNvPr id="716" name="TextBox 336">
          <a:extLst>
            <a:ext uri="{FF2B5EF4-FFF2-40B4-BE49-F238E27FC236}">
              <a16:creationId xmlns:a16="http://schemas.microsoft.com/office/drawing/2014/main" id="{00000000-0008-0000-0100-0000CC020000}"/>
            </a:ext>
          </a:extLst>
        </xdr:cNvPr>
        <xdr:cNvSpPr txBox="1"/>
      </xdr:nvSpPr>
      <xdr:spPr>
        <a:xfrm>
          <a:off x="7467600" y="150590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53898</xdr:rowOff>
    </xdr:to>
    <xdr:sp macro="" textlink="">
      <xdr:nvSpPr>
        <xdr:cNvPr id="717" name="TextBox 337">
          <a:extLst>
            <a:ext uri="{FF2B5EF4-FFF2-40B4-BE49-F238E27FC236}">
              <a16:creationId xmlns:a16="http://schemas.microsoft.com/office/drawing/2014/main" id="{00000000-0008-0000-0100-0000CD020000}"/>
            </a:ext>
          </a:extLst>
        </xdr:cNvPr>
        <xdr:cNvSpPr txBox="1"/>
      </xdr:nvSpPr>
      <xdr:spPr>
        <a:xfrm>
          <a:off x="7467600" y="150590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53810</xdr:rowOff>
    </xdr:to>
    <xdr:sp macro="" textlink="">
      <xdr:nvSpPr>
        <xdr:cNvPr id="718" name="TextBox 339">
          <a:extLst>
            <a:ext uri="{FF2B5EF4-FFF2-40B4-BE49-F238E27FC236}">
              <a16:creationId xmlns:a16="http://schemas.microsoft.com/office/drawing/2014/main" id="{00000000-0008-0000-0100-0000CE020000}"/>
            </a:ext>
          </a:extLst>
        </xdr:cNvPr>
        <xdr:cNvSpPr txBox="1"/>
      </xdr:nvSpPr>
      <xdr:spPr>
        <a:xfrm>
          <a:off x="7467600" y="150590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4412973</xdr:colOff>
      <xdr:row>70</xdr:row>
      <xdr:rowOff>53810</xdr:rowOff>
    </xdr:to>
    <xdr:sp macro="" textlink="">
      <xdr:nvSpPr>
        <xdr:cNvPr id="719" name="TextBox 340">
          <a:extLst>
            <a:ext uri="{FF2B5EF4-FFF2-40B4-BE49-F238E27FC236}">
              <a16:creationId xmlns:a16="http://schemas.microsoft.com/office/drawing/2014/main" id="{00000000-0008-0000-0100-0000CF020000}"/>
            </a:ext>
          </a:extLst>
        </xdr:cNvPr>
        <xdr:cNvSpPr txBox="1"/>
      </xdr:nvSpPr>
      <xdr:spPr>
        <a:xfrm>
          <a:off x="7467600" y="150590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720" name="TextBox 341">
          <a:extLst>
            <a:ext uri="{FF2B5EF4-FFF2-40B4-BE49-F238E27FC236}">
              <a16:creationId xmlns:a16="http://schemas.microsoft.com/office/drawing/2014/main" id="{00000000-0008-0000-0100-0000D0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721" name="TextBox 343">
          <a:extLst>
            <a:ext uri="{FF2B5EF4-FFF2-40B4-BE49-F238E27FC236}">
              <a16:creationId xmlns:a16="http://schemas.microsoft.com/office/drawing/2014/main" id="{00000000-0008-0000-0100-0000D1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722" name="TextBox 344">
          <a:extLst>
            <a:ext uri="{FF2B5EF4-FFF2-40B4-BE49-F238E27FC236}">
              <a16:creationId xmlns:a16="http://schemas.microsoft.com/office/drawing/2014/main" id="{00000000-0008-0000-0100-0000D2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723" name="TextBox 346">
          <a:extLst>
            <a:ext uri="{FF2B5EF4-FFF2-40B4-BE49-F238E27FC236}">
              <a16:creationId xmlns:a16="http://schemas.microsoft.com/office/drawing/2014/main" id="{00000000-0008-0000-0100-0000D3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724" name="TextBox 347">
          <a:extLst>
            <a:ext uri="{FF2B5EF4-FFF2-40B4-BE49-F238E27FC236}">
              <a16:creationId xmlns:a16="http://schemas.microsoft.com/office/drawing/2014/main" id="{00000000-0008-0000-0100-0000D4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725" name="TextBox 348">
          <a:extLst>
            <a:ext uri="{FF2B5EF4-FFF2-40B4-BE49-F238E27FC236}">
              <a16:creationId xmlns:a16="http://schemas.microsoft.com/office/drawing/2014/main" id="{00000000-0008-0000-0100-0000D5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4595228</xdr:colOff>
      <xdr:row>70</xdr:row>
      <xdr:rowOff>280732</xdr:rowOff>
    </xdr:to>
    <xdr:sp macro="" textlink="">
      <xdr:nvSpPr>
        <xdr:cNvPr id="726" name="TextBox 350">
          <a:extLst>
            <a:ext uri="{FF2B5EF4-FFF2-40B4-BE49-F238E27FC236}">
              <a16:creationId xmlns:a16="http://schemas.microsoft.com/office/drawing/2014/main" id="{00000000-0008-0000-0100-0000D6020000}"/>
            </a:ext>
          </a:extLst>
        </xdr:cNvPr>
        <xdr:cNvSpPr txBox="1"/>
      </xdr:nvSpPr>
      <xdr:spPr>
        <a:xfrm>
          <a:off x="7467600" y="150590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4428378</xdr:colOff>
      <xdr:row>70</xdr:row>
      <xdr:rowOff>280732</xdr:rowOff>
    </xdr:to>
    <xdr:sp macro="" textlink="">
      <xdr:nvSpPr>
        <xdr:cNvPr id="727" name="TextBox 351">
          <a:extLst>
            <a:ext uri="{FF2B5EF4-FFF2-40B4-BE49-F238E27FC236}">
              <a16:creationId xmlns:a16="http://schemas.microsoft.com/office/drawing/2014/main" id="{00000000-0008-0000-0100-0000D7020000}"/>
            </a:ext>
          </a:extLst>
        </xdr:cNvPr>
        <xdr:cNvSpPr txBox="1"/>
      </xdr:nvSpPr>
      <xdr:spPr>
        <a:xfrm>
          <a:off x="7467600" y="150590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269294</xdr:rowOff>
    </xdr:to>
    <xdr:sp macro="" textlink="">
      <xdr:nvSpPr>
        <xdr:cNvPr id="728" name="TextBox 353">
          <a:extLst>
            <a:ext uri="{FF2B5EF4-FFF2-40B4-BE49-F238E27FC236}">
              <a16:creationId xmlns:a16="http://schemas.microsoft.com/office/drawing/2014/main" id="{00000000-0008-0000-0100-0000D8020000}"/>
            </a:ext>
          </a:extLst>
        </xdr:cNvPr>
        <xdr:cNvSpPr txBox="1"/>
      </xdr:nvSpPr>
      <xdr:spPr>
        <a:xfrm>
          <a:off x="7467600" y="150590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269191</xdr:rowOff>
    </xdr:to>
    <xdr:sp macro="" textlink="">
      <xdr:nvSpPr>
        <xdr:cNvPr id="729" name="TextBox 355">
          <a:extLst>
            <a:ext uri="{FF2B5EF4-FFF2-40B4-BE49-F238E27FC236}">
              <a16:creationId xmlns:a16="http://schemas.microsoft.com/office/drawing/2014/main" id="{00000000-0008-0000-0100-0000D9020000}"/>
            </a:ext>
          </a:extLst>
        </xdr:cNvPr>
        <xdr:cNvSpPr txBox="1"/>
      </xdr:nvSpPr>
      <xdr:spPr>
        <a:xfrm>
          <a:off x="7467600" y="150590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4420721</xdr:colOff>
      <xdr:row>70</xdr:row>
      <xdr:rowOff>269191</xdr:rowOff>
    </xdr:to>
    <xdr:sp macro="" textlink="">
      <xdr:nvSpPr>
        <xdr:cNvPr id="730" name="TextBox 356">
          <a:extLst>
            <a:ext uri="{FF2B5EF4-FFF2-40B4-BE49-F238E27FC236}">
              <a16:creationId xmlns:a16="http://schemas.microsoft.com/office/drawing/2014/main" id="{00000000-0008-0000-0100-0000DA020000}"/>
            </a:ext>
          </a:extLst>
        </xdr:cNvPr>
        <xdr:cNvSpPr txBox="1"/>
      </xdr:nvSpPr>
      <xdr:spPr>
        <a:xfrm>
          <a:off x="7467600" y="150590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731" name="TextBox 357">
          <a:extLst>
            <a:ext uri="{FF2B5EF4-FFF2-40B4-BE49-F238E27FC236}">
              <a16:creationId xmlns:a16="http://schemas.microsoft.com/office/drawing/2014/main" id="{00000000-0008-0000-0100-0000DB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280896</xdr:rowOff>
    </xdr:to>
    <xdr:sp macro="" textlink="">
      <xdr:nvSpPr>
        <xdr:cNvPr id="732" name="TextBox 360">
          <a:extLst>
            <a:ext uri="{FF2B5EF4-FFF2-40B4-BE49-F238E27FC236}">
              <a16:creationId xmlns:a16="http://schemas.microsoft.com/office/drawing/2014/main" id="{00000000-0008-0000-0100-0000DC020000}"/>
            </a:ext>
          </a:extLst>
        </xdr:cNvPr>
        <xdr:cNvSpPr txBox="1"/>
      </xdr:nvSpPr>
      <xdr:spPr>
        <a:xfrm>
          <a:off x="7467600" y="150590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280793</xdr:rowOff>
    </xdr:to>
    <xdr:sp macro="" textlink="">
      <xdr:nvSpPr>
        <xdr:cNvPr id="733" name="TextBox 362">
          <a:extLst>
            <a:ext uri="{FF2B5EF4-FFF2-40B4-BE49-F238E27FC236}">
              <a16:creationId xmlns:a16="http://schemas.microsoft.com/office/drawing/2014/main" id="{00000000-0008-0000-0100-0000DD020000}"/>
            </a:ext>
          </a:extLst>
        </xdr:cNvPr>
        <xdr:cNvSpPr txBox="1"/>
      </xdr:nvSpPr>
      <xdr:spPr>
        <a:xfrm>
          <a:off x="7467600" y="150590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4403465</xdr:colOff>
      <xdr:row>70</xdr:row>
      <xdr:rowOff>280793</xdr:rowOff>
    </xdr:to>
    <xdr:sp macro="" textlink="">
      <xdr:nvSpPr>
        <xdr:cNvPr id="734" name="TextBox 363">
          <a:extLst>
            <a:ext uri="{FF2B5EF4-FFF2-40B4-BE49-F238E27FC236}">
              <a16:creationId xmlns:a16="http://schemas.microsoft.com/office/drawing/2014/main" id="{00000000-0008-0000-0100-0000DE020000}"/>
            </a:ext>
          </a:extLst>
        </xdr:cNvPr>
        <xdr:cNvSpPr txBox="1"/>
      </xdr:nvSpPr>
      <xdr:spPr>
        <a:xfrm>
          <a:off x="7467600" y="150590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4419145</xdr:colOff>
      <xdr:row>70</xdr:row>
      <xdr:rowOff>280793</xdr:rowOff>
    </xdr:to>
    <xdr:sp macro="" textlink="">
      <xdr:nvSpPr>
        <xdr:cNvPr id="735" name="TextBox 364">
          <a:extLst>
            <a:ext uri="{FF2B5EF4-FFF2-40B4-BE49-F238E27FC236}">
              <a16:creationId xmlns:a16="http://schemas.microsoft.com/office/drawing/2014/main" id="{00000000-0008-0000-0100-0000DF020000}"/>
            </a:ext>
          </a:extLst>
        </xdr:cNvPr>
        <xdr:cNvSpPr txBox="1"/>
      </xdr:nvSpPr>
      <xdr:spPr>
        <a:xfrm>
          <a:off x="7467600" y="150590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280896</xdr:rowOff>
    </xdr:to>
    <xdr:sp macro="" textlink="">
      <xdr:nvSpPr>
        <xdr:cNvPr id="736" name="TextBox 365">
          <a:extLst>
            <a:ext uri="{FF2B5EF4-FFF2-40B4-BE49-F238E27FC236}">
              <a16:creationId xmlns:a16="http://schemas.microsoft.com/office/drawing/2014/main" id="{00000000-0008-0000-0100-0000E0020000}"/>
            </a:ext>
          </a:extLst>
        </xdr:cNvPr>
        <xdr:cNvSpPr txBox="1"/>
      </xdr:nvSpPr>
      <xdr:spPr>
        <a:xfrm>
          <a:off x="7467600" y="150590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280793</xdr:rowOff>
    </xdr:to>
    <xdr:sp macro="" textlink="">
      <xdr:nvSpPr>
        <xdr:cNvPr id="737" name="TextBox 367">
          <a:extLst>
            <a:ext uri="{FF2B5EF4-FFF2-40B4-BE49-F238E27FC236}">
              <a16:creationId xmlns:a16="http://schemas.microsoft.com/office/drawing/2014/main" id="{00000000-0008-0000-0100-0000E1020000}"/>
            </a:ext>
          </a:extLst>
        </xdr:cNvPr>
        <xdr:cNvSpPr txBox="1"/>
      </xdr:nvSpPr>
      <xdr:spPr>
        <a:xfrm>
          <a:off x="7467600" y="150590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738" name="TextBox 368">
          <a:extLst>
            <a:ext uri="{FF2B5EF4-FFF2-40B4-BE49-F238E27FC236}">
              <a16:creationId xmlns:a16="http://schemas.microsoft.com/office/drawing/2014/main" id="{00000000-0008-0000-0100-0000E2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4424221</xdr:colOff>
      <xdr:row>70</xdr:row>
      <xdr:rowOff>280793</xdr:rowOff>
    </xdr:to>
    <xdr:sp macro="" textlink="">
      <xdr:nvSpPr>
        <xdr:cNvPr id="739" name="TextBox 370">
          <a:extLst>
            <a:ext uri="{FF2B5EF4-FFF2-40B4-BE49-F238E27FC236}">
              <a16:creationId xmlns:a16="http://schemas.microsoft.com/office/drawing/2014/main" id="{00000000-0008-0000-0100-0000E3020000}"/>
            </a:ext>
          </a:extLst>
        </xdr:cNvPr>
        <xdr:cNvSpPr txBox="1"/>
      </xdr:nvSpPr>
      <xdr:spPr>
        <a:xfrm>
          <a:off x="7467600" y="150590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4438347</xdr:colOff>
      <xdr:row>70</xdr:row>
      <xdr:rowOff>280793</xdr:rowOff>
    </xdr:to>
    <xdr:sp macro="" textlink="">
      <xdr:nvSpPr>
        <xdr:cNvPr id="740" name="TextBox 371">
          <a:extLst>
            <a:ext uri="{FF2B5EF4-FFF2-40B4-BE49-F238E27FC236}">
              <a16:creationId xmlns:a16="http://schemas.microsoft.com/office/drawing/2014/main" id="{00000000-0008-0000-0100-0000E4020000}"/>
            </a:ext>
          </a:extLst>
        </xdr:cNvPr>
        <xdr:cNvSpPr txBox="1"/>
      </xdr:nvSpPr>
      <xdr:spPr>
        <a:xfrm>
          <a:off x="7467600" y="150590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4421792</xdr:colOff>
      <xdr:row>70</xdr:row>
      <xdr:rowOff>280793</xdr:rowOff>
    </xdr:to>
    <xdr:sp macro="" textlink="">
      <xdr:nvSpPr>
        <xdr:cNvPr id="741" name="TextBox 372">
          <a:extLst>
            <a:ext uri="{FF2B5EF4-FFF2-40B4-BE49-F238E27FC236}">
              <a16:creationId xmlns:a16="http://schemas.microsoft.com/office/drawing/2014/main" id="{00000000-0008-0000-0100-0000E5020000}"/>
            </a:ext>
          </a:extLst>
        </xdr:cNvPr>
        <xdr:cNvSpPr txBox="1"/>
      </xdr:nvSpPr>
      <xdr:spPr>
        <a:xfrm>
          <a:off x="7467600" y="150590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4424306</xdr:colOff>
      <xdr:row>70</xdr:row>
      <xdr:rowOff>280793</xdr:rowOff>
    </xdr:to>
    <xdr:sp macro="" textlink="">
      <xdr:nvSpPr>
        <xdr:cNvPr id="742" name="TextBox 374">
          <a:extLst>
            <a:ext uri="{FF2B5EF4-FFF2-40B4-BE49-F238E27FC236}">
              <a16:creationId xmlns:a16="http://schemas.microsoft.com/office/drawing/2014/main" id="{00000000-0008-0000-0100-0000E6020000}"/>
            </a:ext>
          </a:extLst>
        </xdr:cNvPr>
        <xdr:cNvSpPr txBox="1"/>
      </xdr:nvSpPr>
      <xdr:spPr>
        <a:xfrm>
          <a:off x="7467600" y="150590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4398966</xdr:colOff>
      <xdr:row>70</xdr:row>
      <xdr:rowOff>298293</xdr:rowOff>
    </xdr:to>
    <xdr:sp macro="" textlink="">
      <xdr:nvSpPr>
        <xdr:cNvPr id="743" name="TextBox 377">
          <a:extLst>
            <a:ext uri="{FF2B5EF4-FFF2-40B4-BE49-F238E27FC236}">
              <a16:creationId xmlns:a16="http://schemas.microsoft.com/office/drawing/2014/main" id="{00000000-0008-0000-0100-0000E7020000}"/>
            </a:ext>
          </a:extLst>
        </xdr:cNvPr>
        <xdr:cNvSpPr txBox="1"/>
      </xdr:nvSpPr>
      <xdr:spPr>
        <a:xfrm>
          <a:off x="7467600" y="150590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4398966</xdr:colOff>
      <xdr:row>70</xdr:row>
      <xdr:rowOff>301363</xdr:rowOff>
    </xdr:to>
    <xdr:sp macro="" textlink="">
      <xdr:nvSpPr>
        <xdr:cNvPr id="744" name="TextBox 379">
          <a:extLst>
            <a:ext uri="{FF2B5EF4-FFF2-40B4-BE49-F238E27FC236}">
              <a16:creationId xmlns:a16="http://schemas.microsoft.com/office/drawing/2014/main" id="{00000000-0008-0000-0100-0000E8020000}"/>
            </a:ext>
          </a:extLst>
        </xdr:cNvPr>
        <xdr:cNvSpPr txBox="1"/>
      </xdr:nvSpPr>
      <xdr:spPr>
        <a:xfrm>
          <a:off x="7467600" y="150590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4394127</xdr:colOff>
      <xdr:row>70</xdr:row>
      <xdr:rowOff>301363</xdr:rowOff>
    </xdr:to>
    <xdr:sp macro="" textlink="">
      <xdr:nvSpPr>
        <xdr:cNvPr id="745" name="TextBox 381">
          <a:extLst>
            <a:ext uri="{FF2B5EF4-FFF2-40B4-BE49-F238E27FC236}">
              <a16:creationId xmlns:a16="http://schemas.microsoft.com/office/drawing/2014/main" id="{00000000-0008-0000-0100-0000E9020000}"/>
            </a:ext>
          </a:extLst>
        </xdr:cNvPr>
        <xdr:cNvSpPr txBox="1"/>
      </xdr:nvSpPr>
      <xdr:spPr>
        <a:xfrm>
          <a:off x="7467600" y="150590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746" name="TextBox 382">
          <a:extLst>
            <a:ext uri="{FF2B5EF4-FFF2-40B4-BE49-F238E27FC236}">
              <a16:creationId xmlns:a16="http://schemas.microsoft.com/office/drawing/2014/main" id="{00000000-0008-0000-0100-0000EA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747" name="TextBox 384">
          <a:extLst>
            <a:ext uri="{FF2B5EF4-FFF2-40B4-BE49-F238E27FC236}">
              <a16:creationId xmlns:a16="http://schemas.microsoft.com/office/drawing/2014/main" id="{00000000-0008-0000-0100-0000EB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4394046</xdr:colOff>
      <xdr:row>70</xdr:row>
      <xdr:rowOff>301363</xdr:rowOff>
    </xdr:to>
    <xdr:sp macro="" textlink="">
      <xdr:nvSpPr>
        <xdr:cNvPr id="748" name="TextBox 385">
          <a:extLst>
            <a:ext uri="{FF2B5EF4-FFF2-40B4-BE49-F238E27FC236}">
              <a16:creationId xmlns:a16="http://schemas.microsoft.com/office/drawing/2014/main" id="{00000000-0008-0000-0100-0000EC020000}"/>
            </a:ext>
          </a:extLst>
        </xdr:cNvPr>
        <xdr:cNvSpPr txBox="1"/>
      </xdr:nvSpPr>
      <xdr:spPr>
        <a:xfrm>
          <a:off x="7467600" y="150590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4361918</xdr:colOff>
      <xdr:row>70</xdr:row>
      <xdr:rowOff>301363</xdr:rowOff>
    </xdr:to>
    <xdr:sp macro="" textlink="">
      <xdr:nvSpPr>
        <xdr:cNvPr id="749" name="TextBox 386">
          <a:extLst>
            <a:ext uri="{FF2B5EF4-FFF2-40B4-BE49-F238E27FC236}">
              <a16:creationId xmlns:a16="http://schemas.microsoft.com/office/drawing/2014/main" id="{00000000-0008-0000-0100-0000ED020000}"/>
            </a:ext>
          </a:extLst>
        </xdr:cNvPr>
        <xdr:cNvSpPr txBox="1"/>
      </xdr:nvSpPr>
      <xdr:spPr>
        <a:xfrm>
          <a:off x="7467600" y="150590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750" name="TextBox 388">
          <a:extLst>
            <a:ext uri="{FF2B5EF4-FFF2-40B4-BE49-F238E27FC236}">
              <a16:creationId xmlns:a16="http://schemas.microsoft.com/office/drawing/2014/main" id="{00000000-0008-0000-0100-0000EE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69</xdr:row>
      <xdr:rowOff>142875</xdr:rowOff>
    </xdr:from>
    <xdr:to>
      <xdr:col>2</xdr:col>
      <xdr:colOff>7138169</xdr:colOff>
      <xdr:row>70</xdr:row>
      <xdr:rowOff>298293</xdr:rowOff>
    </xdr:to>
    <xdr:sp macro="" textlink="">
      <xdr:nvSpPr>
        <xdr:cNvPr id="751" name="TextBox 391">
          <a:extLst>
            <a:ext uri="{FF2B5EF4-FFF2-40B4-BE49-F238E27FC236}">
              <a16:creationId xmlns:a16="http://schemas.microsoft.com/office/drawing/2014/main" id="{00000000-0008-0000-0100-0000EF020000}"/>
            </a:ext>
          </a:extLst>
        </xdr:cNvPr>
        <xdr:cNvSpPr txBox="1"/>
      </xdr:nvSpPr>
      <xdr:spPr>
        <a:xfrm>
          <a:off x="2133600" y="150590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69</xdr:row>
      <xdr:rowOff>142875</xdr:rowOff>
    </xdr:from>
    <xdr:to>
      <xdr:col>2</xdr:col>
      <xdr:colOff>7138169</xdr:colOff>
      <xdr:row>70</xdr:row>
      <xdr:rowOff>291104</xdr:rowOff>
    </xdr:to>
    <xdr:sp macro="" textlink="">
      <xdr:nvSpPr>
        <xdr:cNvPr id="752" name="TextBox 393">
          <a:extLst>
            <a:ext uri="{FF2B5EF4-FFF2-40B4-BE49-F238E27FC236}">
              <a16:creationId xmlns:a16="http://schemas.microsoft.com/office/drawing/2014/main" id="{00000000-0008-0000-0100-0000F0020000}"/>
            </a:ext>
          </a:extLst>
        </xdr:cNvPr>
        <xdr:cNvSpPr txBox="1"/>
      </xdr:nvSpPr>
      <xdr:spPr>
        <a:xfrm>
          <a:off x="2133600" y="150590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308610</xdr:colOff>
      <xdr:row>69</xdr:row>
      <xdr:rowOff>142875</xdr:rowOff>
    </xdr:from>
    <xdr:to>
      <xdr:col>4</xdr:col>
      <xdr:colOff>3853075</xdr:colOff>
      <xdr:row>70</xdr:row>
      <xdr:rowOff>291104</xdr:rowOff>
    </xdr:to>
    <xdr:sp macro="" textlink="">
      <xdr:nvSpPr>
        <xdr:cNvPr id="753" name="TextBox 394">
          <a:extLst>
            <a:ext uri="{FF2B5EF4-FFF2-40B4-BE49-F238E27FC236}">
              <a16:creationId xmlns:a16="http://schemas.microsoft.com/office/drawing/2014/main" id="{00000000-0008-0000-0100-0000F1020000}"/>
            </a:ext>
          </a:extLst>
        </xdr:cNvPr>
        <xdr:cNvSpPr txBox="1"/>
      </xdr:nvSpPr>
      <xdr:spPr>
        <a:xfrm>
          <a:off x="693801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4382582</xdr:colOff>
      <xdr:row>70</xdr:row>
      <xdr:rowOff>291104</xdr:rowOff>
    </xdr:to>
    <xdr:sp macro="" textlink="">
      <xdr:nvSpPr>
        <xdr:cNvPr id="754" name="TextBox 396">
          <a:extLst>
            <a:ext uri="{FF2B5EF4-FFF2-40B4-BE49-F238E27FC236}">
              <a16:creationId xmlns:a16="http://schemas.microsoft.com/office/drawing/2014/main" id="{00000000-0008-0000-0100-0000F2020000}"/>
            </a:ext>
          </a:extLst>
        </xdr:cNvPr>
        <xdr:cNvSpPr txBox="1"/>
      </xdr:nvSpPr>
      <xdr:spPr>
        <a:xfrm>
          <a:off x="7467600" y="150590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4381043</xdr:colOff>
      <xdr:row>78</xdr:row>
      <xdr:rowOff>137739</xdr:rowOff>
    </xdr:to>
    <xdr:sp macro="" textlink="">
      <xdr:nvSpPr>
        <xdr:cNvPr id="756" name="TextBox 14">
          <a:extLst>
            <a:ext uri="{FF2B5EF4-FFF2-40B4-BE49-F238E27FC236}">
              <a16:creationId xmlns:a16="http://schemas.microsoft.com/office/drawing/2014/main" id="{00000000-0008-0000-0100-0000F4020000}"/>
            </a:ext>
          </a:extLst>
        </xdr:cNvPr>
        <xdr:cNvSpPr txBox="1"/>
      </xdr:nvSpPr>
      <xdr:spPr>
        <a:xfrm>
          <a:off x="7467600" y="1651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57" name="TextBox 15">
          <a:extLst>
            <a:ext uri="{FF2B5EF4-FFF2-40B4-BE49-F238E27FC236}">
              <a16:creationId xmlns:a16="http://schemas.microsoft.com/office/drawing/2014/main" id="{00000000-0008-0000-0100-0000F502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58" name="TextBox 16">
          <a:extLst>
            <a:ext uri="{FF2B5EF4-FFF2-40B4-BE49-F238E27FC236}">
              <a16:creationId xmlns:a16="http://schemas.microsoft.com/office/drawing/2014/main" id="{00000000-0008-0000-0100-0000F602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59" name="TextBox 27">
          <a:extLst>
            <a:ext uri="{FF2B5EF4-FFF2-40B4-BE49-F238E27FC236}">
              <a16:creationId xmlns:a16="http://schemas.microsoft.com/office/drawing/2014/main" id="{00000000-0008-0000-0100-0000F702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60" name="TextBox 28">
          <a:extLst>
            <a:ext uri="{FF2B5EF4-FFF2-40B4-BE49-F238E27FC236}">
              <a16:creationId xmlns:a16="http://schemas.microsoft.com/office/drawing/2014/main" id="{00000000-0008-0000-0100-0000F802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4414077</xdr:colOff>
      <xdr:row>78</xdr:row>
      <xdr:rowOff>24043</xdr:rowOff>
    </xdr:to>
    <xdr:sp macro="" textlink="">
      <xdr:nvSpPr>
        <xdr:cNvPr id="761" name="TextBox 41">
          <a:extLst>
            <a:ext uri="{FF2B5EF4-FFF2-40B4-BE49-F238E27FC236}">
              <a16:creationId xmlns:a16="http://schemas.microsoft.com/office/drawing/2014/main" id="{00000000-0008-0000-0100-0000F9020000}"/>
            </a:ext>
          </a:extLst>
        </xdr:cNvPr>
        <xdr:cNvSpPr txBox="1"/>
      </xdr:nvSpPr>
      <xdr:spPr>
        <a:xfrm>
          <a:off x="7467600" y="1651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4420710</xdr:colOff>
      <xdr:row>78</xdr:row>
      <xdr:rowOff>24043</xdr:rowOff>
    </xdr:to>
    <xdr:sp macro="" textlink="">
      <xdr:nvSpPr>
        <xdr:cNvPr id="762" name="TextBox 42">
          <a:extLst>
            <a:ext uri="{FF2B5EF4-FFF2-40B4-BE49-F238E27FC236}">
              <a16:creationId xmlns:a16="http://schemas.microsoft.com/office/drawing/2014/main" id="{00000000-0008-0000-0100-0000FA020000}"/>
            </a:ext>
          </a:extLst>
        </xdr:cNvPr>
        <xdr:cNvSpPr txBox="1"/>
      </xdr:nvSpPr>
      <xdr:spPr>
        <a:xfrm>
          <a:off x="7467600" y="1651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4414161</xdr:colOff>
      <xdr:row>78</xdr:row>
      <xdr:rowOff>24043</xdr:rowOff>
    </xdr:to>
    <xdr:sp macro="" textlink="">
      <xdr:nvSpPr>
        <xdr:cNvPr id="763" name="TextBox 43">
          <a:extLst>
            <a:ext uri="{FF2B5EF4-FFF2-40B4-BE49-F238E27FC236}">
              <a16:creationId xmlns:a16="http://schemas.microsoft.com/office/drawing/2014/main" id="{00000000-0008-0000-0100-0000FB020000}"/>
            </a:ext>
          </a:extLst>
        </xdr:cNvPr>
        <xdr:cNvSpPr txBox="1"/>
      </xdr:nvSpPr>
      <xdr:spPr>
        <a:xfrm>
          <a:off x="7467600" y="1651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4437842</xdr:colOff>
      <xdr:row>78</xdr:row>
      <xdr:rowOff>40502</xdr:rowOff>
    </xdr:to>
    <xdr:sp macro="" textlink="">
      <xdr:nvSpPr>
        <xdr:cNvPr id="764" name="TextBox 62">
          <a:extLst>
            <a:ext uri="{FF2B5EF4-FFF2-40B4-BE49-F238E27FC236}">
              <a16:creationId xmlns:a16="http://schemas.microsoft.com/office/drawing/2014/main" id="{00000000-0008-0000-0100-0000FC020000}"/>
            </a:ext>
          </a:extLst>
        </xdr:cNvPr>
        <xdr:cNvSpPr txBox="1"/>
      </xdr:nvSpPr>
      <xdr:spPr>
        <a:xfrm>
          <a:off x="7467600" y="1651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65" name="TextBox 68">
          <a:extLst>
            <a:ext uri="{FF2B5EF4-FFF2-40B4-BE49-F238E27FC236}">
              <a16:creationId xmlns:a16="http://schemas.microsoft.com/office/drawing/2014/main" id="{00000000-0008-0000-0100-0000FD02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66" name="TextBox 69">
          <a:extLst>
            <a:ext uri="{FF2B5EF4-FFF2-40B4-BE49-F238E27FC236}">
              <a16:creationId xmlns:a16="http://schemas.microsoft.com/office/drawing/2014/main" id="{00000000-0008-0000-0100-0000FE02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67" name="TextBox 85">
          <a:extLst>
            <a:ext uri="{FF2B5EF4-FFF2-40B4-BE49-F238E27FC236}">
              <a16:creationId xmlns:a16="http://schemas.microsoft.com/office/drawing/2014/main" id="{00000000-0008-0000-0100-0000FF02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68" name="TextBox 86">
          <a:extLst>
            <a:ext uri="{FF2B5EF4-FFF2-40B4-BE49-F238E27FC236}">
              <a16:creationId xmlns:a16="http://schemas.microsoft.com/office/drawing/2014/main" id="{00000000-0008-0000-0100-000000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4381043</xdr:colOff>
      <xdr:row>78</xdr:row>
      <xdr:rowOff>137739</xdr:rowOff>
    </xdr:to>
    <xdr:sp macro="" textlink="">
      <xdr:nvSpPr>
        <xdr:cNvPr id="769" name="TextBox 100">
          <a:extLst>
            <a:ext uri="{FF2B5EF4-FFF2-40B4-BE49-F238E27FC236}">
              <a16:creationId xmlns:a16="http://schemas.microsoft.com/office/drawing/2014/main" id="{00000000-0008-0000-0100-000001030000}"/>
            </a:ext>
          </a:extLst>
        </xdr:cNvPr>
        <xdr:cNvSpPr txBox="1"/>
      </xdr:nvSpPr>
      <xdr:spPr>
        <a:xfrm>
          <a:off x="7467600" y="1651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70" name="TextBox 101">
          <a:extLst>
            <a:ext uri="{FF2B5EF4-FFF2-40B4-BE49-F238E27FC236}">
              <a16:creationId xmlns:a16="http://schemas.microsoft.com/office/drawing/2014/main" id="{00000000-0008-0000-0100-000002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71" name="TextBox 102">
          <a:extLst>
            <a:ext uri="{FF2B5EF4-FFF2-40B4-BE49-F238E27FC236}">
              <a16:creationId xmlns:a16="http://schemas.microsoft.com/office/drawing/2014/main" id="{00000000-0008-0000-0100-000003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72" name="TextBox 113">
          <a:extLst>
            <a:ext uri="{FF2B5EF4-FFF2-40B4-BE49-F238E27FC236}">
              <a16:creationId xmlns:a16="http://schemas.microsoft.com/office/drawing/2014/main" id="{00000000-0008-0000-0100-000004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73" name="TextBox 114">
          <a:extLst>
            <a:ext uri="{FF2B5EF4-FFF2-40B4-BE49-F238E27FC236}">
              <a16:creationId xmlns:a16="http://schemas.microsoft.com/office/drawing/2014/main" id="{00000000-0008-0000-0100-000005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4414077</xdr:colOff>
      <xdr:row>78</xdr:row>
      <xdr:rowOff>24043</xdr:rowOff>
    </xdr:to>
    <xdr:sp macro="" textlink="">
      <xdr:nvSpPr>
        <xdr:cNvPr id="774" name="TextBox 127">
          <a:extLst>
            <a:ext uri="{FF2B5EF4-FFF2-40B4-BE49-F238E27FC236}">
              <a16:creationId xmlns:a16="http://schemas.microsoft.com/office/drawing/2014/main" id="{00000000-0008-0000-0100-000006030000}"/>
            </a:ext>
          </a:extLst>
        </xdr:cNvPr>
        <xdr:cNvSpPr txBox="1"/>
      </xdr:nvSpPr>
      <xdr:spPr>
        <a:xfrm>
          <a:off x="7467600" y="1651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4420710</xdr:colOff>
      <xdr:row>78</xdr:row>
      <xdr:rowOff>24043</xdr:rowOff>
    </xdr:to>
    <xdr:sp macro="" textlink="">
      <xdr:nvSpPr>
        <xdr:cNvPr id="775" name="TextBox 128">
          <a:extLst>
            <a:ext uri="{FF2B5EF4-FFF2-40B4-BE49-F238E27FC236}">
              <a16:creationId xmlns:a16="http://schemas.microsoft.com/office/drawing/2014/main" id="{00000000-0008-0000-0100-000007030000}"/>
            </a:ext>
          </a:extLst>
        </xdr:cNvPr>
        <xdr:cNvSpPr txBox="1"/>
      </xdr:nvSpPr>
      <xdr:spPr>
        <a:xfrm>
          <a:off x="7467600" y="1651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4414161</xdr:colOff>
      <xdr:row>78</xdr:row>
      <xdr:rowOff>24043</xdr:rowOff>
    </xdr:to>
    <xdr:sp macro="" textlink="">
      <xdr:nvSpPr>
        <xdr:cNvPr id="776" name="TextBox 129">
          <a:extLst>
            <a:ext uri="{FF2B5EF4-FFF2-40B4-BE49-F238E27FC236}">
              <a16:creationId xmlns:a16="http://schemas.microsoft.com/office/drawing/2014/main" id="{00000000-0008-0000-0100-000008030000}"/>
            </a:ext>
          </a:extLst>
        </xdr:cNvPr>
        <xdr:cNvSpPr txBox="1"/>
      </xdr:nvSpPr>
      <xdr:spPr>
        <a:xfrm>
          <a:off x="7467600" y="1651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4437842</xdr:colOff>
      <xdr:row>78</xdr:row>
      <xdr:rowOff>40502</xdr:rowOff>
    </xdr:to>
    <xdr:sp macro="" textlink="">
      <xdr:nvSpPr>
        <xdr:cNvPr id="777" name="TextBox 148">
          <a:extLst>
            <a:ext uri="{FF2B5EF4-FFF2-40B4-BE49-F238E27FC236}">
              <a16:creationId xmlns:a16="http://schemas.microsoft.com/office/drawing/2014/main" id="{00000000-0008-0000-0100-000009030000}"/>
            </a:ext>
          </a:extLst>
        </xdr:cNvPr>
        <xdr:cNvSpPr txBox="1"/>
      </xdr:nvSpPr>
      <xdr:spPr>
        <a:xfrm>
          <a:off x="7467600" y="1651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78" name="TextBox 154">
          <a:extLst>
            <a:ext uri="{FF2B5EF4-FFF2-40B4-BE49-F238E27FC236}">
              <a16:creationId xmlns:a16="http://schemas.microsoft.com/office/drawing/2014/main" id="{00000000-0008-0000-0100-00000A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79" name="TextBox 155">
          <a:extLst>
            <a:ext uri="{FF2B5EF4-FFF2-40B4-BE49-F238E27FC236}">
              <a16:creationId xmlns:a16="http://schemas.microsoft.com/office/drawing/2014/main" id="{00000000-0008-0000-0100-00000B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80" name="TextBox 171">
          <a:extLst>
            <a:ext uri="{FF2B5EF4-FFF2-40B4-BE49-F238E27FC236}">
              <a16:creationId xmlns:a16="http://schemas.microsoft.com/office/drawing/2014/main" id="{00000000-0008-0000-0100-00000C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81" name="TextBox 172">
          <a:extLst>
            <a:ext uri="{FF2B5EF4-FFF2-40B4-BE49-F238E27FC236}">
              <a16:creationId xmlns:a16="http://schemas.microsoft.com/office/drawing/2014/main" id="{00000000-0008-0000-0100-00000D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4394127</xdr:colOff>
      <xdr:row>78</xdr:row>
      <xdr:rowOff>102950</xdr:rowOff>
    </xdr:to>
    <xdr:sp macro="" textlink="">
      <xdr:nvSpPr>
        <xdr:cNvPr id="782" name="TextBox 185">
          <a:extLst>
            <a:ext uri="{FF2B5EF4-FFF2-40B4-BE49-F238E27FC236}">
              <a16:creationId xmlns:a16="http://schemas.microsoft.com/office/drawing/2014/main" id="{00000000-0008-0000-0100-00000E030000}"/>
            </a:ext>
          </a:extLst>
        </xdr:cNvPr>
        <xdr:cNvSpPr txBox="1"/>
      </xdr:nvSpPr>
      <xdr:spPr>
        <a:xfrm>
          <a:off x="7467600" y="16516350"/>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4394210</xdr:colOff>
      <xdr:row>78</xdr:row>
      <xdr:rowOff>102950</xdr:rowOff>
    </xdr:to>
    <xdr:sp macro="" textlink="">
      <xdr:nvSpPr>
        <xdr:cNvPr id="783" name="TextBox 186">
          <a:extLst>
            <a:ext uri="{FF2B5EF4-FFF2-40B4-BE49-F238E27FC236}">
              <a16:creationId xmlns:a16="http://schemas.microsoft.com/office/drawing/2014/main" id="{00000000-0008-0000-0100-00000F030000}"/>
            </a:ext>
          </a:extLst>
        </xdr:cNvPr>
        <xdr:cNvSpPr txBox="1"/>
      </xdr:nvSpPr>
      <xdr:spPr>
        <a:xfrm>
          <a:off x="7467600" y="16516350"/>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4382582</xdr:colOff>
      <xdr:row>78</xdr:row>
      <xdr:rowOff>102950</xdr:rowOff>
    </xdr:to>
    <xdr:sp macro="" textlink="">
      <xdr:nvSpPr>
        <xdr:cNvPr id="784" name="TextBox 202">
          <a:extLst>
            <a:ext uri="{FF2B5EF4-FFF2-40B4-BE49-F238E27FC236}">
              <a16:creationId xmlns:a16="http://schemas.microsoft.com/office/drawing/2014/main" id="{00000000-0008-0000-0100-000010030000}"/>
            </a:ext>
          </a:extLst>
        </xdr:cNvPr>
        <xdr:cNvSpPr txBox="1"/>
      </xdr:nvSpPr>
      <xdr:spPr>
        <a:xfrm>
          <a:off x="7467600" y="165163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4382665</xdr:colOff>
      <xdr:row>78</xdr:row>
      <xdr:rowOff>102950</xdr:rowOff>
    </xdr:to>
    <xdr:sp macro="" textlink="">
      <xdr:nvSpPr>
        <xdr:cNvPr id="785" name="TextBox 203">
          <a:extLst>
            <a:ext uri="{FF2B5EF4-FFF2-40B4-BE49-F238E27FC236}">
              <a16:creationId xmlns:a16="http://schemas.microsoft.com/office/drawing/2014/main" id="{00000000-0008-0000-0100-000011030000}"/>
            </a:ext>
          </a:extLst>
        </xdr:cNvPr>
        <xdr:cNvSpPr txBox="1"/>
      </xdr:nvSpPr>
      <xdr:spPr>
        <a:xfrm>
          <a:off x="7467600" y="165163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4382665</xdr:colOff>
      <xdr:row>78</xdr:row>
      <xdr:rowOff>102950</xdr:rowOff>
    </xdr:to>
    <xdr:sp macro="" textlink="">
      <xdr:nvSpPr>
        <xdr:cNvPr id="786" name="TextBox 204">
          <a:extLst>
            <a:ext uri="{FF2B5EF4-FFF2-40B4-BE49-F238E27FC236}">
              <a16:creationId xmlns:a16="http://schemas.microsoft.com/office/drawing/2014/main" id="{00000000-0008-0000-0100-000012030000}"/>
            </a:ext>
          </a:extLst>
        </xdr:cNvPr>
        <xdr:cNvSpPr txBox="1"/>
      </xdr:nvSpPr>
      <xdr:spPr>
        <a:xfrm>
          <a:off x="7467600" y="165163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4381043</xdr:colOff>
      <xdr:row>78</xdr:row>
      <xdr:rowOff>137739</xdr:rowOff>
    </xdr:to>
    <xdr:sp macro="" textlink="">
      <xdr:nvSpPr>
        <xdr:cNvPr id="787" name="TextBox 218">
          <a:extLst>
            <a:ext uri="{FF2B5EF4-FFF2-40B4-BE49-F238E27FC236}">
              <a16:creationId xmlns:a16="http://schemas.microsoft.com/office/drawing/2014/main" id="{00000000-0008-0000-0100-000013030000}"/>
            </a:ext>
          </a:extLst>
        </xdr:cNvPr>
        <xdr:cNvSpPr txBox="1"/>
      </xdr:nvSpPr>
      <xdr:spPr>
        <a:xfrm>
          <a:off x="7467600" y="1651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88" name="TextBox 219">
          <a:extLst>
            <a:ext uri="{FF2B5EF4-FFF2-40B4-BE49-F238E27FC236}">
              <a16:creationId xmlns:a16="http://schemas.microsoft.com/office/drawing/2014/main" id="{00000000-0008-0000-0100-000014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89" name="TextBox 220">
          <a:extLst>
            <a:ext uri="{FF2B5EF4-FFF2-40B4-BE49-F238E27FC236}">
              <a16:creationId xmlns:a16="http://schemas.microsoft.com/office/drawing/2014/main" id="{00000000-0008-0000-0100-000015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90" name="TextBox 231">
          <a:extLst>
            <a:ext uri="{FF2B5EF4-FFF2-40B4-BE49-F238E27FC236}">
              <a16:creationId xmlns:a16="http://schemas.microsoft.com/office/drawing/2014/main" id="{00000000-0008-0000-0100-000016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91" name="TextBox 232">
          <a:extLst>
            <a:ext uri="{FF2B5EF4-FFF2-40B4-BE49-F238E27FC236}">
              <a16:creationId xmlns:a16="http://schemas.microsoft.com/office/drawing/2014/main" id="{00000000-0008-0000-0100-000017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4414077</xdr:colOff>
      <xdr:row>78</xdr:row>
      <xdr:rowOff>24043</xdr:rowOff>
    </xdr:to>
    <xdr:sp macro="" textlink="">
      <xdr:nvSpPr>
        <xdr:cNvPr id="792" name="TextBox 245">
          <a:extLst>
            <a:ext uri="{FF2B5EF4-FFF2-40B4-BE49-F238E27FC236}">
              <a16:creationId xmlns:a16="http://schemas.microsoft.com/office/drawing/2014/main" id="{00000000-0008-0000-0100-000018030000}"/>
            </a:ext>
          </a:extLst>
        </xdr:cNvPr>
        <xdr:cNvSpPr txBox="1"/>
      </xdr:nvSpPr>
      <xdr:spPr>
        <a:xfrm>
          <a:off x="7467600" y="1651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4420710</xdr:colOff>
      <xdr:row>78</xdr:row>
      <xdr:rowOff>24043</xdr:rowOff>
    </xdr:to>
    <xdr:sp macro="" textlink="">
      <xdr:nvSpPr>
        <xdr:cNvPr id="793" name="TextBox 246">
          <a:extLst>
            <a:ext uri="{FF2B5EF4-FFF2-40B4-BE49-F238E27FC236}">
              <a16:creationId xmlns:a16="http://schemas.microsoft.com/office/drawing/2014/main" id="{00000000-0008-0000-0100-000019030000}"/>
            </a:ext>
          </a:extLst>
        </xdr:cNvPr>
        <xdr:cNvSpPr txBox="1"/>
      </xdr:nvSpPr>
      <xdr:spPr>
        <a:xfrm>
          <a:off x="7467600" y="1651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4414161</xdr:colOff>
      <xdr:row>78</xdr:row>
      <xdr:rowOff>24043</xdr:rowOff>
    </xdr:to>
    <xdr:sp macro="" textlink="">
      <xdr:nvSpPr>
        <xdr:cNvPr id="794" name="TextBox 247">
          <a:extLst>
            <a:ext uri="{FF2B5EF4-FFF2-40B4-BE49-F238E27FC236}">
              <a16:creationId xmlns:a16="http://schemas.microsoft.com/office/drawing/2014/main" id="{00000000-0008-0000-0100-00001A030000}"/>
            </a:ext>
          </a:extLst>
        </xdr:cNvPr>
        <xdr:cNvSpPr txBox="1"/>
      </xdr:nvSpPr>
      <xdr:spPr>
        <a:xfrm>
          <a:off x="7467600" y="1651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4437842</xdr:colOff>
      <xdr:row>78</xdr:row>
      <xdr:rowOff>40502</xdr:rowOff>
    </xdr:to>
    <xdr:sp macro="" textlink="">
      <xdr:nvSpPr>
        <xdr:cNvPr id="795" name="TextBox 266">
          <a:extLst>
            <a:ext uri="{FF2B5EF4-FFF2-40B4-BE49-F238E27FC236}">
              <a16:creationId xmlns:a16="http://schemas.microsoft.com/office/drawing/2014/main" id="{00000000-0008-0000-0100-00001B030000}"/>
            </a:ext>
          </a:extLst>
        </xdr:cNvPr>
        <xdr:cNvSpPr txBox="1"/>
      </xdr:nvSpPr>
      <xdr:spPr>
        <a:xfrm>
          <a:off x="7467600" y="1651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96" name="TextBox 272">
          <a:extLst>
            <a:ext uri="{FF2B5EF4-FFF2-40B4-BE49-F238E27FC236}">
              <a16:creationId xmlns:a16="http://schemas.microsoft.com/office/drawing/2014/main" id="{00000000-0008-0000-0100-00001C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97" name="TextBox 273">
          <a:extLst>
            <a:ext uri="{FF2B5EF4-FFF2-40B4-BE49-F238E27FC236}">
              <a16:creationId xmlns:a16="http://schemas.microsoft.com/office/drawing/2014/main" id="{00000000-0008-0000-0100-00001D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98" name="TextBox 289">
          <a:extLst>
            <a:ext uri="{FF2B5EF4-FFF2-40B4-BE49-F238E27FC236}">
              <a16:creationId xmlns:a16="http://schemas.microsoft.com/office/drawing/2014/main" id="{00000000-0008-0000-0100-00001E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2011681</xdr:colOff>
      <xdr:row>73</xdr:row>
      <xdr:rowOff>45719</xdr:rowOff>
    </xdr:from>
    <xdr:to>
      <xdr:col>4</xdr:col>
      <xdr:colOff>3360421</xdr:colOff>
      <xdr:row>74</xdr:row>
      <xdr:rowOff>38100</xdr:rowOff>
    </xdr:to>
    <xdr:sp macro="" textlink="">
      <xdr:nvSpPr>
        <xdr:cNvPr id="799" name="TextBox 290">
          <a:extLst>
            <a:ext uri="{FF2B5EF4-FFF2-40B4-BE49-F238E27FC236}">
              <a16:creationId xmlns:a16="http://schemas.microsoft.com/office/drawing/2014/main" id="{00000000-0008-0000-0100-00001F030000}"/>
            </a:ext>
          </a:extLst>
        </xdr:cNvPr>
        <xdr:cNvSpPr txBox="1"/>
      </xdr:nvSpPr>
      <xdr:spPr>
        <a:xfrm>
          <a:off x="10934701" y="24391619"/>
          <a:ext cx="1348740" cy="1828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4381043</xdr:colOff>
      <xdr:row>78</xdr:row>
      <xdr:rowOff>137739</xdr:rowOff>
    </xdr:to>
    <xdr:sp macro="" textlink="">
      <xdr:nvSpPr>
        <xdr:cNvPr id="800" name="TextBox 304" hidden="1">
          <a:extLst>
            <a:ext uri="{FF2B5EF4-FFF2-40B4-BE49-F238E27FC236}">
              <a16:creationId xmlns:a16="http://schemas.microsoft.com/office/drawing/2014/main" id="{00000000-0008-0000-0100-000020030000}"/>
            </a:ext>
          </a:extLst>
        </xdr:cNvPr>
        <xdr:cNvSpPr txBox="1"/>
      </xdr:nvSpPr>
      <xdr:spPr>
        <a:xfrm>
          <a:off x="7467600" y="1651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801" name="TextBox 305" hidden="1">
          <a:extLst>
            <a:ext uri="{FF2B5EF4-FFF2-40B4-BE49-F238E27FC236}">
              <a16:creationId xmlns:a16="http://schemas.microsoft.com/office/drawing/2014/main" id="{00000000-0008-0000-0100-000021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802" name="TextBox 306" hidden="1">
          <a:extLst>
            <a:ext uri="{FF2B5EF4-FFF2-40B4-BE49-F238E27FC236}">
              <a16:creationId xmlns:a16="http://schemas.microsoft.com/office/drawing/2014/main" id="{00000000-0008-0000-0100-000022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803" name="TextBox 317" hidden="1">
          <a:extLst>
            <a:ext uri="{FF2B5EF4-FFF2-40B4-BE49-F238E27FC236}">
              <a16:creationId xmlns:a16="http://schemas.microsoft.com/office/drawing/2014/main" id="{00000000-0008-0000-0100-000023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804" name="TextBox 318" hidden="1">
          <a:extLst>
            <a:ext uri="{FF2B5EF4-FFF2-40B4-BE49-F238E27FC236}">
              <a16:creationId xmlns:a16="http://schemas.microsoft.com/office/drawing/2014/main" id="{00000000-0008-0000-0100-000024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4414077</xdr:colOff>
      <xdr:row>78</xdr:row>
      <xdr:rowOff>24043</xdr:rowOff>
    </xdr:to>
    <xdr:sp macro="" textlink="">
      <xdr:nvSpPr>
        <xdr:cNvPr id="805" name="TextBox 331" hidden="1">
          <a:extLst>
            <a:ext uri="{FF2B5EF4-FFF2-40B4-BE49-F238E27FC236}">
              <a16:creationId xmlns:a16="http://schemas.microsoft.com/office/drawing/2014/main" id="{00000000-0008-0000-0100-000025030000}"/>
            </a:ext>
          </a:extLst>
        </xdr:cNvPr>
        <xdr:cNvSpPr txBox="1"/>
      </xdr:nvSpPr>
      <xdr:spPr>
        <a:xfrm>
          <a:off x="7467600" y="1651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4420710</xdr:colOff>
      <xdr:row>78</xdr:row>
      <xdr:rowOff>24043</xdr:rowOff>
    </xdr:to>
    <xdr:sp macro="" textlink="">
      <xdr:nvSpPr>
        <xdr:cNvPr id="806" name="TextBox 332" hidden="1">
          <a:extLst>
            <a:ext uri="{FF2B5EF4-FFF2-40B4-BE49-F238E27FC236}">
              <a16:creationId xmlns:a16="http://schemas.microsoft.com/office/drawing/2014/main" id="{00000000-0008-0000-0100-000026030000}"/>
            </a:ext>
          </a:extLst>
        </xdr:cNvPr>
        <xdr:cNvSpPr txBox="1"/>
      </xdr:nvSpPr>
      <xdr:spPr>
        <a:xfrm>
          <a:off x="7467600" y="1651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4414161</xdr:colOff>
      <xdr:row>78</xdr:row>
      <xdr:rowOff>24043</xdr:rowOff>
    </xdr:to>
    <xdr:sp macro="" textlink="">
      <xdr:nvSpPr>
        <xdr:cNvPr id="807" name="TextBox 333" hidden="1">
          <a:extLst>
            <a:ext uri="{FF2B5EF4-FFF2-40B4-BE49-F238E27FC236}">
              <a16:creationId xmlns:a16="http://schemas.microsoft.com/office/drawing/2014/main" id="{00000000-0008-0000-0100-000027030000}"/>
            </a:ext>
          </a:extLst>
        </xdr:cNvPr>
        <xdr:cNvSpPr txBox="1"/>
      </xdr:nvSpPr>
      <xdr:spPr>
        <a:xfrm>
          <a:off x="7467600" y="1651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4437842</xdr:colOff>
      <xdr:row>78</xdr:row>
      <xdr:rowOff>40502</xdr:rowOff>
    </xdr:to>
    <xdr:sp macro="" textlink="">
      <xdr:nvSpPr>
        <xdr:cNvPr id="808" name="TextBox 352" hidden="1">
          <a:extLst>
            <a:ext uri="{FF2B5EF4-FFF2-40B4-BE49-F238E27FC236}">
              <a16:creationId xmlns:a16="http://schemas.microsoft.com/office/drawing/2014/main" id="{00000000-0008-0000-0100-000028030000}"/>
            </a:ext>
          </a:extLst>
        </xdr:cNvPr>
        <xdr:cNvSpPr txBox="1"/>
      </xdr:nvSpPr>
      <xdr:spPr>
        <a:xfrm>
          <a:off x="7467600" y="1651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809" name="TextBox 358" hidden="1">
          <a:extLst>
            <a:ext uri="{FF2B5EF4-FFF2-40B4-BE49-F238E27FC236}">
              <a16:creationId xmlns:a16="http://schemas.microsoft.com/office/drawing/2014/main" id="{00000000-0008-0000-0100-000029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810" name="TextBox 359" hidden="1">
          <a:extLst>
            <a:ext uri="{FF2B5EF4-FFF2-40B4-BE49-F238E27FC236}">
              <a16:creationId xmlns:a16="http://schemas.microsoft.com/office/drawing/2014/main" id="{00000000-0008-0000-0100-00002A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811" name="TextBox 375" hidden="1">
          <a:extLst>
            <a:ext uri="{FF2B5EF4-FFF2-40B4-BE49-F238E27FC236}">
              <a16:creationId xmlns:a16="http://schemas.microsoft.com/office/drawing/2014/main" id="{00000000-0008-0000-0100-00002B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812" name="TextBox 376" hidden="1">
          <a:extLst>
            <a:ext uri="{FF2B5EF4-FFF2-40B4-BE49-F238E27FC236}">
              <a16:creationId xmlns:a16="http://schemas.microsoft.com/office/drawing/2014/main" id="{00000000-0008-0000-0100-00002C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4394210</xdr:colOff>
      <xdr:row>78</xdr:row>
      <xdr:rowOff>102950</xdr:rowOff>
    </xdr:to>
    <xdr:sp macro="" textlink="">
      <xdr:nvSpPr>
        <xdr:cNvPr id="813" name="TextBox 390" hidden="1">
          <a:extLst>
            <a:ext uri="{FF2B5EF4-FFF2-40B4-BE49-F238E27FC236}">
              <a16:creationId xmlns:a16="http://schemas.microsoft.com/office/drawing/2014/main" id="{00000000-0008-0000-0100-00002D030000}"/>
            </a:ext>
          </a:extLst>
        </xdr:cNvPr>
        <xdr:cNvSpPr txBox="1"/>
      </xdr:nvSpPr>
      <xdr:spPr>
        <a:xfrm>
          <a:off x="7467600" y="16516350"/>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4382582</xdr:colOff>
      <xdr:row>78</xdr:row>
      <xdr:rowOff>102950</xdr:rowOff>
    </xdr:to>
    <xdr:sp macro="" textlink="">
      <xdr:nvSpPr>
        <xdr:cNvPr id="814" name="TextBox 406" hidden="1">
          <a:extLst>
            <a:ext uri="{FF2B5EF4-FFF2-40B4-BE49-F238E27FC236}">
              <a16:creationId xmlns:a16="http://schemas.microsoft.com/office/drawing/2014/main" id="{00000000-0008-0000-0100-00002E030000}"/>
            </a:ext>
          </a:extLst>
        </xdr:cNvPr>
        <xdr:cNvSpPr txBox="1"/>
      </xdr:nvSpPr>
      <xdr:spPr>
        <a:xfrm>
          <a:off x="7467600" y="165163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4382665</xdr:colOff>
      <xdr:row>78</xdr:row>
      <xdr:rowOff>102950</xdr:rowOff>
    </xdr:to>
    <xdr:sp macro="" textlink="">
      <xdr:nvSpPr>
        <xdr:cNvPr id="815" name="TextBox 407" hidden="1">
          <a:extLst>
            <a:ext uri="{FF2B5EF4-FFF2-40B4-BE49-F238E27FC236}">
              <a16:creationId xmlns:a16="http://schemas.microsoft.com/office/drawing/2014/main" id="{00000000-0008-0000-0100-00002F030000}"/>
            </a:ext>
          </a:extLst>
        </xdr:cNvPr>
        <xdr:cNvSpPr txBox="1"/>
      </xdr:nvSpPr>
      <xdr:spPr>
        <a:xfrm>
          <a:off x="7467600" y="165163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4382665</xdr:colOff>
      <xdr:row>78</xdr:row>
      <xdr:rowOff>102950</xdr:rowOff>
    </xdr:to>
    <xdr:sp macro="" textlink="">
      <xdr:nvSpPr>
        <xdr:cNvPr id="816" name="TextBox 408" hidden="1">
          <a:extLst>
            <a:ext uri="{FF2B5EF4-FFF2-40B4-BE49-F238E27FC236}">
              <a16:creationId xmlns:a16="http://schemas.microsoft.com/office/drawing/2014/main" id="{00000000-0008-0000-0100-000030030000}"/>
            </a:ext>
          </a:extLst>
        </xdr:cNvPr>
        <xdr:cNvSpPr txBox="1"/>
      </xdr:nvSpPr>
      <xdr:spPr>
        <a:xfrm>
          <a:off x="7467600" y="165163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4382582</xdr:colOff>
      <xdr:row>84</xdr:row>
      <xdr:rowOff>179150</xdr:rowOff>
    </xdr:to>
    <xdr:sp macro="" textlink="">
      <xdr:nvSpPr>
        <xdr:cNvPr id="817" name="TextBox 199" hidden="1">
          <a:extLst>
            <a:ext uri="{FF2B5EF4-FFF2-40B4-BE49-F238E27FC236}">
              <a16:creationId xmlns:a16="http://schemas.microsoft.com/office/drawing/2014/main" id="{00000000-0008-0000-0100-000031030000}"/>
            </a:ext>
          </a:extLst>
        </xdr:cNvPr>
        <xdr:cNvSpPr txBox="1"/>
      </xdr:nvSpPr>
      <xdr:spPr>
        <a:xfrm>
          <a:off x="7467600" y="178117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4382665</xdr:colOff>
      <xdr:row>84</xdr:row>
      <xdr:rowOff>179150</xdr:rowOff>
    </xdr:to>
    <xdr:sp macro="" textlink="">
      <xdr:nvSpPr>
        <xdr:cNvPr id="818" name="TextBox 200" hidden="1">
          <a:extLst>
            <a:ext uri="{FF2B5EF4-FFF2-40B4-BE49-F238E27FC236}">
              <a16:creationId xmlns:a16="http://schemas.microsoft.com/office/drawing/2014/main" id="{00000000-0008-0000-0100-000032030000}"/>
            </a:ext>
          </a:extLst>
        </xdr:cNvPr>
        <xdr:cNvSpPr txBox="1"/>
      </xdr:nvSpPr>
      <xdr:spPr>
        <a:xfrm>
          <a:off x="7467600" y="178117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4382665</xdr:colOff>
      <xdr:row>84</xdr:row>
      <xdr:rowOff>179150</xdr:rowOff>
    </xdr:to>
    <xdr:sp macro="" textlink="">
      <xdr:nvSpPr>
        <xdr:cNvPr id="819" name="TextBox 201" hidden="1">
          <a:extLst>
            <a:ext uri="{FF2B5EF4-FFF2-40B4-BE49-F238E27FC236}">
              <a16:creationId xmlns:a16="http://schemas.microsoft.com/office/drawing/2014/main" id="{00000000-0008-0000-0100-000033030000}"/>
            </a:ext>
          </a:extLst>
        </xdr:cNvPr>
        <xdr:cNvSpPr txBox="1"/>
      </xdr:nvSpPr>
      <xdr:spPr>
        <a:xfrm>
          <a:off x="7467600" y="178117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4382582</xdr:colOff>
      <xdr:row>84</xdr:row>
      <xdr:rowOff>179150</xdr:rowOff>
    </xdr:to>
    <xdr:sp macro="" textlink="">
      <xdr:nvSpPr>
        <xdr:cNvPr id="820" name="TextBox 403" hidden="1">
          <a:extLst>
            <a:ext uri="{FF2B5EF4-FFF2-40B4-BE49-F238E27FC236}">
              <a16:creationId xmlns:a16="http://schemas.microsoft.com/office/drawing/2014/main" id="{00000000-0008-0000-0100-000034030000}"/>
            </a:ext>
          </a:extLst>
        </xdr:cNvPr>
        <xdr:cNvSpPr txBox="1"/>
      </xdr:nvSpPr>
      <xdr:spPr>
        <a:xfrm>
          <a:off x="7467600" y="178117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4382665</xdr:colOff>
      <xdr:row>84</xdr:row>
      <xdr:rowOff>179150</xdr:rowOff>
    </xdr:to>
    <xdr:sp macro="" textlink="">
      <xdr:nvSpPr>
        <xdr:cNvPr id="821" name="TextBox 404" hidden="1">
          <a:extLst>
            <a:ext uri="{FF2B5EF4-FFF2-40B4-BE49-F238E27FC236}">
              <a16:creationId xmlns:a16="http://schemas.microsoft.com/office/drawing/2014/main" id="{00000000-0008-0000-0100-000035030000}"/>
            </a:ext>
          </a:extLst>
        </xdr:cNvPr>
        <xdr:cNvSpPr txBox="1"/>
      </xdr:nvSpPr>
      <xdr:spPr>
        <a:xfrm>
          <a:off x="7467600" y="178117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4382665</xdr:colOff>
      <xdr:row>84</xdr:row>
      <xdr:rowOff>179150</xdr:rowOff>
    </xdr:to>
    <xdr:sp macro="" textlink="">
      <xdr:nvSpPr>
        <xdr:cNvPr id="822" name="TextBox 405" hidden="1">
          <a:extLst>
            <a:ext uri="{FF2B5EF4-FFF2-40B4-BE49-F238E27FC236}">
              <a16:creationId xmlns:a16="http://schemas.microsoft.com/office/drawing/2014/main" id="{00000000-0008-0000-0100-000036030000}"/>
            </a:ext>
          </a:extLst>
        </xdr:cNvPr>
        <xdr:cNvSpPr txBox="1"/>
      </xdr:nvSpPr>
      <xdr:spPr>
        <a:xfrm>
          <a:off x="7467600" y="178117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4048125</xdr:colOff>
      <xdr:row>70</xdr:row>
      <xdr:rowOff>0</xdr:rowOff>
    </xdr:from>
    <xdr:to>
      <xdr:col>2</xdr:col>
      <xdr:colOff>7585844</xdr:colOff>
      <xdr:row>72</xdr:row>
      <xdr:rowOff>129179</xdr:rowOff>
    </xdr:to>
    <xdr:sp macro="" textlink="">
      <xdr:nvSpPr>
        <xdr:cNvPr id="823" name="TextBox 393" hidden="1">
          <a:extLst>
            <a:ext uri="{FF2B5EF4-FFF2-40B4-BE49-F238E27FC236}">
              <a16:creationId xmlns:a16="http://schemas.microsoft.com/office/drawing/2014/main" id="{00000000-0008-0000-0100-000037030000}"/>
            </a:ext>
          </a:extLst>
        </xdr:cNvPr>
        <xdr:cNvSpPr txBox="1"/>
      </xdr:nvSpPr>
      <xdr:spPr>
        <a:xfrm>
          <a:off x="2133600" y="150590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1562100</xdr:colOff>
      <xdr:row>70</xdr:row>
      <xdr:rowOff>0</xdr:rowOff>
    </xdr:from>
    <xdr:to>
      <xdr:col>4</xdr:col>
      <xdr:colOff>5106482</xdr:colOff>
      <xdr:row>72</xdr:row>
      <xdr:rowOff>24404</xdr:rowOff>
    </xdr:to>
    <xdr:sp macro="" textlink="">
      <xdr:nvSpPr>
        <xdr:cNvPr id="824" name="TextBox 396" hidden="1">
          <a:extLst>
            <a:ext uri="{FF2B5EF4-FFF2-40B4-BE49-F238E27FC236}">
              <a16:creationId xmlns:a16="http://schemas.microsoft.com/office/drawing/2014/main" id="{00000000-0008-0000-0100-000038030000}"/>
            </a:ext>
          </a:extLst>
        </xdr:cNvPr>
        <xdr:cNvSpPr txBox="1"/>
      </xdr:nvSpPr>
      <xdr:spPr>
        <a:xfrm>
          <a:off x="7467600" y="150590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Desktop/Paul_work/Alaska/Documents%20and%20Settings/Paul/Application%20Data/Microsoft/Excel/ORWAPv1.5_Explanati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ul/documents/ALASKA_SEAL/Calculator/BatchCalculator_Nontidal/Calculator/CalculatorsOldVersions/WESPAKse_Nontidal_v1.5_4Oct2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Desktop/Paul_work/Alaska/Documents%20and%20Settings/Paul/Application%20Data/Microsoft/Excel/ORWAP_08/Macro2/ORWAP_Macro/ORWAP_Macro/ORWAP%20RK%20batc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Scores"/>
      <sheetName val="CoverPg"/>
      <sheetName val="Sketch"/>
      <sheetName val="OF"/>
      <sheetName val="FieldF"/>
      <sheetName val="FieldS"/>
      <sheetName val="Matrix"/>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HGM"/>
      <sheetName val="Plants"/>
      <sheetName val="Verts"/>
      <sheetName val="InvertsNonNativ"/>
      <sheetName val="InvertsRare"/>
      <sheetName val="IBAs"/>
      <sheetName val="WQprob"/>
      <sheetName val="NWIstats"/>
      <sheetName val="HydricTab"/>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v>0</v>
          </cell>
        </row>
        <row r="3">
          <cell r="G3">
            <v>0</v>
          </cell>
        </row>
        <row r="5">
          <cell r="D5">
            <v>0</v>
          </cell>
        </row>
        <row r="6">
          <cell r="D6">
            <v>1</v>
          </cell>
        </row>
        <row r="8">
          <cell r="G8">
            <v>0</v>
          </cell>
        </row>
        <row r="9">
          <cell r="D9">
            <v>0</v>
          </cell>
        </row>
        <row r="10">
          <cell r="D10">
            <v>0</v>
          </cell>
        </row>
        <row r="15">
          <cell r="G15">
            <v>0</v>
          </cell>
        </row>
        <row r="22">
          <cell r="G22">
            <v>0.3</v>
          </cell>
        </row>
        <row r="29">
          <cell r="G29">
            <v>1</v>
          </cell>
        </row>
        <row r="36">
          <cell r="G36">
            <v>0.25</v>
          </cell>
        </row>
        <row r="42">
          <cell r="G42">
            <v>0.6</v>
          </cell>
        </row>
        <row r="48">
          <cell r="G48">
            <v>0</v>
          </cell>
        </row>
        <row r="52">
          <cell r="D52">
            <v>0</v>
          </cell>
        </row>
        <row r="53">
          <cell r="G53">
            <v>1</v>
          </cell>
        </row>
        <row r="56">
          <cell r="G56">
            <v>0</v>
          </cell>
        </row>
        <row r="62">
          <cell r="G62">
            <v>1</v>
          </cell>
        </row>
        <row r="63">
          <cell r="G63">
            <v>0.5</v>
          </cell>
        </row>
        <row r="67">
          <cell r="G67">
            <v>1</v>
          </cell>
        </row>
        <row r="72">
          <cell r="G72">
            <v>1</v>
          </cell>
        </row>
        <row r="75">
          <cell r="G75">
            <v>0</v>
          </cell>
        </row>
        <row r="79">
          <cell r="G79">
            <v>1</v>
          </cell>
        </row>
        <row r="84">
          <cell r="G84">
            <v>1</v>
          </cell>
        </row>
        <row r="88">
          <cell r="G88">
            <v>0</v>
          </cell>
        </row>
        <row r="92">
          <cell r="G92">
            <v>1</v>
          </cell>
        </row>
        <row r="96">
          <cell r="G96">
            <v>0</v>
          </cell>
        </row>
        <row r="102">
          <cell r="G102">
            <v>0</v>
          </cell>
        </row>
        <row r="106">
          <cell r="G106">
            <v>1</v>
          </cell>
        </row>
        <row r="111">
          <cell r="G111">
            <v>0.5357142857142857</v>
          </cell>
        </row>
        <row r="112">
          <cell r="G112">
            <v>0.53749999999999998</v>
          </cell>
        </row>
        <row r="113">
          <cell r="G113" t="b">
            <v>1</v>
          </cell>
        </row>
      </sheetData>
      <sheetData sheetId="8">
        <row r="2">
          <cell r="D2">
            <v>0</v>
          </cell>
        </row>
        <row r="3">
          <cell r="G3">
            <v>0</v>
          </cell>
        </row>
        <row r="9">
          <cell r="D9">
            <v>0</v>
          </cell>
        </row>
        <row r="10">
          <cell r="G10">
            <v>0</v>
          </cell>
        </row>
        <row r="17">
          <cell r="G17">
            <v>1</v>
          </cell>
        </row>
        <row r="24">
          <cell r="G24">
            <v>0</v>
          </cell>
        </row>
        <row r="30">
          <cell r="G30">
            <v>0.75</v>
          </cell>
        </row>
        <row r="36">
          <cell r="G36">
            <v>0</v>
          </cell>
        </row>
        <row r="40">
          <cell r="D40">
            <v>0</v>
          </cell>
        </row>
        <row r="41">
          <cell r="G41">
            <v>1</v>
          </cell>
        </row>
        <row r="44">
          <cell r="G44">
            <v>0</v>
          </cell>
        </row>
        <row r="50">
          <cell r="G50">
            <v>0</v>
          </cell>
        </row>
        <row r="56">
          <cell r="G56">
            <v>1</v>
          </cell>
        </row>
        <row r="61">
          <cell r="G61">
            <v>0.5</v>
          </cell>
        </row>
        <row r="65">
          <cell r="G65">
            <v>1</v>
          </cell>
        </row>
        <row r="70">
          <cell r="G70">
            <v>1</v>
          </cell>
        </row>
        <row r="75">
          <cell r="G75">
            <v>0</v>
          </cell>
        </row>
        <row r="81">
          <cell r="G81">
            <v>1</v>
          </cell>
        </row>
        <row r="85">
          <cell r="G85">
            <v>1</v>
          </cell>
        </row>
        <row r="90">
          <cell r="G90">
            <v>0</v>
          </cell>
        </row>
        <row r="94">
          <cell r="G94">
            <v>0</v>
          </cell>
        </row>
        <row r="98">
          <cell r="G98">
            <v>1</v>
          </cell>
        </row>
        <row r="102">
          <cell r="G102">
            <v>0</v>
          </cell>
        </row>
        <row r="109">
          <cell r="D109">
            <v>0</v>
          </cell>
        </row>
        <row r="112">
          <cell r="G112">
            <v>0</v>
          </cell>
        </row>
        <row r="116">
          <cell r="G116">
            <v>0</v>
          </cell>
        </row>
        <row r="117">
          <cell r="G117">
            <v>0</v>
          </cell>
        </row>
        <row r="123">
          <cell r="G123">
            <v>0.83333333333333337</v>
          </cell>
        </row>
        <row r="130">
          <cell r="G130">
            <v>0.75</v>
          </cell>
        </row>
        <row r="136">
          <cell r="G136" t="str">
            <v/>
          </cell>
        </row>
        <row r="139">
          <cell r="G139">
            <v>0</v>
          </cell>
        </row>
        <row r="146">
          <cell r="G146">
            <v>0</v>
          </cell>
        </row>
        <row r="150">
          <cell r="G150">
            <v>0</v>
          </cell>
        </row>
        <row r="154">
          <cell r="G154">
            <v>0.5</v>
          </cell>
        </row>
        <row r="160">
          <cell r="G160">
            <v>1</v>
          </cell>
        </row>
      </sheetData>
      <sheetData sheetId="9">
        <row r="2">
          <cell r="D2">
            <v>0</v>
          </cell>
        </row>
        <row r="3">
          <cell r="G3">
            <v>0</v>
          </cell>
        </row>
        <row r="4">
          <cell r="G4">
            <v>0</v>
          </cell>
        </row>
        <row r="10">
          <cell r="G10">
            <v>0</v>
          </cell>
        </row>
        <row r="14">
          <cell r="G14">
            <v>1</v>
          </cell>
        </row>
        <row r="19">
          <cell r="D19">
            <v>0</v>
          </cell>
        </row>
        <row r="20">
          <cell r="G20">
            <v>0</v>
          </cell>
        </row>
        <row r="27">
          <cell r="G27">
            <v>0.75</v>
          </cell>
        </row>
        <row r="34">
          <cell r="G34">
            <v>1</v>
          </cell>
        </row>
        <row r="41">
          <cell r="G41">
            <v>0.2</v>
          </cell>
        </row>
        <row r="47">
          <cell r="G47">
            <v>0.66666666666666663</v>
          </cell>
        </row>
        <row r="53">
          <cell r="G53">
            <v>0</v>
          </cell>
        </row>
        <row r="57">
          <cell r="D57">
            <v>0</v>
          </cell>
        </row>
        <row r="58">
          <cell r="G58">
            <v>1</v>
          </cell>
        </row>
        <row r="61">
          <cell r="G61">
            <v>0</v>
          </cell>
        </row>
        <row r="67">
          <cell r="G67">
            <v>0</v>
          </cell>
        </row>
        <row r="73">
          <cell r="G73">
            <v>1</v>
          </cell>
        </row>
        <row r="74">
          <cell r="G74">
            <v>1</v>
          </cell>
        </row>
        <row r="75">
          <cell r="G75">
            <v>1</v>
          </cell>
        </row>
        <row r="81">
          <cell r="G81">
            <v>1</v>
          </cell>
        </row>
        <row r="86">
          <cell r="G86">
            <v>0</v>
          </cell>
        </row>
        <row r="91">
          <cell r="G91">
            <v>0.5</v>
          </cell>
        </row>
        <row r="95">
          <cell r="G95">
            <v>1</v>
          </cell>
        </row>
        <row r="105">
          <cell r="G105">
            <v>1</v>
          </cell>
        </row>
        <row r="107">
          <cell r="G107">
            <v>1</v>
          </cell>
        </row>
        <row r="111">
          <cell r="G111">
            <v>1</v>
          </cell>
        </row>
        <row r="116">
          <cell r="G116">
            <v>1</v>
          </cell>
        </row>
        <row r="120">
          <cell r="G120">
            <v>0</v>
          </cell>
        </row>
        <row r="124">
          <cell r="G124">
            <v>1</v>
          </cell>
        </row>
        <row r="128">
          <cell r="G128">
            <v>0</v>
          </cell>
        </row>
        <row r="134">
          <cell r="D134">
            <v>0</v>
          </cell>
        </row>
        <row r="137">
          <cell r="G137">
            <v>0</v>
          </cell>
        </row>
        <row r="141">
          <cell r="G141">
            <v>0.33333333333333331</v>
          </cell>
        </row>
        <row r="146">
          <cell r="G146">
            <v>0</v>
          </cell>
        </row>
        <row r="147">
          <cell r="G147">
            <v>0</v>
          </cell>
        </row>
        <row r="150">
          <cell r="G150">
            <v>0.5</v>
          </cell>
        </row>
        <row r="156">
          <cell r="G156">
            <v>1</v>
          </cell>
        </row>
        <row r="160">
          <cell r="G160">
            <v>0.33333333333333331</v>
          </cell>
        </row>
        <row r="161">
          <cell r="G161">
            <v>0.65416666666666656</v>
          </cell>
        </row>
        <row r="162">
          <cell r="G162">
            <v>0.6</v>
          </cell>
        </row>
        <row r="163">
          <cell r="G163">
            <v>0.9</v>
          </cell>
        </row>
        <row r="164">
          <cell r="G164">
            <v>0.625</v>
          </cell>
        </row>
        <row r="165">
          <cell r="G165">
            <v>0.33333333333333331</v>
          </cell>
        </row>
      </sheetData>
      <sheetData sheetId="10">
        <row r="2">
          <cell r="D2">
            <v>0</v>
          </cell>
        </row>
        <row r="3">
          <cell r="D3">
            <v>0</v>
          </cell>
        </row>
        <row r="4">
          <cell r="G4">
            <v>1</v>
          </cell>
        </row>
        <row r="9">
          <cell r="D9">
            <v>0</v>
          </cell>
        </row>
        <row r="10">
          <cell r="G10">
            <v>0</v>
          </cell>
        </row>
        <row r="17">
          <cell r="G17">
            <v>0.5</v>
          </cell>
        </row>
        <row r="24">
          <cell r="G24">
            <v>1</v>
          </cell>
        </row>
        <row r="31">
          <cell r="G31">
            <v>0.25</v>
          </cell>
        </row>
        <row r="37">
          <cell r="G37">
            <v>0.8</v>
          </cell>
        </row>
        <row r="43">
          <cell r="G43">
            <v>0.45</v>
          </cell>
        </row>
        <row r="44">
          <cell r="G44">
            <v>0</v>
          </cell>
        </row>
        <row r="49">
          <cell r="G49">
            <v>0</v>
          </cell>
        </row>
        <row r="53">
          <cell r="D53">
            <v>0</v>
          </cell>
        </row>
        <row r="54">
          <cell r="G54">
            <v>1</v>
          </cell>
        </row>
        <row r="57">
          <cell r="G57">
            <v>0</v>
          </cell>
        </row>
        <row r="63">
          <cell r="G63">
            <v>0</v>
          </cell>
        </row>
        <row r="69">
          <cell r="G69">
            <v>1</v>
          </cell>
        </row>
        <row r="75">
          <cell r="G75">
            <v>1</v>
          </cell>
        </row>
        <row r="80">
          <cell r="G80">
            <v>0</v>
          </cell>
        </row>
        <row r="84">
          <cell r="G84">
            <v>0</v>
          </cell>
        </row>
        <row r="87">
          <cell r="G87">
            <v>0.25</v>
          </cell>
        </row>
        <row r="92">
          <cell r="G92">
            <v>0.66666666666666663</v>
          </cell>
        </row>
        <row r="96">
          <cell r="G96">
            <v>1</v>
          </cell>
        </row>
        <row r="101">
          <cell r="G101">
            <v>1</v>
          </cell>
        </row>
        <row r="102">
          <cell r="G102">
            <v>0</v>
          </cell>
        </row>
        <row r="103">
          <cell r="G103">
            <v>1</v>
          </cell>
        </row>
        <row r="104">
          <cell r="G104">
            <v>1</v>
          </cell>
        </row>
        <row r="107">
          <cell r="G107">
            <v>0</v>
          </cell>
        </row>
        <row r="111">
          <cell r="G111">
            <v>1</v>
          </cell>
        </row>
        <row r="116">
          <cell r="G116">
            <v>0</v>
          </cell>
        </row>
        <row r="120">
          <cell r="G120">
            <v>0</v>
          </cell>
        </row>
        <row r="124">
          <cell r="G124">
            <v>1</v>
          </cell>
        </row>
        <row r="129">
          <cell r="D129">
            <v>0</v>
          </cell>
        </row>
        <row r="132">
          <cell r="G132">
            <v>0</v>
          </cell>
        </row>
        <row r="136">
          <cell r="G136">
            <v>0.5</v>
          </cell>
        </row>
        <row r="139">
          <cell r="G139">
            <v>0</v>
          </cell>
        </row>
        <row r="142">
          <cell r="G142">
            <v>0.66666666666666663</v>
          </cell>
        </row>
        <row r="147">
          <cell r="G147">
            <v>0</v>
          </cell>
        </row>
        <row r="148">
          <cell r="G148">
            <v>0</v>
          </cell>
        </row>
        <row r="151">
          <cell r="G151">
            <v>0</v>
          </cell>
        </row>
        <row r="155">
          <cell r="G155">
            <v>0.5</v>
          </cell>
        </row>
        <row r="161">
          <cell r="G161">
            <v>1</v>
          </cell>
        </row>
        <row r="165">
          <cell r="G165">
            <v>0.66666666666666663</v>
          </cell>
        </row>
        <row r="166">
          <cell r="G166">
            <v>0.63749999999999996</v>
          </cell>
        </row>
        <row r="167">
          <cell r="G167">
            <v>6.25E-2</v>
          </cell>
        </row>
        <row r="168">
          <cell r="G168">
            <v>0.7055555555555556</v>
          </cell>
        </row>
        <row r="169">
          <cell r="G169">
            <v>0.66666666666666663</v>
          </cell>
        </row>
        <row r="170">
          <cell r="G170">
            <v>0.61759259259259258</v>
          </cell>
        </row>
      </sheetData>
      <sheetData sheetId="11">
        <row r="2">
          <cell r="D2">
            <v>0</v>
          </cell>
        </row>
        <row r="3">
          <cell r="D3">
            <v>0</v>
          </cell>
        </row>
        <row r="4">
          <cell r="D4">
            <v>0</v>
          </cell>
        </row>
        <row r="5">
          <cell r="D5">
            <v>0</v>
          </cell>
        </row>
        <row r="6">
          <cell r="G6">
            <v>0</v>
          </cell>
        </row>
        <row r="13">
          <cell r="G13">
            <v>0.66666666666666663</v>
          </cell>
        </row>
        <row r="19">
          <cell r="G19">
            <v>0</v>
          </cell>
        </row>
        <row r="24">
          <cell r="G24">
            <v>1</v>
          </cell>
        </row>
        <row r="28">
          <cell r="D28">
            <v>0</v>
          </cell>
        </row>
        <row r="29">
          <cell r="G29">
            <v>0</v>
          </cell>
        </row>
        <row r="37">
          <cell r="G37">
            <v>1</v>
          </cell>
        </row>
        <row r="39">
          <cell r="D39">
            <v>0</v>
          </cell>
        </row>
        <row r="42">
          <cell r="G42">
            <v>0</v>
          </cell>
        </row>
        <row r="46">
          <cell r="G46" t="b">
            <v>0</v>
          </cell>
        </row>
        <row r="47">
          <cell r="G47" t="b">
            <v>0</v>
          </cell>
        </row>
      </sheetData>
      <sheetData sheetId="12">
        <row r="3">
          <cell r="D3">
            <v>0</v>
          </cell>
        </row>
        <row r="4">
          <cell r="D4">
            <v>0</v>
          </cell>
        </row>
        <row r="15">
          <cell r="G15">
            <v>1</v>
          </cell>
        </row>
        <row r="21">
          <cell r="G21">
            <v>1</v>
          </cell>
        </row>
        <row r="28">
          <cell r="G28">
            <v>0</v>
          </cell>
        </row>
        <row r="35">
          <cell r="G35">
            <v>0.75</v>
          </cell>
        </row>
        <row r="41">
          <cell r="G41">
            <v>0.25</v>
          </cell>
        </row>
        <row r="47">
          <cell r="G47">
            <v>0.25</v>
          </cell>
        </row>
        <row r="53">
          <cell r="G53">
            <v>0</v>
          </cell>
        </row>
        <row r="58">
          <cell r="G58">
            <v>0</v>
          </cell>
        </row>
        <row r="63">
          <cell r="G63">
            <v>1</v>
          </cell>
        </row>
        <row r="66">
          <cell r="G66">
            <v>0</v>
          </cell>
        </row>
        <row r="72">
          <cell r="G72">
            <v>0</v>
          </cell>
        </row>
        <row r="75">
          <cell r="G75">
            <v>0</v>
          </cell>
        </row>
        <row r="81">
          <cell r="G81">
            <v>1</v>
          </cell>
        </row>
        <row r="82">
          <cell r="G82">
            <v>0</v>
          </cell>
        </row>
        <row r="88">
          <cell r="G88">
            <v>0.18181818181818182</v>
          </cell>
        </row>
        <row r="101">
          <cell r="G101">
            <v>1</v>
          </cell>
        </row>
        <row r="107">
          <cell r="G107">
            <v>1</v>
          </cell>
        </row>
        <row r="112">
          <cell r="G112">
            <v>0</v>
          </cell>
        </row>
        <row r="117">
          <cell r="G117">
            <v>0.5</v>
          </cell>
        </row>
        <row r="121">
          <cell r="G121">
            <v>1</v>
          </cell>
        </row>
        <row r="126">
          <cell r="G126">
            <v>1</v>
          </cell>
        </row>
        <row r="131">
          <cell r="G131">
            <v>0</v>
          </cell>
        </row>
        <row r="135">
          <cell r="G135">
            <v>1</v>
          </cell>
        </row>
        <row r="136">
          <cell r="G136">
            <v>1</v>
          </cell>
        </row>
        <row r="137">
          <cell r="G137">
            <v>0.31168831168831168</v>
          </cell>
        </row>
        <row r="138">
          <cell r="G138">
            <v>1</v>
          </cell>
        </row>
        <row r="139">
          <cell r="G139">
            <v>0.5</v>
          </cell>
        </row>
        <row r="140">
          <cell r="G140">
            <v>0.45</v>
          </cell>
        </row>
      </sheetData>
      <sheetData sheetId="13">
        <row r="2">
          <cell r="D2">
            <v>0</v>
          </cell>
        </row>
        <row r="3">
          <cell r="G3">
            <v>0</v>
          </cell>
        </row>
        <row r="4">
          <cell r="G4">
            <v>0</v>
          </cell>
        </row>
        <row r="10">
          <cell r="G10">
            <v>0</v>
          </cell>
        </row>
        <row r="16">
          <cell r="G16">
            <v>0</v>
          </cell>
        </row>
        <row r="21">
          <cell r="D21">
            <v>0</v>
          </cell>
        </row>
        <row r="22">
          <cell r="G22">
            <v>1</v>
          </cell>
        </row>
        <row r="29">
          <cell r="G29">
            <v>0</v>
          </cell>
        </row>
        <row r="36">
          <cell r="G36">
            <v>0.25</v>
          </cell>
        </row>
        <row r="42">
          <cell r="G42">
            <v>1</v>
          </cell>
        </row>
        <row r="48">
          <cell r="G48">
            <v>0.2</v>
          </cell>
        </row>
        <row r="54">
          <cell r="G54">
            <v>0.45</v>
          </cell>
        </row>
        <row r="55">
          <cell r="G55">
            <v>1</v>
          </cell>
        </row>
        <row r="59">
          <cell r="D59">
            <v>0</v>
          </cell>
        </row>
        <row r="60">
          <cell r="G60">
            <v>0</v>
          </cell>
        </row>
        <row r="63">
          <cell r="G63">
            <v>0</v>
          </cell>
        </row>
        <row r="69">
          <cell r="G69">
            <v>0</v>
          </cell>
        </row>
        <row r="72">
          <cell r="G72">
            <v>0</v>
          </cell>
        </row>
        <row r="78">
          <cell r="G78">
            <v>1</v>
          </cell>
        </row>
        <row r="79">
          <cell r="G79">
            <v>0</v>
          </cell>
        </row>
        <row r="85">
          <cell r="G85">
            <v>1</v>
          </cell>
        </row>
        <row r="91">
          <cell r="G91">
            <v>1</v>
          </cell>
        </row>
        <row r="101">
          <cell r="G101">
            <v>0.5</v>
          </cell>
        </row>
        <row r="105">
          <cell r="G105">
            <v>1</v>
          </cell>
        </row>
        <row r="110">
          <cell r="G110">
            <v>1</v>
          </cell>
        </row>
        <row r="115">
          <cell r="G115">
            <v>1</v>
          </cell>
        </row>
        <row r="116">
          <cell r="G116">
            <v>1</v>
          </cell>
        </row>
        <row r="117">
          <cell r="G117">
            <v>1</v>
          </cell>
        </row>
        <row r="118">
          <cell r="G118">
            <v>0.48333333333333334</v>
          </cell>
        </row>
        <row r="119">
          <cell r="G119">
            <v>0.75</v>
          </cell>
        </row>
        <row r="120">
          <cell r="G120">
            <v>0.45714285714285718</v>
          </cell>
        </row>
        <row r="121">
          <cell r="G121">
            <v>0.7</v>
          </cell>
        </row>
      </sheetData>
      <sheetData sheetId="14">
        <row r="2">
          <cell r="D2">
            <v>0</v>
          </cell>
        </row>
        <row r="3">
          <cell r="D3">
            <v>0</v>
          </cell>
        </row>
        <row r="4">
          <cell r="G4">
            <v>0</v>
          </cell>
        </row>
        <row r="10">
          <cell r="G10">
            <v>0</v>
          </cell>
        </row>
        <row r="15">
          <cell r="D15">
            <v>0</v>
          </cell>
        </row>
        <row r="16">
          <cell r="G16">
            <v>0</v>
          </cell>
        </row>
        <row r="23">
          <cell r="G23">
            <v>0.5</v>
          </cell>
        </row>
        <row r="30">
          <cell r="G30">
            <v>0.33333333333333331</v>
          </cell>
        </row>
        <row r="37">
          <cell r="G37">
            <v>0</v>
          </cell>
        </row>
        <row r="43">
          <cell r="G43">
            <v>1</v>
          </cell>
        </row>
        <row r="47">
          <cell r="G47">
            <v>0.33333333333333331</v>
          </cell>
        </row>
        <row r="53">
          <cell r="G53">
            <v>0.4</v>
          </cell>
        </row>
        <row r="59">
          <cell r="G59">
            <v>0.5</v>
          </cell>
        </row>
        <row r="63">
          <cell r="G63">
            <v>0.45</v>
          </cell>
        </row>
        <row r="64">
          <cell r="G64">
            <v>0</v>
          </cell>
        </row>
        <row r="69">
          <cell r="G69">
            <v>0</v>
          </cell>
        </row>
        <row r="75">
          <cell r="G75">
            <v>0</v>
          </cell>
        </row>
        <row r="76">
          <cell r="G76">
            <v>0.75</v>
          </cell>
        </row>
        <row r="82">
          <cell r="G82">
            <v>0.5</v>
          </cell>
        </row>
        <row r="88">
          <cell r="G88">
            <v>0.75</v>
          </cell>
        </row>
        <row r="94">
          <cell r="G94">
            <v>0</v>
          </cell>
        </row>
        <row r="100">
          <cell r="G100">
            <v>1</v>
          </cell>
        </row>
        <row r="103">
          <cell r="G103">
            <v>1</v>
          </cell>
        </row>
        <row r="108">
          <cell r="G108">
            <v>0</v>
          </cell>
        </row>
        <row r="111">
          <cell r="G111">
            <v>0.5</v>
          </cell>
        </row>
        <row r="115">
          <cell r="G115">
            <v>1</v>
          </cell>
        </row>
        <row r="116">
          <cell r="G116">
            <v>1</v>
          </cell>
        </row>
        <row r="122">
          <cell r="G122">
            <v>0.5</v>
          </cell>
        </row>
        <row r="128">
          <cell r="G128">
            <v>0</v>
          </cell>
        </row>
        <row r="136">
          <cell r="G136">
            <v>1</v>
          </cell>
        </row>
        <row r="139">
          <cell r="G139">
            <v>1</v>
          </cell>
        </row>
        <row r="140">
          <cell r="G140">
            <v>1</v>
          </cell>
        </row>
        <row r="141">
          <cell r="G141">
            <v>1</v>
          </cell>
        </row>
        <row r="144">
          <cell r="G144">
            <v>0</v>
          </cell>
        </row>
        <row r="148">
          <cell r="G148">
            <v>0.4</v>
          </cell>
        </row>
        <row r="155">
          <cell r="G155">
            <v>1</v>
          </cell>
        </row>
        <row r="159">
          <cell r="G159">
            <v>0.70972222222222225</v>
          </cell>
        </row>
        <row r="160">
          <cell r="G160">
            <v>0.82874999999999999</v>
          </cell>
        </row>
        <row r="161">
          <cell r="G161">
            <v>0.56278499278499283</v>
          </cell>
        </row>
        <row r="162">
          <cell r="G162" t="e">
            <v>#REF!</v>
          </cell>
        </row>
        <row r="163">
          <cell r="G163">
            <v>0.54677777777777781</v>
          </cell>
        </row>
        <row r="164">
          <cell r="G164">
            <v>0.37724747474747478</v>
          </cell>
        </row>
        <row r="166">
          <cell r="G166">
            <v>0.36666666666666664</v>
          </cell>
        </row>
        <row r="167">
          <cell r="G167">
            <v>0.44722222222222224</v>
          </cell>
        </row>
        <row r="168">
          <cell r="G168">
            <v>0.75</v>
          </cell>
        </row>
        <row r="169">
          <cell r="G169">
            <v>0.25</v>
          </cell>
        </row>
        <row r="170">
          <cell r="G170">
            <v>0.58333333333333337</v>
          </cell>
        </row>
        <row r="171">
          <cell r="G171">
            <v>0.25</v>
          </cell>
        </row>
        <row r="172">
          <cell r="G172">
            <v>1</v>
          </cell>
        </row>
        <row r="173">
          <cell r="G173">
            <v>0.61111111111111116</v>
          </cell>
        </row>
      </sheetData>
      <sheetData sheetId="15">
        <row r="2">
          <cell r="D2">
            <v>0</v>
          </cell>
        </row>
        <row r="4">
          <cell r="D4">
            <v>0</v>
          </cell>
        </row>
        <row r="5">
          <cell r="D5">
            <v>0</v>
          </cell>
        </row>
        <row r="6">
          <cell r="D6">
            <v>1</v>
          </cell>
        </row>
        <row r="7">
          <cell r="D7">
            <v>1</v>
          </cell>
        </row>
        <row r="8">
          <cell r="G8">
            <v>0</v>
          </cell>
        </row>
        <row r="14">
          <cell r="G14" t="str">
            <v/>
          </cell>
        </row>
        <row r="20">
          <cell r="D20">
            <v>0</v>
          </cell>
        </row>
        <row r="21">
          <cell r="G21">
            <v>1</v>
          </cell>
        </row>
        <row r="28">
          <cell r="G28">
            <v>0</v>
          </cell>
        </row>
        <row r="38">
          <cell r="G38">
            <v>1</v>
          </cell>
        </row>
        <row r="44">
          <cell r="G44">
            <v>0.45</v>
          </cell>
        </row>
        <row r="45">
          <cell r="G45">
            <v>0</v>
          </cell>
        </row>
        <row r="50">
          <cell r="G50">
            <v>1</v>
          </cell>
        </row>
        <row r="58">
          <cell r="G58">
            <v>0</v>
          </cell>
        </row>
        <row r="64">
          <cell r="G64">
            <v>0</v>
          </cell>
        </row>
        <row r="70">
          <cell r="G70">
            <v>0</v>
          </cell>
        </row>
        <row r="76">
          <cell r="G76">
            <v>1</v>
          </cell>
        </row>
        <row r="79">
          <cell r="G79">
            <v>1</v>
          </cell>
        </row>
        <row r="82">
          <cell r="G82">
            <v>0.5</v>
          </cell>
        </row>
        <row r="85">
          <cell r="G85">
            <v>0.5</v>
          </cell>
        </row>
        <row r="91">
          <cell r="G91">
            <v>0</v>
          </cell>
        </row>
        <row r="93">
          <cell r="G93">
            <v>0.5</v>
          </cell>
        </row>
        <row r="99">
          <cell r="G99">
            <v>0</v>
          </cell>
        </row>
        <row r="107">
          <cell r="G107">
            <v>1</v>
          </cell>
        </row>
        <row r="115">
          <cell r="G115">
            <v>0</v>
          </cell>
        </row>
        <row r="118">
          <cell r="G118">
            <v>1</v>
          </cell>
        </row>
        <row r="119">
          <cell r="G119">
            <v>1</v>
          </cell>
        </row>
        <row r="123">
          <cell r="G123">
            <v>1</v>
          </cell>
        </row>
        <row r="124">
          <cell r="G124" t="e">
            <v>#REF!</v>
          </cell>
        </row>
        <row r="126">
          <cell r="G126" t="b">
            <v>0</v>
          </cell>
        </row>
        <row r="127">
          <cell r="G127">
            <v>0.625</v>
          </cell>
        </row>
        <row r="128">
          <cell r="G128">
            <v>0.5</v>
          </cell>
        </row>
        <row r="129">
          <cell r="G129">
            <v>0.81666666666666676</v>
          </cell>
        </row>
        <row r="130">
          <cell r="G130">
            <v>0</v>
          </cell>
        </row>
      </sheetData>
      <sheetData sheetId="16">
        <row r="2">
          <cell r="D2">
            <v>0</v>
          </cell>
        </row>
        <row r="3">
          <cell r="D3">
            <v>1</v>
          </cell>
        </row>
        <row r="4">
          <cell r="D4">
            <v>0</v>
          </cell>
        </row>
        <row r="22">
          <cell r="D22">
            <v>0</v>
          </cell>
        </row>
        <row r="23">
          <cell r="G23">
            <v>1</v>
          </cell>
        </row>
        <row r="35">
          <cell r="D35">
            <v>0</v>
          </cell>
        </row>
        <row r="37">
          <cell r="G37">
            <v>0</v>
          </cell>
        </row>
        <row r="44">
          <cell r="G44">
            <v>1</v>
          </cell>
        </row>
        <row r="48">
          <cell r="G48">
            <v>0.75</v>
          </cell>
        </row>
        <row r="54">
          <cell r="G54">
            <v>0</v>
          </cell>
        </row>
        <row r="58">
          <cell r="G58">
            <v>0.45</v>
          </cell>
        </row>
        <row r="59">
          <cell r="G59">
            <v>1</v>
          </cell>
        </row>
        <row r="63">
          <cell r="D63">
            <v>0</v>
          </cell>
        </row>
        <row r="64">
          <cell r="G64">
            <v>0</v>
          </cell>
        </row>
        <row r="67">
          <cell r="G67">
            <v>0</v>
          </cell>
        </row>
        <row r="73">
          <cell r="G73">
            <v>0</v>
          </cell>
        </row>
        <row r="79">
          <cell r="G79">
            <v>1</v>
          </cell>
        </row>
        <row r="82">
          <cell r="G82">
            <v>1</v>
          </cell>
        </row>
        <row r="85">
          <cell r="G85">
            <v>0</v>
          </cell>
        </row>
        <row r="88">
          <cell r="G88">
            <v>1</v>
          </cell>
        </row>
        <row r="89">
          <cell r="G89">
            <v>1</v>
          </cell>
        </row>
        <row r="96">
          <cell r="D96">
            <v>1</v>
          </cell>
        </row>
        <row r="97">
          <cell r="G97">
            <v>0.75</v>
          </cell>
        </row>
        <row r="106">
          <cell r="G106">
            <v>0</v>
          </cell>
        </row>
        <row r="111">
          <cell r="D111">
            <v>1</v>
          </cell>
        </row>
        <row r="112">
          <cell r="D112" t="e">
            <v>#REF!</v>
          </cell>
        </row>
        <row r="114">
          <cell r="G114" t="b">
            <v>0</v>
          </cell>
        </row>
        <row r="115">
          <cell r="G115">
            <v>0.69000000000000006</v>
          </cell>
        </row>
        <row r="116">
          <cell r="G116">
            <v>0.91666666666666663</v>
          </cell>
        </row>
        <row r="117">
          <cell r="G117">
            <v>1</v>
          </cell>
        </row>
        <row r="118">
          <cell r="G118">
            <v>0.625</v>
          </cell>
        </row>
      </sheetData>
      <sheetData sheetId="17">
        <row r="2">
          <cell r="D2">
            <v>0</v>
          </cell>
        </row>
        <row r="3">
          <cell r="D3">
            <v>0</v>
          </cell>
        </row>
        <row r="4">
          <cell r="D4">
            <v>1</v>
          </cell>
        </row>
        <row r="5">
          <cell r="D5">
            <v>0</v>
          </cell>
        </row>
        <row r="6">
          <cell r="G6">
            <v>0</v>
          </cell>
        </row>
        <row r="13">
          <cell r="G13">
            <v>1</v>
          </cell>
        </row>
        <row r="20">
          <cell r="G20">
            <v>1</v>
          </cell>
        </row>
        <row r="27">
          <cell r="G27">
            <v>0</v>
          </cell>
        </row>
        <row r="33">
          <cell r="G33">
            <v>1</v>
          </cell>
        </row>
        <row r="37">
          <cell r="G37">
            <v>0.25</v>
          </cell>
        </row>
        <row r="43">
          <cell r="G43">
            <v>1</v>
          </cell>
        </row>
        <row r="48">
          <cell r="G48">
            <v>0.5</v>
          </cell>
        </row>
        <row r="49">
          <cell r="G49">
            <v>0</v>
          </cell>
        </row>
        <row r="54">
          <cell r="G54">
            <v>0</v>
          </cell>
        </row>
        <row r="60">
          <cell r="G60">
            <v>0.25</v>
          </cell>
        </row>
        <row r="67">
          <cell r="G67">
            <v>1</v>
          </cell>
        </row>
        <row r="70">
          <cell r="G70">
            <v>0</v>
          </cell>
        </row>
        <row r="74">
          <cell r="G74">
            <v>0.5</v>
          </cell>
        </row>
        <row r="80">
          <cell r="G80">
            <v>0.18181818181818182</v>
          </cell>
        </row>
        <row r="93">
          <cell r="G93">
            <v>0.66666666666666663</v>
          </cell>
        </row>
        <row r="98">
          <cell r="B98" t="str">
            <v>Upland Inclusions</v>
          </cell>
        </row>
        <row r="101">
          <cell r="G101">
            <v>0</v>
          </cell>
        </row>
        <row r="104">
          <cell r="G104">
            <v>0.5</v>
          </cell>
        </row>
        <row r="108">
          <cell r="G108">
            <v>1</v>
          </cell>
        </row>
        <row r="113">
          <cell r="G113">
            <v>1</v>
          </cell>
        </row>
        <row r="118">
          <cell r="G118">
            <v>1</v>
          </cell>
        </row>
        <row r="121">
          <cell r="G121">
            <v>0</v>
          </cell>
        </row>
        <row r="125">
          <cell r="G125">
            <v>0</v>
          </cell>
        </row>
        <row r="130">
          <cell r="G130">
            <v>0.33333333333333331</v>
          </cell>
        </row>
        <row r="135">
          <cell r="G135">
            <v>0</v>
          </cell>
        </row>
        <row r="141">
          <cell r="G141">
            <v>0</v>
          </cell>
        </row>
        <row r="146">
          <cell r="G146">
            <v>0.25</v>
          </cell>
        </row>
        <row r="152">
          <cell r="G152">
            <v>0.4</v>
          </cell>
        </row>
        <row r="158">
          <cell r="G158">
            <v>0</v>
          </cell>
        </row>
        <row r="166">
          <cell r="G166">
            <v>0</v>
          </cell>
        </row>
        <row r="167">
          <cell r="G167">
            <v>0.4</v>
          </cell>
        </row>
        <row r="180">
          <cell r="G180">
            <v>0</v>
          </cell>
        </row>
        <row r="188">
          <cell r="G188">
            <v>0</v>
          </cell>
        </row>
        <row r="194">
          <cell r="G194">
            <v>0.5</v>
          </cell>
        </row>
        <row r="200">
          <cell r="G200">
            <v>0.2</v>
          </cell>
        </row>
        <row r="207">
          <cell r="G207">
            <v>1</v>
          </cell>
        </row>
        <row r="214">
          <cell r="G214">
            <v>0</v>
          </cell>
        </row>
        <row r="220">
          <cell r="G220">
            <v>0</v>
          </cell>
        </row>
        <row r="224">
          <cell r="G224">
            <v>1</v>
          </cell>
        </row>
        <row r="228">
          <cell r="G228">
            <v>0</v>
          </cell>
        </row>
        <row r="232">
          <cell r="G232">
            <v>0</v>
          </cell>
        </row>
        <row r="237">
          <cell r="G237">
            <v>0.66666666666666663</v>
          </cell>
        </row>
        <row r="244">
          <cell r="G244">
            <v>1</v>
          </cell>
        </row>
        <row r="249">
          <cell r="G249" t="b">
            <v>0</v>
          </cell>
        </row>
        <row r="250">
          <cell r="G250">
            <v>0.50198412698412698</v>
          </cell>
        </row>
        <row r="251">
          <cell r="G251">
            <v>0.43308080808080812</v>
          </cell>
        </row>
        <row r="252">
          <cell r="G252">
            <v>0.26666666666666666</v>
          </cell>
        </row>
        <row r="253">
          <cell r="G253">
            <v>0.18</v>
          </cell>
        </row>
        <row r="254">
          <cell r="G254">
            <v>0.6</v>
          </cell>
        </row>
        <row r="255">
          <cell r="G255">
            <v>8.3333333333333329E-2</v>
          </cell>
        </row>
        <row r="256">
          <cell r="G256">
            <v>1</v>
          </cell>
        </row>
      </sheetData>
      <sheetData sheetId="18">
        <row r="2">
          <cell r="D2">
            <v>0</v>
          </cell>
        </row>
        <row r="3">
          <cell r="D3">
            <v>1</v>
          </cell>
        </row>
        <row r="4">
          <cell r="D4">
            <v>0</v>
          </cell>
        </row>
        <row r="6">
          <cell r="G6">
            <v>0</v>
          </cell>
        </row>
        <row r="12">
          <cell r="G12">
            <v>0</v>
          </cell>
        </row>
        <row r="18">
          <cell r="G18">
            <v>0</v>
          </cell>
        </row>
        <row r="23">
          <cell r="D23">
            <v>0</v>
          </cell>
        </row>
        <row r="24">
          <cell r="G24">
            <v>0.3</v>
          </cell>
        </row>
        <row r="30">
          <cell r="G30">
            <v>0.75</v>
          </cell>
        </row>
        <row r="37">
          <cell r="G37">
            <v>0</v>
          </cell>
        </row>
        <row r="44">
          <cell r="G44">
            <v>0.16666666666666666</v>
          </cell>
        </row>
        <row r="50">
          <cell r="G50">
            <v>0.5</v>
          </cell>
        </row>
        <row r="54">
          <cell r="G54">
            <v>0.45</v>
          </cell>
        </row>
        <row r="55">
          <cell r="G55">
            <v>0</v>
          </cell>
        </row>
        <row r="65">
          <cell r="G65">
            <v>1</v>
          </cell>
        </row>
        <row r="71">
          <cell r="D71">
            <v>1</v>
          </cell>
        </row>
        <row r="72">
          <cell r="G72">
            <v>1</v>
          </cell>
        </row>
        <row r="78">
          <cell r="G78">
            <v>0.75</v>
          </cell>
        </row>
        <row r="84">
          <cell r="G84">
            <v>0.3</v>
          </cell>
        </row>
        <row r="90">
          <cell r="G90">
            <v>0</v>
          </cell>
        </row>
        <row r="96">
          <cell r="G96">
            <v>1</v>
          </cell>
        </row>
        <row r="97">
          <cell r="D97">
            <v>0</v>
          </cell>
        </row>
        <row r="101">
          <cell r="G101">
            <v>1</v>
          </cell>
        </row>
        <row r="102">
          <cell r="G102">
            <v>0</v>
          </cell>
        </row>
        <row r="107">
          <cell r="G107">
            <v>0.33333333333333331</v>
          </cell>
        </row>
        <row r="112">
          <cell r="G112">
            <v>0</v>
          </cell>
        </row>
        <row r="118">
          <cell r="G118">
            <v>0</v>
          </cell>
        </row>
        <row r="123">
          <cell r="G123">
            <v>0.2</v>
          </cell>
        </row>
        <row r="130">
          <cell r="G130">
            <v>1</v>
          </cell>
        </row>
        <row r="137">
          <cell r="G137">
            <v>0.5</v>
          </cell>
        </row>
        <row r="141">
          <cell r="G141">
            <v>0</v>
          </cell>
        </row>
        <row r="145">
          <cell r="G145">
            <v>0.9</v>
          </cell>
        </row>
        <row r="152">
          <cell r="G152">
            <v>0</v>
          </cell>
        </row>
        <row r="159">
          <cell r="D159">
            <v>0</v>
          </cell>
        </row>
        <row r="162">
          <cell r="G162">
            <v>0</v>
          </cell>
        </row>
        <row r="164">
          <cell r="G164">
            <v>0</v>
          </cell>
        </row>
        <row r="170">
          <cell r="G170">
            <v>0</v>
          </cell>
        </row>
        <row r="174">
          <cell r="G174">
            <v>0.4</v>
          </cell>
        </row>
        <row r="181">
          <cell r="G181">
            <v>1</v>
          </cell>
        </row>
        <row r="186">
          <cell r="G186">
            <v>0.48333333333333334</v>
          </cell>
        </row>
        <row r="187">
          <cell r="G187">
            <v>0.42499999999999999</v>
          </cell>
        </row>
        <row r="188">
          <cell r="G188">
            <v>0.68333333333333324</v>
          </cell>
        </row>
        <row r="189">
          <cell r="G189">
            <v>0.5</v>
          </cell>
        </row>
        <row r="190">
          <cell r="G190">
            <v>0.3</v>
          </cell>
        </row>
        <row r="191">
          <cell r="G191">
            <v>0.51249999999999996</v>
          </cell>
        </row>
        <row r="192">
          <cell r="G192">
            <v>0.33333333333333331</v>
          </cell>
        </row>
      </sheetData>
      <sheetData sheetId="19">
        <row r="2">
          <cell r="D2">
            <v>0</v>
          </cell>
        </row>
        <row r="3">
          <cell r="D3">
            <v>0</v>
          </cell>
        </row>
        <row r="10">
          <cell r="G10">
            <v>0</v>
          </cell>
        </row>
        <row r="16">
          <cell r="G16">
            <v>0.8</v>
          </cell>
        </row>
        <row r="23">
          <cell r="G23">
            <v>1</v>
          </cell>
        </row>
        <row r="30">
          <cell r="G30">
            <v>0.25</v>
          </cell>
        </row>
        <row r="36">
          <cell r="G36">
            <v>0.33333333333333331</v>
          </cell>
        </row>
        <row r="42">
          <cell r="G42">
            <v>0.5</v>
          </cell>
        </row>
        <row r="49">
          <cell r="G49">
            <v>0.45</v>
          </cell>
        </row>
        <row r="50">
          <cell r="G50">
            <v>0</v>
          </cell>
        </row>
        <row r="56">
          <cell r="G56">
            <v>0</v>
          </cell>
        </row>
        <row r="69">
          <cell r="G69">
            <v>0</v>
          </cell>
        </row>
        <row r="73">
          <cell r="D73">
            <v>1</v>
          </cell>
        </row>
        <row r="74">
          <cell r="G74">
            <v>0.75</v>
          </cell>
        </row>
        <row r="80">
          <cell r="G80">
            <v>0</v>
          </cell>
        </row>
        <row r="93">
          <cell r="G93">
            <v>0.5</v>
          </cell>
        </row>
        <row r="99">
          <cell r="G99">
            <v>0.25</v>
          </cell>
        </row>
        <row r="105">
          <cell r="G105">
            <v>1</v>
          </cell>
        </row>
        <row r="108">
          <cell r="G108">
            <v>1</v>
          </cell>
        </row>
        <row r="109">
          <cell r="D109">
            <v>0</v>
          </cell>
        </row>
        <row r="113">
          <cell r="G113">
            <v>1</v>
          </cell>
        </row>
        <row r="118">
          <cell r="G118">
            <v>0</v>
          </cell>
        </row>
        <row r="123">
          <cell r="G123">
            <v>0.33333333333333331</v>
          </cell>
        </row>
        <row r="128">
          <cell r="G128">
            <v>0.5</v>
          </cell>
        </row>
        <row r="134">
          <cell r="G134">
            <v>0</v>
          </cell>
        </row>
        <row r="142">
          <cell r="G142">
            <v>0.5</v>
          </cell>
        </row>
        <row r="148">
          <cell r="G148">
            <v>0.2</v>
          </cell>
        </row>
        <row r="155">
          <cell r="G155">
            <v>1</v>
          </cell>
        </row>
        <row r="162">
          <cell r="G162">
            <v>0.5</v>
          </cell>
        </row>
        <row r="163">
          <cell r="D163">
            <v>0</v>
          </cell>
        </row>
        <row r="166">
          <cell r="G166">
            <v>0.9</v>
          </cell>
        </row>
        <row r="179">
          <cell r="G179">
            <v>0.4</v>
          </cell>
        </row>
        <row r="186">
          <cell r="G186">
            <v>1</v>
          </cell>
        </row>
        <row r="192">
          <cell r="G192">
            <v>0</v>
          </cell>
        </row>
        <row r="198">
          <cell r="G198">
            <v>0</v>
          </cell>
        </row>
        <row r="199">
          <cell r="G199">
            <v>0</v>
          </cell>
        </row>
        <row r="204">
          <cell r="G204">
            <v>0.4</v>
          </cell>
        </row>
        <row r="211">
          <cell r="G211">
            <v>1</v>
          </cell>
        </row>
        <row r="216">
          <cell r="G216" t="b">
            <v>0</v>
          </cell>
        </row>
        <row r="217">
          <cell r="G217" t="b">
            <v>0</v>
          </cell>
        </row>
        <row r="218">
          <cell r="G218">
            <v>0.5</v>
          </cell>
        </row>
        <row r="219">
          <cell r="G219">
            <v>0.65</v>
          </cell>
        </row>
        <row r="220">
          <cell r="G220">
            <v>0.39666666666666667</v>
          </cell>
        </row>
        <row r="221">
          <cell r="G221">
            <v>0.5625</v>
          </cell>
        </row>
        <row r="222">
          <cell r="G222">
            <v>0.4375</v>
          </cell>
        </row>
        <row r="223">
          <cell r="G223">
            <v>0.5</v>
          </cell>
        </row>
      </sheetData>
      <sheetData sheetId="20">
        <row r="2">
          <cell r="D2">
            <v>0</v>
          </cell>
        </row>
        <row r="3">
          <cell r="G3">
            <v>0</v>
          </cell>
        </row>
        <row r="4">
          <cell r="D4">
            <v>0</v>
          </cell>
        </row>
        <row r="9">
          <cell r="G9" t="str">
            <v/>
          </cell>
        </row>
        <row r="16">
          <cell r="D16">
            <v>0</v>
          </cell>
        </row>
        <row r="22">
          <cell r="G22">
            <v>1</v>
          </cell>
        </row>
        <row r="25">
          <cell r="G25">
            <v>0</v>
          </cell>
        </row>
        <row r="31">
          <cell r="G31">
            <v>0</v>
          </cell>
        </row>
        <row r="37">
          <cell r="G37">
            <v>0</v>
          </cell>
        </row>
        <row r="41">
          <cell r="G41">
            <v>0.22727272727272727</v>
          </cell>
        </row>
        <row r="54">
          <cell r="G54">
            <v>1</v>
          </cell>
        </row>
        <row r="57">
          <cell r="G57">
            <v>1.6666666666666667</v>
          </cell>
        </row>
        <row r="62">
          <cell r="G62">
            <v>0</v>
          </cell>
        </row>
        <row r="66">
          <cell r="G66">
            <v>1</v>
          </cell>
        </row>
        <row r="69">
          <cell r="G69">
            <v>0</v>
          </cell>
        </row>
        <row r="72">
          <cell r="G72">
            <v>0.5</v>
          </cell>
        </row>
        <row r="77">
          <cell r="D77">
            <v>1</v>
          </cell>
        </row>
        <row r="78">
          <cell r="G78">
            <v>0</v>
          </cell>
        </row>
        <row r="79">
          <cell r="G79">
            <v>1</v>
          </cell>
        </row>
        <row r="84">
          <cell r="G84">
            <v>0</v>
          </cell>
        </row>
        <row r="89">
          <cell r="G89">
            <v>0.33333333333333331</v>
          </cell>
        </row>
        <row r="94">
          <cell r="G94">
            <v>0.4</v>
          </cell>
        </row>
        <row r="100">
          <cell r="G100">
            <v>0</v>
          </cell>
        </row>
        <row r="108">
          <cell r="G108">
            <v>0</v>
          </cell>
        </row>
        <row r="109">
          <cell r="G109">
            <v>0.4</v>
          </cell>
        </row>
        <row r="116">
          <cell r="G116">
            <v>0</v>
          </cell>
        </row>
        <row r="122">
          <cell r="G122">
            <v>0</v>
          </cell>
        </row>
        <row r="127">
          <cell r="G127">
            <v>0.25</v>
          </cell>
        </row>
        <row r="133">
          <cell r="G133">
            <v>0.25</v>
          </cell>
        </row>
        <row r="139">
          <cell r="G139">
            <v>0</v>
          </cell>
        </row>
        <row r="147">
          <cell r="G147">
            <v>0</v>
          </cell>
        </row>
        <row r="153">
          <cell r="G153">
            <v>0.5</v>
          </cell>
        </row>
        <row r="159">
          <cell r="G159">
            <v>0</v>
          </cell>
        </row>
        <row r="166">
          <cell r="G166">
            <v>1</v>
          </cell>
        </row>
        <row r="173">
          <cell r="G173">
            <v>0.83333333333333337</v>
          </cell>
        </row>
        <row r="180">
          <cell r="G180">
            <v>0</v>
          </cell>
        </row>
        <row r="198">
          <cell r="G198">
            <v>0</v>
          </cell>
        </row>
        <row r="199">
          <cell r="G199">
            <v>0</v>
          </cell>
        </row>
        <row r="204">
          <cell r="G204">
            <v>0.4</v>
          </cell>
        </row>
        <row r="211">
          <cell r="G211">
            <v>1</v>
          </cell>
        </row>
        <row r="216">
          <cell r="G216">
            <v>0.54181818181818175</v>
          </cell>
        </row>
        <row r="217">
          <cell r="G217">
            <v>0.19166666666666665</v>
          </cell>
        </row>
        <row r="218">
          <cell r="G218">
            <v>0.1643939393939394</v>
          </cell>
        </row>
        <row r="219">
          <cell r="G219">
            <v>0.61111111111111116</v>
          </cell>
        </row>
      </sheetData>
      <sheetData sheetId="21">
        <row r="3">
          <cell r="G3">
            <v>0</v>
          </cell>
        </row>
        <row r="9">
          <cell r="G9">
            <v>0.25</v>
          </cell>
        </row>
        <row r="18">
          <cell r="G18">
            <v>0</v>
          </cell>
        </row>
        <row r="22">
          <cell r="G22">
            <v>0</v>
          </cell>
        </row>
        <row r="31">
          <cell r="G31">
            <v>0</v>
          </cell>
        </row>
        <row r="36">
          <cell r="G36">
            <v>0</v>
          </cell>
        </row>
        <row r="42">
          <cell r="G42">
            <v>0.24090909090909091</v>
          </cell>
        </row>
        <row r="55">
          <cell r="G55">
            <v>0</v>
          </cell>
        </row>
        <row r="61">
          <cell r="G61">
            <v>0</v>
          </cell>
        </row>
        <row r="64">
          <cell r="G64">
            <v>0.33333333333333331</v>
          </cell>
        </row>
        <row r="69">
          <cell r="G69">
            <v>0</v>
          </cell>
        </row>
        <row r="72">
          <cell r="G72">
            <v>0</v>
          </cell>
        </row>
        <row r="76">
          <cell r="G76">
            <v>0</v>
          </cell>
        </row>
        <row r="77">
          <cell r="G77">
            <v>0.5</v>
          </cell>
        </row>
        <row r="83">
          <cell r="G83">
            <v>0</v>
          </cell>
        </row>
        <row r="89">
          <cell r="G89">
            <v>0.5</v>
          </cell>
        </row>
        <row r="95">
          <cell r="G95">
            <v>0.9</v>
          </cell>
        </row>
        <row r="102">
          <cell r="G102">
            <v>1</v>
          </cell>
        </row>
        <row r="105">
          <cell r="G105">
            <v>0</v>
          </cell>
        </row>
        <row r="118">
          <cell r="G118">
            <v>0</v>
          </cell>
        </row>
        <row r="122">
          <cell r="G122">
            <v>0</v>
          </cell>
        </row>
        <row r="123">
          <cell r="G123" t="e">
            <v>#REF!</v>
          </cell>
        </row>
      </sheetData>
      <sheetData sheetId="22">
        <row r="2">
          <cell r="D2">
            <v>0</v>
          </cell>
        </row>
        <row r="3">
          <cell r="G3">
            <v>0</v>
          </cell>
        </row>
        <row r="9">
          <cell r="G9">
            <v>0</v>
          </cell>
        </row>
        <row r="15">
          <cell r="G15">
            <v>0</v>
          </cell>
        </row>
        <row r="21">
          <cell r="G21">
            <v>0</v>
          </cell>
        </row>
        <row r="28">
          <cell r="G28">
            <v>0</v>
          </cell>
        </row>
        <row r="33">
          <cell r="G33">
            <v>1</v>
          </cell>
        </row>
        <row r="37">
          <cell r="G37">
            <v>0.25</v>
          </cell>
        </row>
        <row r="43">
          <cell r="G43">
            <v>0</v>
          </cell>
        </row>
        <row r="46">
          <cell r="G46">
            <v>0</v>
          </cell>
        </row>
        <row r="50">
          <cell r="G50">
            <v>0</v>
          </cell>
        </row>
        <row r="60">
          <cell r="G60">
            <v>1</v>
          </cell>
        </row>
        <row r="69">
          <cell r="G69">
            <v>0</v>
          </cell>
        </row>
        <row r="74">
          <cell r="G74" t="str">
            <v/>
          </cell>
        </row>
        <row r="80">
          <cell r="G80" t="str">
            <v/>
          </cell>
        </row>
        <row r="86">
          <cell r="G86">
            <v>0</v>
          </cell>
        </row>
        <row r="92">
          <cell r="G92">
            <v>1</v>
          </cell>
        </row>
        <row r="95">
          <cell r="G95">
            <v>0</v>
          </cell>
        </row>
        <row r="100">
          <cell r="G100">
            <v>0.5</v>
          </cell>
        </row>
        <row r="105">
          <cell r="G105">
            <v>1</v>
          </cell>
        </row>
        <row r="109">
          <cell r="G109">
            <v>1</v>
          </cell>
        </row>
        <row r="114">
          <cell r="G114">
            <v>0.75</v>
          </cell>
        </row>
        <row r="120">
          <cell r="G120">
            <v>0</v>
          </cell>
        </row>
        <row r="125">
          <cell r="G125">
            <v>0.66666666666666663</v>
          </cell>
        </row>
        <row r="130">
          <cell r="G130">
            <v>1</v>
          </cell>
        </row>
        <row r="135">
          <cell r="G135">
            <v>0.5</v>
          </cell>
        </row>
        <row r="141">
          <cell r="G141">
            <v>0</v>
          </cell>
        </row>
        <row r="149">
          <cell r="G149">
            <v>0.2</v>
          </cell>
        </row>
        <row r="156">
          <cell r="G156">
            <v>1</v>
          </cell>
        </row>
        <row r="163">
          <cell r="G163">
            <v>0.4</v>
          </cell>
        </row>
        <row r="170">
          <cell r="D170">
            <v>0</v>
          </cell>
        </row>
        <row r="171">
          <cell r="D171">
            <v>0</v>
          </cell>
        </row>
        <row r="174">
          <cell r="G174">
            <v>0</v>
          </cell>
        </row>
        <row r="178">
          <cell r="G178">
            <v>0</v>
          </cell>
        </row>
        <row r="183">
          <cell r="G183" t="e">
            <v>#REF!</v>
          </cell>
        </row>
        <row r="188">
          <cell r="G188">
            <v>0.4</v>
          </cell>
        </row>
        <row r="195">
          <cell r="G195">
            <v>1</v>
          </cell>
        </row>
        <row r="199">
          <cell r="G199">
            <v>0.48498737373737372</v>
          </cell>
        </row>
        <row r="200">
          <cell r="G200" t="e">
            <v>#REF!</v>
          </cell>
        </row>
        <row r="201">
          <cell r="G201">
            <v>0.37724747474747478</v>
          </cell>
        </row>
        <row r="203">
          <cell r="G203">
            <v>0.33333333333333331</v>
          </cell>
        </row>
        <row r="204">
          <cell r="G204">
            <v>0.42142857142857143</v>
          </cell>
        </row>
        <row r="205">
          <cell r="G205">
            <v>0.67222222222222217</v>
          </cell>
        </row>
      </sheetData>
      <sheetData sheetId="23">
        <row r="2">
          <cell r="G2">
            <v>0.2</v>
          </cell>
        </row>
        <row r="3">
          <cell r="G3">
            <v>0</v>
          </cell>
        </row>
        <row r="4">
          <cell r="G4">
            <v>0</v>
          </cell>
        </row>
        <row r="5">
          <cell r="G5">
            <v>0</v>
          </cell>
        </row>
        <row r="6">
          <cell r="G6">
            <v>0.6</v>
          </cell>
        </row>
        <row r="7">
          <cell r="G7">
            <v>0</v>
          </cell>
        </row>
        <row r="8">
          <cell r="G8">
            <v>0.2</v>
          </cell>
        </row>
        <row r="9">
          <cell r="G9">
            <v>0</v>
          </cell>
        </row>
        <row r="10">
          <cell r="G10">
            <v>0</v>
          </cell>
        </row>
        <row r="15">
          <cell r="G15">
            <v>0</v>
          </cell>
        </row>
        <row r="19">
          <cell r="G19">
            <v>0.25</v>
          </cell>
        </row>
        <row r="25">
          <cell r="G25">
            <v>0</v>
          </cell>
        </row>
        <row r="30">
          <cell r="G30">
            <v>0.66666666666666663</v>
          </cell>
        </row>
        <row r="35">
          <cell r="G35">
            <v>1</v>
          </cell>
        </row>
        <row r="40">
          <cell r="G40">
            <v>0.5</v>
          </cell>
        </row>
        <row r="46">
          <cell r="G46">
            <v>1</v>
          </cell>
        </row>
        <row r="54">
          <cell r="G54">
            <v>0.6</v>
          </cell>
        </row>
        <row r="61">
          <cell r="G61">
            <v>1</v>
          </cell>
        </row>
        <row r="62">
          <cell r="G62">
            <v>0</v>
          </cell>
        </row>
      </sheetData>
      <sheetData sheetId="24">
        <row r="3">
          <cell r="D3">
            <v>0</v>
          </cell>
        </row>
        <row r="4">
          <cell r="D4">
            <v>0</v>
          </cell>
        </row>
        <row r="5">
          <cell r="G5">
            <v>1</v>
          </cell>
        </row>
        <row r="12">
          <cell r="G12">
            <v>0.25</v>
          </cell>
        </row>
        <row r="18">
          <cell r="G18">
            <v>0.25</v>
          </cell>
        </row>
        <row r="29">
          <cell r="G29">
            <v>0</v>
          </cell>
        </row>
        <row r="33">
          <cell r="D33">
            <v>0</v>
          </cell>
        </row>
        <row r="34">
          <cell r="G34">
            <v>1</v>
          </cell>
        </row>
        <row r="37">
          <cell r="G37">
            <v>0</v>
          </cell>
        </row>
        <row r="40">
          <cell r="G40">
            <v>0</v>
          </cell>
        </row>
        <row r="48">
          <cell r="G48">
            <v>0</v>
          </cell>
        </row>
        <row r="52">
          <cell r="G52">
            <v>0</v>
          </cell>
        </row>
        <row r="56">
          <cell r="G56">
            <v>0</v>
          </cell>
        </row>
        <row r="62">
          <cell r="G62">
            <v>1</v>
          </cell>
        </row>
        <row r="68">
          <cell r="G68">
            <v>0</v>
          </cell>
        </row>
        <row r="71">
          <cell r="G71">
            <v>0</v>
          </cell>
        </row>
        <row r="80">
          <cell r="G80">
            <v>0</v>
          </cell>
        </row>
        <row r="86">
          <cell r="G86">
            <v>0</v>
          </cell>
        </row>
        <row r="89">
          <cell r="G89">
            <v>0</v>
          </cell>
        </row>
        <row r="105">
          <cell r="G105">
            <v>0</v>
          </cell>
        </row>
        <row r="110">
          <cell r="G110">
            <v>0</v>
          </cell>
        </row>
        <row r="115">
          <cell r="G115">
            <v>0</v>
          </cell>
        </row>
        <row r="116">
          <cell r="G116">
            <v>0</v>
          </cell>
        </row>
        <row r="122">
          <cell r="G122">
            <v>0</v>
          </cell>
        </row>
        <row r="127">
          <cell r="G127">
            <v>1</v>
          </cell>
        </row>
        <row r="133">
          <cell r="G133">
            <v>0.5</v>
          </cell>
        </row>
        <row r="139">
          <cell r="G139">
            <v>0.8</v>
          </cell>
        </row>
        <row r="146">
          <cell r="G146">
            <v>0</v>
          </cell>
        </row>
        <row r="153">
          <cell r="G153">
            <v>0.5</v>
          </cell>
        </row>
        <row r="157">
          <cell r="G157">
            <v>0</v>
          </cell>
        </row>
        <row r="163">
          <cell r="G163">
            <v>0.9</v>
          </cell>
        </row>
        <row r="170">
          <cell r="G170">
            <v>0</v>
          </cell>
        </row>
        <row r="174">
          <cell r="G174">
            <v>0</v>
          </cell>
        </row>
        <row r="179">
          <cell r="G179">
            <v>0.6</v>
          </cell>
        </row>
        <row r="186">
          <cell r="G186" t="b">
            <v>0</v>
          </cell>
        </row>
        <row r="187">
          <cell r="G187">
            <v>0.25</v>
          </cell>
        </row>
        <row r="188">
          <cell r="G188">
            <v>0.33333333333333331</v>
          </cell>
        </row>
        <row r="189">
          <cell r="G189">
            <v>0.55999999999999994</v>
          </cell>
        </row>
      </sheetData>
      <sheetData sheetId="25">
        <row r="3">
          <cell r="G3">
            <v>0</v>
          </cell>
        </row>
        <row r="13">
          <cell r="G13">
            <v>0.6</v>
          </cell>
        </row>
        <row r="20">
          <cell r="G20">
            <v>1</v>
          </cell>
        </row>
        <row r="23">
          <cell r="G23">
            <v>0</v>
          </cell>
        </row>
        <row r="27">
          <cell r="G27">
            <v>0</v>
          </cell>
        </row>
        <row r="37">
          <cell r="G37">
            <v>1</v>
          </cell>
        </row>
        <row r="46">
          <cell r="G46">
            <v>0</v>
          </cell>
        </row>
        <row r="49">
          <cell r="G49">
            <v>1</v>
          </cell>
        </row>
        <row r="55">
          <cell r="G55">
            <v>0</v>
          </cell>
        </row>
        <row r="65">
          <cell r="G65">
            <v>0</v>
          </cell>
        </row>
        <row r="76">
          <cell r="G76" t="e">
            <v>#REF!</v>
          </cell>
        </row>
      </sheetData>
      <sheetData sheetId="26">
        <row r="2">
          <cell r="G2">
            <v>1</v>
          </cell>
        </row>
        <row r="6">
          <cell r="G6">
            <v>-1</v>
          </cell>
        </row>
        <row r="9">
          <cell r="G9">
            <v>1</v>
          </cell>
        </row>
        <row r="16">
          <cell r="G16">
            <v>0.66666666666666663</v>
          </cell>
        </row>
        <row r="20">
          <cell r="G20">
            <v>0</v>
          </cell>
        </row>
        <row r="22">
          <cell r="G22">
            <v>0</v>
          </cell>
        </row>
        <row r="24">
          <cell r="G2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g"/>
      <sheetName val="OF"/>
      <sheetName val="F"/>
      <sheetName val="S"/>
      <sheetName val="ShedData"/>
      <sheetName val="Scores"/>
      <sheetName val="WS"/>
      <sheetName val="SFS"/>
      <sheetName val="WC"/>
      <sheetName val="WW"/>
      <sheetName val="SR"/>
      <sheetName val="PR"/>
      <sheetName val="NR"/>
      <sheetName val="CS"/>
      <sheetName val="OE"/>
      <sheetName val="FA"/>
      <sheetName val="FR"/>
      <sheetName val="INV"/>
      <sheetName val="AM"/>
      <sheetName val="WBF"/>
      <sheetName val="WBN"/>
      <sheetName val="SBM"/>
      <sheetName val="POL"/>
      <sheetName val="PH"/>
      <sheetName val="PU"/>
      <sheetName val="SubSis"/>
      <sheetName val="EC"/>
      <sheetName val="Sen"/>
      <sheetName val="STR"/>
      <sheetName val="PlantList"/>
      <sheetName val="WildlifeList"/>
      <sheetName val="LitCitedAll"/>
    </sheetNames>
    <sheetDataSet>
      <sheetData sheetId="0" refreshError="1"/>
      <sheetData sheetId="1">
        <row r="175">
          <cell r="D175">
            <v>0</v>
          </cell>
        </row>
      </sheetData>
      <sheetData sheetId="2">
        <row r="7">
          <cell r="D7">
            <v>0</v>
          </cell>
        </row>
        <row r="9">
          <cell r="D9">
            <v>0</v>
          </cell>
        </row>
        <row r="17">
          <cell r="D17">
            <v>0</v>
          </cell>
        </row>
        <row r="18">
          <cell r="D18">
            <v>0</v>
          </cell>
        </row>
        <row r="19">
          <cell r="D19">
            <v>0</v>
          </cell>
        </row>
        <row r="21">
          <cell r="D21">
            <v>0</v>
          </cell>
        </row>
        <row r="26">
          <cell r="D26">
            <v>0</v>
          </cell>
        </row>
        <row r="30">
          <cell r="D30">
            <v>0</v>
          </cell>
        </row>
        <row r="50">
          <cell r="D50">
            <v>0</v>
          </cell>
        </row>
        <row r="64">
          <cell r="D64">
            <v>0</v>
          </cell>
        </row>
        <row r="72">
          <cell r="D72">
            <v>0</v>
          </cell>
        </row>
        <row r="73">
          <cell r="D73">
            <v>0</v>
          </cell>
        </row>
        <row r="77">
          <cell r="D77">
            <v>0</v>
          </cell>
        </row>
        <row r="91">
          <cell r="D91">
            <v>0</v>
          </cell>
        </row>
        <row r="112">
          <cell r="D112">
            <v>0</v>
          </cell>
        </row>
        <row r="113">
          <cell r="D113">
            <v>0</v>
          </cell>
        </row>
        <row r="123">
          <cell r="D123">
            <v>0</v>
          </cell>
        </row>
        <row r="129">
          <cell r="D129">
            <v>0</v>
          </cell>
        </row>
        <row r="157">
          <cell r="D157">
            <v>0</v>
          </cell>
        </row>
        <row r="223">
          <cell r="D223">
            <v>0</v>
          </cell>
        </row>
        <row r="233">
          <cell r="D233">
            <v>0</v>
          </cell>
        </row>
        <row r="258">
          <cell r="D258">
            <v>0</v>
          </cell>
        </row>
      </sheetData>
      <sheetData sheetId="3"/>
      <sheetData sheetId="4" refreshError="1"/>
      <sheetData sheetId="5" refreshError="1"/>
      <sheetData sheetId="6">
        <row r="3">
          <cell r="G3">
            <v>0</v>
          </cell>
        </row>
        <row r="9">
          <cell r="G9">
            <v>0</v>
          </cell>
        </row>
        <row r="16">
          <cell r="G16" t="str">
            <v/>
          </cell>
        </row>
        <row r="20">
          <cell r="G20">
            <v>0</v>
          </cell>
        </row>
        <row r="24">
          <cell r="G24">
            <v>0</v>
          </cell>
        </row>
        <row r="31">
          <cell r="G31">
            <v>0</v>
          </cell>
        </row>
        <row r="37">
          <cell r="G37">
            <v>0</v>
          </cell>
        </row>
        <row r="42">
          <cell r="G42">
            <v>0</v>
          </cell>
        </row>
        <row r="50">
          <cell r="G50">
            <v>1</v>
          </cell>
        </row>
        <row r="51">
          <cell r="G51" t="str">
            <v/>
          </cell>
        </row>
        <row r="57">
          <cell r="G57">
            <v>0</v>
          </cell>
        </row>
        <row r="63">
          <cell r="G63">
            <v>0.5</v>
          </cell>
        </row>
        <row r="67">
          <cell r="G67">
            <v>0</v>
          </cell>
        </row>
        <row r="71">
          <cell r="G71">
            <v>0</v>
          </cell>
        </row>
        <row r="76">
          <cell r="G76">
            <v>0</v>
          </cell>
        </row>
        <row r="80">
          <cell r="G80">
            <v>0</v>
          </cell>
        </row>
        <row r="88">
          <cell r="G88">
            <v>0</v>
          </cell>
        </row>
        <row r="89">
          <cell r="G89">
            <v>0</v>
          </cell>
        </row>
        <row r="93">
          <cell r="G93" t="str">
            <v/>
          </cell>
        </row>
        <row r="97">
          <cell r="G97">
            <v>0</v>
          </cell>
        </row>
        <row r="102">
          <cell r="G102">
            <v>0</v>
          </cell>
        </row>
        <row r="106">
          <cell r="G106">
            <v>0</v>
          </cell>
        </row>
        <row r="111">
          <cell r="G111">
            <v>0</v>
          </cell>
        </row>
        <row r="112">
          <cell r="G112">
            <v>0.25</v>
          </cell>
        </row>
        <row r="113">
          <cell r="G113">
            <v>0</v>
          </cell>
        </row>
        <row r="114">
          <cell r="G114">
            <v>5.5555555555555552E-2</v>
          </cell>
        </row>
      </sheetData>
      <sheetData sheetId="7">
        <row r="3">
          <cell r="G3">
            <v>0</v>
          </cell>
        </row>
        <row r="7">
          <cell r="G7">
            <v>0</v>
          </cell>
        </row>
        <row r="14">
          <cell r="G14">
            <v>0</v>
          </cell>
        </row>
        <row r="20">
          <cell r="G20">
            <v>0</v>
          </cell>
        </row>
        <row r="21">
          <cell r="G21">
            <v>0</v>
          </cell>
        </row>
        <row r="27">
          <cell r="G27">
            <v>0</v>
          </cell>
        </row>
        <row r="31">
          <cell r="G31">
            <v>0</v>
          </cell>
        </row>
        <row r="39">
          <cell r="G39">
            <v>0</v>
          </cell>
        </row>
        <row r="51">
          <cell r="G51" t="str">
            <v/>
          </cell>
        </row>
        <row r="55">
          <cell r="G55">
            <v>4.1666666666666664E-2</v>
          </cell>
        </row>
        <row r="56">
          <cell r="G56">
            <v>0</v>
          </cell>
        </row>
        <row r="57">
          <cell r="G57">
            <v>0</v>
          </cell>
        </row>
        <row r="59">
          <cell r="G59">
            <v>0</v>
          </cell>
        </row>
        <row r="60">
          <cell r="G60">
            <v>0</v>
          </cell>
        </row>
        <row r="61">
          <cell r="G61">
            <v>0</v>
          </cell>
        </row>
      </sheetData>
      <sheetData sheetId="8">
        <row r="3">
          <cell r="G3">
            <v>0</v>
          </cell>
        </row>
        <row r="7">
          <cell r="G7">
            <v>0</v>
          </cell>
        </row>
        <row r="14">
          <cell r="G14">
            <v>0</v>
          </cell>
        </row>
        <row r="20">
          <cell r="G20">
            <v>0</v>
          </cell>
        </row>
        <row r="28">
          <cell r="G28">
            <v>0</v>
          </cell>
        </row>
        <row r="35">
          <cell r="G35">
            <v>0</v>
          </cell>
        </row>
        <row r="40">
          <cell r="G40">
            <v>0</v>
          </cell>
        </row>
        <row r="44">
          <cell r="G44">
            <v>0</v>
          </cell>
        </row>
        <row r="51">
          <cell r="G51" t="str">
            <v/>
          </cell>
        </row>
        <row r="59">
          <cell r="G59">
            <v>0</v>
          </cell>
        </row>
        <row r="63">
          <cell r="G63" t="str">
            <v/>
          </cell>
        </row>
        <row r="64">
          <cell r="G64" t="str">
            <v/>
          </cell>
        </row>
        <row r="65">
          <cell r="G65">
            <v>0</v>
          </cell>
        </row>
        <row r="71">
          <cell r="G71">
            <v>0</v>
          </cell>
        </row>
      </sheetData>
      <sheetData sheetId="9">
        <row r="10">
          <cell r="G10">
            <v>0</v>
          </cell>
        </row>
        <row r="16">
          <cell r="G16">
            <v>0</v>
          </cell>
        </row>
        <row r="24">
          <cell r="G24">
            <v>0</v>
          </cell>
        </row>
        <row r="32">
          <cell r="G32">
            <v>0</v>
          </cell>
        </row>
        <row r="37">
          <cell r="G37">
            <v>0</v>
          </cell>
        </row>
        <row r="43">
          <cell r="G43">
            <v>0</v>
          </cell>
        </row>
        <row r="47">
          <cell r="G47">
            <v>0</v>
          </cell>
        </row>
        <row r="54">
          <cell r="G54" t="str">
            <v/>
          </cell>
        </row>
        <row r="62">
          <cell r="G62">
            <v>0</v>
          </cell>
        </row>
        <row r="67">
          <cell r="G67" t="str">
            <v/>
          </cell>
        </row>
        <row r="74">
          <cell r="G74">
            <v>5.0595238095238096E-2</v>
          </cell>
        </row>
      </sheetData>
      <sheetData sheetId="10">
        <row r="3">
          <cell r="G3">
            <v>0</v>
          </cell>
        </row>
        <row r="9">
          <cell r="G9">
            <v>0</v>
          </cell>
        </row>
        <row r="16">
          <cell r="G16" t="str">
            <v/>
          </cell>
        </row>
        <row r="23">
          <cell r="G23">
            <v>0</v>
          </cell>
        </row>
        <row r="30">
          <cell r="G30">
            <v>0</v>
          </cell>
        </row>
        <row r="36">
          <cell r="G36">
            <v>0</v>
          </cell>
        </row>
        <row r="47">
          <cell r="G47" t="str">
            <v/>
          </cell>
        </row>
        <row r="53">
          <cell r="G53" t="str">
            <v/>
          </cell>
        </row>
        <row r="59">
          <cell r="G59">
            <v>0</v>
          </cell>
        </row>
        <row r="67">
          <cell r="G67">
            <v>0</v>
          </cell>
        </row>
        <row r="74">
          <cell r="G74">
            <v>0</v>
          </cell>
        </row>
        <row r="78">
          <cell r="G78">
            <v>1</v>
          </cell>
        </row>
        <row r="79">
          <cell r="G79" t="str">
            <v/>
          </cell>
        </row>
        <row r="85">
          <cell r="G85">
            <v>0</v>
          </cell>
        </row>
        <row r="90">
          <cell r="D90">
            <v>0</v>
          </cell>
        </row>
        <row r="95">
          <cell r="G95">
            <v>0</v>
          </cell>
        </row>
        <row r="100">
          <cell r="G100">
            <v>0</v>
          </cell>
        </row>
        <row r="105">
          <cell r="G105">
            <v>0</v>
          </cell>
        </row>
        <row r="110">
          <cell r="G110">
            <v>0</v>
          </cell>
        </row>
        <row r="114">
          <cell r="G114">
            <v>0</v>
          </cell>
        </row>
        <row r="119">
          <cell r="G119">
            <v>0</v>
          </cell>
        </row>
        <row r="124">
          <cell r="G124">
            <v>0</v>
          </cell>
        </row>
        <row r="129">
          <cell r="G129" t="str">
            <v/>
          </cell>
        </row>
        <row r="133">
          <cell r="G133">
            <v>0</v>
          </cell>
        </row>
        <row r="138">
          <cell r="G138">
            <v>0</v>
          </cell>
        </row>
        <row r="142">
          <cell r="G142">
            <v>0</v>
          </cell>
        </row>
        <row r="146">
          <cell r="G146">
            <v>0</v>
          </cell>
        </row>
        <row r="152">
          <cell r="G152">
            <v>0</v>
          </cell>
        </row>
        <row r="157">
          <cell r="G157">
            <v>0</v>
          </cell>
        </row>
        <row r="158">
          <cell r="G158" t="str">
            <v/>
          </cell>
        </row>
        <row r="163">
          <cell r="G163">
            <v>0</v>
          </cell>
        </row>
        <row r="169">
          <cell r="G169">
            <v>0</v>
          </cell>
        </row>
        <row r="174">
          <cell r="G174">
            <v>0</v>
          </cell>
        </row>
        <row r="180">
          <cell r="G180">
            <v>0</v>
          </cell>
        </row>
        <row r="182">
          <cell r="G182">
            <v>0</v>
          </cell>
        </row>
        <row r="183">
          <cell r="G183">
            <v>0</v>
          </cell>
        </row>
        <row r="184">
          <cell r="G184">
            <v>0</v>
          </cell>
        </row>
        <row r="185">
          <cell r="G185">
            <v>0</v>
          </cell>
        </row>
        <row r="186">
          <cell r="G186">
            <v>0.33333333333333331</v>
          </cell>
        </row>
      </sheetData>
      <sheetData sheetId="11">
        <row r="3">
          <cell r="G3">
            <v>0</v>
          </cell>
        </row>
        <row r="9">
          <cell r="G9">
            <v>0</v>
          </cell>
        </row>
        <row r="16">
          <cell r="G16" t="str">
            <v/>
          </cell>
        </row>
        <row r="18">
          <cell r="G18">
            <v>0</v>
          </cell>
        </row>
        <row r="23">
          <cell r="G23">
            <v>0</v>
          </cell>
        </row>
        <row r="30">
          <cell r="G30">
            <v>0</v>
          </cell>
        </row>
        <row r="37">
          <cell r="G37">
            <v>0</v>
          </cell>
        </row>
        <row r="44">
          <cell r="G44">
            <v>0</v>
          </cell>
        </row>
        <row r="45">
          <cell r="G45">
            <v>0</v>
          </cell>
        </row>
        <row r="50">
          <cell r="G50">
            <v>0</v>
          </cell>
        </row>
        <row r="56">
          <cell r="G56" t="str">
            <v/>
          </cell>
        </row>
        <row r="62">
          <cell r="G62">
            <v>0</v>
          </cell>
        </row>
        <row r="69">
          <cell r="G69">
            <v>0</v>
          </cell>
        </row>
        <row r="74">
          <cell r="G74">
            <v>1</v>
          </cell>
        </row>
        <row r="75">
          <cell r="G75">
            <v>0</v>
          </cell>
        </row>
        <row r="76">
          <cell r="G76" t="str">
            <v/>
          </cell>
        </row>
        <row r="82">
          <cell r="G82" t="str">
            <v/>
          </cell>
        </row>
        <row r="87">
          <cell r="D87">
            <v>0</v>
          </cell>
        </row>
        <row r="88">
          <cell r="G88">
            <v>0</v>
          </cell>
        </row>
        <row r="92">
          <cell r="G92">
            <v>0</v>
          </cell>
        </row>
        <row r="97">
          <cell r="G97">
            <v>0</v>
          </cell>
        </row>
        <row r="102">
          <cell r="G102">
            <v>0</v>
          </cell>
        </row>
        <row r="106">
          <cell r="G106">
            <v>0</v>
          </cell>
        </row>
        <row r="114">
          <cell r="G114">
            <v>0</v>
          </cell>
        </row>
        <row r="118">
          <cell r="G118">
            <v>0</v>
          </cell>
        </row>
        <row r="124">
          <cell r="G124">
            <v>0</v>
          </cell>
        </row>
        <row r="129">
          <cell r="D129">
            <v>0</v>
          </cell>
        </row>
        <row r="130">
          <cell r="G130" t="str">
            <v/>
          </cell>
        </row>
        <row r="135">
          <cell r="G135" t="str">
            <v/>
          </cell>
        </row>
        <row r="139">
          <cell r="G139">
            <v>0</v>
          </cell>
        </row>
        <row r="144">
          <cell r="G144">
            <v>0</v>
          </cell>
        </row>
        <row r="148">
          <cell r="G148">
            <v>0</v>
          </cell>
        </row>
        <row r="152">
          <cell r="G152">
            <v>0</v>
          </cell>
        </row>
        <row r="156">
          <cell r="G156">
            <v>0</v>
          </cell>
        </row>
        <row r="162">
          <cell r="G162">
            <v>0</v>
          </cell>
        </row>
        <row r="167">
          <cell r="G167">
            <v>0</v>
          </cell>
        </row>
        <row r="174">
          <cell r="G174">
            <v>0</v>
          </cell>
        </row>
        <row r="177">
          <cell r="G177">
            <v>0.33333333333333331</v>
          </cell>
        </row>
        <row r="178">
          <cell r="G178">
            <v>0</v>
          </cell>
        </row>
        <row r="179">
          <cell r="G179">
            <v>0</v>
          </cell>
        </row>
        <row r="180">
          <cell r="G180">
            <v>0</v>
          </cell>
        </row>
        <row r="181">
          <cell r="G181">
            <v>0</v>
          </cell>
        </row>
        <row r="182">
          <cell r="G182">
            <v>0</v>
          </cell>
        </row>
      </sheetData>
      <sheetData sheetId="12">
        <row r="3">
          <cell r="G3">
            <v>0</v>
          </cell>
        </row>
        <row r="9">
          <cell r="G9">
            <v>0</v>
          </cell>
        </row>
        <row r="13">
          <cell r="G13">
            <v>0</v>
          </cell>
        </row>
        <row r="20">
          <cell r="G20" t="str">
            <v/>
          </cell>
        </row>
        <row r="22">
          <cell r="G22">
            <v>0</v>
          </cell>
        </row>
        <row r="27">
          <cell r="G27">
            <v>0</v>
          </cell>
        </row>
        <row r="31">
          <cell r="G31">
            <v>0</v>
          </cell>
        </row>
        <row r="38">
          <cell r="G38">
            <v>0</v>
          </cell>
        </row>
        <row r="45">
          <cell r="G45">
            <v>0</v>
          </cell>
        </row>
        <row r="52">
          <cell r="G52">
            <v>0</v>
          </cell>
        </row>
        <row r="59">
          <cell r="G59">
            <v>0</v>
          </cell>
        </row>
        <row r="65">
          <cell r="G65">
            <v>0</v>
          </cell>
        </row>
        <row r="70">
          <cell r="G70" t="str">
            <v/>
          </cell>
        </row>
        <row r="84">
          <cell r="G84">
            <v>0</v>
          </cell>
        </row>
        <row r="91">
          <cell r="G91">
            <v>0</v>
          </cell>
        </row>
        <row r="95">
          <cell r="G95">
            <v>1</v>
          </cell>
        </row>
        <row r="96">
          <cell r="G96" t="str">
            <v/>
          </cell>
        </row>
        <row r="102">
          <cell r="G102">
            <v>0</v>
          </cell>
        </row>
        <row r="107">
          <cell r="D107">
            <v>0</v>
          </cell>
        </row>
        <row r="108">
          <cell r="G108">
            <v>0</v>
          </cell>
        </row>
        <row r="112">
          <cell r="G112">
            <v>0</v>
          </cell>
        </row>
        <row r="116">
          <cell r="G116">
            <v>0</v>
          </cell>
        </row>
        <row r="121">
          <cell r="G121">
            <v>0</v>
          </cell>
        </row>
        <row r="127">
          <cell r="G127">
            <v>0</v>
          </cell>
        </row>
        <row r="132">
          <cell r="G132">
            <v>0</v>
          </cell>
        </row>
        <row r="136">
          <cell r="G136">
            <v>0</v>
          </cell>
        </row>
        <row r="140">
          <cell r="G140">
            <v>0</v>
          </cell>
        </row>
        <row r="147">
          <cell r="G147">
            <v>0</v>
          </cell>
        </row>
        <row r="154">
          <cell r="G154" t="str">
            <v/>
          </cell>
        </row>
        <row r="156">
          <cell r="G156">
            <v>0</v>
          </cell>
        </row>
        <row r="162">
          <cell r="G162">
            <v>0</v>
          </cell>
        </row>
        <row r="168">
          <cell r="G168">
            <v>0</v>
          </cell>
        </row>
        <row r="178">
          <cell r="G178" t="str">
            <v/>
          </cell>
        </row>
        <row r="182">
          <cell r="G182">
            <v>0</v>
          </cell>
        </row>
        <row r="187">
          <cell r="G187">
            <v>0</v>
          </cell>
        </row>
        <row r="191">
          <cell r="G191">
            <v>0</v>
          </cell>
        </row>
        <row r="195">
          <cell r="D195">
            <v>0</v>
          </cell>
        </row>
        <row r="196">
          <cell r="G196">
            <v>0</v>
          </cell>
        </row>
        <row r="202">
          <cell r="G202">
            <v>0</v>
          </cell>
        </row>
        <row r="208">
          <cell r="G208">
            <v>0</v>
          </cell>
        </row>
        <row r="211">
          <cell r="G211">
            <v>0</v>
          </cell>
        </row>
        <row r="216">
          <cell r="G216">
            <v>0</v>
          </cell>
        </row>
        <row r="220">
          <cell r="G220">
            <v>0</v>
          </cell>
        </row>
        <row r="222">
          <cell r="G222">
            <v>0.125</v>
          </cell>
        </row>
        <row r="223">
          <cell r="G223">
            <v>0</v>
          </cell>
        </row>
        <row r="224">
          <cell r="G224">
            <v>0</v>
          </cell>
        </row>
        <row r="225">
          <cell r="G225">
            <v>0</v>
          </cell>
        </row>
        <row r="226">
          <cell r="G226">
            <v>0</v>
          </cell>
        </row>
      </sheetData>
      <sheetData sheetId="13">
        <row r="9">
          <cell r="G9">
            <v>0</v>
          </cell>
        </row>
        <row r="16">
          <cell r="G16" t="str">
            <v/>
          </cell>
        </row>
        <row r="18">
          <cell r="G18">
            <v>0</v>
          </cell>
        </row>
        <row r="25">
          <cell r="G25">
            <v>0</v>
          </cell>
        </row>
        <row r="32">
          <cell r="G32">
            <v>0</v>
          </cell>
        </row>
        <row r="38">
          <cell r="G38">
            <v>0</v>
          </cell>
        </row>
        <row r="43">
          <cell r="G43">
            <v>0</v>
          </cell>
        </row>
        <row r="49">
          <cell r="G49" t="str">
            <v/>
          </cell>
        </row>
        <row r="55">
          <cell r="G55">
            <v>0</v>
          </cell>
        </row>
        <row r="70">
          <cell r="G70">
            <v>1</v>
          </cell>
        </row>
        <row r="71">
          <cell r="G71">
            <v>0</v>
          </cell>
        </row>
        <row r="81">
          <cell r="G81">
            <v>0</v>
          </cell>
        </row>
        <row r="85">
          <cell r="G85">
            <v>0</v>
          </cell>
        </row>
        <row r="90">
          <cell r="G90">
            <v>0</v>
          </cell>
        </row>
        <row r="96">
          <cell r="G96">
            <v>0</v>
          </cell>
        </row>
        <row r="105">
          <cell r="G105">
            <v>0</v>
          </cell>
        </row>
        <row r="111">
          <cell r="G111">
            <v>0</v>
          </cell>
        </row>
        <row r="117">
          <cell r="G117">
            <v>0</v>
          </cell>
        </row>
        <row r="124">
          <cell r="G124">
            <v>0</v>
          </cell>
        </row>
        <row r="129">
          <cell r="G129">
            <v>0</v>
          </cell>
        </row>
        <row r="130">
          <cell r="D130">
            <v>0</v>
          </cell>
        </row>
        <row r="136">
          <cell r="G136">
            <v>1</v>
          </cell>
        </row>
        <row r="137">
          <cell r="G137">
            <v>1</v>
          </cell>
        </row>
        <row r="139">
          <cell r="G139">
            <v>0</v>
          </cell>
        </row>
        <row r="140">
          <cell r="G140">
            <v>0.625</v>
          </cell>
        </row>
        <row r="141">
          <cell r="G141">
            <v>0</v>
          </cell>
        </row>
        <row r="142">
          <cell r="G142">
            <v>0.22222222222222221</v>
          </cell>
        </row>
      </sheetData>
      <sheetData sheetId="14">
        <row r="3">
          <cell r="G3">
            <v>0</v>
          </cell>
        </row>
        <row r="9">
          <cell r="G9" t="str">
            <v/>
          </cell>
        </row>
        <row r="13">
          <cell r="G13">
            <v>0</v>
          </cell>
        </row>
        <row r="21">
          <cell r="G21">
            <v>0</v>
          </cell>
        </row>
        <row r="28">
          <cell r="G28" t="str">
            <v/>
          </cell>
        </row>
        <row r="29">
          <cell r="G29" t="str">
            <v/>
          </cell>
        </row>
        <row r="30">
          <cell r="G30" t="str">
            <v/>
          </cell>
        </row>
        <row r="34">
          <cell r="G34">
            <v>0</v>
          </cell>
        </row>
        <row r="41">
          <cell r="G41">
            <v>0</v>
          </cell>
        </row>
        <row r="48">
          <cell r="G48">
            <v>0</v>
          </cell>
        </row>
        <row r="54">
          <cell r="G54">
            <v>0</v>
          </cell>
        </row>
        <row r="59">
          <cell r="G59">
            <v>0</v>
          </cell>
        </row>
        <row r="65">
          <cell r="G65" t="str">
            <v/>
          </cell>
        </row>
        <row r="71">
          <cell r="G71">
            <v>0</v>
          </cell>
        </row>
        <row r="79">
          <cell r="G79">
            <v>0</v>
          </cell>
        </row>
        <row r="86">
          <cell r="G86">
            <v>0</v>
          </cell>
        </row>
        <row r="90">
          <cell r="G90">
            <v>1</v>
          </cell>
        </row>
        <row r="91">
          <cell r="G91" t="str">
            <v/>
          </cell>
        </row>
        <row r="92">
          <cell r="G92" t="str">
            <v/>
          </cell>
        </row>
        <row r="98">
          <cell r="G98">
            <v>0</v>
          </cell>
        </row>
        <row r="103">
          <cell r="D103">
            <v>0</v>
          </cell>
        </row>
        <row r="104">
          <cell r="G104">
            <v>0</v>
          </cell>
        </row>
        <row r="108">
          <cell r="G108">
            <v>0</v>
          </cell>
        </row>
        <row r="112">
          <cell r="G112">
            <v>0</v>
          </cell>
        </row>
        <row r="117">
          <cell r="G117">
            <v>0</v>
          </cell>
        </row>
        <row r="123">
          <cell r="G123">
            <v>0</v>
          </cell>
        </row>
        <row r="129">
          <cell r="G129">
            <v>0</v>
          </cell>
        </row>
        <row r="135">
          <cell r="G135">
            <v>0</v>
          </cell>
        </row>
        <row r="140">
          <cell r="G140">
            <v>0</v>
          </cell>
        </row>
        <row r="147">
          <cell r="G147">
            <v>0</v>
          </cell>
        </row>
        <row r="148">
          <cell r="D148">
            <v>0</v>
          </cell>
        </row>
        <row r="155">
          <cell r="G155">
            <v>0</v>
          </cell>
        </row>
        <row r="156">
          <cell r="G156">
            <v>8.3333333333333329E-2</v>
          </cell>
        </row>
        <row r="157">
          <cell r="G157">
            <v>0.25</v>
          </cell>
        </row>
        <row r="158">
          <cell r="G158">
            <v>0</v>
          </cell>
        </row>
        <row r="159">
          <cell r="G159">
            <v>0</v>
          </cell>
        </row>
        <row r="160">
          <cell r="G160">
            <v>0</v>
          </cell>
        </row>
      </sheetData>
      <sheetData sheetId="15">
        <row r="3">
          <cell r="G3">
            <v>0</v>
          </cell>
        </row>
        <row r="9">
          <cell r="G9">
            <v>0</v>
          </cell>
        </row>
        <row r="13">
          <cell r="G13">
            <v>0</v>
          </cell>
        </row>
        <row r="19">
          <cell r="G19" t="str">
            <v/>
          </cell>
        </row>
        <row r="20">
          <cell r="G20">
            <v>0</v>
          </cell>
        </row>
        <row r="25">
          <cell r="G25" t="str">
            <v/>
          </cell>
        </row>
        <row r="27">
          <cell r="G27">
            <v>0</v>
          </cell>
        </row>
        <row r="31">
          <cell r="G31">
            <v>0</v>
          </cell>
        </row>
        <row r="38">
          <cell r="G38">
            <v>0</v>
          </cell>
        </row>
        <row r="45">
          <cell r="G45">
            <v>0</v>
          </cell>
        </row>
        <row r="52">
          <cell r="G52" t="str">
            <v/>
          </cell>
        </row>
        <row r="53">
          <cell r="G53">
            <v>0</v>
          </cell>
        </row>
        <row r="59">
          <cell r="G59">
            <v>0</v>
          </cell>
        </row>
        <row r="65">
          <cell r="G65" t="str">
            <v/>
          </cell>
        </row>
        <row r="69">
          <cell r="G69">
            <v>0</v>
          </cell>
        </row>
        <row r="77">
          <cell r="G77">
            <v>0</v>
          </cell>
        </row>
        <row r="84">
          <cell r="G84">
            <v>0</v>
          </cell>
        </row>
        <row r="88">
          <cell r="G88">
            <v>0</v>
          </cell>
        </row>
        <row r="93">
          <cell r="G93" t="str">
            <v/>
          </cell>
        </row>
        <row r="99">
          <cell r="G99">
            <v>0</v>
          </cell>
        </row>
        <row r="105">
          <cell r="G105">
            <v>0</v>
          </cell>
        </row>
        <row r="109">
          <cell r="G109">
            <v>0</v>
          </cell>
        </row>
        <row r="115">
          <cell r="G115">
            <v>0</v>
          </cell>
        </row>
        <row r="121">
          <cell r="G121">
            <v>0</v>
          </cell>
        </row>
        <row r="124">
          <cell r="G124">
            <v>1</v>
          </cell>
        </row>
        <row r="125">
          <cell r="G125">
            <v>1</v>
          </cell>
        </row>
        <row r="126">
          <cell r="G126">
            <v>1</v>
          </cell>
        </row>
        <row r="128">
          <cell r="G128">
            <v>0</v>
          </cell>
        </row>
        <row r="134">
          <cell r="G134">
            <v>0</v>
          </cell>
        </row>
        <row r="141">
          <cell r="G141">
            <v>0</v>
          </cell>
        </row>
        <row r="142">
          <cell r="G142">
            <v>0</v>
          </cell>
        </row>
        <row r="146">
          <cell r="G146">
            <v>0</v>
          </cell>
        </row>
        <row r="153">
          <cell r="D153">
            <v>0</v>
          </cell>
        </row>
        <row r="156">
          <cell r="G156">
            <v>0</v>
          </cell>
        </row>
        <row r="157">
          <cell r="G157">
            <v>0</v>
          </cell>
        </row>
        <row r="158">
          <cell r="G158">
            <v>0</v>
          </cell>
        </row>
        <row r="159">
          <cell r="G159">
            <v>0</v>
          </cell>
        </row>
        <row r="160">
          <cell r="G160">
            <v>0.6</v>
          </cell>
        </row>
      </sheetData>
      <sheetData sheetId="16">
        <row r="3">
          <cell r="G3">
            <v>0</v>
          </cell>
        </row>
        <row r="9">
          <cell r="G9">
            <v>0</v>
          </cell>
        </row>
        <row r="13">
          <cell r="G13">
            <v>0</v>
          </cell>
        </row>
        <row r="19">
          <cell r="G19">
            <v>0</v>
          </cell>
        </row>
        <row r="26">
          <cell r="G26" t="str">
            <v/>
          </cell>
        </row>
        <row r="27">
          <cell r="G27" t="str">
            <v/>
          </cell>
        </row>
        <row r="28">
          <cell r="G28">
            <v>0</v>
          </cell>
        </row>
        <row r="33">
          <cell r="G33" t="str">
            <v/>
          </cell>
        </row>
        <row r="35">
          <cell r="G35">
            <v>0</v>
          </cell>
        </row>
        <row r="42">
          <cell r="G42">
            <v>0</v>
          </cell>
        </row>
        <row r="49">
          <cell r="G49">
            <v>0</v>
          </cell>
        </row>
        <row r="55">
          <cell r="D55">
            <v>0</v>
          </cell>
        </row>
        <row r="56">
          <cell r="G56" t="str">
            <v/>
          </cell>
        </row>
        <row r="57">
          <cell r="G57">
            <v>0</v>
          </cell>
        </row>
        <row r="63">
          <cell r="G63">
            <v>0</v>
          </cell>
        </row>
        <row r="67">
          <cell r="G67" t="str">
            <v/>
          </cell>
        </row>
        <row r="71">
          <cell r="G71">
            <v>0</v>
          </cell>
        </row>
        <row r="79">
          <cell r="G79">
            <v>0</v>
          </cell>
        </row>
        <row r="86">
          <cell r="G86">
            <v>0</v>
          </cell>
        </row>
        <row r="90">
          <cell r="G90">
            <v>1</v>
          </cell>
        </row>
        <row r="92">
          <cell r="G92">
            <v>0</v>
          </cell>
        </row>
        <row r="97">
          <cell r="G97" t="str">
            <v/>
          </cell>
        </row>
        <row r="109">
          <cell r="G109">
            <v>0</v>
          </cell>
        </row>
        <row r="113">
          <cell r="G113">
            <v>0</v>
          </cell>
        </row>
        <row r="119">
          <cell r="G119">
            <v>0</v>
          </cell>
        </row>
        <row r="125">
          <cell r="G125">
            <v>1</v>
          </cell>
        </row>
        <row r="127">
          <cell r="G127">
            <v>0</v>
          </cell>
        </row>
        <row r="133">
          <cell r="G133">
            <v>0</v>
          </cell>
        </row>
        <row r="140">
          <cell r="G140">
            <v>0</v>
          </cell>
        </row>
        <row r="144">
          <cell r="G144">
            <v>0</v>
          </cell>
        </row>
        <row r="151">
          <cell r="D151">
            <v>0</v>
          </cell>
        </row>
        <row r="154">
          <cell r="G154">
            <v>0</v>
          </cell>
        </row>
        <row r="155">
          <cell r="G155">
            <v>0</v>
          </cell>
        </row>
        <row r="156">
          <cell r="G156">
            <v>0</v>
          </cell>
        </row>
        <row r="157">
          <cell r="G157">
            <v>0.33333333333333331</v>
          </cell>
        </row>
        <row r="158">
          <cell r="G158">
            <v>0.25</v>
          </cell>
        </row>
      </sheetData>
      <sheetData sheetId="17">
        <row r="3">
          <cell r="G3">
            <v>0</v>
          </cell>
        </row>
        <row r="9">
          <cell r="G9">
            <v>0</v>
          </cell>
        </row>
        <row r="13">
          <cell r="G13">
            <v>0</v>
          </cell>
        </row>
        <row r="19">
          <cell r="G19">
            <v>0</v>
          </cell>
        </row>
        <row r="26">
          <cell r="G26" t="str">
            <v/>
          </cell>
        </row>
        <row r="27">
          <cell r="G27" t="str">
            <v/>
          </cell>
        </row>
        <row r="28">
          <cell r="G28">
            <v>0</v>
          </cell>
        </row>
        <row r="32">
          <cell r="G32">
            <v>0</v>
          </cell>
        </row>
        <row r="39">
          <cell r="G39">
            <v>0</v>
          </cell>
        </row>
        <row r="46">
          <cell r="G46">
            <v>0</v>
          </cell>
        </row>
        <row r="53">
          <cell r="G53">
            <v>0</v>
          </cell>
        </row>
        <row r="59">
          <cell r="G59">
            <v>0</v>
          </cell>
        </row>
        <row r="64">
          <cell r="G64">
            <v>0</v>
          </cell>
        </row>
        <row r="70">
          <cell r="G70">
            <v>0</v>
          </cell>
        </row>
        <row r="74">
          <cell r="G74" t="str">
            <v/>
          </cell>
        </row>
        <row r="78">
          <cell r="G78">
            <v>0</v>
          </cell>
        </row>
        <row r="86">
          <cell r="G86">
            <v>0</v>
          </cell>
        </row>
        <row r="93">
          <cell r="G93">
            <v>0</v>
          </cell>
        </row>
        <row r="97">
          <cell r="G97" t="str">
            <v/>
          </cell>
        </row>
        <row r="103">
          <cell r="G103">
            <v>0</v>
          </cell>
        </row>
        <row r="107">
          <cell r="G107">
            <v>0</v>
          </cell>
        </row>
        <row r="113">
          <cell r="G113">
            <v>0</v>
          </cell>
        </row>
        <row r="116">
          <cell r="G116">
            <v>0</v>
          </cell>
        </row>
        <row r="122">
          <cell r="G122">
            <v>0</v>
          </cell>
        </row>
        <row r="128">
          <cell r="G128">
            <v>0</v>
          </cell>
        </row>
        <row r="133">
          <cell r="G133">
            <v>0</v>
          </cell>
        </row>
        <row r="137">
          <cell r="G137">
            <v>0</v>
          </cell>
        </row>
        <row r="140">
          <cell r="G140">
            <v>0</v>
          </cell>
        </row>
        <row r="146">
          <cell r="G146">
            <v>0</v>
          </cell>
        </row>
        <row r="149">
          <cell r="G149">
            <v>1</v>
          </cell>
        </row>
        <row r="150">
          <cell r="G150">
            <v>1</v>
          </cell>
        </row>
        <row r="151">
          <cell r="G151">
            <v>1</v>
          </cell>
        </row>
        <row r="153">
          <cell r="G153">
            <v>0</v>
          </cell>
        </row>
        <row r="168">
          <cell r="G168">
            <v>0</v>
          </cell>
        </row>
        <row r="175">
          <cell r="G175">
            <v>0</v>
          </cell>
        </row>
        <row r="176">
          <cell r="G176">
            <v>0</v>
          </cell>
        </row>
        <row r="177">
          <cell r="G177">
            <v>0</v>
          </cell>
        </row>
        <row r="178">
          <cell r="G178">
            <v>5.0595238095238096E-2</v>
          </cell>
        </row>
        <row r="180">
          <cell r="G180">
            <v>1.8518518518518521E-2</v>
          </cell>
        </row>
        <row r="181">
          <cell r="G181">
            <v>1.6666666666666666E-2</v>
          </cell>
        </row>
        <row r="183">
          <cell r="G183">
            <v>0</v>
          </cell>
        </row>
        <row r="184">
          <cell r="G184">
            <v>0</v>
          </cell>
        </row>
        <row r="185">
          <cell r="G185">
            <v>0</v>
          </cell>
        </row>
        <row r="186">
          <cell r="G186">
            <v>0</v>
          </cell>
        </row>
        <row r="187">
          <cell r="G187">
            <v>0</v>
          </cell>
        </row>
        <row r="188">
          <cell r="G188">
            <v>0.5</v>
          </cell>
        </row>
      </sheetData>
      <sheetData sheetId="18">
        <row r="3">
          <cell r="G3">
            <v>1</v>
          </cell>
        </row>
        <row r="4">
          <cell r="G4">
            <v>0</v>
          </cell>
        </row>
        <row r="11">
          <cell r="G11">
            <v>0</v>
          </cell>
        </row>
        <row r="17">
          <cell r="G17">
            <v>0</v>
          </cell>
        </row>
        <row r="23">
          <cell r="G23">
            <v>0</v>
          </cell>
        </row>
        <row r="26">
          <cell r="G26">
            <v>0</v>
          </cell>
        </row>
        <row r="32">
          <cell r="G32">
            <v>0</v>
          </cell>
        </row>
        <row r="39">
          <cell r="G39">
            <v>0</v>
          </cell>
        </row>
        <row r="46">
          <cell r="G46">
            <v>0</v>
          </cell>
        </row>
        <row r="52">
          <cell r="G52" t="str">
            <v/>
          </cell>
        </row>
        <row r="56">
          <cell r="G56">
            <v>0</v>
          </cell>
        </row>
        <row r="62">
          <cell r="G62">
            <v>0</v>
          </cell>
        </row>
        <row r="69">
          <cell r="G69" t="str">
            <v/>
          </cell>
        </row>
        <row r="70">
          <cell r="G70">
            <v>0</v>
          </cell>
        </row>
        <row r="75">
          <cell r="G75" t="str">
            <v/>
          </cell>
        </row>
        <row r="77">
          <cell r="G77">
            <v>0</v>
          </cell>
        </row>
        <row r="81">
          <cell r="G81">
            <v>0</v>
          </cell>
        </row>
        <row r="86">
          <cell r="G86">
            <v>0</v>
          </cell>
        </row>
        <row r="93">
          <cell r="G93">
            <v>0</v>
          </cell>
        </row>
        <row r="100">
          <cell r="G100">
            <v>0</v>
          </cell>
        </row>
        <row r="107">
          <cell r="G107">
            <v>0</v>
          </cell>
        </row>
        <row r="112">
          <cell r="G112" t="str">
            <v/>
          </cell>
        </row>
        <row r="118">
          <cell r="G118">
            <v>1</v>
          </cell>
        </row>
        <row r="119">
          <cell r="G119" t="str">
            <v/>
          </cell>
        </row>
        <row r="123">
          <cell r="G123">
            <v>0</v>
          </cell>
        </row>
        <row r="131">
          <cell r="G131">
            <v>0</v>
          </cell>
        </row>
        <row r="138">
          <cell r="G138">
            <v>0</v>
          </cell>
        </row>
        <row r="142">
          <cell r="G142">
            <v>1</v>
          </cell>
        </row>
        <row r="143">
          <cell r="G143">
            <v>0</v>
          </cell>
        </row>
        <row r="147">
          <cell r="G147">
            <v>0</v>
          </cell>
        </row>
        <row r="152">
          <cell r="G152">
            <v>0</v>
          </cell>
        </row>
        <row r="161">
          <cell r="G161">
            <v>0</v>
          </cell>
        </row>
        <row r="164">
          <cell r="G164">
            <v>0</v>
          </cell>
        </row>
        <row r="170">
          <cell r="G170">
            <v>0</v>
          </cell>
        </row>
        <row r="175">
          <cell r="G175">
            <v>0</v>
          </cell>
        </row>
        <row r="179">
          <cell r="G179">
            <v>0</v>
          </cell>
        </row>
        <row r="183">
          <cell r="G183">
            <v>0</v>
          </cell>
        </row>
        <row r="189">
          <cell r="G189">
            <v>0</v>
          </cell>
        </row>
        <row r="192">
          <cell r="G192">
            <v>0</v>
          </cell>
        </row>
        <row r="199">
          <cell r="G199">
            <v>0</v>
          </cell>
        </row>
        <row r="204">
          <cell r="G204">
            <v>0</v>
          </cell>
        </row>
        <row r="206">
          <cell r="G206">
            <v>0</v>
          </cell>
        </row>
        <row r="221">
          <cell r="G221">
            <v>0</v>
          </cell>
        </row>
        <row r="228">
          <cell r="G228">
            <v>0</v>
          </cell>
        </row>
        <row r="236">
          <cell r="G236">
            <v>0</v>
          </cell>
        </row>
        <row r="240">
          <cell r="G240">
            <v>0</v>
          </cell>
        </row>
        <row r="241">
          <cell r="G241">
            <v>1.6666666666666666E-2</v>
          </cell>
        </row>
        <row r="243">
          <cell r="G243">
            <v>0</v>
          </cell>
        </row>
        <row r="244">
          <cell r="G244">
            <v>0</v>
          </cell>
        </row>
        <row r="245">
          <cell r="G245">
            <v>0</v>
          </cell>
        </row>
        <row r="246">
          <cell r="G246">
            <v>0</v>
          </cell>
        </row>
        <row r="247">
          <cell r="G247">
            <v>0.33333333333333331</v>
          </cell>
        </row>
        <row r="248">
          <cell r="G248">
            <v>0.14285714285714285</v>
          </cell>
        </row>
        <row r="249">
          <cell r="G249">
            <v>0</v>
          </cell>
        </row>
        <row r="250">
          <cell r="G250">
            <v>0.33333333333333331</v>
          </cell>
        </row>
      </sheetData>
      <sheetData sheetId="19">
        <row r="3">
          <cell r="G3">
            <v>0</v>
          </cell>
        </row>
        <row r="10">
          <cell r="G10" t="str">
            <v/>
          </cell>
        </row>
        <row r="17">
          <cell r="G17" t="str">
            <v/>
          </cell>
        </row>
        <row r="24">
          <cell r="G24" t="str">
            <v/>
          </cell>
        </row>
        <row r="29">
          <cell r="G29">
            <v>0</v>
          </cell>
        </row>
        <row r="35">
          <cell r="G35">
            <v>0</v>
          </cell>
        </row>
        <row r="41">
          <cell r="G41">
            <v>0</v>
          </cell>
        </row>
        <row r="48">
          <cell r="G48">
            <v>0</v>
          </cell>
        </row>
        <row r="53">
          <cell r="G53" t="str">
            <v/>
          </cell>
        </row>
        <row r="55">
          <cell r="G55">
            <v>0</v>
          </cell>
        </row>
        <row r="59">
          <cell r="G59">
            <v>0</v>
          </cell>
        </row>
        <row r="66">
          <cell r="G66">
            <v>0</v>
          </cell>
        </row>
        <row r="73">
          <cell r="G73">
            <v>0</v>
          </cell>
        </row>
        <row r="80">
          <cell r="D80">
            <v>0</v>
          </cell>
        </row>
        <row r="81">
          <cell r="D81" t="str">
            <v/>
          </cell>
        </row>
        <row r="82">
          <cell r="G82">
            <v>0</v>
          </cell>
        </row>
        <row r="88">
          <cell r="G88">
            <v>0</v>
          </cell>
        </row>
        <row r="94">
          <cell r="G94">
            <v>0</v>
          </cell>
        </row>
        <row r="98">
          <cell r="G98">
            <v>0</v>
          </cell>
        </row>
        <row r="106">
          <cell r="G106">
            <v>0</v>
          </cell>
        </row>
        <row r="113">
          <cell r="G113">
            <v>0</v>
          </cell>
        </row>
        <row r="117">
          <cell r="G117">
            <v>1</v>
          </cell>
        </row>
        <row r="118">
          <cell r="G118">
            <v>1</v>
          </cell>
        </row>
        <row r="119">
          <cell r="G119">
            <v>0</v>
          </cell>
        </row>
        <row r="124">
          <cell r="G124">
            <v>0</v>
          </cell>
        </row>
        <row r="129">
          <cell r="G129">
            <v>0</v>
          </cell>
        </row>
        <row r="135">
          <cell r="G135">
            <v>0</v>
          </cell>
        </row>
        <row r="140">
          <cell r="G140">
            <v>0</v>
          </cell>
        </row>
        <row r="146">
          <cell r="G146">
            <v>0</v>
          </cell>
        </row>
        <row r="153">
          <cell r="G153">
            <v>0</v>
          </cell>
        </row>
        <row r="158">
          <cell r="G158">
            <v>0</v>
          </cell>
        </row>
        <row r="160">
          <cell r="G160">
            <v>0</v>
          </cell>
        </row>
        <row r="166">
          <cell r="G166">
            <v>0</v>
          </cell>
        </row>
        <row r="174">
          <cell r="G174">
            <v>0</v>
          </cell>
        </row>
        <row r="175">
          <cell r="G175">
            <v>0</v>
          </cell>
        </row>
        <row r="180">
          <cell r="G180">
            <v>0</v>
          </cell>
        </row>
        <row r="184">
          <cell r="D184">
            <v>0</v>
          </cell>
        </row>
        <row r="186">
          <cell r="G186">
            <v>0</v>
          </cell>
        </row>
        <row r="187">
          <cell r="G187">
            <v>0</v>
          </cell>
        </row>
        <row r="188">
          <cell r="G188">
            <v>0.2</v>
          </cell>
        </row>
        <row r="189">
          <cell r="G189">
            <v>0.33333333333333331</v>
          </cell>
        </row>
        <row r="190">
          <cell r="G190">
            <v>0</v>
          </cell>
        </row>
        <row r="191">
          <cell r="G191">
            <v>0</v>
          </cell>
        </row>
        <row r="193">
          <cell r="G193">
            <v>0</v>
          </cell>
        </row>
      </sheetData>
      <sheetData sheetId="20">
        <row r="3">
          <cell r="G3">
            <v>0</v>
          </cell>
        </row>
        <row r="10">
          <cell r="G10">
            <v>0</v>
          </cell>
        </row>
        <row r="16">
          <cell r="G16">
            <v>0</v>
          </cell>
        </row>
        <row r="23">
          <cell r="G23" t="str">
            <v/>
          </cell>
        </row>
        <row r="30">
          <cell r="G30" t="str">
            <v/>
          </cell>
        </row>
        <row r="37">
          <cell r="G37" t="str">
            <v/>
          </cell>
        </row>
        <row r="38">
          <cell r="D38">
            <v>0</v>
          </cell>
        </row>
        <row r="41">
          <cell r="G41">
            <v>0</v>
          </cell>
        </row>
        <row r="47">
          <cell r="G47">
            <v>0</v>
          </cell>
        </row>
        <row r="53">
          <cell r="G53">
            <v>0</v>
          </cell>
        </row>
        <row r="58">
          <cell r="G58">
            <v>0</v>
          </cell>
        </row>
        <row r="65">
          <cell r="G65">
            <v>0</v>
          </cell>
        </row>
        <row r="72">
          <cell r="G72">
            <v>0</v>
          </cell>
        </row>
        <row r="78">
          <cell r="G78">
            <v>0</v>
          </cell>
        </row>
        <row r="79">
          <cell r="G79" t="str">
            <v/>
          </cell>
        </row>
        <row r="80">
          <cell r="G80">
            <v>0</v>
          </cell>
        </row>
        <row r="86">
          <cell r="G86">
            <v>0</v>
          </cell>
        </row>
        <row r="91">
          <cell r="G91">
            <v>0</v>
          </cell>
        </row>
        <row r="97">
          <cell r="G97">
            <v>0</v>
          </cell>
        </row>
        <row r="101">
          <cell r="G101" t="str">
            <v/>
          </cell>
        </row>
        <row r="107">
          <cell r="G107" t="str">
            <v/>
          </cell>
        </row>
        <row r="113">
          <cell r="G113">
            <v>0</v>
          </cell>
        </row>
        <row r="121">
          <cell r="G121">
            <v>0</v>
          </cell>
        </row>
        <row r="128">
          <cell r="G128">
            <v>0</v>
          </cell>
        </row>
        <row r="132">
          <cell r="G132">
            <v>1</v>
          </cell>
        </row>
        <row r="134">
          <cell r="G134">
            <v>0</v>
          </cell>
        </row>
        <row r="139">
          <cell r="G139">
            <v>0</v>
          </cell>
        </row>
        <row r="140">
          <cell r="D140">
            <v>0</v>
          </cell>
        </row>
        <row r="143">
          <cell r="D143">
            <v>0</v>
          </cell>
        </row>
        <row r="144">
          <cell r="G144">
            <v>0</v>
          </cell>
        </row>
        <row r="159">
          <cell r="G159">
            <v>0</v>
          </cell>
        </row>
        <row r="163">
          <cell r="G163">
            <v>0</v>
          </cell>
        </row>
        <row r="169">
          <cell r="G169">
            <v>0</v>
          </cell>
        </row>
        <row r="175">
          <cell r="G175">
            <v>0</v>
          </cell>
        </row>
        <row r="178">
          <cell r="G178">
            <v>0</v>
          </cell>
        </row>
        <row r="185">
          <cell r="G185">
            <v>0</v>
          </cell>
        </row>
        <row r="190">
          <cell r="G190">
            <v>0</v>
          </cell>
        </row>
        <row r="192">
          <cell r="G192" t="str">
            <v/>
          </cell>
        </row>
        <row r="199">
          <cell r="G199">
            <v>0</v>
          </cell>
        </row>
        <row r="200">
          <cell r="G200">
            <v>0</v>
          </cell>
        </row>
        <row r="201">
          <cell r="G201">
            <v>0</v>
          </cell>
        </row>
        <row r="208">
          <cell r="G208">
            <v>0</v>
          </cell>
        </row>
        <row r="209">
          <cell r="G209">
            <v>0</v>
          </cell>
        </row>
        <row r="210">
          <cell r="G210">
            <v>0.16666666666666666</v>
          </cell>
        </row>
        <row r="211">
          <cell r="G211">
            <v>0</v>
          </cell>
        </row>
        <row r="212">
          <cell r="G212">
            <v>0</v>
          </cell>
        </row>
        <row r="213">
          <cell r="G213">
            <v>0</v>
          </cell>
        </row>
      </sheetData>
      <sheetData sheetId="21">
        <row r="3">
          <cell r="G3">
            <v>0</v>
          </cell>
        </row>
        <row r="9">
          <cell r="G9">
            <v>1</v>
          </cell>
        </row>
        <row r="10">
          <cell r="G10">
            <v>0</v>
          </cell>
        </row>
        <row r="17">
          <cell r="G17">
            <v>0</v>
          </cell>
        </row>
        <row r="23">
          <cell r="G23">
            <v>0</v>
          </cell>
        </row>
        <row r="29">
          <cell r="G29">
            <v>0</v>
          </cell>
        </row>
        <row r="32">
          <cell r="G32">
            <v>0</v>
          </cell>
        </row>
        <row r="38">
          <cell r="G38">
            <v>0</v>
          </cell>
        </row>
        <row r="45">
          <cell r="G45">
            <v>0</v>
          </cell>
        </row>
        <row r="52">
          <cell r="G52">
            <v>0</v>
          </cell>
        </row>
        <row r="59">
          <cell r="G59">
            <v>0</v>
          </cell>
        </row>
        <row r="65">
          <cell r="G65">
            <v>0</v>
          </cell>
        </row>
        <row r="69">
          <cell r="D69">
            <v>0</v>
          </cell>
        </row>
        <row r="70">
          <cell r="G70" t="str">
            <v/>
          </cell>
        </row>
        <row r="72">
          <cell r="G72">
            <v>0</v>
          </cell>
        </row>
        <row r="76">
          <cell r="G76" t="str">
            <v/>
          </cell>
        </row>
        <row r="77">
          <cell r="G77" t="str">
            <v/>
          </cell>
        </row>
        <row r="78">
          <cell r="G78">
            <v>0</v>
          </cell>
        </row>
        <row r="85">
          <cell r="G85">
            <v>0</v>
          </cell>
        </row>
        <row r="92">
          <cell r="G92" t="str">
            <v/>
          </cell>
        </row>
        <row r="98">
          <cell r="G98">
            <v>0</v>
          </cell>
        </row>
        <row r="105">
          <cell r="G105">
            <v>0</v>
          </cell>
        </row>
        <row r="109">
          <cell r="G109">
            <v>0</v>
          </cell>
        </row>
        <row r="114">
          <cell r="G114">
            <v>0</v>
          </cell>
        </row>
        <row r="120">
          <cell r="G120">
            <v>0</v>
          </cell>
        </row>
        <row r="126">
          <cell r="G126">
            <v>0</v>
          </cell>
        </row>
        <row r="135">
          <cell r="G135">
            <v>0</v>
          </cell>
        </row>
        <row r="139">
          <cell r="G139">
            <v>0</v>
          </cell>
        </row>
        <row r="142">
          <cell r="G142">
            <v>0</v>
          </cell>
        </row>
        <row r="148">
          <cell r="G148">
            <v>0</v>
          </cell>
        </row>
        <row r="151">
          <cell r="G151">
            <v>0</v>
          </cell>
        </row>
        <row r="156">
          <cell r="G156">
            <v>0</v>
          </cell>
        </row>
        <row r="162">
          <cell r="G162">
            <v>0</v>
          </cell>
        </row>
        <row r="168">
          <cell r="G168">
            <v>0</v>
          </cell>
        </row>
        <row r="173">
          <cell r="G173">
            <v>0</v>
          </cell>
        </row>
        <row r="177">
          <cell r="G177">
            <v>0</v>
          </cell>
        </row>
        <row r="181">
          <cell r="G181">
            <v>0</v>
          </cell>
        </row>
        <row r="187">
          <cell r="G187">
            <v>0</v>
          </cell>
        </row>
        <row r="190">
          <cell r="G190">
            <v>0</v>
          </cell>
        </row>
        <row r="191">
          <cell r="G191">
            <v>0</v>
          </cell>
        </row>
        <row r="198">
          <cell r="G198">
            <v>0</v>
          </cell>
        </row>
        <row r="204">
          <cell r="G204">
            <v>0</v>
          </cell>
        </row>
        <row r="219">
          <cell r="G219">
            <v>0</v>
          </cell>
        </row>
        <row r="226">
          <cell r="G226">
            <v>0</v>
          </cell>
        </row>
        <row r="233">
          <cell r="G233">
            <v>0</v>
          </cell>
        </row>
        <row r="234">
          <cell r="G234">
            <v>0</v>
          </cell>
        </row>
        <row r="235">
          <cell r="G235">
            <v>0</v>
          </cell>
        </row>
        <row r="242">
          <cell r="G242">
            <v>0</v>
          </cell>
        </row>
        <row r="243">
          <cell r="G243">
            <v>0</v>
          </cell>
        </row>
        <row r="244">
          <cell r="G244">
            <v>0</v>
          </cell>
        </row>
        <row r="245">
          <cell r="G245">
            <v>0</v>
          </cell>
        </row>
        <row r="246">
          <cell r="G246">
            <v>0</v>
          </cell>
        </row>
        <row r="247">
          <cell r="G247">
            <v>0.2</v>
          </cell>
        </row>
      </sheetData>
      <sheetData sheetId="22">
        <row r="3">
          <cell r="G3">
            <v>0</v>
          </cell>
        </row>
        <row r="18">
          <cell r="G18">
            <v>0</v>
          </cell>
        </row>
        <row r="22">
          <cell r="G22">
            <v>0</v>
          </cell>
        </row>
        <row r="29">
          <cell r="G29">
            <v>0</v>
          </cell>
        </row>
        <row r="38">
          <cell r="G38">
            <v>0</v>
          </cell>
        </row>
        <row r="42">
          <cell r="G42">
            <v>0</v>
          </cell>
        </row>
        <row r="45">
          <cell r="G45">
            <v>0</v>
          </cell>
        </row>
        <row r="50">
          <cell r="G50">
            <v>0</v>
          </cell>
        </row>
        <row r="54">
          <cell r="G54">
            <v>0</v>
          </cell>
        </row>
        <row r="59">
          <cell r="D59">
            <v>0</v>
          </cell>
        </row>
        <row r="60">
          <cell r="G60">
            <v>0</v>
          </cell>
        </row>
        <row r="66">
          <cell r="G66">
            <v>0</v>
          </cell>
        </row>
        <row r="69">
          <cell r="G69">
            <v>0</v>
          </cell>
        </row>
        <row r="74">
          <cell r="G74" t="str">
            <v/>
          </cell>
        </row>
        <row r="76">
          <cell r="G76">
            <v>0</v>
          </cell>
        </row>
        <row r="98">
          <cell r="G98">
            <v>0</v>
          </cell>
        </row>
        <row r="99">
          <cell r="G99">
            <v>0</v>
          </cell>
        </row>
        <row r="101">
          <cell r="G101">
            <v>0</v>
          </cell>
        </row>
        <row r="102">
          <cell r="G102">
            <v>0</v>
          </cell>
        </row>
      </sheetData>
      <sheetData sheetId="23">
        <row r="3">
          <cell r="G3">
            <v>0</v>
          </cell>
        </row>
        <row r="9">
          <cell r="G9">
            <v>0</v>
          </cell>
        </row>
        <row r="16">
          <cell r="G16">
            <v>0</v>
          </cell>
        </row>
        <row r="23">
          <cell r="G23">
            <v>0</v>
          </cell>
        </row>
        <row r="30">
          <cell r="G30">
            <v>0</v>
          </cell>
        </row>
        <row r="37">
          <cell r="G37">
            <v>0</v>
          </cell>
        </row>
        <row r="43">
          <cell r="G43">
            <v>0</v>
          </cell>
        </row>
        <row r="50">
          <cell r="G50" t="str">
            <v/>
          </cell>
        </row>
        <row r="51">
          <cell r="G51" t="str">
            <v/>
          </cell>
        </row>
        <row r="52">
          <cell r="G52">
            <v>0</v>
          </cell>
        </row>
        <row r="57">
          <cell r="G57" t="str">
            <v/>
          </cell>
        </row>
        <row r="59">
          <cell r="G59">
            <v>0</v>
          </cell>
        </row>
        <row r="63">
          <cell r="G63" t="str">
            <v/>
          </cell>
        </row>
        <row r="64">
          <cell r="G64">
            <v>0</v>
          </cell>
        </row>
        <row r="71">
          <cell r="G71">
            <v>0</v>
          </cell>
        </row>
        <row r="78">
          <cell r="G78">
            <v>0</v>
          </cell>
        </row>
        <row r="84">
          <cell r="G84">
            <v>0</v>
          </cell>
        </row>
        <row r="89">
          <cell r="G89">
            <v>0</v>
          </cell>
        </row>
        <row r="95">
          <cell r="G95" t="str">
            <v/>
          </cell>
        </row>
        <row r="101">
          <cell r="G101">
            <v>0</v>
          </cell>
        </row>
        <row r="105">
          <cell r="G105">
            <v>0</v>
          </cell>
        </row>
        <row r="110">
          <cell r="D110">
            <v>0</v>
          </cell>
        </row>
        <row r="111">
          <cell r="G111">
            <v>0</v>
          </cell>
        </row>
        <row r="115">
          <cell r="G115">
            <v>0</v>
          </cell>
        </row>
        <row r="121">
          <cell r="G121">
            <v>0</v>
          </cell>
        </row>
        <row r="127">
          <cell r="G127">
            <v>0</v>
          </cell>
        </row>
        <row r="133">
          <cell r="G133">
            <v>0</v>
          </cell>
        </row>
        <row r="136">
          <cell r="G136">
            <v>0</v>
          </cell>
        </row>
        <row r="142">
          <cell r="G142">
            <v>0</v>
          </cell>
        </row>
        <row r="148">
          <cell r="G148">
            <v>0</v>
          </cell>
        </row>
        <row r="154">
          <cell r="G154">
            <v>0</v>
          </cell>
        </row>
        <row r="158">
          <cell r="G158">
            <v>0</v>
          </cell>
        </row>
        <row r="165">
          <cell r="G165">
            <v>0</v>
          </cell>
        </row>
        <row r="168">
          <cell r="G168">
            <v>0</v>
          </cell>
        </row>
        <row r="174">
          <cell r="G174">
            <v>0</v>
          </cell>
        </row>
        <row r="179">
          <cell r="G179">
            <v>0</v>
          </cell>
        </row>
        <row r="185">
          <cell r="G185">
            <v>0</v>
          </cell>
        </row>
        <row r="188">
          <cell r="G188">
            <v>0</v>
          </cell>
        </row>
        <row r="195">
          <cell r="G195">
            <v>0</v>
          </cell>
        </row>
        <row r="202">
          <cell r="G202">
            <v>0</v>
          </cell>
        </row>
        <row r="207">
          <cell r="G207">
            <v>0</v>
          </cell>
        </row>
        <row r="208">
          <cell r="G208">
            <v>1</v>
          </cell>
        </row>
        <row r="209">
          <cell r="G209">
            <v>1</v>
          </cell>
        </row>
        <row r="211">
          <cell r="G211">
            <v>0</v>
          </cell>
        </row>
        <row r="226">
          <cell r="G226">
            <v>0</v>
          </cell>
        </row>
        <row r="233">
          <cell r="G233">
            <v>0</v>
          </cell>
        </row>
        <row r="234">
          <cell r="G234">
            <v>0</v>
          </cell>
        </row>
        <row r="238">
          <cell r="G238" t="str">
            <v/>
          </cell>
        </row>
        <row r="239">
          <cell r="G239" t="str">
            <v/>
          </cell>
        </row>
        <row r="240">
          <cell r="G240">
            <v>0</v>
          </cell>
        </row>
        <row r="241">
          <cell r="G241">
            <v>1.6666666666666666E-2</v>
          </cell>
        </row>
        <row r="242">
          <cell r="G242">
            <v>0</v>
          </cell>
        </row>
        <row r="244">
          <cell r="G244">
            <v>0</v>
          </cell>
        </row>
        <row r="245">
          <cell r="G245">
            <v>0</v>
          </cell>
        </row>
        <row r="246">
          <cell r="G246">
            <v>0</v>
          </cell>
        </row>
        <row r="247">
          <cell r="G247">
            <v>0</v>
          </cell>
        </row>
        <row r="248">
          <cell r="G248">
            <v>0</v>
          </cell>
        </row>
        <row r="249">
          <cell r="G249">
            <v>0</v>
          </cell>
        </row>
        <row r="250">
          <cell r="G250">
            <v>0.2857142857142857</v>
          </cell>
        </row>
      </sheetData>
      <sheetData sheetId="24">
        <row r="3">
          <cell r="G3">
            <v>0</v>
          </cell>
        </row>
        <row r="9">
          <cell r="G9">
            <v>0</v>
          </cell>
        </row>
        <row r="16">
          <cell r="G16">
            <v>0</v>
          </cell>
        </row>
        <row r="22">
          <cell r="G22" t="str">
            <v/>
          </cell>
        </row>
        <row r="24">
          <cell r="G24">
            <v>0</v>
          </cell>
        </row>
        <row r="25">
          <cell r="G25">
            <v>0</v>
          </cell>
        </row>
        <row r="26">
          <cell r="G26">
            <v>0</v>
          </cell>
        </row>
        <row r="27">
          <cell r="G27">
            <v>0</v>
          </cell>
        </row>
        <row r="31">
          <cell r="G31">
            <v>0</v>
          </cell>
        </row>
        <row r="36">
          <cell r="G36">
            <v>0</v>
          </cell>
        </row>
        <row r="41">
          <cell r="G41">
            <v>0</v>
          </cell>
        </row>
        <row r="48">
          <cell r="G48">
            <v>0</v>
          </cell>
        </row>
        <row r="53">
          <cell r="G53">
            <v>0</v>
          </cell>
        </row>
        <row r="54">
          <cell r="G54">
            <v>0</v>
          </cell>
        </row>
        <row r="56">
          <cell r="G56">
            <v>0</v>
          </cell>
        </row>
        <row r="57">
          <cell r="G57">
            <v>0</v>
          </cell>
        </row>
        <row r="58">
          <cell r="G58">
            <v>0</v>
          </cell>
        </row>
      </sheetData>
      <sheetData sheetId="25">
        <row r="3">
          <cell r="G3">
            <v>0</v>
          </cell>
        </row>
        <row r="9">
          <cell r="G9">
            <v>0</v>
          </cell>
        </row>
        <row r="15">
          <cell r="G15">
            <v>0</v>
          </cell>
        </row>
        <row r="21">
          <cell r="G21">
            <v>0</v>
          </cell>
        </row>
        <row r="22">
          <cell r="G22" t="str">
            <v/>
          </cell>
        </row>
        <row r="24">
          <cell r="G24">
            <v>0</v>
          </cell>
        </row>
        <row r="25">
          <cell r="G25">
            <v>0</v>
          </cell>
        </row>
        <row r="29">
          <cell r="G29">
            <v>0</v>
          </cell>
        </row>
      </sheetData>
      <sheetData sheetId="26">
        <row r="4">
          <cell r="G4">
            <v>0</v>
          </cell>
        </row>
        <row r="7">
          <cell r="G7">
            <v>0</v>
          </cell>
        </row>
        <row r="13">
          <cell r="G13">
            <v>0</v>
          </cell>
        </row>
        <row r="17">
          <cell r="G17">
            <v>0</v>
          </cell>
        </row>
        <row r="20">
          <cell r="G20">
            <v>0</v>
          </cell>
        </row>
        <row r="26">
          <cell r="G26">
            <v>0</v>
          </cell>
        </row>
      </sheetData>
      <sheetData sheetId="27">
        <row r="3">
          <cell r="G3">
            <v>0</v>
          </cell>
        </row>
        <row r="9">
          <cell r="G9">
            <v>0</v>
          </cell>
        </row>
        <row r="15">
          <cell r="G15">
            <v>0</v>
          </cell>
        </row>
        <row r="22">
          <cell r="G22">
            <v>0</v>
          </cell>
        </row>
        <row r="37">
          <cell r="G37">
            <v>0</v>
          </cell>
        </row>
        <row r="44">
          <cell r="G44">
            <v>0</v>
          </cell>
        </row>
        <row r="51">
          <cell r="G51">
            <v>0</v>
          </cell>
        </row>
        <row r="58">
          <cell r="G58">
            <v>0</v>
          </cell>
        </row>
        <row r="63">
          <cell r="G63">
            <v>0</v>
          </cell>
        </row>
        <row r="69">
          <cell r="G69">
            <v>0</v>
          </cell>
        </row>
        <row r="73">
          <cell r="G73">
            <v>0</v>
          </cell>
        </row>
        <row r="80">
          <cell r="G80">
            <v>0</v>
          </cell>
        </row>
        <row r="85">
          <cell r="G85" t="str">
            <v/>
          </cell>
        </row>
        <row r="87">
          <cell r="G87">
            <v>0</v>
          </cell>
        </row>
        <row r="88">
          <cell r="G88">
            <v>0</v>
          </cell>
        </row>
        <row r="93">
          <cell r="G93">
            <v>0</v>
          </cell>
        </row>
        <row r="97">
          <cell r="G97">
            <v>0</v>
          </cell>
        </row>
        <row r="102">
          <cell r="G102">
            <v>0</v>
          </cell>
        </row>
        <row r="108">
          <cell r="G108">
            <v>0</v>
          </cell>
        </row>
        <row r="113">
          <cell r="G113">
            <v>0</v>
          </cell>
        </row>
        <row r="119">
          <cell r="G119">
            <v>0</v>
          </cell>
        </row>
        <row r="123">
          <cell r="G123">
            <v>0</v>
          </cell>
        </row>
        <row r="130">
          <cell r="G130">
            <v>0</v>
          </cell>
        </row>
        <row r="137">
          <cell r="G137">
            <v>0</v>
          </cell>
        </row>
        <row r="143">
          <cell r="G143" t="str">
            <v/>
          </cell>
        </row>
        <row r="149">
          <cell r="G149">
            <v>0</v>
          </cell>
        </row>
        <row r="157">
          <cell r="G157">
            <v>0</v>
          </cell>
        </row>
        <row r="158">
          <cell r="G158">
            <v>0</v>
          </cell>
        </row>
        <row r="163">
          <cell r="G163">
            <v>0</v>
          </cell>
        </row>
        <row r="169">
          <cell r="G169">
            <v>0</v>
          </cell>
        </row>
        <row r="173">
          <cell r="G173">
            <v>0</v>
          </cell>
        </row>
        <row r="179">
          <cell r="G179">
            <v>0</v>
          </cell>
        </row>
        <row r="188">
          <cell r="G188">
            <v>0</v>
          </cell>
        </row>
        <row r="191">
          <cell r="G191">
            <v>0</v>
          </cell>
        </row>
        <row r="196">
          <cell r="G196">
            <v>0</v>
          </cell>
        </row>
        <row r="202">
          <cell r="G202">
            <v>0</v>
          </cell>
        </row>
        <row r="207">
          <cell r="G207">
            <v>0</v>
          </cell>
        </row>
        <row r="213">
          <cell r="G213">
            <v>0</v>
          </cell>
        </row>
        <row r="216">
          <cell r="G216">
            <v>0</v>
          </cell>
        </row>
        <row r="222">
          <cell r="G222">
            <v>0</v>
          </cell>
        </row>
        <row r="228">
          <cell r="G228">
            <v>0</v>
          </cell>
        </row>
        <row r="233">
          <cell r="G233">
            <v>0</v>
          </cell>
        </row>
        <row r="241">
          <cell r="G241">
            <v>0</v>
          </cell>
        </row>
        <row r="242">
          <cell r="G242">
            <v>0</v>
          </cell>
        </row>
        <row r="243">
          <cell r="G243">
            <v>0</v>
          </cell>
        </row>
        <row r="244">
          <cell r="G244">
            <v>0</v>
          </cell>
        </row>
        <row r="245">
          <cell r="G245">
            <v>0</v>
          </cell>
        </row>
        <row r="246">
          <cell r="G246">
            <v>0</v>
          </cell>
        </row>
      </sheetData>
      <sheetData sheetId="28">
        <row r="3">
          <cell r="G3">
            <v>0</v>
          </cell>
        </row>
        <row r="9">
          <cell r="G9">
            <v>0</v>
          </cell>
        </row>
        <row r="10">
          <cell r="G10">
            <v>0</v>
          </cell>
        </row>
        <row r="17">
          <cell r="G17">
            <v>0</v>
          </cell>
        </row>
        <row r="26">
          <cell r="G26">
            <v>0</v>
          </cell>
        </row>
        <row r="30">
          <cell r="G30">
            <v>0</v>
          </cell>
        </row>
        <row r="35">
          <cell r="G35">
            <v>0</v>
          </cell>
        </row>
        <row r="44">
          <cell r="G44">
            <v>0</v>
          </cell>
        </row>
        <row r="48">
          <cell r="G48">
            <v>0</v>
          </cell>
        </row>
        <row r="53">
          <cell r="G53">
            <v>0</v>
          </cell>
        </row>
        <row r="58">
          <cell r="G58">
            <v>0</v>
          </cell>
        </row>
        <row r="65">
          <cell r="G65">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80">
          <cell r="G80">
            <v>0</v>
          </cell>
        </row>
        <row r="81">
          <cell r="G81">
            <v>0</v>
          </cell>
        </row>
        <row r="82">
          <cell r="G82">
            <v>0</v>
          </cell>
        </row>
        <row r="83">
          <cell r="G83">
            <v>0</v>
          </cell>
        </row>
      </sheetData>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sheetName val="FieldF"/>
      <sheetName val="FieldS"/>
      <sheetName val="FinalScores"/>
      <sheetName val="AllSites"/>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6">
          <cell r="G206">
            <v>1</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Narrow">
      <a:majorFont>
        <a:latin typeface="Arial Narrow"/>
        <a:ea typeface=""/>
        <a:cs typeface=""/>
      </a:majorFont>
      <a:minorFont>
        <a:latin typeface="Arial Narrow"/>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66FF66"/>
  </sheetPr>
  <dimension ref="A1:BT231"/>
  <sheetViews>
    <sheetView zoomScaleNormal="100" workbookViewId="0">
      <selection activeCell="I6" sqref="I6"/>
    </sheetView>
  </sheetViews>
  <sheetFormatPr defaultColWidth="9.33203125" defaultRowHeight="15" customHeight="1" x14ac:dyDescent="0.2"/>
  <cols>
    <col min="1" max="1" width="5.83203125" style="68" customWidth="1"/>
    <col min="2" max="2" width="18.83203125" style="68" customWidth="1"/>
    <col min="3" max="3" width="102.6640625" style="15" customWidth="1"/>
    <col min="4" max="4" width="6.83203125" style="1431" customWidth="1"/>
    <col min="5" max="5" width="73.5" style="1259" customWidth="1"/>
    <col min="6" max="7" width="5.83203125" style="1259" customWidth="1"/>
    <col min="8" max="16384" width="9.33203125" style="1259"/>
  </cols>
  <sheetData>
    <row r="1" spans="1:72" s="186" customFormat="1" ht="38.25" customHeight="1" thickBot="1" x14ac:dyDescent="0.25">
      <c r="A1" s="1684" t="s">
        <v>5804</v>
      </c>
      <c r="B1" s="1685"/>
      <c r="C1" s="1686"/>
      <c r="D1" s="1428"/>
      <c r="E1" s="1585" t="s">
        <v>5606</v>
      </c>
    </row>
    <row r="2" spans="1:72" ht="169.5" customHeight="1" thickBot="1" x14ac:dyDescent="0.25">
      <c r="A2" s="1681" t="s">
        <v>5814</v>
      </c>
      <c r="B2" s="1682"/>
      <c r="C2" s="1683"/>
      <c r="D2" s="1429"/>
      <c r="E2" s="1586" t="s">
        <v>5607</v>
      </c>
    </row>
    <row r="3" spans="1:72" s="1402" customFormat="1" ht="18.75" customHeight="1" thickBot="1" x14ac:dyDescent="0.3">
      <c r="A3" s="1410" t="s">
        <v>2346</v>
      </c>
      <c r="B3" s="1410" t="s">
        <v>289</v>
      </c>
      <c r="C3" s="1439" t="s">
        <v>2606</v>
      </c>
      <c r="D3" s="1411"/>
      <c r="E3" s="1412" t="s">
        <v>5605</v>
      </c>
      <c r="F3" s="1401"/>
      <c r="G3" s="1401"/>
      <c r="H3" s="1401"/>
      <c r="I3" s="1401"/>
      <c r="J3" s="1401"/>
      <c r="K3" s="1401"/>
      <c r="L3" s="1401"/>
      <c r="M3" s="1401"/>
      <c r="N3" s="1401"/>
      <c r="O3" s="1401"/>
      <c r="P3" s="1401"/>
      <c r="Q3" s="1401"/>
      <c r="R3" s="1401"/>
      <c r="S3" s="1401"/>
      <c r="T3" s="1401"/>
      <c r="U3" s="1401"/>
      <c r="V3" s="1401"/>
      <c r="W3" s="1401"/>
      <c r="X3" s="1401"/>
      <c r="Y3" s="1401"/>
      <c r="Z3" s="1401"/>
      <c r="AA3" s="1401"/>
      <c r="AB3" s="1401"/>
      <c r="AC3" s="1401"/>
      <c r="AD3" s="1401"/>
      <c r="AE3" s="1401"/>
      <c r="AF3" s="1401"/>
      <c r="AG3" s="1401"/>
      <c r="AH3" s="1401"/>
      <c r="AI3" s="1401"/>
      <c r="AJ3" s="1401"/>
      <c r="AK3" s="1401"/>
      <c r="AL3" s="1401"/>
      <c r="AM3" s="1401"/>
      <c r="AN3" s="1401"/>
      <c r="AO3" s="1401"/>
      <c r="AP3" s="1401"/>
      <c r="AQ3" s="1401"/>
      <c r="AR3" s="1401"/>
      <c r="AS3" s="1401"/>
      <c r="AT3" s="1401"/>
      <c r="AU3" s="1401"/>
      <c r="AV3" s="1401"/>
      <c r="AW3" s="1401"/>
      <c r="AX3" s="1401"/>
      <c r="AY3" s="1401"/>
      <c r="AZ3" s="1401"/>
      <c r="BA3" s="1401"/>
      <c r="BB3" s="1401"/>
      <c r="BC3" s="1401"/>
      <c r="BD3" s="1401"/>
      <c r="BE3" s="1401"/>
      <c r="BF3" s="1401"/>
      <c r="BG3" s="1401"/>
      <c r="BH3" s="1401"/>
      <c r="BI3" s="1401"/>
      <c r="BJ3" s="1401"/>
      <c r="BK3" s="1401"/>
      <c r="BL3" s="1401"/>
      <c r="BM3" s="1401"/>
      <c r="BN3" s="1401"/>
      <c r="BO3" s="1401"/>
      <c r="BP3" s="1401"/>
      <c r="BQ3" s="1401"/>
      <c r="BR3" s="1401"/>
      <c r="BS3" s="1401"/>
      <c r="BT3" s="1401"/>
    </row>
    <row r="4" spans="1:72" ht="21" customHeight="1" thickBot="1" x14ac:dyDescent="0.25">
      <c r="A4" s="1704" t="s">
        <v>1270</v>
      </c>
      <c r="B4" s="1701" t="s">
        <v>937</v>
      </c>
      <c r="C4" s="541" t="s">
        <v>2250</v>
      </c>
      <c r="D4" s="1497"/>
      <c r="E4" s="1687" t="s">
        <v>5609</v>
      </c>
    </row>
    <row r="5" spans="1:72" ht="15" customHeight="1" x14ac:dyDescent="0.2">
      <c r="A5" s="1705"/>
      <c r="B5" s="1707"/>
      <c r="C5" s="1421" t="s">
        <v>895</v>
      </c>
      <c r="D5" s="1498">
        <v>0</v>
      </c>
      <c r="E5" s="1688"/>
    </row>
    <row r="6" spans="1:72" ht="15" customHeight="1" x14ac:dyDescent="0.2">
      <c r="A6" s="1705"/>
      <c r="B6" s="1707"/>
      <c r="C6" s="1422" t="s">
        <v>896</v>
      </c>
      <c r="D6" s="1499">
        <v>0</v>
      </c>
      <c r="E6" s="1688"/>
    </row>
    <row r="7" spans="1:72" ht="15" customHeight="1" x14ac:dyDescent="0.2">
      <c r="A7" s="1705"/>
      <c r="B7" s="1707"/>
      <c r="C7" s="1422" t="s">
        <v>897</v>
      </c>
      <c r="D7" s="1499">
        <v>0</v>
      </c>
      <c r="E7" s="1688"/>
    </row>
    <row r="8" spans="1:72" ht="15" customHeight="1" x14ac:dyDescent="0.2">
      <c r="A8" s="1705"/>
      <c r="B8" s="1707"/>
      <c r="C8" s="1422" t="s">
        <v>898</v>
      </c>
      <c r="D8" s="1499">
        <v>0</v>
      </c>
      <c r="E8" s="1688"/>
    </row>
    <row r="9" spans="1:72" ht="15" customHeight="1" thickBot="1" x14ac:dyDescent="0.25">
      <c r="A9" s="1705"/>
      <c r="B9" s="1708"/>
      <c r="C9" s="1440" t="s">
        <v>899</v>
      </c>
      <c r="D9" s="1500">
        <v>0</v>
      </c>
      <c r="E9" s="1688"/>
    </row>
    <row r="10" spans="1:72" s="1262" customFormat="1" ht="67.5" customHeight="1" thickBot="1" x14ac:dyDescent="0.25">
      <c r="A10" s="112" t="s">
        <v>1271</v>
      </c>
      <c r="B10" s="49" t="s">
        <v>2181</v>
      </c>
      <c r="C10" s="541" t="s">
        <v>2436</v>
      </c>
      <c r="D10" s="1501">
        <v>0</v>
      </c>
      <c r="E10" s="5" t="s">
        <v>5831</v>
      </c>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row>
    <row r="11" spans="1:72" s="1260" customFormat="1" ht="21" customHeight="1" thickBot="1" x14ac:dyDescent="0.25">
      <c r="A11" s="1704" t="s">
        <v>1272</v>
      </c>
      <c r="B11" s="1687" t="s">
        <v>1914</v>
      </c>
      <c r="C11" s="541" t="s">
        <v>1936</v>
      </c>
      <c r="D11" s="1502"/>
      <c r="E11" s="1698" t="s">
        <v>5610</v>
      </c>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259"/>
      <c r="AV11" s="1259"/>
      <c r="AW11" s="1259"/>
      <c r="AX11" s="1259"/>
      <c r="AY11" s="1259"/>
      <c r="AZ11" s="1259"/>
      <c r="BA11" s="1259"/>
      <c r="BB11" s="1259"/>
      <c r="BC11" s="1259"/>
      <c r="BD11" s="1259"/>
      <c r="BE11" s="1259"/>
      <c r="BF11" s="1259"/>
      <c r="BG11" s="1259"/>
      <c r="BH11" s="1259"/>
      <c r="BI11" s="1259"/>
      <c r="BJ11" s="1259"/>
      <c r="BK11" s="1259"/>
      <c r="BL11" s="1259"/>
      <c r="BM11" s="1259"/>
      <c r="BN11" s="1259"/>
      <c r="BO11" s="1259"/>
      <c r="BP11" s="1259"/>
      <c r="BQ11" s="1259"/>
      <c r="BR11" s="1259"/>
    </row>
    <row r="12" spans="1:72" ht="15" customHeight="1" x14ac:dyDescent="0.2">
      <c r="A12" s="1705"/>
      <c r="B12" s="1705"/>
      <c r="C12" s="809" t="s">
        <v>567</v>
      </c>
      <c r="D12" s="1499">
        <v>0</v>
      </c>
      <c r="E12" s="1699"/>
    </row>
    <row r="13" spans="1:72" ht="15" customHeight="1" x14ac:dyDescent="0.2">
      <c r="A13" s="1705"/>
      <c r="B13" s="1705"/>
      <c r="C13" s="1422" t="s">
        <v>568</v>
      </c>
      <c r="D13" s="1499">
        <v>0</v>
      </c>
      <c r="E13" s="1699"/>
    </row>
    <row r="14" spans="1:72" ht="15" customHeight="1" x14ac:dyDescent="0.2">
      <c r="A14" s="1705"/>
      <c r="B14" s="1705"/>
      <c r="C14" s="1422" t="s">
        <v>167</v>
      </c>
      <c r="D14" s="1499">
        <v>0</v>
      </c>
      <c r="E14" s="1699"/>
    </row>
    <row r="15" spans="1:72" ht="15" customHeight="1" x14ac:dyDescent="0.2">
      <c r="A15" s="1705"/>
      <c r="B15" s="1705"/>
      <c r="C15" s="1422" t="s">
        <v>5255</v>
      </c>
      <c r="D15" s="1499">
        <v>0</v>
      </c>
      <c r="E15" s="1699"/>
    </row>
    <row r="16" spans="1:72" ht="15" customHeight="1" x14ac:dyDescent="0.2">
      <c r="A16" s="1705"/>
      <c r="B16" s="1705"/>
      <c r="C16" s="1422" t="s">
        <v>566</v>
      </c>
      <c r="D16" s="1499">
        <v>0</v>
      </c>
      <c r="E16" s="1699"/>
    </row>
    <row r="17" spans="1:70" s="1258" customFormat="1" ht="15" customHeight="1" thickBot="1" x14ac:dyDescent="0.25">
      <c r="A17" s="1706"/>
      <c r="B17" s="1706"/>
      <c r="C17" s="1358" t="s">
        <v>565</v>
      </c>
      <c r="D17" s="1500">
        <v>0</v>
      </c>
      <c r="E17" s="1700"/>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row>
    <row r="18" spans="1:70" s="1260" customFormat="1" ht="27.75" customHeight="1" thickBot="1" x14ac:dyDescent="0.25">
      <c r="A18" s="1692" t="s">
        <v>1273</v>
      </c>
      <c r="B18" s="1704" t="s">
        <v>906</v>
      </c>
      <c r="C18" s="541" t="s">
        <v>2182</v>
      </c>
      <c r="D18" s="1502"/>
      <c r="E18" s="1687" t="s">
        <v>5611</v>
      </c>
      <c r="F18" s="1259"/>
      <c r="G18" s="1259"/>
      <c r="H18" s="1259"/>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row>
    <row r="19" spans="1:70" ht="21.75" customHeight="1" x14ac:dyDescent="0.2">
      <c r="A19" s="1713"/>
      <c r="B19" s="1705"/>
      <c r="C19" s="1421" t="s">
        <v>5250</v>
      </c>
      <c r="D19" s="1499">
        <v>0</v>
      </c>
      <c r="E19" s="1690"/>
    </row>
    <row r="20" spans="1:70" ht="27.75" customHeight="1" x14ac:dyDescent="0.2">
      <c r="A20" s="1713"/>
      <c r="B20" s="1705"/>
      <c r="C20" s="1422" t="s">
        <v>5695</v>
      </c>
      <c r="D20" s="1499">
        <v>0</v>
      </c>
      <c r="E20" s="1690"/>
    </row>
    <row r="21" spans="1:70" ht="20.25" customHeight="1" x14ac:dyDescent="0.2">
      <c r="A21" s="1713"/>
      <c r="B21" s="1705"/>
      <c r="C21" s="1422" t="s">
        <v>2179</v>
      </c>
      <c r="D21" s="1499">
        <v>0</v>
      </c>
      <c r="E21" s="1690"/>
    </row>
    <row r="22" spans="1:70" ht="18.75" customHeight="1" x14ac:dyDescent="0.2">
      <c r="A22" s="1713"/>
      <c r="B22" s="1705"/>
      <c r="C22" s="1422" t="s">
        <v>2180</v>
      </c>
      <c r="D22" s="1499">
        <v>0</v>
      </c>
      <c r="E22" s="1690"/>
    </row>
    <row r="23" spans="1:70" s="1258" customFormat="1" ht="15" customHeight="1" thickBot="1" x14ac:dyDescent="0.25">
      <c r="A23" s="1714"/>
      <c r="B23" s="1706"/>
      <c r="C23" s="1423" t="s">
        <v>2178</v>
      </c>
      <c r="D23" s="1500">
        <v>0</v>
      </c>
      <c r="E23" s="1691"/>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row>
    <row r="24" spans="1:70" s="1260" customFormat="1" ht="30" customHeight="1" thickBot="1" x14ac:dyDescent="0.25">
      <c r="A24" s="1692" t="s">
        <v>1274</v>
      </c>
      <c r="B24" s="1704" t="s">
        <v>90</v>
      </c>
      <c r="C24" s="541" t="s">
        <v>5252</v>
      </c>
      <c r="D24" s="1497"/>
      <c r="E24" s="1687" t="s">
        <v>5612</v>
      </c>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row>
    <row r="25" spans="1:70" ht="15" customHeight="1" x14ac:dyDescent="0.2">
      <c r="A25" s="1713"/>
      <c r="B25" s="1705"/>
      <c r="C25" s="1421" t="s">
        <v>2177</v>
      </c>
      <c r="D25" s="1498">
        <v>0</v>
      </c>
      <c r="E25" s="1688"/>
    </row>
    <row r="26" spans="1:70" ht="15" customHeight="1" x14ac:dyDescent="0.2">
      <c r="A26" s="1713"/>
      <c r="B26" s="1705"/>
      <c r="C26" s="1422" t="s">
        <v>85</v>
      </c>
      <c r="D26" s="1499">
        <v>0</v>
      </c>
      <c r="E26" s="1688"/>
    </row>
    <row r="27" spans="1:70" ht="15" customHeight="1" x14ac:dyDescent="0.2">
      <c r="A27" s="1713"/>
      <c r="B27" s="1705"/>
      <c r="C27" s="1422" t="s">
        <v>86</v>
      </c>
      <c r="D27" s="1499">
        <v>0</v>
      </c>
      <c r="E27" s="1688"/>
    </row>
    <row r="28" spans="1:70" ht="15" customHeight="1" x14ac:dyDescent="0.2">
      <c r="A28" s="1713"/>
      <c r="B28" s="1705"/>
      <c r="C28" s="1422" t="s">
        <v>87</v>
      </c>
      <c r="D28" s="1499">
        <v>0</v>
      </c>
      <c r="E28" s="1688"/>
    </row>
    <row r="29" spans="1:70" s="1258" customFormat="1" ht="15" customHeight="1" thickBot="1" x14ac:dyDescent="0.25">
      <c r="A29" s="1714"/>
      <c r="B29" s="1706"/>
      <c r="C29" s="1423" t="s">
        <v>88</v>
      </c>
      <c r="D29" s="1500">
        <v>0</v>
      </c>
      <c r="E29" s="1689"/>
      <c r="F29" s="1259"/>
      <c r="G29" s="1259"/>
      <c r="H29" s="1259"/>
      <c r="I29" s="1259"/>
      <c r="J29" s="1259"/>
      <c r="K29" s="1259"/>
      <c r="L29" s="1259"/>
      <c r="M29" s="1259"/>
      <c r="N29" s="1259"/>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row>
    <row r="30" spans="1:70" s="1260" customFormat="1" ht="29.25" customHeight="1" thickBot="1" x14ac:dyDescent="0.25">
      <c r="A30" s="1687" t="s">
        <v>1275</v>
      </c>
      <c r="B30" s="1704" t="s">
        <v>91</v>
      </c>
      <c r="C30" s="541" t="s">
        <v>2596</v>
      </c>
      <c r="D30" s="1497"/>
      <c r="E30" s="1687" t="s">
        <v>5586</v>
      </c>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row>
    <row r="31" spans="1:70" ht="15" customHeight="1" x14ac:dyDescent="0.2">
      <c r="A31" s="1688"/>
      <c r="B31" s="1705"/>
      <c r="C31" s="1421" t="s">
        <v>2561</v>
      </c>
      <c r="D31" s="1498">
        <v>0</v>
      </c>
      <c r="E31" s="1690"/>
    </row>
    <row r="32" spans="1:70" ht="15" customHeight="1" x14ac:dyDescent="0.2">
      <c r="A32" s="1688"/>
      <c r="B32" s="1705"/>
      <c r="C32" s="1422" t="s">
        <v>591</v>
      </c>
      <c r="D32" s="1499">
        <v>0</v>
      </c>
      <c r="E32" s="1690"/>
    </row>
    <row r="33" spans="1:69" ht="15" customHeight="1" x14ac:dyDescent="0.2">
      <c r="A33" s="1688"/>
      <c r="B33" s="1705"/>
      <c r="C33" s="1422" t="s">
        <v>134</v>
      </c>
      <c r="D33" s="1499">
        <v>0</v>
      </c>
      <c r="E33" s="1690"/>
    </row>
    <row r="34" spans="1:69" ht="15" customHeight="1" x14ac:dyDescent="0.2">
      <c r="A34" s="1688"/>
      <c r="B34" s="1705"/>
      <c r="C34" s="1422" t="s">
        <v>855</v>
      </c>
      <c r="D34" s="1499">
        <v>0</v>
      </c>
      <c r="E34" s="1690"/>
    </row>
    <row r="35" spans="1:69" s="1258" customFormat="1" ht="15" customHeight="1" thickBot="1" x14ac:dyDescent="0.25">
      <c r="A35" s="1689"/>
      <c r="B35" s="1706"/>
      <c r="C35" s="1423" t="s">
        <v>1775</v>
      </c>
      <c r="D35" s="1500">
        <v>0</v>
      </c>
      <c r="E35" s="1691"/>
      <c r="F35" s="1259"/>
      <c r="G35" s="1259"/>
      <c r="H35" s="1259"/>
      <c r="I35" s="1259"/>
      <c r="J35" s="1259"/>
      <c r="K35" s="1259"/>
      <c r="L35" s="1259"/>
      <c r="M35" s="1259"/>
      <c r="N35" s="1259"/>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row>
    <row r="36" spans="1:69" s="1260" customFormat="1" ht="21" customHeight="1" thickBot="1" x14ac:dyDescent="0.25">
      <c r="A36" s="1713" t="s">
        <v>1276</v>
      </c>
      <c r="B36" s="1704" t="s">
        <v>527</v>
      </c>
      <c r="C36" s="541" t="s">
        <v>5251</v>
      </c>
      <c r="D36" s="1502"/>
      <c r="E36" s="1687" t="s">
        <v>5587</v>
      </c>
      <c r="F36" s="1259"/>
      <c r="G36" s="1259"/>
      <c r="H36" s="1259"/>
      <c r="I36" s="1259"/>
      <c r="J36" s="1259"/>
      <c r="K36" s="1259"/>
      <c r="L36" s="1259"/>
      <c r="M36" s="1259"/>
      <c r="N36" s="1259"/>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row>
    <row r="37" spans="1:69" ht="15" customHeight="1" x14ac:dyDescent="0.2">
      <c r="A37" s="1713"/>
      <c r="B37" s="1705"/>
      <c r="C37" s="1421" t="s">
        <v>1840</v>
      </c>
      <c r="D37" s="1499">
        <v>0</v>
      </c>
      <c r="E37" s="1688"/>
    </row>
    <row r="38" spans="1:69" s="1258" customFormat="1" ht="15" customHeight="1" thickBot="1" x14ac:dyDescent="0.25">
      <c r="A38" s="1714"/>
      <c r="B38" s="1706"/>
      <c r="C38" s="1423" t="s">
        <v>1310</v>
      </c>
      <c r="D38" s="1500">
        <v>0</v>
      </c>
      <c r="E38" s="1689"/>
      <c r="F38" s="1259"/>
      <c r="G38" s="1259"/>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row>
    <row r="39" spans="1:69" s="1260" customFormat="1" ht="45" customHeight="1" thickBot="1" x14ac:dyDescent="0.25">
      <c r="A39" s="1687" t="s">
        <v>1277</v>
      </c>
      <c r="B39" s="1687" t="s">
        <v>1239</v>
      </c>
      <c r="C39" s="541" t="s">
        <v>2562</v>
      </c>
      <c r="D39" s="1502"/>
      <c r="E39" s="1692" t="s">
        <v>5622</v>
      </c>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row>
    <row r="40" spans="1:69" ht="15" customHeight="1" x14ac:dyDescent="0.2">
      <c r="A40" s="1688"/>
      <c r="B40" s="1688"/>
      <c r="C40" s="1421" t="s">
        <v>2462</v>
      </c>
      <c r="D40" s="1499">
        <v>0</v>
      </c>
      <c r="E40" s="1693"/>
    </row>
    <row r="41" spans="1:69" ht="15" customHeight="1" x14ac:dyDescent="0.2">
      <c r="A41" s="1688"/>
      <c r="B41" s="1688"/>
      <c r="C41" s="1422" t="s">
        <v>2463</v>
      </c>
      <c r="D41" s="1499">
        <v>0</v>
      </c>
      <c r="E41" s="1693"/>
    </row>
    <row r="42" spans="1:69" ht="15" customHeight="1" x14ac:dyDescent="0.2">
      <c r="A42" s="1688"/>
      <c r="B42" s="1688"/>
      <c r="C42" s="1422" t="s">
        <v>2464</v>
      </c>
      <c r="D42" s="1499">
        <v>0</v>
      </c>
      <c r="E42" s="1693"/>
    </row>
    <row r="43" spans="1:69" ht="15" customHeight="1" x14ac:dyDescent="0.2">
      <c r="A43" s="1688"/>
      <c r="B43" s="1688"/>
      <c r="C43" s="1422" t="s">
        <v>2465</v>
      </c>
      <c r="D43" s="1499">
        <v>0</v>
      </c>
      <c r="E43" s="1693"/>
    </row>
    <row r="44" spans="1:69" ht="15" customHeight="1" x14ac:dyDescent="0.2">
      <c r="A44" s="1688"/>
      <c r="B44" s="1688"/>
      <c r="C44" s="1422" t="s">
        <v>2466</v>
      </c>
      <c r="D44" s="1499">
        <v>0</v>
      </c>
      <c r="E44" s="1693"/>
    </row>
    <row r="45" spans="1:69" ht="15" customHeight="1" x14ac:dyDescent="0.2">
      <c r="A45" s="1688"/>
      <c r="B45" s="1688"/>
      <c r="C45" s="1422" t="s">
        <v>2467</v>
      </c>
      <c r="D45" s="1499">
        <v>0</v>
      </c>
      <c r="E45" s="1693"/>
    </row>
    <row r="46" spans="1:69" ht="15" customHeight="1" x14ac:dyDescent="0.2">
      <c r="A46" s="1688"/>
      <c r="B46" s="1688"/>
      <c r="C46" s="1422" t="s">
        <v>2468</v>
      </c>
      <c r="D46" s="1499">
        <v>0</v>
      </c>
      <c r="E46" s="1693"/>
    </row>
    <row r="47" spans="1:69" ht="15" customHeight="1" x14ac:dyDescent="0.2">
      <c r="A47" s="1688"/>
      <c r="B47" s="1688"/>
      <c r="C47" s="1422" t="s">
        <v>2469</v>
      </c>
      <c r="D47" s="1499">
        <v>0</v>
      </c>
      <c r="E47" s="1693"/>
    </row>
    <row r="48" spans="1:69" ht="15" customHeight="1" x14ac:dyDescent="0.2">
      <c r="A48" s="1688"/>
      <c r="B48" s="1688"/>
      <c r="C48" s="1422" t="s">
        <v>2470</v>
      </c>
      <c r="D48" s="1499">
        <v>0</v>
      </c>
      <c r="E48" s="1693"/>
    </row>
    <row r="49" spans="1:69" ht="15" customHeight="1" x14ac:dyDescent="0.2">
      <c r="A49" s="1688"/>
      <c r="B49" s="1688"/>
      <c r="C49" s="1422" t="s">
        <v>2471</v>
      </c>
      <c r="D49" s="1499">
        <v>0</v>
      </c>
      <c r="E49" s="1693"/>
    </row>
    <row r="50" spans="1:69" ht="15" customHeight="1" x14ac:dyDescent="0.2">
      <c r="A50" s="1688"/>
      <c r="B50" s="1688"/>
      <c r="C50" s="1422" t="s">
        <v>2472</v>
      </c>
      <c r="D50" s="1499">
        <v>0</v>
      </c>
      <c r="E50" s="1693"/>
    </row>
    <row r="51" spans="1:69" ht="15" customHeight="1" x14ac:dyDescent="0.2">
      <c r="A51" s="1688"/>
      <c r="B51" s="1688"/>
      <c r="C51" s="1440" t="s">
        <v>2498</v>
      </c>
      <c r="D51" s="1499">
        <v>0</v>
      </c>
      <c r="E51" s="1693"/>
    </row>
    <row r="52" spans="1:69" ht="27" customHeight="1" x14ac:dyDescent="0.2">
      <c r="A52" s="1688"/>
      <c r="B52" s="1688"/>
      <c r="C52" s="1440" t="s">
        <v>2514</v>
      </c>
      <c r="D52" s="1499">
        <v>0</v>
      </c>
      <c r="E52" s="1693"/>
    </row>
    <row r="53" spans="1:69" s="1258" customFormat="1" ht="27" customHeight="1" thickBot="1" x14ac:dyDescent="0.25">
      <c r="A53" s="1689"/>
      <c r="B53" s="1689"/>
      <c r="C53" s="1423" t="s">
        <v>2515</v>
      </c>
      <c r="D53" s="1500">
        <v>0</v>
      </c>
      <c r="E53" s="1693"/>
      <c r="F53" s="1259"/>
      <c r="G53" s="1259"/>
      <c r="H53" s="1259"/>
      <c r="I53" s="1259"/>
      <c r="J53" s="1259"/>
      <c r="K53" s="1259"/>
      <c r="L53" s="1259"/>
      <c r="M53" s="1259"/>
      <c r="N53" s="1259"/>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row>
    <row r="54" spans="1:69" s="1260" customFormat="1" ht="21" customHeight="1" thickBot="1" x14ac:dyDescent="0.25">
      <c r="A54" s="1687" t="s">
        <v>1278</v>
      </c>
      <c r="B54" s="1687" t="s">
        <v>2473</v>
      </c>
      <c r="C54" s="541" t="s">
        <v>2474</v>
      </c>
      <c r="D54" s="1502"/>
      <c r="E54" s="1694" t="s">
        <v>5623</v>
      </c>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row>
    <row r="55" spans="1:69" ht="15" customHeight="1" x14ac:dyDescent="0.2">
      <c r="A55" s="1688"/>
      <c r="B55" s="1688"/>
      <c r="C55" s="1421" t="s">
        <v>1974</v>
      </c>
      <c r="D55" s="1499">
        <v>0</v>
      </c>
      <c r="E55" s="1695"/>
    </row>
    <row r="56" spans="1:69" ht="15" customHeight="1" x14ac:dyDescent="0.2">
      <c r="A56" s="1688"/>
      <c r="B56" s="1688"/>
      <c r="C56" s="1422" t="s">
        <v>2475</v>
      </c>
      <c r="D56" s="1499">
        <v>0</v>
      </c>
      <c r="E56" s="1695"/>
    </row>
    <row r="57" spans="1:69" ht="15" customHeight="1" x14ac:dyDescent="0.2">
      <c r="A57" s="1688"/>
      <c r="B57" s="1688"/>
      <c r="C57" s="1441" t="s">
        <v>2476</v>
      </c>
      <c r="D57" s="1499">
        <v>0</v>
      </c>
      <c r="E57" s="1695"/>
    </row>
    <row r="58" spans="1:69" ht="15" customHeight="1" x14ac:dyDescent="0.2">
      <c r="A58" s="1688"/>
      <c r="B58" s="1688"/>
      <c r="C58" s="1422" t="s">
        <v>212</v>
      </c>
      <c r="D58" s="1499">
        <v>0</v>
      </c>
      <c r="E58" s="1695"/>
    </row>
    <row r="59" spans="1:69" ht="15" customHeight="1" x14ac:dyDescent="0.2">
      <c r="A59" s="1688"/>
      <c r="B59" s="1688"/>
      <c r="C59" s="1422" t="s">
        <v>2477</v>
      </c>
      <c r="D59" s="1499">
        <v>0</v>
      </c>
      <c r="E59" s="1695"/>
    </row>
    <row r="60" spans="1:69" s="1258" customFormat="1" ht="15" customHeight="1" thickBot="1" x14ac:dyDescent="0.25">
      <c r="A60" s="1689"/>
      <c r="B60" s="1689"/>
      <c r="C60" s="1442" t="s">
        <v>2478</v>
      </c>
      <c r="D60" s="1503">
        <v>0</v>
      </c>
      <c r="E60" s="1696"/>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row>
    <row r="61" spans="1:69" s="1260" customFormat="1" ht="30" customHeight="1" thickBot="1" x14ac:dyDescent="0.25">
      <c r="A61" s="1692" t="s">
        <v>1279</v>
      </c>
      <c r="B61" s="1704" t="s">
        <v>189</v>
      </c>
      <c r="C61" s="541" t="s">
        <v>482</v>
      </c>
      <c r="D61" s="1504"/>
      <c r="E61" s="1697" t="s">
        <v>5696</v>
      </c>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row>
    <row r="62" spans="1:69" ht="15" customHeight="1" x14ac:dyDescent="0.2">
      <c r="A62" s="1715"/>
      <c r="B62" s="1705"/>
      <c r="C62" s="1421">
        <v>0</v>
      </c>
      <c r="D62" s="1499">
        <v>0</v>
      </c>
      <c r="E62" s="1690"/>
    </row>
    <row r="63" spans="1:69" ht="15" customHeight="1" x14ac:dyDescent="0.2">
      <c r="A63" s="1715"/>
      <c r="B63" s="1705"/>
      <c r="C63" s="1443" t="s">
        <v>2563</v>
      </c>
      <c r="D63" s="1499">
        <v>0</v>
      </c>
      <c r="E63" s="1690"/>
    </row>
    <row r="64" spans="1:69" ht="15" customHeight="1" x14ac:dyDescent="0.2">
      <c r="A64" s="1715"/>
      <c r="B64" s="1705"/>
      <c r="C64" s="1422" t="s">
        <v>2564</v>
      </c>
      <c r="D64" s="1499">
        <v>0</v>
      </c>
      <c r="E64" s="1690"/>
    </row>
    <row r="65" spans="1:69" ht="15" customHeight="1" x14ac:dyDescent="0.2">
      <c r="A65" s="1715"/>
      <c r="B65" s="1705"/>
      <c r="C65" s="1422" t="s">
        <v>2565</v>
      </c>
      <c r="D65" s="1499">
        <v>0</v>
      </c>
      <c r="E65" s="1690"/>
    </row>
    <row r="66" spans="1:69" ht="15" customHeight="1" x14ac:dyDescent="0.2">
      <c r="A66" s="1715"/>
      <c r="B66" s="1705"/>
      <c r="C66" s="1422" t="s">
        <v>2566</v>
      </c>
      <c r="D66" s="1499">
        <v>0</v>
      </c>
      <c r="E66" s="1690"/>
    </row>
    <row r="67" spans="1:69" s="1258" customFormat="1" ht="15" customHeight="1" thickBot="1" x14ac:dyDescent="0.25">
      <c r="A67" s="1716"/>
      <c r="B67" s="1706"/>
      <c r="C67" s="1423" t="s">
        <v>2567</v>
      </c>
      <c r="D67" s="1503">
        <v>0</v>
      </c>
      <c r="E67" s="1691"/>
      <c r="F67" s="1259"/>
      <c r="G67" s="1259"/>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row>
    <row r="68" spans="1:69" s="1260" customFormat="1" ht="30" customHeight="1" thickBot="1" x14ac:dyDescent="0.25">
      <c r="A68" s="1692" t="s">
        <v>1280</v>
      </c>
      <c r="B68" s="1704" t="s">
        <v>24</v>
      </c>
      <c r="C68" s="541" t="s">
        <v>2597</v>
      </c>
      <c r="D68" s="1504"/>
      <c r="E68" s="1687" t="s">
        <v>5613</v>
      </c>
      <c r="F68" s="1259"/>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row>
    <row r="69" spans="1:69" ht="15" customHeight="1" x14ac:dyDescent="0.2">
      <c r="A69" s="1715"/>
      <c r="B69" s="1705"/>
      <c r="C69" s="81" t="s">
        <v>199</v>
      </c>
      <c r="D69" s="1499">
        <v>0</v>
      </c>
      <c r="E69" s="1688"/>
    </row>
    <row r="70" spans="1:69" ht="15" customHeight="1" x14ac:dyDescent="0.2">
      <c r="A70" s="1715"/>
      <c r="B70" s="1705"/>
      <c r="C70" s="1422" t="s">
        <v>18</v>
      </c>
      <c r="D70" s="1499">
        <v>0</v>
      </c>
      <c r="E70" s="1688"/>
    </row>
    <row r="71" spans="1:69" ht="15" customHeight="1" x14ac:dyDescent="0.2">
      <c r="A71" s="1715"/>
      <c r="B71" s="1705"/>
      <c r="C71" s="1422" t="s">
        <v>131</v>
      </c>
      <c r="D71" s="1499">
        <v>0</v>
      </c>
      <c r="E71" s="1688"/>
    </row>
    <row r="72" spans="1:69" ht="15" customHeight="1" x14ac:dyDescent="0.2">
      <c r="A72" s="1715"/>
      <c r="B72" s="1705"/>
      <c r="C72" s="1422" t="s">
        <v>19</v>
      </c>
      <c r="D72" s="1499">
        <v>0</v>
      </c>
      <c r="E72" s="1688"/>
    </row>
    <row r="73" spans="1:69" ht="15" customHeight="1" x14ac:dyDescent="0.2">
      <c r="A73" s="1715"/>
      <c r="B73" s="1705"/>
      <c r="C73" s="1422" t="s">
        <v>104</v>
      </c>
      <c r="D73" s="1499">
        <v>0</v>
      </c>
      <c r="E73" s="1688"/>
    </row>
    <row r="74" spans="1:69" s="1258" customFormat="1" ht="15" customHeight="1" thickBot="1" x14ac:dyDescent="0.25">
      <c r="A74" s="1716"/>
      <c r="B74" s="1706"/>
      <c r="C74" s="1423" t="s">
        <v>20</v>
      </c>
      <c r="D74" s="1500">
        <v>0</v>
      </c>
      <c r="E74" s="1689"/>
      <c r="F74" s="1259"/>
      <c r="G74" s="1259"/>
      <c r="H74" s="1259"/>
      <c r="I74" s="1259"/>
      <c r="J74" s="1259"/>
      <c r="K74" s="1259"/>
      <c r="L74" s="1259"/>
      <c r="M74" s="1259"/>
      <c r="N74" s="1259"/>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row>
    <row r="75" spans="1:69" s="1260" customFormat="1" ht="30" customHeight="1" thickBot="1" x14ac:dyDescent="0.25">
      <c r="A75" s="1692" t="s">
        <v>1281</v>
      </c>
      <c r="B75" s="1687" t="s">
        <v>2251</v>
      </c>
      <c r="C75" s="541" t="s">
        <v>2598</v>
      </c>
      <c r="D75" s="1502"/>
      <c r="E75" s="1687" t="s">
        <v>5614</v>
      </c>
      <c r="F75" s="1259"/>
      <c r="G75" s="1259"/>
      <c r="H75" s="1259"/>
      <c r="I75" s="1259"/>
      <c r="J75" s="1259"/>
      <c r="K75" s="1259"/>
      <c r="L75" s="1259"/>
      <c r="M75" s="1259"/>
      <c r="N75" s="1259"/>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row>
    <row r="76" spans="1:69" ht="15" customHeight="1" x14ac:dyDescent="0.2">
      <c r="A76" s="1715"/>
      <c r="B76" s="1705"/>
      <c r="C76" s="1421" t="s">
        <v>92</v>
      </c>
      <c r="D76" s="1499">
        <v>0</v>
      </c>
      <c r="E76" s="1688"/>
    </row>
    <row r="77" spans="1:69" ht="15" customHeight="1" x14ac:dyDescent="0.2">
      <c r="A77" s="1715"/>
      <c r="B77" s="1705"/>
      <c r="C77" s="1422" t="s">
        <v>563</v>
      </c>
      <c r="D77" s="1499">
        <v>0</v>
      </c>
      <c r="E77" s="1688"/>
    </row>
    <row r="78" spans="1:69" ht="15" customHeight="1" x14ac:dyDescent="0.2">
      <c r="A78" s="1715"/>
      <c r="B78" s="1705"/>
      <c r="C78" s="1440" t="s">
        <v>121</v>
      </c>
      <c r="D78" s="1499">
        <v>0</v>
      </c>
      <c r="E78" s="1688"/>
    </row>
    <row r="79" spans="1:69" s="1258" customFormat="1" ht="15" customHeight="1" thickBot="1" x14ac:dyDescent="0.25">
      <c r="A79" s="1716"/>
      <c r="B79" s="1706"/>
      <c r="C79" s="1423" t="s">
        <v>285</v>
      </c>
      <c r="D79" s="1500">
        <v>0</v>
      </c>
      <c r="E79" s="1689"/>
      <c r="F79" s="1259"/>
      <c r="G79" s="1259"/>
      <c r="H79" s="1259"/>
      <c r="I79" s="1259"/>
      <c r="J79" s="1259"/>
      <c r="K79" s="1259"/>
      <c r="L79" s="1259"/>
      <c r="M79" s="1259"/>
      <c r="N79" s="1259"/>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row>
    <row r="80" spans="1:69" s="1260" customFormat="1" ht="21" customHeight="1" thickBot="1" x14ac:dyDescent="0.25">
      <c r="A80" s="1692" t="s">
        <v>1282</v>
      </c>
      <c r="B80" s="1704" t="s">
        <v>9</v>
      </c>
      <c r="C80" s="541" t="s">
        <v>860</v>
      </c>
      <c r="D80" s="1497"/>
      <c r="E80" s="1687" t="s">
        <v>5624</v>
      </c>
      <c r="F80" s="1259"/>
      <c r="G80" s="1259"/>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row>
    <row r="81" spans="1:69" ht="15" customHeight="1" x14ac:dyDescent="0.2">
      <c r="A81" s="1715"/>
      <c r="B81" s="1705"/>
      <c r="C81" s="1421" t="s">
        <v>538</v>
      </c>
      <c r="D81" s="1498">
        <v>0</v>
      </c>
      <c r="E81" s="1688"/>
    </row>
    <row r="82" spans="1:69" ht="15" customHeight="1" x14ac:dyDescent="0.2">
      <c r="A82" s="1715"/>
      <c r="B82" s="1705"/>
      <c r="C82" s="1440" t="s">
        <v>539</v>
      </c>
      <c r="D82" s="1499">
        <v>0</v>
      </c>
      <c r="E82" s="1688"/>
    </row>
    <row r="83" spans="1:69" ht="15" customHeight="1" x14ac:dyDescent="0.2">
      <c r="A83" s="1715"/>
      <c r="B83" s="1705"/>
      <c r="C83" s="1422" t="s">
        <v>212</v>
      </c>
      <c r="D83" s="1499">
        <v>0</v>
      </c>
      <c r="E83" s="1688"/>
    </row>
    <row r="84" spans="1:69" ht="15" customHeight="1" x14ac:dyDescent="0.2">
      <c r="A84" s="1715"/>
      <c r="B84" s="1705"/>
      <c r="C84" s="1422" t="s">
        <v>563</v>
      </c>
      <c r="D84" s="1499">
        <v>0</v>
      </c>
      <c r="E84" s="1688"/>
    </row>
    <row r="85" spans="1:69" s="1258" customFormat="1" ht="15" customHeight="1" thickBot="1" x14ac:dyDescent="0.25">
      <c r="A85" s="1716"/>
      <c r="B85" s="1706"/>
      <c r="C85" s="1423" t="s">
        <v>564</v>
      </c>
      <c r="D85" s="1500">
        <v>0</v>
      </c>
      <c r="E85" s="1689"/>
      <c r="F85" s="1259"/>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row>
    <row r="86" spans="1:69" s="1260" customFormat="1" ht="21" customHeight="1" thickBot="1" x14ac:dyDescent="0.25">
      <c r="A86" s="1692" t="s">
        <v>1283</v>
      </c>
      <c r="B86" s="1701" t="s">
        <v>2560</v>
      </c>
      <c r="C86" s="541" t="s">
        <v>2554</v>
      </c>
      <c r="D86" s="1502"/>
      <c r="E86" s="1709" t="s">
        <v>5615</v>
      </c>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row>
    <row r="87" spans="1:69" ht="15" customHeight="1" x14ac:dyDescent="0.2">
      <c r="A87" s="1713"/>
      <c r="B87" s="1702"/>
      <c r="C87" s="1421" t="s">
        <v>2559</v>
      </c>
      <c r="D87" s="1499">
        <v>0</v>
      </c>
      <c r="E87" s="1710"/>
    </row>
    <row r="88" spans="1:69" ht="26.25" customHeight="1" x14ac:dyDescent="0.2">
      <c r="A88" s="1713"/>
      <c r="B88" s="1702"/>
      <c r="C88" s="1422" t="s">
        <v>2555</v>
      </c>
      <c r="D88" s="1499">
        <v>0</v>
      </c>
      <c r="E88" s="1710"/>
    </row>
    <row r="89" spans="1:69" ht="15" customHeight="1" x14ac:dyDescent="0.2">
      <c r="A89" s="1713"/>
      <c r="B89" s="1702"/>
      <c r="C89" s="1422" t="s">
        <v>2556</v>
      </c>
      <c r="D89" s="1499">
        <v>0</v>
      </c>
      <c r="E89" s="1710"/>
    </row>
    <row r="90" spans="1:69" ht="15" customHeight="1" x14ac:dyDescent="0.2">
      <c r="A90" s="1713"/>
      <c r="B90" s="1702"/>
      <c r="C90" s="1422" t="s">
        <v>2557</v>
      </c>
      <c r="D90" s="1505">
        <v>0</v>
      </c>
      <c r="E90" s="1710"/>
    </row>
    <row r="91" spans="1:69" s="1258" customFormat="1" ht="17.25" customHeight="1" thickBot="1" x14ac:dyDescent="0.25">
      <c r="A91" s="1714"/>
      <c r="B91" s="1712"/>
      <c r="C91" s="1423" t="s">
        <v>2558</v>
      </c>
      <c r="D91" s="1506">
        <v>0</v>
      </c>
      <c r="E91" s="1711"/>
      <c r="F91" s="1259"/>
      <c r="G91" s="1259"/>
      <c r="H91" s="1259"/>
      <c r="I91" s="1259"/>
      <c r="J91" s="1259"/>
      <c r="K91" s="1259"/>
      <c r="L91" s="1259"/>
      <c r="M91" s="1259"/>
      <c r="N91" s="1259"/>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row>
    <row r="92" spans="1:69" s="1263" customFormat="1" ht="95.25" customHeight="1" thickBot="1" x14ac:dyDescent="0.25">
      <c r="A92" s="49" t="s">
        <v>1284</v>
      </c>
      <c r="B92" s="112" t="s">
        <v>572</v>
      </c>
      <c r="C92" s="541" t="s">
        <v>1958</v>
      </c>
      <c r="D92" s="1501">
        <v>0</v>
      </c>
      <c r="E92" s="49" t="s">
        <v>5588</v>
      </c>
      <c r="F92" s="1259"/>
      <c r="G92" s="1259"/>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row>
    <row r="93" spans="1:69" s="1260" customFormat="1" ht="21" customHeight="1" thickBot="1" x14ac:dyDescent="0.25">
      <c r="A93" s="1687" t="s">
        <v>1285</v>
      </c>
      <c r="B93" s="1687" t="s">
        <v>214</v>
      </c>
      <c r="C93" s="541" t="s">
        <v>1311</v>
      </c>
      <c r="D93" s="1502"/>
      <c r="E93" s="1687" t="s">
        <v>5625</v>
      </c>
      <c r="F93" s="1259"/>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row>
    <row r="94" spans="1:69" ht="15" customHeight="1" x14ac:dyDescent="0.2">
      <c r="A94" s="1688"/>
      <c r="B94" s="1688"/>
      <c r="C94" s="1421" t="s">
        <v>2183</v>
      </c>
      <c r="D94" s="1499">
        <v>0</v>
      </c>
      <c r="E94" s="1688"/>
    </row>
    <row r="95" spans="1:69" ht="27" customHeight="1" x14ac:dyDescent="0.2">
      <c r="A95" s="1688"/>
      <c r="B95" s="1688"/>
      <c r="C95" s="1422" t="s">
        <v>2448</v>
      </c>
      <c r="D95" s="1507">
        <v>0</v>
      </c>
      <c r="E95" s="1688"/>
    </row>
    <row r="96" spans="1:69" s="1258" customFormat="1" ht="15" customHeight="1" thickBot="1" x14ac:dyDescent="0.25">
      <c r="A96" s="1689"/>
      <c r="B96" s="1689"/>
      <c r="C96" s="1423" t="s">
        <v>2449</v>
      </c>
      <c r="D96" s="1508">
        <v>0</v>
      </c>
      <c r="E96" s="1689"/>
      <c r="F96" s="1259"/>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row>
    <row r="97" spans="1:69" s="1260" customFormat="1" ht="30" customHeight="1" thickBot="1" x14ac:dyDescent="0.25">
      <c r="A97" s="1687" t="s">
        <v>1286</v>
      </c>
      <c r="B97" s="1704" t="s">
        <v>4</v>
      </c>
      <c r="C97" s="541" t="s">
        <v>1959</v>
      </c>
      <c r="D97" s="1502"/>
      <c r="E97" s="1687" t="s">
        <v>5626</v>
      </c>
      <c r="F97" s="1259"/>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row>
    <row r="98" spans="1:69" ht="15" customHeight="1" x14ac:dyDescent="0.2">
      <c r="A98" s="1688"/>
      <c r="B98" s="1705"/>
      <c r="C98" s="1421" t="s">
        <v>2545</v>
      </c>
      <c r="D98" s="1499">
        <v>0</v>
      </c>
      <c r="E98" s="1688"/>
    </row>
    <row r="99" spans="1:69" ht="27" customHeight="1" x14ac:dyDescent="0.2">
      <c r="A99" s="1688"/>
      <c r="B99" s="1705"/>
      <c r="C99" s="1422" t="s">
        <v>2546</v>
      </c>
      <c r="D99" s="1499">
        <v>0</v>
      </c>
      <c r="E99" s="1688"/>
    </row>
    <row r="100" spans="1:69" ht="15" customHeight="1" x14ac:dyDescent="0.2">
      <c r="A100" s="1688"/>
      <c r="B100" s="1705"/>
      <c r="C100" s="1424" t="s">
        <v>2547</v>
      </c>
      <c r="D100" s="1499">
        <v>0</v>
      </c>
      <c r="E100" s="1688"/>
    </row>
    <row r="101" spans="1:69" ht="15" customHeight="1" x14ac:dyDescent="0.2">
      <c r="A101" s="1688"/>
      <c r="B101" s="1705"/>
      <c r="C101" s="1420" t="s">
        <v>2544</v>
      </c>
      <c r="D101" s="1499">
        <v>0</v>
      </c>
      <c r="E101" s="1688"/>
    </row>
    <row r="102" spans="1:69" s="1258" customFormat="1" ht="15" customHeight="1" thickBot="1" x14ac:dyDescent="0.25">
      <c r="A102" s="1689"/>
      <c r="B102" s="1706"/>
      <c r="C102" s="1423" t="s">
        <v>1913</v>
      </c>
      <c r="D102" s="1503">
        <v>0</v>
      </c>
      <c r="E102" s="1689"/>
      <c r="F102" s="1259"/>
      <c r="G102" s="1259"/>
      <c r="H102" s="1259"/>
      <c r="I102" s="1259"/>
      <c r="J102" s="1259"/>
      <c r="K102" s="1259"/>
      <c r="L102" s="1259"/>
      <c r="M102" s="1259"/>
      <c r="N102" s="1259"/>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row>
    <row r="103" spans="1:69" s="1263" customFormat="1" ht="60" customHeight="1" thickBot="1" x14ac:dyDescent="0.25">
      <c r="A103" s="49" t="s">
        <v>1287</v>
      </c>
      <c r="B103" s="112" t="s">
        <v>119</v>
      </c>
      <c r="C103" s="541" t="s">
        <v>1957</v>
      </c>
      <c r="D103" s="1509">
        <v>0</v>
      </c>
      <c r="E103" s="1397" t="s">
        <v>5589</v>
      </c>
      <c r="F103" s="1259"/>
      <c r="G103" s="1259"/>
      <c r="H103" s="1259"/>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row>
    <row r="104" spans="1:69" s="1263" customFormat="1" ht="60" customHeight="1" thickBot="1" x14ac:dyDescent="0.25">
      <c r="A104" s="49" t="s">
        <v>1288</v>
      </c>
      <c r="B104" s="49" t="s">
        <v>1234</v>
      </c>
      <c r="C104" s="541" t="s">
        <v>1956</v>
      </c>
      <c r="D104" s="1509">
        <v>0</v>
      </c>
      <c r="E104" s="1398" t="s">
        <v>5590</v>
      </c>
      <c r="F104" s="1259"/>
      <c r="G104" s="1259"/>
      <c r="H104" s="1259"/>
      <c r="I104" s="1259"/>
      <c r="J104" s="1259"/>
      <c r="K104" s="1259"/>
      <c r="L104" s="1259"/>
      <c r="M104" s="1259"/>
      <c r="N104" s="1259"/>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row>
    <row r="105" spans="1:69" s="1260" customFormat="1" ht="30" customHeight="1" thickBot="1" x14ac:dyDescent="0.25">
      <c r="A105" s="1687" t="s">
        <v>1289</v>
      </c>
      <c r="B105" s="1687" t="s">
        <v>1776</v>
      </c>
      <c r="C105" s="541" t="s">
        <v>1888</v>
      </c>
      <c r="D105" s="1502"/>
      <c r="E105" s="1687" t="s">
        <v>5591</v>
      </c>
      <c r="F105" s="1259"/>
      <c r="G105" s="1259"/>
      <c r="H105" s="1259"/>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row>
    <row r="106" spans="1:69" ht="15" customHeight="1" x14ac:dyDescent="0.2">
      <c r="A106" s="1688"/>
      <c r="B106" s="1688"/>
      <c r="C106" s="1421" t="s">
        <v>1846</v>
      </c>
      <c r="D106" s="1507">
        <v>0</v>
      </c>
      <c r="E106" s="1688"/>
    </row>
    <row r="107" spans="1:69" ht="15" customHeight="1" x14ac:dyDescent="0.2">
      <c r="A107" s="1688"/>
      <c r="B107" s="1688"/>
      <c r="C107" s="1422" t="s">
        <v>1855</v>
      </c>
      <c r="D107" s="1507">
        <v>0</v>
      </c>
      <c r="E107" s="1688"/>
    </row>
    <row r="108" spans="1:69" ht="15" customHeight="1" x14ac:dyDescent="0.2">
      <c r="A108" s="1688"/>
      <c r="B108" s="1688"/>
      <c r="C108" s="1422" t="s">
        <v>1848</v>
      </c>
      <c r="D108" s="1507">
        <v>0</v>
      </c>
      <c r="E108" s="1688"/>
    </row>
    <row r="109" spans="1:69" ht="15" customHeight="1" x14ac:dyDescent="0.2">
      <c r="A109" s="1688"/>
      <c r="B109" s="1688"/>
      <c r="C109" s="1422" t="s">
        <v>1849</v>
      </c>
      <c r="D109" s="1507">
        <v>0</v>
      </c>
      <c r="E109" s="1688"/>
    </row>
    <row r="110" spans="1:69" ht="15" customHeight="1" x14ac:dyDescent="0.2">
      <c r="A110" s="1688"/>
      <c r="B110" s="1688"/>
      <c r="C110" s="1422" t="s">
        <v>1850</v>
      </c>
      <c r="D110" s="1507">
        <v>0</v>
      </c>
      <c r="E110" s="1688"/>
    </row>
    <row r="111" spans="1:69" ht="15" customHeight="1" x14ac:dyDescent="0.2">
      <c r="A111" s="1688"/>
      <c r="B111" s="1688"/>
      <c r="C111" s="1422" t="s">
        <v>1851</v>
      </c>
      <c r="D111" s="1507">
        <v>0</v>
      </c>
      <c r="E111" s="1688"/>
    </row>
    <row r="112" spans="1:69" s="1258" customFormat="1" ht="15" customHeight="1" thickBot="1" x14ac:dyDescent="0.25">
      <c r="A112" s="1689"/>
      <c r="B112" s="1689"/>
      <c r="C112" s="1444" t="s">
        <v>1853</v>
      </c>
      <c r="D112" s="1508">
        <v>0</v>
      </c>
      <c r="E112" s="1689"/>
      <c r="F112" s="1259"/>
      <c r="G112" s="1259"/>
      <c r="H112" s="1259"/>
      <c r="I112" s="1259"/>
      <c r="J112" s="1259"/>
      <c r="K112" s="1259"/>
      <c r="L112" s="1259"/>
      <c r="M112" s="1259"/>
      <c r="N112" s="1259"/>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row>
    <row r="113" spans="1:69" s="1260" customFormat="1" ht="30" customHeight="1" thickBot="1" x14ac:dyDescent="0.25">
      <c r="A113" s="1687" t="s">
        <v>1313</v>
      </c>
      <c r="B113" s="1687" t="s">
        <v>1777</v>
      </c>
      <c r="C113" s="541" t="s">
        <v>1889</v>
      </c>
      <c r="D113" s="1497"/>
      <c r="E113" s="1687" t="s">
        <v>5627</v>
      </c>
      <c r="F113" s="1259"/>
      <c r="G113" s="1259"/>
      <c r="H113" s="1259"/>
      <c r="I113" s="1259"/>
      <c r="J113" s="1259"/>
      <c r="K113" s="1259"/>
      <c r="L113" s="1259"/>
      <c r="M113" s="1259"/>
      <c r="N113" s="1259"/>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row>
    <row r="114" spans="1:69" ht="15" customHeight="1" x14ac:dyDescent="0.2">
      <c r="A114" s="1688"/>
      <c r="B114" s="1688"/>
      <c r="C114" s="1421" t="s">
        <v>1845</v>
      </c>
      <c r="D114" s="1510">
        <v>0</v>
      </c>
      <c r="E114" s="1688"/>
    </row>
    <row r="115" spans="1:69" ht="15" customHeight="1" x14ac:dyDescent="0.2">
      <c r="A115" s="1688"/>
      <c r="B115" s="1688"/>
      <c r="C115" s="1422" t="s">
        <v>1854</v>
      </c>
      <c r="D115" s="1507">
        <v>0</v>
      </c>
      <c r="E115" s="1688"/>
    </row>
    <row r="116" spans="1:69" ht="15" customHeight="1" x14ac:dyDescent="0.2">
      <c r="A116" s="1688"/>
      <c r="B116" s="1688"/>
      <c r="C116" s="1422" t="s">
        <v>1843</v>
      </c>
      <c r="D116" s="1507">
        <v>0</v>
      </c>
      <c r="E116" s="1688"/>
    </row>
    <row r="117" spans="1:69" ht="15" customHeight="1" x14ac:dyDescent="0.2">
      <c r="A117" s="1688"/>
      <c r="B117" s="1688"/>
      <c r="C117" s="1422" t="s">
        <v>1844</v>
      </c>
      <c r="D117" s="1507">
        <v>0</v>
      </c>
      <c r="E117" s="1688"/>
    </row>
    <row r="118" spans="1:69" ht="15" customHeight="1" x14ac:dyDescent="0.2">
      <c r="A118" s="1688"/>
      <c r="B118" s="1688"/>
      <c r="C118" s="1422" t="s">
        <v>1847</v>
      </c>
      <c r="D118" s="1507">
        <v>0</v>
      </c>
      <c r="E118" s="1688"/>
    </row>
    <row r="119" spans="1:69" s="1258" customFormat="1" ht="15" customHeight="1" thickBot="1" x14ac:dyDescent="0.25">
      <c r="A119" s="1689"/>
      <c r="B119" s="1689"/>
      <c r="C119" s="1442" t="s">
        <v>1853</v>
      </c>
      <c r="D119" s="1503">
        <v>0</v>
      </c>
      <c r="E119" s="1689"/>
      <c r="F119" s="1259"/>
      <c r="G119" s="1259"/>
      <c r="H119" s="1259"/>
      <c r="I119" s="1259"/>
      <c r="J119" s="1259"/>
      <c r="K119" s="1259"/>
      <c r="L119" s="1259"/>
      <c r="M119" s="1259"/>
      <c r="N119" s="1259"/>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row>
    <row r="120" spans="1:69" s="1263" customFormat="1" ht="66" customHeight="1" thickBot="1" x14ac:dyDescent="0.25">
      <c r="A120" s="109" t="s">
        <v>1290</v>
      </c>
      <c r="B120" s="109" t="s">
        <v>1166</v>
      </c>
      <c r="C120" s="15" t="s">
        <v>1960</v>
      </c>
      <c r="D120" s="1511">
        <v>0</v>
      </c>
      <c r="E120" s="143" t="s">
        <v>5592</v>
      </c>
      <c r="F120" s="1259"/>
      <c r="G120" s="1259"/>
      <c r="H120" s="1259"/>
      <c r="I120" s="1259"/>
      <c r="J120" s="1259"/>
      <c r="K120" s="1259"/>
      <c r="L120" s="1259"/>
      <c r="M120" s="1259"/>
      <c r="N120" s="1259"/>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row>
    <row r="121" spans="1:69" s="1263" customFormat="1" ht="42" customHeight="1" thickBot="1" x14ac:dyDescent="0.25">
      <c r="A121" s="49" t="s">
        <v>1314</v>
      </c>
      <c r="B121" s="49" t="s">
        <v>812</v>
      </c>
      <c r="C121" s="428" t="s">
        <v>2281</v>
      </c>
      <c r="D121" s="1512">
        <v>0</v>
      </c>
      <c r="E121" s="5" t="s">
        <v>5593</v>
      </c>
      <c r="F121" s="1259"/>
      <c r="G121" s="1259"/>
      <c r="H121" s="1259"/>
      <c r="I121" s="1259"/>
      <c r="J121" s="1259"/>
      <c r="K121" s="1259"/>
      <c r="L121" s="1259"/>
      <c r="M121" s="1259"/>
      <c r="N121" s="1259"/>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row>
    <row r="122" spans="1:69" s="1260" customFormat="1" ht="45" customHeight="1" thickBot="1" x14ac:dyDescent="0.25">
      <c r="A122" s="1687" t="s">
        <v>1962</v>
      </c>
      <c r="B122" s="1704" t="s">
        <v>537</v>
      </c>
      <c r="C122" s="428" t="s">
        <v>1966</v>
      </c>
      <c r="D122" s="1513"/>
      <c r="E122" s="1687" t="s">
        <v>5616</v>
      </c>
      <c r="F122" s="1259"/>
      <c r="G122" s="1259"/>
      <c r="H122" s="1259"/>
      <c r="I122" s="1259"/>
      <c r="J122" s="1259"/>
      <c r="K122" s="1259"/>
      <c r="L122" s="1259"/>
      <c r="M122" s="1259"/>
      <c r="N122" s="1259"/>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row>
    <row r="123" spans="1:69" ht="15" customHeight="1" x14ac:dyDescent="0.2">
      <c r="A123" s="1688"/>
      <c r="B123" s="1705"/>
      <c r="C123" s="1421" t="s">
        <v>1911</v>
      </c>
      <c r="D123" s="1514">
        <v>0</v>
      </c>
      <c r="E123" s="1688"/>
    </row>
    <row r="124" spans="1:69" ht="15" customHeight="1" x14ac:dyDescent="0.2">
      <c r="A124" s="1688"/>
      <c r="B124" s="1705"/>
      <c r="C124" s="1424" t="s">
        <v>1912</v>
      </c>
      <c r="D124" s="1499">
        <v>0</v>
      </c>
      <c r="E124" s="1688"/>
    </row>
    <row r="125" spans="1:69" ht="15" customHeight="1" x14ac:dyDescent="0.2">
      <c r="A125" s="1688"/>
      <c r="B125" s="1705"/>
      <c r="C125" s="1422" t="s">
        <v>2176</v>
      </c>
      <c r="D125" s="1499">
        <v>0</v>
      </c>
      <c r="E125" s="1688"/>
    </row>
    <row r="126" spans="1:69" s="1258" customFormat="1" ht="15" customHeight="1" thickBot="1" x14ac:dyDescent="0.25">
      <c r="A126" s="1689"/>
      <c r="B126" s="1706"/>
      <c r="C126" s="1423" t="s">
        <v>536</v>
      </c>
      <c r="D126" s="1500">
        <v>0</v>
      </c>
      <c r="E126" s="1689"/>
      <c r="F126" s="1259"/>
      <c r="G126" s="1259"/>
      <c r="H126" s="1259"/>
      <c r="I126" s="1259"/>
      <c r="J126" s="1259"/>
      <c r="K126" s="1259"/>
      <c r="L126" s="1259"/>
      <c r="M126" s="1259"/>
      <c r="N126" s="1259"/>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row>
    <row r="127" spans="1:69" s="1260" customFormat="1" ht="60" customHeight="1" thickBot="1" x14ac:dyDescent="0.25">
      <c r="A127" s="1687" t="s">
        <v>1963</v>
      </c>
      <c r="B127" s="1687" t="s">
        <v>2253</v>
      </c>
      <c r="C127" s="541" t="s">
        <v>2292</v>
      </c>
      <c r="D127" s="1497"/>
      <c r="E127" s="1687" t="s">
        <v>5697</v>
      </c>
      <c r="F127" s="1259"/>
      <c r="G127" s="1259"/>
      <c r="H127" s="1259"/>
      <c r="I127" s="1259"/>
      <c r="J127" s="1259"/>
      <c r="K127" s="1259"/>
      <c r="L127" s="1259"/>
      <c r="M127" s="1259"/>
      <c r="N127" s="1259"/>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row>
    <row r="128" spans="1:69" ht="15" customHeight="1" x14ac:dyDescent="0.2">
      <c r="A128" s="1688"/>
      <c r="B128" s="1688"/>
      <c r="C128" s="1421" t="s">
        <v>938</v>
      </c>
      <c r="D128" s="1498">
        <v>0</v>
      </c>
      <c r="E128" s="1688"/>
    </row>
    <row r="129" spans="1:69" ht="15" customHeight="1" x14ac:dyDescent="0.2">
      <c r="A129" s="1688"/>
      <c r="B129" s="1688"/>
      <c r="C129" s="1422" t="s">
        <v>2269</v>
      </c>
      <c r="D129" s="1499">
        <v>0</v>
      </c>
      <c r="E129" s="1688"/>
    </row>
    <row r="130" spans="1:69" ht="15" customHeight="1" x14ac:dyDescent="0.2">
      <c r="A130" s="1688"/>
      <c r="B130" s="1688"/>
      <c r="C130" s="1422" t="s">
        <v>2268</v>
      </c>
      <c r="D130" s="1499">
        <v>0</v>
      </c>
      <c r="E130" s="1688"/>
    </row>
    <row r="131" spans="1:69" s="1258" customFormat="1" ht="15" customHeight="1" thickBot="1" x14ac:dyDescent="0.25">
      <c r="A131" s="1689"/>
      <c r="B131" s="1689"/>
      <c r="C131" s="1423" t="s">
        <v>2270</v>
      </c>
      <c r="D131" s="1500">
        <v>0</v>
      </c>
      <c r="E131" s="1688"/>
      <c r="F131" s="1259"/>
      <c r="G131" s="1259"/>
      <c r="H131" s="1259"/>
      <c r="I131" s="1259"/>
      <c r="J131" s="1259"/>
      <c r="K131" s="1259"/>
      <c r="L131" s="1259"/>
      <c r="M131" s="1259"/>
      <c r="N131" s="1259"/>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row>
    <row r="132" spans="1:69" s="1260" customFormat="1" ht="43.5" customHeight="1" thickBot="1" x14ac:dyDescent="0.25">
      <c r="A132" s="1687" t="s">
        <v>1291</v>
      </c>
      <c r="B132" s="1687" t="s">
        <v>2255</v>
      </c>
      <c r="C132" s="541" t="s">
        <v>2259</v>
      </c>
      <c r="D132" s="1502"/>
      <c r="E132" s="1687" t="s">
        <v>5594</v>
      </c>
      <c r="F132" s="1259"/>
      <c r="G132" s="1259"/>
      <c r="H132" s="1259"/>
      <c r="I132" s="1259"/>
      <c r="J132" s="1259"/>
      <c r="K132" s="1259"/>
      <c r="L132" s="1259"/>
      <c r="M132" s="1259"/>
      <c r="N132" s="1259"/>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row>
    <row r="133" spans="1:69" ht="15" customHeight="1" x14ac:dyDescent="0.2">
      <c r="A133" s="1688"/>
      <c r="B133" s="1688"/>
      <c r="C133" s="81" t="s">
        <v>2256</v>
      </c>
      <c r="D133" s="1499">
        <v>0</v>
      </c>
      <c r="E133" s="1688"/>
    </row>
    <row r="134" spans="1:69" ht="15" customHeight="1" x14ac:dyDescent="0.2">
      <c r="A134" s="1688"/>
      <c r="B134" s="1688"/>
      <c r="C134" s="81" t="s">
        <v>2257</v>
      </c>
      <c r="D134" s="1499">
        <v>0</v>
      </c>
      <c r="E134" s="1688"/>
    </row>
    <row r="135" spans="1:69" ht="15" customHeight="1" x14ac:dyDescent="0.2">
      <c r="A135" s="1688"/>
      <c r="B135" s="1688"/>
      <c r="C135" s="431" t="s">
        <v>2254</v>
      </c>
      <c r="D135" s="1499">
        <v>0</v>
      </c>
      <c r="E135" s="1688"/>
    </row>
    <row r="136" spans="1:69" s="1258" customFormat="1" ht="15" customHeight="1" thickBot="1" x14ac:dyDescent="0.25">
      <c r="A136" s="1689"/>
      <c r="B136" s="1689"/>
      <c r="C136" s="433" t="s">
        <v>2260</v>
      </c>
      <c r="D136" s="1500">
        <v>0</v>
      </c>
      <c r="E136" s="1688"/>
      <c r="F136" s="1259"/>
      <c r="G136" s="1259"/>
      <c r="H136" s="1259"/>
      <c r="I136" s="1259"/>
      <c r="J136" s="1259"/>
      <c r="K136" s="1259"/>
      <c r="L136" s="1259"/>
      <c r="M136" s="1259"/>
      <c r="N136" s="1259"/>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row>
    <row r="137" spans="1:69" s="1260" customFormat="1" ht="28.5" customHeight="1" thickBot="1" x14ac:dyDescent="0.25">
      <c r="A137" s="1687" t="s">
        <v>1292</v>
      </c>
      <c r="B137" s="1717" t="s">
        <v>892</v>
      </c>
      <c r="C137" s="541" t="s">
        <v>1312</v>
      </c>
      <c r="D137" s="1502"/>
      <c r="E137" s="1687" t="s">
        <v>5595</v>
      </c>
      <c r="F137" s="1259"/>
      <c r="G137" s="1259"/>
      <c r="H137" s="1259"/>
      <c r="I137" s="1259"/>
      <c r="J137" s="1259"/>
      <c r="K137" s="1259"/>
      <c r="L137" s="1259"/>
      <c r="M137" s="1259"/>
      <c r="N137" s="1259"/>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row>
    <row r="138" spans="1:69" ht="15" customHeight="1" x14ac:dyDescent="0.2">
      <c r="A138" s="1705"/>
      <c r="B138" s="1707"/>
      <c r="C138" s="1421" t="s">
        <v>583</v>
      </c>
      <c r="D138" s="1499">
        <v>0</v>
      </c>
      <c r="E138" s="1688"/>
    </row>
    <row r="139" spans="1:69" ht="15" customHeight="1" x14ac:dyDescent="0.2">
      <c r="A139" s="1705"/>
      <c r="B139" s="1707"/>
      <c r="C139" s="1422" t="s">
        <v>584</v>
      </c>
      <c r="D139" s="1499">
        <v>0</v>
      </c>
      <c r="E139" s="1688"/>
    </row>
    <row r="140" spans="1:69" ht="15" customHeight="1" x14ac:dyDescent="0.2">
      <c r="A140" s="1705"/>
      <c r="B140" s="1707"/>
      <c r="C140" s="1422" t="s">
        <v>585</v>
      </c>
      <c r="D140" s="1499">
        <v>0</v>
      </c>
      <c r="E140" s="1688"/>
    </row>
    <row r="141" spans="1:69" ht="15" customHeight="1" x14ac:dyDescent="0.2">
      <c r="A141" s="1705"/>
      <c r="B141" s="1707"/>
      <c r="C141" s="1422" t="s">
        <v>586</v>
      </c>
      <c r="D141" s="1499">
        <v>0</v>
      </c>
      <c r="E141" s="1688"/>
    </row>
    <row r="142" spans="1:69" ht="15" customHeight="1" x14ac:dyDescent="0.2">
      <c r="A142" s="1705"/>
      <c r="B142" s="1707"/>
      <c r="C142" s="1422" t="s">
        <v>587</v>
      </c>
      <c r="D142" s="1499">
        <v>0</v>
      </c>
      <c r="E142" s="1688"/>
    </row>
    <row r="143" spans="1:69" ht="15" customHeight="1" x14ac:dyDescent="0.2">
      <c r="A143" s="1705"/>
      <c r="B143" s="1707"/>
      <c r="C143" s="1422" t="s">
        <v>588</v>
      </c>
      <c r="D143" s="1499">
        <v>0</v>
      </c>
      <c r="E143" s="1688"/>
    </row>
    <row r="144" spans="1:69" ht="15" customHeight="1" x14ac:dyDescent="0.2">
      <c r="A144" s="1705"/>
      <c r="B144" s="1707"/>
      <c r="C144" s="1422" t="s">
        <v>135</v>
      </c>
      <c r="D144" s="1499">
        <v>0</v>
      </c>
      <c r="E144" s="1688"/>
    </row>
    <row r="145" spans="1:69" ht="15" customHeight="1" x14ac:dyDescent="0.2">
      <c r="A145" s="1705"/>
      <c r="B145" s="1707"/>
      <c r="C145" s="1422" t="s">
        <v>136</v>
      </c>
      <c r="D145" s="1499">
        <v>0</v>
      </c>
      <c r="E145" s="1688"/>
    </row>
    <row r="146" spans="1:69" s="1258" customFormat="1" ht="15" customHeight="1" thickBot="1" x14ac:dyDescent="0.25">
      <c r="A146" s="1706"/>
      <c r="B146" s="1718"/>
      <c r="C146" s="1423" t="s">
        <v>137</v>
      </c>
      <c r="D146" s="1500">
        <v>0</v>
      </c>
      <c r="E146" s="1700"/>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row>
    <row r="147" spans="1:69" s="1260" customFormat="1" ht="69.75" customHeight="1" thickBot="1" x14ac:dyDescent="0.25">
      <c r="A147" s="1701" t="s">
        <v>1293</v>
      </c>
      <c r="B147" s="1701" t="s">
        <v>1986</v>
      </c>
      <c r="C147" s="541" t="s">
        <v>5783</v>
      </c>
      <c r="D147" s="1502"/>
      <c r="E147" s="1687" t="s">
        <v>5628</v>
      </c>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row>
    <row r="148" spans="1:69" ht="27" customHeight="1" x14ac:dyDescent="0.2">
      <c r="A148" s="1702"/>
      <c r="B148" s="1707"/>
      <c r="C148" s="1421" t="s">
        <v>2438</v>
      </c>
      <c r="D148" s="1505">
        <v>0</v>
      </c>
      <c r="E148" s="1688"/>
    </row>
    <row r="149" spans="1:69" ht="27" customHeight="1" x14ac:dyDescent="0.2">
      <c r="A149" s="1702"/>
      <c r="B149" s="1707"/>
      <c r="C149" s="1424" t="s">
        <v>2440</v>
      </c>
      <c r="D149" s="1505">
        <v>0</v>
      </c>
      <c r="E149" s="1688"/>
    </row>
    <row r="150" spans="1:69" s="1258" customFormat="1" ht="32.25" customHeight="1" thickBot="1" x14ac:dyDescent="0.25">
      <c r="A150" s="1703"/>
      <c r="B150" s="1708"/>
      <c r="C150" s="1420" t="s">
        <v>2439</v>
      </c>
      <c r="D150" s="1506">
        <v>0</v>
      </c>
      <c r="E150" s="1688"/>
      <c r="F150" s="1259"/>
      <c r="G150" s="1259"/>
      <c r="H150" s="1259"/>
      <c r="I150" s="1259"/>
      <c r="J150" s="1259"/>
      <c r="K150" s="1259"/>
      <c r="L150" s="1259"/>
      <c r="M150" s="1259"/>
      <c r="N150" s="1259"/>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row>
    <row r="151" spans="1:69" s="1263" customFormat="1" ht="60" customHeight="1" thickBot="1" x14ac:dyDescent="0.25">
      <c r="A151" s="49" t="s">
        <v>1294</v>
      </c>
      <c r="B151" s="49" t="s">
        <v>2437</v>
      </c>
      <c r="C151" s="428" t="s">
        <v>2553</v>
      </c>
      <c r="D151" s="1515">
        <v>0</v>
      </c>
      <c r="E151" s="49" t="s">
        <v>5629</v>
      </c>
      <c r="F151" s="1259"/>
      <c r="G151" s="1259"/>
      <c r="H151" s="1259"/>
      <c r="I151" s="1259"/>
      <c r="J151" s="1259"/>
      <c r="K151" s="1259"/>
      <c r="L151" s="1259"/>
      <c r="M151" s="1259"/>
      <c r="N151" s="1259"/>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row>
    <row r="152" spans="1:69" s="1260" customFormat="1" ht="30" customHeight="1" thickBot="1" x14ac:dyDescent="0.25">
      <c r="A152" s="1687" t="s">
        <v>1295</v>
      </c>
      <c r="B152" s="1704" t="s">
        <v>186</v>
      </c>
      <c r="C152" s="541" t="s">
        <v>2296</v>
      </c>
      <c r="D152" s="1502"/>
      <c r="E152" s="1687" t="s">
        <v>5617</v>
      </c>
      <c r="F152" s="1259"/>
      <c r="G152" s="1259"/>
      <c r="H152" s="1259"/>
      <c r="I152" s="1259"/>
      <c r="J152" s="1259"/>
      <c r="K152" s="1259"/>
      <c r="L152" s="1259"/>
      <c r="M152" s="1259"/>
      <c r="N152" s="1259"/>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row>
    <row r="153" spans="1:69" ht="27" customHeight="1" x14ac:dyDescent="0.2">
      <c r="A153" s="1688"/>
      <c r="B153" s="1705"/>
      <c r="C153" s="1421" t="s">
        <v>1987</v>
      </c>
      <c r="D153" s="1505">
        <v>0</v>
      </c>
      <c r="E153" s="1688"/>
    </row>
    <row r="154" spans="1:69" ht="15" customHeight="1" x14ac:dyDescent="0.2">
      <c r="A154" s="1688"/>
      <c r="B154" s="1705"/>
      <c r="C154" s="1422" t="s">
        <v>589</v>
      </c>
      <c r="D154" s="1499">
        <v>0</v>
      </c>
      <c r="E154" s="1688"/>
    </row>
    <row r="155" spans="1:69" ht="15" customHeight="1" x14ac:dyDescent="0.2">
      <c r="A155" s="1688"/>
      <c r="B155" s="1705"/>
      <c r="C155" s="1422" t="s">
        <v>590</v>
      </c>
      <c r="D155" s="1505">
        <v>0</v>
      </c>
      <c r="E155" s="1688"/>
    </row>
    <row r="156" spans="1:69" s="1258" customFormat="1" ht="27" customHeight="1" thickBot="1" x14ac:dyDescent="0.25">
      <c r="A156" s="1689"/>
      <c r="B156" s="1706"/>
      <c r="C156" s="1423" t="s">
        <v>5231</v>
      </c>
      <c r="D156" s="1506">
        <v>0</v>
      </c>
      <c r="E156" s="1689"/>
      <c r="F156" s="1259"/>
      <c r="G156" s="1259"/>
      <c r="H156" s="1259"/>
      <c r="I156" s="1259"/>
      <c r="J156" s="1259"/>
      <c r="K156" s="1259"/>
      <c r="L156" s="1259"/>
      <c r="M156" s="1259"/>
      <c r="N156" s="1259"/>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row>
    <row r="157" spans="1:69" s="1260" customFormat="1" ht="30" customHeight="1" thickBot="1" x14ac:dyDescent="0.25">
      <c r="A157" s="1687" t="s">
        <v>1296</v>
      </c>
      <c r="B157" s="1687" t="s">
        <v>2625</v>
      </c>
      <c r="C157" s="541" t="s">
        <v>2207</v>
      </c>
      <c r="D157" s="1502"/>
      <c r="E157" s="1701" t="s">
        <v>5630</v>
      </c>
      <c r="F157" s="1259"/>
      <c r="G157" s="1259"/>
      <c r="H157" s="1259"/>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row>
    <row r="158" spans="1:69" ht="15" customHeight="1" x14ac:dyDescent="0.2">
      <c r="A158" s="1688"/>
      <c r="B158" s="1705"/>
      <c r="C158" s="809" t="s">
        <v>83</v>
      </c>
      <c r="D158" s="1499">
        <v>0</v>
      </c>
      <c r="E158" s="1702"/>
    </row>
    <row r="159" spans="1:69" ht="15" customHeight="1" x14ac:dyDescent="0.2">
      <c r="A159" s="1688"/>
      <c r="B159" s="1705"/>
      <c r="C159" s="1422" t="s">
        <v>54</v>
      </c>
      <c r="D159" s="1505">
        <v>0</v>
      </c>
      <c r="E159" s="1702"/>
    </row>
    <row r="160" spans="1:69" s="1258" customFormat="1" ht="15" customHeight="1" thickBot="1" x14ac:dyDescent="0.25">
      <c r="A160" s="1689"/>
      <c r="B160" s="1706"/>
      <c r="C160" s="1423" t="s">
        <v>55</v>
      </c>
      <c r="D160" s="1506">
        <v>0</v>
      </c>
      <c r="E160" s="1712"/>
      <c r="F160" s="1259"/>
      <c r="G160" s="1259"/>
      <c r="H160" s="1259"/>
      <c r="I160" s="1259"/>
      <c r="J160" s="1259"/>
      <c r="K160" s="1259"/>
      <c r="L160" s="1259"/>
      <c r="M160" s="1259"/>
      <c r="N160" s="1259"/>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row>
    <row r="161" spans="1:69" s="1260" customFormat="1" ht="119.25" customHeight="1" thickBot="1" x14ac:dyDescent="0.25">
      <c r="A161" s="1687" t="s">
        <v>1297</v>
      </c>
      <c r="B161" s="1704" t="s">
        <v>862</v>
      </c>
      <c r="C161" s="541" t="s">
        <v>1235</v>
      </c>
      <c r="D161" s="1502"/>
      <c r="E161" s="1687" t="s">
        <v>5596</v>
      </c>
      <c r="F161" s="1259"/>
      <c r="G161" s="1259"/>
      <c r="H161" s="1259"/>
      <c r="I161" s="1259"/>
      <c r="J161" s="1259"/>
      <c r="K161" s="1259"/>
      <c r="L161" s="1259"/>
      <c r="M161" s="1259"/>
      <c r="N161" s="1259"/>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row>
    <row r="162" spans="1:69" ht="15" customHeight="1" x14ac:dyDescent="0.2">
      <c r="A162" s="1688"/>
      <c r="B162" s="1705"/>
      <c r="C162" s="1421" t="s">
        <v>59</v>
      </c>
      <c r="D162" s="1499">
        <v>0</v>
      </c>
      <c r="E162" s="1688"/>
    </row>
    <row r="163" spans="1:69" ht="15" customHeight="1" x14ac:dyDescent="0.2">
      <c r="A163" s="1688"/>
      <c r="B163" s="1705"/>
      <c r="C163" s="1422" t="s">
        <v>190</v>
      </c>
      <c r="D163" s="1499">
        <v>0</v>
      </c>
      <c r="E163" s="1688"/>
    </row>
    <row r="164" spans="1:69" s="1258" customFormat="1" ht="15" customHeight="1" thickBot="1" x14ac:dyDescent="0.25">
      <c r="A164" s="1689"/>
      <c r="B164" s="1706"/>
      <c r="C164" s="1423" t="s">
        <v>84</v>
      </c>
      <c r="D164" s="1506">
        <v>0</v>
      </c>
      <c r="E164" s="1689"/>
      <c r="F164" s="1259"/>
      <c r="G164" s="1259"/>
      <c r="H164" s="1259"/>
      <c r="I164" s="1259"/>
      <c r="J164" s="1259"/>
      <c r="K164" s="1259"/>
      <c r="L164" s="1259"/>
      <c r="M164" s="1259"/>
      <c r="N164" s="1259"/>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row>
    <row r="165" spans="1:69" s="1260" customFormat="1" ht="21" customHeight="1" thickBot="1" x14ac:dyDescent="0.25">
      <c r="A165" s="1687" t="s">
        <v>1298</v>
      </c>
      <c r="B165" s="1687" t="s">
        <v>168</v>
      </c>
      <c r="C165" s="541" t="s">
        <v>2456</v>
      </c>
      <c r="D165" s="1502"/>
      <c r="E165" s="1688" t="s">
        <v>5597</v>
      </c>
      <c r="F165" s="1259"/>
      <c r="G165" s="1259"/>
      <c r="H165" s="1259"/>
      <c r="I165" s="1259"/>
      <c r="J165" s="1259"/>
      <c r="K165" s="1259"/>
      <c r="L165" s="1259"/>
      <c r="M165" s="1259"/>
      <c r="N165" s="1259"/>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row>
    <row r="166" spans="1:69" ht="15" customHeight="1" x14ac:dyDescent="0.2">
      <c r="A166" s="1688"/>
      <c r="B166" s="1688"/>
      <c r="C166" s="1421" t="s">
        <v>2294</v>
      </c>
      <c r="D166" s="1505">
        <v>0</v>
      </c>
      <c r="E166" s="1688"/>
    </row>
    <row r="167" spans="1:69" ht="15" customHeight="1" x14ac:dyDescent="0.2">
      <c r="A167" s="1688"/>
      <c r="B167" s="1688"/>
      <c r="C167" s="1422" t="s">
        <v>2295</v>
      </c>
      <c r="D167" s="1499">
        <v>0</v>
      </c>
      <c r="E167" s="1688"/>
    </row>
    <row r="168" spans="1:69" s="1258" customFormat="1" ht="15" customHeight="1" thickBot="1" x14ac:dyDescent="0.25">
      <c r="A168" s="1689"/>
      <c r="B168" s="1689"/>
      <c r="C168" s="1423" t="s">
        <v>2184</v>
      </c>
      <c r="D168" s="1506">
        <v>0</v>
      </c>
      <c r="E168" s="1688"/>
      <c r="F168" s="1259"/>
      <c r="G168" s="1259"/>
      <c r="H168" s="1259"/>
      <c r="I168" s="1259"/>
      <c r="J168" s="1259"/>
      <c r="K168" s="1259"/>
      <c r="L168" s="1259"/>
      <c r="M168" s="1259"/>
      <c r="N168" s="1259"/>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row>
    <row r="169" spans="1:69" s="1260" customFormat="1" ht="24" customHeight="1" thickBot="1" x14ac:dyDescent="0.25">
      <c r="A169" s="1687" t="s">
        <v>1299</v>
      </c>
      <c r="B169" s="1687" t="s">
        <v>22</v>
      </c>
      <c r="C169" s="541" t="s">
        <v>2064</v>
      </c>
      <c r="D169" s="1502"/>
      <c r="E169" s="1687" t="s">
        <v>5598</v>
      </c>
      <c r="F169" s="1259"/>
      <c r="G169" s="1259"/>
      <c r="H169" s="1259"/>
      <c r="I169" s="1259"/>
      <c r="J169" s="1259"/>
      <c r="K169" s="1259"/>
      <c r="L169" s="1259"/>
      <c r="M169" s="1259"/>
      <c r="N169" s="1259"/>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row>
    <row r="170" spans="1:69" ht="15" customHeight="1" x14ac:dyDescent="0.2">
      <c r="A170" s="1688"/>
      <c r="B170" s="1688"/>
      <c r="C170" s="1421" t="s">
        <v>2358</v>
      </c>
      <c r="D170" s="1505">
        <v>0</v>
      </c>
      <c r="E170" s="1688"/>
    </row>
    <row r="171" spans="1:69" ht="15" customHeight="1" x14ac:dyDescent="0.2">
      <c r="A171" s="1688"/>
      <c r="B171" s="1688"/>
      <c r="C171" s="1445" t="s">
        <v>861</v>
      </c>
      <c r="D171" s="1505">
        <v>0</v>
      </c>
      <c r="E171" s="1688"/>
    </row>
    <row r="172" spans="1:69" ht="15" customHeight="1" x14ac:dyDescent="0.2">
      <c r="A172" s="1688"/>
      <c r="B172" s="1688"/>
      <c r="C172" s="1422" t="s">
        <v>207</v>
      </c>
      <c r="D172" s="1505">
        <v>0</v>
      </c>
      <c r="E172" s="1688"/>
    </row>
    <row r="173" spans="1:69" s="1258" customFormat="1" ht="21" customHeight="1" thickBot="1" x14ac:dyDescent="0.25">
      <c r="A173" s="1689"/>
      <c r="B173" s="1689"/>
      <c r="C173" s="1423" t="s">
        <v>206</v>
      </c>
      <c r="D173" s="1516">
        <v>0</v>
      </c>
      <c r="E173" s="1689"/>
      <c r="F173" s="1259"/>
      <c r="G173" s="1259"/>
      <c r="H173" s="1259"/>
      <c r="I173" s="1259"/>
      <c r="J173" s="1259"/>
      <c r="K173" s="1259"/>
      <c r="L173" s="1259"/>
      <c r="M173" s="1259"/>
      <c r="N173" s="1259"/>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row>
    <row r="174" spans="1:69" s="1260" customFormat="1" ht="30" customHeight="1" thickBot="1" x14ac:dyDescent="0.25">
      <c r="A174" s="1687" t="s">
        <v>1300</v>
      </c>
      <c r="B174" s="1687" t="s">
        <v>2190</v>
      </c>
      <c r="C174" s="541" t="s">
        <v>2599</v>
      </c>
      <c r="D174" s="1497"/>
      <c r="E174" s="1687" t="s">
        <v>5599</v>
      </c>
      <c r="F174" s="1259"/>
      <c r="G174" s="1259"/>
      <c r="H174" s="1259"/>
      <c r="I174" s="1259"/>
      <c r="J174" s="1259"/>
      <c r="K174" s="1259"/>
      <c r="L174" s="1259"/>
      <c r="M174" s="1259"/>
      <c r="N174" s="1259"/>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row>
    <row r="175" spans="1:69" ht="15" customHeight="1" x14ac:dyDescent="0.2">
      <c r="A175" s="1688"/>
      <c r="B175" s="1688"/>
      <c r="C175" s="1446" t="s">
        <v>1974</v>
      </c>
      <c r="D175" s="1517">
        <v>0</v>
      </c>
      <c r="E175" s="1688"/>
    </row>
    <row r="176" spans="1:69" ht="15" customHeight="1" x14ac:dyDescent="0.2">
      <c r="A176" s="1688"/>
      <c r="B176" s="1688"/>
      <c r="C176" s="1441" t="s">
        <v>1975</v>
      </c>
      <c r="D176" s="1505">
        <v>0</v>
      </c>
      <c r="E176" s="1688"/>
    </row>
    <row r="177" spans="1:69" ht="15" customHeight="1" x14ac:dyDescent="0.2">
      <c r="A177" s="1688"/>
      <c r="B177" s="1688"/>
      <c r="C177" s="1441" t="s">
        <v>1976</v>
      </c>
      <c r="D177" s="1505">
        <v>0</v>
      </c>
      <c r="E177" s="1688"/>
    </row>
    <row r="178" spans="1:69" ht="15" customHeight="1" x14ac:dyDescent="0.2">
      <c r="A178" s="1688"/>
      <c r="B178" s="1688"/>
      <c r="C178" s="1441" t="s">
        <v>1978</v>
      </c>
      <c r="D178" s="1518">
        <v>0</v>
      </c>
      <c r="E178" s="1688"/>
    </row>
    <row r="179" spans="1:69" ht="15" customHeight="1" x14ac:dyDescent="0.2">
      <c r="A179" s="1688"/>
      <c r="B179" s="1688"/>
      <c r="C179" s="1441" t="s">
        <v>1977</v>
      </c>
      <c r="D179" s="1505">
        <v>0</v>
      </c>
      <c r="E179" s="1688"/>
    </row>
    <row r="180" spans="1:69" s="1258" customFormat="1" ht="15" customHeight="1" thickBot="1" x14ac:dyDescent="0.25">
      <c r="A180" s="1688"/>
      <c r="B180" s="1688"/>
      <c r="C180" s="1442" t="s">
        <v>565</v>
      </c>
      <c r="D180" s="1506">
        <v>0</v>
      </c>
      <c r="E180" s="1688"/>
      <c r="F180" s="1259"/>
      <c r="G180" s="1259"/>
      <c r="H180" s="1259"/>
      <c r="I180" s="1259"/>
      <c r="J180" s="1259"/>
      <c r="K180" s="1259"/>
      <c r="L180" s="1259"/>
      <c r="M180" s="1259"/>
      <c r="N180" s="1259"/>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row>
    <row r="181" spans="1:69" s="1258" customFormat="1" ht="45" customHeight="1" thickBot="1" x14ac:dyDescent="0.25">
      <c r="A181" s="49" t="s">
        <v>1301</v>
      </c>
      <c r="B181" s="49" t="s">
        <v>2626</v>
      </c>
      <c r="C181" s="428" t="s">
        <v>2629</v>
      </c>
      <c r="D181" s="1519">
        <v>0</v>
      </c>
      <c r="E181" s="1438" t="s">
        <v>5631</v>
      </c>
      <c r="F181" s="1259"/>
      <c r="G181" s="1259"/>
      <c r="H181" s="1259"/>
      <c r="I181" s="1259"/>
      <c r="J181" s="1259"/>
      <c r="K181" s="1259"/>
      <c r="L181" s="1259"/>
      <c r="M181" s="1259"/>
      <c r="N181" s="1259"/>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row>
    <row r="182" spans="1:69" s="1263" customFormat="1" ht="45" customHeight="1" thickBot="1" x14ac:dyDescent="0.25">
      <c r="A182" s="110" t="s">
        <v>1302</v>
      </c>
      <c r="B182" s="110" t="s">
        <v>1217</v>
      </c>
      <c r="C182" s="429" t="s">
        <v>2628</v>
      </c>
      <c r="D182" s="1520">
        <v>0</v>
      </c>
      <c r="E182" s="121" t="s">
        <v>5600</v>
      </c>
      <c r="F182" s="1259"/>
      <c r="G182" s="1259"/>
      <c r="H182" s="1259"/>
      <c r="I182" s="1259"/>
      <c r="J182" s="1259"/>
      <c r="K182" s="1259"/>
      <c r="L182" s="1259"/>
      <c r="M182" s="1259"/>
      <c r="N182" s="1259"/>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row>
    <row r="183" spans="1:69" s="1260" customFormat="1" ht="21" customHeight="1" thickBot="1" x14ac:dyDescent="0.25">
      <c r="A183" s="1687" t="s">
        <v>1303</v>
      </c>
      <c r="B183" s="1687" t="s">
        <v>1233</v>
      </c>
      <c r="C183" s="428" t="s">
        <v>5742</v>
      </c>
      <c r="D183" s="1502"/>
      <c r="E183" s="1687" t="s">
        <v>5632</v>
      </c>
      <c r="F183" s="1259"/>
      <c r="G183" s="1259"/>
      <c r="H183" s="1259"/>
      <c r="I183" s="1259"/>
      <c r="J183" s="1259"/>
      <c r="K183" s="1259"/>
      <c r="L183" s="1259"/>
      <c r="M183" s="1259"/>
      <c r="N183" s="1259"/>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row>
    <row r="184" spans="1:69" ht="27" customHeight="1" x14ac:dyDescent="0.2">
      <c r="A184" s="1688"/>
      <c r="B184" s="1688"/>
      <c r="C184" s="1421" t="s">
        <v>5741</v>
      </c>
      <c r="D184" s="1521">
        <v>0</v>
      </c>
      <c r="E184" s="1688"/>
    </row>
    <row r="185" spans="1:69" ht="27" customHeight="1" x14ac:dyDescent="0.2">
      <c r="A185" s="1688"/>
      <c r="B185" s="1688"/>
      <c r="C185" s="1422" t="s">
        <v>5744</v>
      </c>
      <c r="D185" s="1505">
        <v>0</v>
      </c>
      <c r="E185" s="1688"/>
    </row>
    <row r="186" spans="1:69" s="1258" customFormat="1" ht="15" customHeight="1" thickBot="1" x14ac:dyDescent="0.25">
      <c r="A186" s="1688"/>
      <c r="B186" s="1688"/>
      <c r="C186" s="1422" t="s">
        <v>1179</v>
      </c>
      <c r="D186" s="1505">
        <v>0</v>
      </c>
      <c r="E186" s="1688"/>
      <c r="F186" s="1259"/>
      <c r="G186" s="1259"/>
      <c r="H186" s="1259"/>
      <c r="I186" s="1259"/>
      <c r="J186" s="1259"/>
      <c r="K186" s="1259"/>
      <c r="L186" s="1259"/>
      <c r="M186" s="1259"/>
      <c r="N186" s="1259"/>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row>
    <row r="187" spans="1:69" ht="15" customHeight="1" thickBot="1" x14ac:dyDescent="0.25">
      <c r="A187" s="1689"/>
      <c r="B187" s="1689"/>
      <c r="C187" s="1358" t="s">
        <v>5743</v>
      </c>
      <c r="D187" s="1503">
        <v>0</v>
      </c>
      <c r="E187" s="1689"/>
    </row>
    <row r="188" spans="1:69" s="1260" customFormat="1" ht="21" customHeight="1" thickBot="1" x14ac:dyDescent="0.25">
      <c r="A188" s="1687" t="s">
        <v>1304</v>
      </c>
      <c r="B188" s="1687" t="s">
        <v>221</v>
      </c>
      <c r="C188" s="541" t="s">
        <v>1200</v>
      </c>
      <c r="D188" s="1497"/>
      <c r="E188" s="1687" t="s">
        <v>5633</v>
      </c>
      <c r="F188" s="1259"/>
      <c r="G188" s="1259"/>
      <c r="H188" s="1259"/>
      <c r="I188" s="1259"/>
      <c r="J188" s="1259"/>
      <c r="K188" s="1259"/>
      <c r="L188" s="1259"/>
      <c r="M188" s="1259"/>
      <c r="N188" s="1259"/>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row>
    <row r="189" spans="1:69" ht="15" customHeight="1" x14ac:dyDescent="0.2">
      <c r="A189" s="1688"/>
      <c r="B189" s="1688"/>
      <c r="C189" s="1421" t="s">
        <v>2033</v>
      </c>
      <c r="D189" s="1522">
        <v>0</v>
      </c>
      <c r="E189" s="1688"/>
    </row>
    <row r="190" spans="1:69" ht="15" customHeight="1" x14ac:dyDescent="0.2">
      <c r="A190" s="1688"/>
      <c r="B190" s="1688"/>
      <c r="C190" s="1422" t="s">
        <v>2034</v>
      </c>
      <c r="D190" s="1505">
        <v>0</v>
      </c>
      <c r="E190" s="1688"/>
    </row>
    <row r="191" spans="1:69" s="1258" customFormat="1" ht="27" customHeight="1" thickBot="1" x14ac:dyDescent="0.25">
      <c r="A191" s="1688"/>
      <c r="B191" s="1688"/>
      <c r="C191" s="1440" t="s">
        <v>2086</v>
      </c>
      <c r="D191" s="1506">
        <v>0</v>
      </c>
      <c r="E191" s="1688"/>
      <c r="F191" s="1259"/>
      <c r="G191" s="1259"/>
      <c r="H191" s="1259"/>
      <c r="I191" s="1259"/>
      <c r="J191" s="1259"/>
      <c r="K191" s="1259"/>
      <c r="L191" s="1259"/>
      <c r="M191" s="1259"/>
      <c r="N191" s="1259"/>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row>
    <row r="192" spans="1:69" s="1263" customFormat="1" ht="30" customHeight="1" thickBot="1" x14ac:dyDescent="0.25">
      <c r="A192" s="49" t="s">
        <v>1305</v>
      </c>
      <c r="B192" s="49" t="s">
        <v>1219</v>
      </c>
      <c r="C192" s="541" t="s">
        <v>1763</v>
      </c>
      <c r="D192" s="1509">
        <v>0</v>
      </c>
      <c r="E192" s="49" t="s">
        <v>5601</v>
      </c>
      <c r="F192" s="1259"/>
      <c r="G192" s="1259"/>
      <c r="H192" s="1259"/>
      <c r="I192" s="1259"/>
      <c r="J192" s="1259"/>
      <c r="K192" s="1259"/>
      <c r="L192" s="1259"/>
      <c r="M192" s="1259"/>
      <c r="N192" s="1259"/>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row>
    <row r="193" spans="1:67" s="1260" customFormat="1" ht="45" customHeight="1" thickBot="1" x14ac:dyDescent="0.25">
      <c r="A193" s="1687" t="s">
        <v>1306</v>
      </c>
      <c r="B193" s="1687" t="s">
        <v>1218</v>
      </c>
      <c r="C193" s="541" t="s">
        <v>2534</v>
      </c>
      <c r="D193" s="1497"/>
      <c r="E193" s="1687" t="s">
        <v>5634</v>
      </c>
      <c r="F193" s="1259"/>
      <c r="G193" s="1259"/>
      <c r="H193" s="1259"/>
      <c r="I193" s="1259"/>
      <c r="J193" s="1259"/>
      <c r="K193" s="1259"/>
      <c r="L193" s="1259"/>
      <c r="M193" s="1259"/>
      <c r="N193" s="1259"/>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row>
    <row r="194" spans="1:67" ht="15" customHeight="1" x14ac:dyDescent="0.2">
      <c r="A194" s="1688"/>
      <c r="B194" s="1705"/>
      <c r="C194" s="1421" t="s">
        <v>78</v>
      </c>
      <c r="D194" s="1498">
        <v>0</v>
      </c>
      <c r="E194" s="1688"/>
    </row>
    <row r="195" spans="1:67" ht="15" customHeight="1" x14ac:dyDescent="0.2">
      <c r="A195" s="1688"/>
      <c r="B195" s="1705"/>
      <c r="C195" s="1424" t="s">
        <v>2451</v>
      </c>
      <c r="D195" s="1499">
        <v>0</v>
      </c>
      <c r="E195" s="1688"/>
    </row>
    <row r="196" spans="1:67" ht="15" customHeight="1" x14ac:dyDescent="0.2">
      <c r="A196" s="1688"/>
      <c r="B196" s="1705"/>
      <c r="C196" s="1424" t="s">
        <v>2185</v>
      </c>
      <c r="D196" s="1499">
        <v>0</v>
      </c>
      <c r="E196" s="1688"/>
    </row>
    <row r="197" spans="1:67" s="1258" customFormat="1" ht="15" customHeight="1" thickBot="1" x14ac:dyDescent="0.25">
      <c r="A197" s="1689"/>
      <c r="B197" s="1706"/>
      <c r="C197" s="1423" t="s">
        <v>120</v>
      </c>
      <c r="D197" s="1500">
        <v>0</v>
      </c>
      <c r="E197" s="1689"/>
      <c r="F197" s="1259"/>
      <c r="G197" s="1259"/>
      <c r="H197" s="1259"/>
      <c r="I197" s="1259"/>
      <c r="J197" s="1259"/>
      <c r="K197" s="1259"/>
      <c r="L197" s="1259"/>
      <c r="M197" s="1259"/>
      <c r="N197" s="1259"/>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row>
    <row r="198" spans="1:67" s="1260" customFormat="1" ht="45" customHeight="1" thickBot="1" x14ac:dyDescent="0.25">
      <c r="A198" s="1687" t="s">
        <v>1307</v>
      </c>
      <c r="B198" s="1704" t="s">
        <v>177</v>
      </c>
      <c r="C198" s="541" t="s">
        <v>2535</v>
      </c>
      <c r="D198" s="1502"/>
      <c r="E198" s="1687" t="s">
        <v>5618</v>
      </c>
      <c r="F198" s="1259"/>
      <c r="G198" s="1259"/>
      <c r="H198" s="1259"/>
      <c r="I198" s="1259"/>
      <c r="J198" s="1259"/>
      <c r="K198" s="1259"/>
      <c r="L198" s="1259"/>
      <c r="M198" s="1259"/>
      <c r="N198" s="1259"/>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row>
    <row r="199" spans="1:67" ht="15" customHeight="1" x14ac:dyDescent="0.2">
      <c r="A199" s="1688"/>
      <c r="B199" s="1705"/>
      <c r="C199" s="1421" t="s">
        <v>78</v>
      </c>
      <c r="D199" s="1499">
        <v>0</v>
      </c>
      <c r="E199" s="1688"/>
    </row>
    <row r="200" spans="1:67" ht="15" customHeight="1" x14ac:dyDescent="0.2">
      <c r="A200" s="1688"/>
      <c r="B200" s="1705"/>
      <c r="C200" s="1424" t="s">
        <v>79</v>
      </c>
      <c r="D200" s="1499">
        <v>0</v>
      </c>
      <c r="E200" s="1688"/>
    </row>
    <row r="201" spans="1:67" ht="15" customHeight="1" x14ac:dyDescent="0.2">
      <c r="A201" s="1688"/>
      <c r="B201" s="1705"/>
      <c r="C201" s="1424" t="s">
        <v>80</v>
      </c>
      <c r="D201" s="1499">
        <v>0</v>
      </c>
      <c r="E201" s="1688"/>
    </row>
    <row r="202" spans="1:67" ht="42" customHeight="1" x14ac:dyDescent="0.2">
      <c r="A202" s="1688"/>
      <c r="B202" s="1705"/>
      <c r="C202" s="431" t="s">
        <v>1201</v>
      </c>
      <c r="D202" s="1499">
        <v>0</v>
      </c>
      <c r="E202" s="1688"/>
    </row>
    <row r="203" spans="1:67" s="1258" customFormat="1" ht="15" customHeight="1" thickBot="1" x14ac:dyDescent="0.25">
      <c r="A203" s="1689"/>
      <c r="B203" s="1706"/>
      <c r="C203" s="433" t="s">
        <v>1204</v>
      </c>
      <c r="D203" s="1503">
        <v>0</v>
      </c>
      <c r="E203" s="1689"/>
      <c r="F203" s="1259"/>
      <c r="G203" s="1259"/>
      <c r="H203" s="1259"/>
      <c r="I203" s="1259"/>
      <c r="J203" s="1259"/>
      <c r="K203" s="1259"/>
      <c r="L203" s="1259"/>
      <c r="M203" s="1259"/>
      <c r="N203" s="1259"/>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row>
    <row r="204" spans="1:67" s="1260" customFormat="1" ht="42.75" customHeight="1" thickBot="1" x14ac:dyDescent="0.25">
      <c r="A204" s="1687" t="s">
        <v>1308</v>
      </c>
      <c r="B204" s="1704" t="s">
        <v>81</v>
      </c>
      <c r="C204" s="541" t="s">
        <v>5608</v>
      </c>
      <c r="D204" s="1497"/>
      <c r="E204" s="1687" t="s">
        <v>5619</v>
      </c>
      <c r="F204" s="1259"/>
      <c r="G204" s="1259"/>
      <c r="H204" s="1259"/>
      <c r="I204" s="1259"/>
      <c r="J204" s="1259"/>
      <c r="K204" s="1259"/>
      <c r="L204" s="1259"/>
      <c r="M204" s="1259"/>
      <c r="N204" s="1259"/>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row>
    <row r="205" spans="1:67" ht="15" customHeight="1" x14ac:dyDescent="0.2">
      <c r="A205" s="1688"/>
      <c r="B205" s="1705"/>
      <c r="C205" s="1421" t="s">
        <v>78</v>
      </c>
      <c r="D205" s="1498">
        <v>0</v>
      </c>
      <c r="E205" s="1688"/>
    </row>
    <row r="206" spans="1:67" ht="15" customHeight="1" x14ac:dyDescent="0.2">
      <c r="A206" s="1688"/>
      <c r="B206" s="1705"/>
      <c r="C206" s="1424" t="s">
        <v>79</v>
      </c>
      <c r="D206" s="1499">
        <v>0</v>
      </c>
      <c r="E206" s="1688"/>
    </row>
    <row r="207" spans="1:67" ht="15" customHeight="1" x14ac:dyDescent="0.2">
      <c r="A207" s="1688"/>
      <c r="B207" s="1705"/>
      <c r="C207" s="1424" t="s">
        <v>80</v>
      </c>
      <c r="D207" s="1499">
        <v>0</v>
      </c>
      <c r="E207" s="1688"/>
    </row>
    <row r="208" spans="1:67" s="1258" customFormat="1" ht="15" customHeight="1" thickBot="1" x14ac:dyDescent="0.25">
      <c r="A208" s="1689"/>
      <c r="B208" s="1706"/>
      <c r="C208" s="1423" t="s">
        <v>1202</v>
      </c>
      <c r="D208" s="1503">
        <v>0</v>
      </c>
      <c r="E208" s="1689"/>
      <c r="F208" s="1259"/>
      <c r="G208" s="1259"/>
      <c r="H208" s="1259"/>
      <c r="I208" s="1259"/>
      <c r="J208" s="1259"/>
      <c r="K208" s="1259"/>
      <c r="L208" s="1259"/>
      <c r="M208" s="1259"/>
      <c r="N208" s="1259"/>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row>
    <row r="209" spans="1:67" s="1260" customFormat="1" ht="45" customHeight="1" thickBot="1" x14ac:dyDescent="0.25">
      <c r="A209" s="1687" t="s">
        <v>1315</v>
      </c>
      <c r="B209" s="1704" t="s">
        <v>82</v>
      </c>
      <c r="C209" s="541" t="s">
        <v>2624</v>
      </c>
      <c r="D209" s="1502"/>
      <c r="E209" s="1687" t="s">
        <v>5620</v>
      </c>
      <c r="F209" s="1259"/>
      <c r="G209" s="1259"/>
      <c r="H209" s="1259"/>
      <c r="I209" s="1259"/>
      <c r="J209" s="1259"/>
      <c r="K209" s="1259"/>
      <c r="L209" s="1259"/>
      <c r="M209" s="1259"/>
      <c r="N209" s="1259"/>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row>
    <row r="210" spans="1:67" ht="15" customHeight="1" x14ac:dyDescent="0.2">
      <c r="A210" s="1688"/>
      <c r="B210" s="1705"/>
      <c r="C210" s="1421" t="s">
        <v>78</v>
      </c>
      <c r="D210" s="1499">
        <v>0</v>
      </c>
      <c r="E210" s="1688"/>
    </row>
    <row r="211" spans="1:67" ht="15" customHeight="1" x14ac:dyDescent="0.2">
      <c r="A211" s="1688"/>
      <c r="B211" s="1705"/>
      <c r="C211" s="1424" t="s">
        <v>5757</v>
      </c>
      <c r="D211" s="1499">
        <v>0</v>
      </c>
      <c r="E211" s="1688"/>
    </row>
    <row r="212" spans="1:67" ht="15" customHeight="1" x14ac:dyDescent="0.2">
      <c r="A212" s="1688"/>
      <c r="B212" s="1705"/>
      <c r="C212" s="1424" t="s">
        <v>5756</v>
      </c>
      <c r="D212" s="1499">
        <v>0</v>
      </c>
      <c r="E212" s="1688"/>
    </row>
    <row r="213" spans="1:67" ht="42" customHeight="1" x14ac:dyDescent="0.2">
      <c r="A213" s="1688"/>
      <c r="B213" s="1705"/>
      <c r="C213" s="1440" t="s">
        <v>1203</v>
      </c>
      <c r="D213" s="1499">
        <v>0</v>
      </c>
      <c r="E213" s="1688"/>
    </row>
    <row r="214" spans="1:67" s="1258" customFormat="1" ht="15" customHeight="1" thickBot="1" x14ac:dyDescent="0.25">
      <c r="A214" s="1689"/>
      <c r="B214" s="1706"/>
      <c r="C214" s="1423" t="s">
        <v>1204</v>
      </c>
      <c r="D214" s="1503">
        <v>0</v>
      </c>
      <c r="E214" s="1689"/>
      <c r="F214" s="1259"/>
      <c r="G214" s="1259"/>
      <c r="H214" s="1259"/>
      <c r="I214" s="1259"/>
      <c r="J214" s="1259"/>
      <c r="K214" s="1259"/>
      <c r="L214" s="1259"/>
      <c r="M214" s="1259"/>
      <c r="N214" s="1259"/>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row>
    <row r="215" spans="1:67" s="1260" customFormat="1" ht="45" customHeight="1" thickBot="1" x14ac:dyDescent="0.25">
      <c r="A215" s="1687" t="s">
        <v>1316</v>
      </c>
      <c r="B215" s="1687" t="s">
        <v>811</v>
      </c>
      <c r="C215" s="541" t="s">
        <v>2252</v>
      </c>
      <c r="D215" s="1502"/>
      <c r="E215" s="1687" t="s">
        <v>5621</v>
      </c>
      <c r="F215" s="1259"/>
      <c r="G215" s="1259"/>
      <c r="H215" s="1259"/>
      <c r="I215" s="1259"/>
      <c r="J215" s="1259"/>
      <c r="K215" s="1259"/>
      <c r="L215" s="1259"/>
      <c r="M215" s="1259"/>
      <c r="N215" s="1259"/>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row>
    <row r="216" spans="1:67" ht="15" customHeight="1" x14ac:dyDescent="0.2">
      <c r="A216" s="1688"/>
      <c r="B216" s="1705"/>
      <c r="C216" s="1421" t="s">
        <v>1100</v>
      </c>
      <c r="D216" s="1499">
        <v>0</v>
      </c>
      <c r="E216" s="1688"/>
    </row>
    <row r="217" spans="1:67" ht="15" customHeight="1" x14ac:dyDescent="0.2">
      <c r="A217" s="1688"/>
      <c r="B217" s="1705"/>
      <c r="C217" s="1424" t="s">
        <v>1101</v>
      </c>
      <c r="D217" s="1499">
        <v>0</v>
      </c>
      <c r="E217" s="1688"/>
    </row>
    <row r="218" spans="1:67" s="1258" customFormat="1" ht="15" customHeight="1" thickBot="1" x14ac:dyDescent="0.25">
      <c r="A218" s="1689"/>
      <c r="B218" s="1706"/>
      <c r="C218" s="1423" t="s">
        <v>2347</v>
      </c>
      <c r="D218" s="1503">
        <v>0</v>
      </c>
      <c r="E218" s="168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row>
    <row r="219" spans="1:67" s="1263" customFormat="1" ht="30" customHeight="1" thickBot="1" x14ac:dyDescent="0.25">
      <c r="A219" s="49" t="s">
        <v>1317</v>
      </c>
      <c r="B219" s="110" t="s">
        <v>1878</v>
      </c>
      <c r="C219" s="15" t="s">
        <v>1961</v>
      </c>
      <c r="D219" s="1523">
        <v>0</v>
      </c>
      <c r="E219" s="109" t="s">
        <v>5602</v>
      </c>
      <c r="F219" s="1259"/>
      <c r="G219" s="1259"/>
      <c r="H219" s="1259"/>
      <c r="I219" s="1259"/>
      <c r="J219" s="1259"/>
      <c r="K219" s="1259"/>
      <c r="L219" s="1259"/>
      <c r="M219" s="1259"/>
      <c r="N219" s="1259"/>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row>
    <row r="220" spans="1:67" s="1263" customFormat="1" ht="30" customHeight="1" thickBot="1" x14ac:dyDescent="0.25">
      <c r="A220" s="49" t="s">
        <v>1964</v>
      </c>
      <c r="B220" s="112" t="s">
        <v>2</v>
      </c>
      <c r="C220" s="541" t="s">
        <v>1242</v>
      </c>
      <c r="D220" s="1509">
        <v>0</v>
      </c>
      <c r="E220" s="5" t="s">
        <v>5603</v>
      </c>
      <c r="F220" s="1259"/>
      <c r="G220" s="1259"/>
      <c r="H220" s="1259"/>
      <c r="I220" s="1259"/>
      <c r="J220" s="1259"/>
      <c r="K220" s="1259"/>
      <c r="L220" s="1259"/>
      <c r="M220" s="1259"/>
      <c r="N220" s="1259"/>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row>
    <row r="221" spans="1:67" s="1263" customFormat="1" ht="30" customHeight="1" thickBot="1" x14ac:dyDescent="0.25">
      <c r="A221" s="49" t="s">
        <v>1965</v>
      </c>
      <c r="B221" s="112" t="s">
        <v>1</v>
      </c>
      <c r="C221" s="15" t="s">
        <v>1243</v>
      </c>
      <c r="D221" s="1523">
        <v>0</v>
      </c>
      <c r="E221" s="143" t="s">
        <v>5604</v>
      </c>
      <c r="F221" s="1259"/>
      <c r="G221" s="1259"/>
      <c r="H221" s="1259"/>
      <c r="I221" s="1259"/>
      <c r="J221" s="1259"/>
      <c r="K221" s="1259"/>
      <c r="L221" s="1259"/>
      <c r="M221" s="1259"/>
      <c r="N221" s="1259"/>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row>
    <row r="222" spans="1:67" s="1263" customFormat="1" ht="45" customHeight="1" thickBot="1" x14ac:dyDescent="0.25">
      <c r="A222" s="49" t="s">
        <v>2627</v>
      </c>
      <c r="B222" s="112" t="s">
        <v>257</v>
      </c>
      <c r="C222" s="541" t="s">
        <v>2348</v>
      </c>
      <c r="D222" s="1509">
        <v>0</v>
      </c>
      <c r="E222" s="5" t="s">
        <v>5603</v>
      </c>
      <c r="F222" s="1259"/>
      <c r="G222" s="1259"/>
      <c r="H222" s="1259"/>
      <c r="I222" s="1259"/>
      <c r="J222" s="1259"/>
      <c r="K222" s="1259"/>
      <c r="L222" s="1259"/>
      <c r="M222" s="1259"/>
      <c r="N222" s="1259"/>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row>
    <row r="223" spans="1:67" ht="15" customHeight="1" x14ac:dyDescent="0.2">
      <c r="D223" s="1430"/>
    </row>
    <row r="225" spans="4:4" ht="15" customHeight="1" x14ac:dyDescent="0.2">
      <c r="D225" s="1432"/>
    </row>
    <row r="226" spans="4:4" ht="15" customHeight="1" x14ac:dyDescent="0.2">
      <c r="D226" s="1432"/>
    </row>
    <row r="227" spans="4:4" ht="15" customHeight="1" x14ac:dyDescent="0.2">
      <c r="D227" s="1432"/>
    </row>
    <row r="228" spans="4:4" ht="15" customHeight="1" x14ac:dyDescent="0.2">
      <c r="D228" s="1432"/>
    </row>
    <row r="229" spans="4:4" ht="15" customHeight="1" x14ac:dyDescent="0.2">
      <c r="D229" s="1432"/>
    </row>
    <row r="230" spans="4:4" ht="15" customHeight="1" x14ac:dyDescent="0.2">
      <c r="D230" s="1432"/>
    </row>
    <row r="231" spans="4:4" ht="15" customHeight="1" x14ac:dyDescent="0.2">
      <c r="D231" s="1432"/>
    </row>
  </sheetData>
  <sheetProtection algorithmName="SHA-512" hashValue="RgpH7Tq8safNUWXeVpeOaTdYIWwH7u7suN9rPBBnnj+MrHe7ESXS/krxmuUX64b06T4vEpbH1KTmM7EJKfgTAg==" saltValue="VvrzUimzuz1kuwQ0FOj1kw==" spinCount="100000" sheet="1" formatCells="0" formatColumns="0" formatRows="0"/>
  <sortState xmlns:xlrd2="http://schemas.microsoft.com/office/spreadsheetml/2017/richdata2" columnSort="1" ref="E3:DS231">
    <sortCondition ref="E3:DS3"/>
  </sortState>
  <customSheetViews>
    <customSheetView guid="{B8E02330-2419-4DE6-AD01-7ACC7A5D18DD}" scale="90" topLeftCell="A227">
      <selection activeCell="C248" sqref="C248"/>
      <rowBreaks count="9" manualBreakCount="9">
        <brk id="17" max="4" man="1"/>
        <brk id="48" max="4" man="1"/>
        <brk id="76" max="4" man="1"/>
        <brk id="111" max="4" man="1"/>
        <brk id="130" max="4" man="1"/>
        <brk id="150" max="4" man="1"/>
        <brk id="169" max="4" man="1"/>
        <brk id="189" max="4" man="1"/>
        <brk id="215" max="4" man="1"/>
      </rowBreaks>
      <pageMargins left="0.25" right="0.25" top="0.75" bottom="0.75" header="0.3" footer="0.3"/>
      <printOptions headings="1"/>
      <pageSetup scale="75" orientation="landscape" r:id="rId1"/>
      <headerFooter alignWithMargins="0">
        <oddFooter>&amp;LWESPUS beta version 1, by Dr. Paul Adamus&amp;R&amp;P&amp;N</oddFooter>
      </headerFooter>
    </customSheetView>
  </customSheetViews>
  <mergeCells count="107">
    <mergeCell ref="A68:A74"/>
    <mergeCell ref="B68:B74"/>
    <mergeCell ref="A75:A79"/>
    <mergeCell ref="B75:B79"/>
    <mergeCell ref="A97:A102"/>
    <mergeCell ref="A80:A85"/>
    <mergeCell ref="B97:B102"/>
    <mergeCell ref="B80:B85"/>
    <mergeCell ref="A86:A91"/>
    <mergeCell ref="A93:A96"/>
    <mergeCell ref="B86:B91"/>
    <mergeCell ref="B93:B96"/>
    <mergeCell ref="A137:A146"/>
    <mergeCell ref="B127:B131"/>
    <mergeCell ref="A127:A131"/>
    <mergeCell ref="A132:A136"/>
    <mergeCell ref="B132:B136"/>
    <mergeCell ref="B137:B146"/>
    <mergeCell ref="B188:B191"/>
    <mergeCell ref="B147:B150"/>
    <mergeCell ref="A152:A156"/>
    <mergeCell ref="A157:A160"/>
    <mergeCell ref="B161:B164"/>
    <mergeCell ref="B165:B168"/>
    <mergeCell ref="A161:A164"/>
    <mergeCell ref="B157:B160"/>
    <mergeCell ref="A183:A187"/>
    <mergeCell ref="B183:B187"/>
    <mergeCell ref="A61:A67"/>
    <mergeCell ref="B61:B67"/>
    <mergeCell ref="B54:B60"/>
    <mergeCell ref="A54:A60"/>
    <mergeCell ref="B215:B218"/>
    <mergeCell ref="A165:A168"/>
    <mergeCell ref="B193:B197"/>
    <mergeCell ref="B198:B203"/>
    <mergeCell ref="B174:B180"/>
    <mergeCell ref="A215:A218"/>
    <mergeCell ref="B169:B173"/>
    <mergeCell ref="B209:B214"/>
    <mergeCell ref="A193:A197"/>
    <mergeCell ref="A198:A203"/>
    <mergeCell ref="A204:A208"/>
    <mergeCell ref="A188:A191"/>
    <mergeCell ref="A174:A180"/>
    <mergeCell ref="A169:A173"/>
    <mergeCell ref="A209:A214"/>
    <mergeCell ref="B204:B208"/>
    <mergeCell ref="B113:B119"/>
    <mergeCell ref="B122:B126"/>
    <mergeCell ref="A122:A126"/>
    <mergeCell ref="A113:A119"/>
    <mergeCell ref="A24:A29"/>
    <mergeCell ref="B11:B17"/>
    <mergeCell ref="B30:B35"/>
    <mergeCell ref="A11:A17"/>
    <mergeCell ref="A18:A23"/>
    <mergeCell ref="A30:A35"/>
    <mergeCell ref="A36:A38"/>
    <mergeCell ref="B24:B29"/>
    <mergeCell ref="B39:B53"/>
    <mergeCell ref="A39:A53"/>
    <mergeCell ref="E215:E218"/>
    <mergeCell ref="E165:E168"/>
    <mergeCell ref="E169:E173"/>
    <mergeCell ref="E174:E180"/>
    <mergeCell ref="E137:E146"/>
    <mergeCell ref="E147:E150"/>
    <mergeCell ref="E152:E156"/>
    <mergeCell ref="E157:E160"/>
    <mergeCell ref="E161:E164"/>
    <mergeCell ref="E183:E187"/>
    <mergeCell ref="E188:E191"/>
    <mergeCell ref="E209:E214"/>
    <mergeCell ref="E113:E119"/>
    <mergeCell ref="E122:E126"/>
    <mergeCell ref="E127:E131"/>
    <mergeCell ref="E132:E136"/>
    <mergeCell ref="E75:E79"/>
    <mergeCell ref="E80:E85"/>
    <mergeCell ref="E86:E91"/>
    <mergeCell ref="E93:E96"/>
    <mergeCell ref="E97:E102"/>
    <mergeCell ref="A2:C2"/>
    <mergeCell ref="A1:C1"/>
    <mergeCell ref="E24:E29"/>
    <mergeCell ref="E30:E35"/>
    <mergeCell ref="E36:E38"/>
    <mergeCell ref="E193:E197"/>
    <mergeCell ref="E198:E203"/>
    <mergeCell ref="E204:E208"/>
    <mergeCell ref="E39:E53"/>
    <mergeCell ref="E54:E60"/>
    <mergeCell ref="E61:E67"/>
    <mergeCell ref="E68:E74"/>
    <mergeCell ref="E4:E9"/>
    <mergeCell ref="E11:E17"/>
    <mergeCell ref="E18:E23"/>
    <mergeCell ref="A105:A112"/>
    <mergeCell ref="A147:A150"/>
    <mergeCell ref="B152:B156"/>
    <mergeCell ref="B105:B112"/>
    <mergeCell ref="B4:B9"/>
    <mergeCell ref="A4:A9"/>
    <mergeCell ref="B18:B23"/>
    <mergeCell ref="B36:B38"/>
    <mergeCell ref="E105:E112"/>
  </mergeCells>
  <phoneticPr fontId="3" type="noConversion"/>
  <conditionalFormatting sqref="D152:D222 D4:D147">
    <cfRule type="cellIs" dxfId="3" priority="1" operator="greaterThan">
      <formula>0</formula>
    </cfRule>
  </conditionalFormatting>
  <dataValidations count="1">
    <dataValidation allowBlank="1" showInputMessage="1" showErrorMessage="1" error="enter 0 or 1" sqref="E97" xr:uid="{00000000-0002-0000-0000-000001000000}"/>
  </dataValidations>
  <printOptions headings="1"/>
  <pageMargins left="0.25" right="0.25" top="0.75" bottom="0.75" header="0.3" footer="0.3"/>
  <pageSetup scale="70" orientation="landscape" r:id="rId2"/>
  <headerFooter alignWithMargins="0">
    <oddFooter>&amp;CForm OF Non-tidal&amp;R&amp;P</oddFooter>
  </headerFooter>
  <rowBreaks count="5" manualBreakCount="5">
    <brk id="17" max="4" man="1"/>
    <brk id="85" max="4" man="1"/>
    <brk id="126" max="4" man="1"/>
    <brk id="146" max="4" man="1"/>
    <brk id="19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I207"/>
  <sheetViews>
    <sheetView zoomScaleNormal="100" workbookViewId="0">
      <selection sqref="A1:B1"/>
    </sheetView>
  </sheetViews>
  <sheetFormatPr defaultColWidth="9.33203125" defaultRowHeight="12.75" x14ac:dyDescent="0.2"/>
  <cols>
    <col min="1" max="1" width="5.83203125" style="39" customWidth="1"/>
    <col min="2" max="2" width="18.83203125" style="40" customWidth="1"/>
    <col min="3" max="3" width="75.83203125" style="39" customWidth="1"/>
    <col min="4" max="4" width="6.83203125" style="677" customWidth="1"/>
    <col min="5" max="5" width="7.83203125" style="677" customWidth="1"/>
    <col min="6" max="6" width="8.5" style="677" customWidth="1"/>
    <col min="7" max="7" width="9.83203125" style="492" customWidth="1"/>
    <col min="8" max="8" width="75.83203125" style="39" customWidth="1"/>
    <col min="9" max="9" width="16.6640625" style="39" customWidth="1"/>
    <col min="10" max="16384" width="9.33203125" style="39"/>
  </cols>
  <sheetData>
    <row r="1" spans="1:9" s="91" customFormat="1" ht="66" customHeight="1" thickBot="1" x14ac:dyDescent="0.25">
      <c r="A1" s="1933" t="s">
        <v>2134</v>
      </c>
      <c r="B1" s="1934"/>
      <c r="C1" s="87" t="s">
        <v>2135</v>
      </c>
      <c r="D1" s="127" t="s">
        <v>2136</v>
      </c>
      <c r="E1" s="1921"/>
      <c r="F1" s="1922"/>
      <c r="G1" s="1922"/>
      <c r="H1" s="1922"/>
    </row>
    <row r="2" spans="1:9" ht="30" customHeight="1" thickBot="1" x14ac:dyDescent="0.25">
      <c r="A2" s="451" t="s">
        <v>290</v>
      </c>
      <c r="B2" s="450" t="s">
        <v>5444</v>
      </c>
      <c r="C2" s="484" t="s">
        <v>2606</v>
      </c>
      <c r="D2" s="612" t="s">
        <v>117</v>
      </c>
      <c r="E2" s="471" t="s">
        <v>5438</v>
      </c>
      <c r="F2" s="481" t="s">
        <v>5439</v>
      </c>
      <c r="G2" s="482" t="s">
        <v>5825</v>
      </c>
      <c r="H2" s="473" t="s">
        <v>919</v>
      </c>
    </row>
    <row r="3" spans="1:9" ht="21" customHeight="1" thickBot="1" x14ac:dyDescent="0.25">
      <c r="A3" s="1935" t="str">
        <f>OF!A80</f>
        <v>OF13</v>
      </c>
      <c r="B3" s="1938" t="str">
        <f>OF!B80</f>
        <v>Tidal Proximity</v>
      </c>
      <c r="C3" s="454" t="str">
        <f>OF!C80</f>
        <v>The distance from the AA edge to the closest tidal water body is:</v>
      </c>
      <c r="D3" s="635"/>
      <c r="E3" s="635"/>
      <c r="F3" s="678"/>
      <c r="G3" s="496">
        <f>MAX(F4:F8)/MAX(E4:E8)</f>
        <v>0</v>
      </c>
      <c r="H3" s="1836" t="s">
        <v>1163</v>
      </c>
      <c r="I3" s="3" t="s">
        <v>747</v>
      </c>
    </row>
    <row r="4" spans="1:9" ht="15" customHeight="1" x14ac:dyDescent="0.2">
      <c r="A4" s="1936"/>
      <c r="B4" s="1918"/>
      <c r="C4" s="144" t="str">
        <f>OF!C81</f>
        <v>&lt;300 ft</v>
      </c>
      <c r="D4" s="286">
        <f>OF!D81</f>
        <v>0</v>
      </c>
      <c r="E4" s="396">
        <v>4</v>
      </c>
      <c r="F4" s="399">
        <f>D4*E4</f>
        <v>0</v>
      </c>
      <c r="G4" s="521"/>
      <c r="H4" s="1837"/>
    </row>
    <row r="5" spans="1:9" ht="15" customHeight="1" x14ac:dyDescent="0.2">
      <c r="A5" s="1936"/>
      <c r="B5" s="1918"/>
      <c r="C5" s="50" t="str">
        <f>OF!C82</f>
        <v>300-1000 ft</v>
      </c>
      <c r="D5" s="271">
        <f>OF!D82</f>
        <v>0</v>
      </c>
      <c r="E5" s="396">
        <v>4</v>
      </c>
      <c r="F5" s="399">
        <f>D5*E5</f>
        <v>0</v>
      </c>
      <c r="G5" s="515"/>
      <c r="H5" s="1837"/>
    </row>
    <row r="6" spans="1:9" ht="15" customHeight="1" x14ac:dyDescent="0.2">
      <c r="A6" s="1936"/>
      <c r="B6" s="1918"/>
      <c r="C6" s="50" t="str">
        <f>OF!C83</f>
        <v>1000 ft - 1 mile</v>
      </c>
      <c r="D6" s="271">
        <f>OF!D83</f>
        <v>0</v>
      </c>
      <c r="E6" s="396">
        <v>3</v>
      </c>
      <c r="F6" s="399">
        <f>D6*E6</f>
        <v>0</v>
      </c>
      <c r="G6" s="515"/>
      <c r="H6" s="1837"/>
    </row>
    <row r="7" spans="1:9" ht="15" customHeight="1" x14ac:dyDescent="0.2">
      <c r="A7" s="1936"/>
      <c r="B7" s="1918"/>
      <c r="C7" s="50" t="str">
        <f>OF!C84</f>
        <v>1-5 miles</v>
      </c>
      <c r="D7" s="271">
        <f>OF!D84</f>
        <v>0</v>
      </c>
      <c r="E7" s="396">
        <v>2</v>
      </c>
      <c r="F7" s="399">
        <f>D7*E7</f>
        <v>0</v>
      </c>
      <c r="G7" s="515"/>
      <c r="H7" s="1837"/>
    </row>
    <row r="8" spans="1:9" ht="15" customHeight="1" thickBot="1" x14ac:dyDescent="0.25">
      <c r="A8" s="1937"/>
      <c r="B8" s="1939"/>
      <c r="C8" s="462" t="str">
        <f>OF!C85</f>
        <v>&gt;5 miles</v>
      </c>
      <c r="D8" s="272">
        <f>OF!D85</f>
        <v>0</v>
      </c>
      <c r="E8" s="637">
        <v>0</v>
      </c>
      <c r="F8" s="638">
        <f>D8*E8</f>
        <v>0</v>
      </c>
      <c r="G8" s="504"/>
      <c r="H8" s="1838"/>
    </row>
    <row r="9" spans="1:9" ht="30" customHeight="1" thickBot="1" x14ac:dyDescent="0.25">
      <c r="A9" s="1831" t="str">
        <f>OF!A113</f>
        <v>OF21</v>
      </c>
      <c r="B9" s="1836" t="str">
        <f>OF!B113</f>
        <v>Temperature, Mean Annual</v>
      </c>
      <c r="C9" s="454" t="str">
        <f>OF!C113</f>
        <v>Refer to the Temperature layer in the online WESPAK-SE Wetlands Module. The mean annual temperature in the vicinity of the AA was modeled as (rounded to the nearest whole number):</v>
      </c>
      <c r="D9" s="635"/>
      <c r="E9" s="635"/>
      <c r="F9" s="639"/>
      <c r="G9" s="496">
        <f>IF((D15=1),"",MAX(F10:F14)/MAX(E10:E14))</f>
        <v>0</v>
      </c>
      <c r="H9" s="1687" t="s">
        <v>2395</v>
      </c>
      <c r="I9" s="3" t="s">
        <v>749</v>
      </c>
    </row>
    <row r="10" spans="1:9" ht="15" customHeight="1" x14ac:dyDescent="0.2">
      <c r="A10" s="1832"/>
      <c r="B10" s="1837"/>
      <c r="C10" s="144" t="str">
        <f>OF!C114</f>
        <v>&lt;38 degrees F</v>
      </c>
      <c r="D10" s="286">
        <f>OF!D114</f>
        <v>0</v>
      </c>
      <c r="E10" s="396">
        <v>0</v>
      </c>
      <c r="F10" s="397">
        <f>D10*E10</f>
        <v>0</v>
      </c>
      <c r="G10" s="521"/>
      <c r="H10" s="1688"/>
    </row>
    <row r="11" spans="1:9" ht="15" customHeight="1" x14ac:dyDescent="0.2">
      <c r="A11" s="1832"/>
      <c r="B11" s="1837"/>
      <c r="C11" s="50" t="str">
        <f>OF!C115</f>
        <v>38-40 degrees F</v>
      </c>
      <c r="D11" s="271">
        <f>OF!D115</f>
        <v>0</v>
      </c>
      <c r="E11" s="396">
        <v>1</v>
      </c>
      <c r="F11" s="397">
        <f>D11*E11</f>
        <v>0</v>
      </c>
      <c r="G11" s="521"/>
      <c r="H11" s="1688"/>
    </row>
    <row r="12" spans="1:9" ht="15" customHeight="1" x14ac:dyDescent="0.2">
      <c r="A12" s="1832"/>
      <c r="B12" s="1837"/>
      <c r="C12" s="50" t="str">
        <f>OF!C116</f>
        <v>41-42 degrees F</v>
      </c>
      <c r="D12" s="271">
        <f>OF!D116</f>
        <v>0</v>
      </c>
      <c r="E12" s="396">
        <v>2</v>
      </c>
      <c r="F12" s="397">
        <f>D12*E12</f>
        <v>0</v>
      </c>
      <c r="G12" s="521"/>
      <c r="H12" s="1688"/>
    </row>
    <row r="13" spans="1:9" ht="15" customHeight="1" x14ac:dyDescent="0.2">
      <c r="A13" s="1832"/>
      <c r="B13" s="1837"/>
      <c r="C13" s="50" t="str">
        <f>OF!C117</f>
        <v>43-44 degrees F</v>
      </c>
      <c r="D13" s="271">
        <f>OF!D117</f>
        <v>0</v>
      </c>
      <c r="E13" s="396">
        <v>3</v>
      </c>
      <c r="F13" s="397">
        <f>D13*E13</f>
        <v>0</v>
      </c>
      <c r="G13" s="521"/>
      <c r="H13" s="1688"/>
    </row>
    <row r="14" spans="1:9" ht="15" customHeight="1" x14ac:dyDescent="0.2">
      <c r="A14" s="1832"/>
      <c r="B14" s="1837"/>
      <c r="C14" s="50" t="str">
        <f>OF!C118</f>
        <v>&gt; 44 degrees F</v>
      </c>
      <c r="D14" s="271">
        <f>OF!D118</f>
        <v>0</v>
      </c>
      <c r="E14" s="396">
        <v>4</v>
      </c>
      <c r="F14" s="397">
        <f>D14*E14</f>
        <v>0</v>
      </c>
      <c r="G14" s="515"/>
      <c r="H14" s="1688"/>
    </row>
    <row r="15" spans="1:9" ht="15.6" customHeight="1" thickBot="1" x14ac:dyDescent="0.25">
      <c r="A15" s="1833"/>
      <c r="B15" s="1838"/>
      <c r="C15" s="462" t="str">
        <f>OF!C119</f>
        <v>no information available</v>
      </c>
      <c r="D15" s="272">
        <f>OF!D119</f>
        <v>0</v>
      </c>
      <c r="E15" s="637"/>
      <c r="F15" s="638"/>
      <c r="G15" s="504"/>
      <c r="H15" s="1689"/>
    </row>
    <row r="16" spans="1:9" ht="78.75" customHeight="1" thickBot="1" x14ac:dyDescent="0.25">
      <c r="A16" s="1940" t="str">
        <f>OF!A147</f>
        <v>OF28</v>
      </c>
      <c r="B16" s="1942" t="str">
        <f>OF!B147</f>
        <v>Elevation in Multi-scale Watersheds</v>
      </c>
      <c r="C16" s="427"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6" s="394"/>
      <c r="E16" s="699"/>
      <c r="F16" s="664"/>
      <c r="G16" s="512" t="str">
        <f>IF((D17=0),"",D17/3)</f>
        <v/>
      </c>
      <c r="H16" s="1688" t="s">
        <v>1207</v>
      </c>
      <c r="I16" s="3" t="s">
        <v>750</v>
      </c>
    </row>
    <row r="17" spans="1:9" ht="42" customHeight="1" thickBot="1" x14ac:dyDescent="0.25">
      <c r="A17" s="1941"/>
      <c r="B17" s="1919"/>
      <c r="C17" s="460" t="str">
        <f>OF!C150</f>
        <v>In its HUC6 (the 8-digit* watershed) the AA's elevation puts it in (enter one of the following): 3= upper one-third, 2= middle one-third, 1= lower one-third, 0= no data.  [The 8-digit HUC is obtained by deleting the last 4 digits of the 12-digit HUC code]</v>
      </c>
      <c r="D17" s="287">
        <f>OF!D150</f>
        <v>0</v>
      </c>
      <c r="E17" s="641"/>
      <c r="F17" s="399"/>
      <c r="G17" s="500"/>
      <c r="H17" s="1837"/>
    </row>
    <row r="18" spans="1:9" ht="30" customHeight="1" thickBot="1" x14ac:dyDescent="0.25">
      <c r="A18" s="1909" t="str">
        <f>OF!A152</f>
        <v>OF30</v>
      </c>
      <c r="B18" s="1836" t="str">
        <f>OF!B152</f>
        <v>Contributing Area (CA) Percent</v>
      </c>
      <c r="C18" s="454" t="str">
        <f>OF!C152</f>
        <v>On a topographic map, draw the approximate bounds of this AA's contributing area  (see Manual).  Relative to the extent of this contributing area (CA), the AA comprises:</v>
      </c>
      <c r="D18" s="635"/>
      <c r="E18" s="644"/>
      <c r="F18" s="639"/>
      <c r="G18" s="496">
        <f>(MAX(F19:F22))/MAX(E19:E22)</f>
        <v>0</v>
      </c>
      <c r="H18" s="1709" t="s">
        <v>1164</v>
      </c>
      <c r="I18" s="39" t="s">
        <v>751</v>
      </c>
    </row>
    <row r="19" spans="1:9" ht="27" customHeight="1" x14ac:dyDescent="0.2">
      <c r="A19" s="1910"/>
      <c r="B19" s="1837"/>
      <c r="C19" s="144" t="str">
        <f>OF!C153</f>
        <v>&lt;1% of its CA  (including but not limited to most wetlands flooded annually by a major river, many in karst landscapes, and most that have multiple tributaries).</v>
      </c>
      <c r="D19" s="286">
        <f>OF!D153</f>
        <v>0</v>
      </c>
      <c r="E19" s="397">
        <v>0</v>
      </c>
      <c r="F19" s="397">
        <f>D19*E19</f>
        <v>0</v>
      </c>
      <c r="G19" s="521"/>
      <c r="H19" s="1834"/>
    </row>
    <row r="20" spans="1:9" ht="15" customHeight="1" x14ac:dyDescent="0.2">
      <c r="A20" s="1910"/>
      <c r="B20" s="1837"/>
      <c r="C20" s="50" t="str">
        <f>OF!C154</f>
        <v>1 to 10% of its CA</v>
      </c>
      <c r="D20" s="271">
        <f>OF!D154</f>
        <v>0</v>
      </c>
      <c r="E20" s="397">
        <v>1</v>
      </c>
      <c r="F20" s="397">
        <f>D20*E20</f>
        <v>0</v>
      </c>
      <c r="G20" s="515"/>
      <c r="H20" s="1834"/>
    </row>
    <row r="21" spans="1:9" ht="15" customHeight="1" x14ac:dyDescent="0.2">
      <c r="A21" s="1910"/>
      <c r="B21" s="1837"/>
      <c r="C21" s="50" t="str">
        <f>OF!C155</f>
        <v>10 to 100%  of its CA</v>
      </c>
      <c r="D21" s="271">
        <f>OF!D155</f>
        <v>0</v>
      </c>
      <c r="E21" s="397">
        <v>2</v>
      </c>
      <c r="F21" s="397">
        <f>D21*E21</f>
        <v>0</v>
      </c>
      <c r="G21" s="515"/>
      <c r="H21" s="1834"/>
    </row>
    <row r="22" spans="1:9" ht="27.6" customHeight="1" thickBot="1" x14ac:dyDescent="0.25">
      <c r="A22" s="1911"/>
      <c r="B22" s="1838"/>
      <c r="C22" s="462" t="str">
        <f>OF!C156</f>
        <v>Wetland has essentially no CA, e.g., isolated by dikes with no input channels, or is in terrain so flat that a CA can't be delineated. SKIP TO OF34.</v>
      </c>
      <c r="D22" s="272">
        <f>OF!D156</f>
        <v>0</v>
      </c>
      <c r="E22" s="638">
        <v>3</v>
      </c>
      <c r="F22" s="638">
        <f>D22*E22</f>
        <v>0</v>
      </c>
      <c r="G22" s="504"/>
      <c r="H22" s="1835"/>
    </row>
    <row r="23" spans="1:9" ht="21" customHeight="1" thickBot="1" x14ac:dyDescent="0.25">
      <c r="A23" s="1945" t="str">
        <f>OF!A169</f>
        <v>OF34</v>
      </c>
      <c r="B23" s="1938" t="str">
        <f>OF!B169</f>
        <v>Internal Gradient</v>
      </c>
      <c r="C23" s="454" t="str">
        <f>OF!C169</f>
        <v>The gradient along most of the flow path within the AA is:</v>
      </c>
      <c r="D23" s="635"/>
      <c r="E23" s="644"/>
      <c r="F23" s="639"/>
      <c r="G23" s="496">
        <f>MAX(F24:F27)/MAX(E24:E27)</f>
        <v>0</v>
      </c>
      <c r="H23" s="1852" t="s">
        <v>1161</v>
      </c>
      <c r="I23" s="3" t="s">
        <v>745</v>
      </c>
    </row>
    <row r="24" spans="1:9" ht="15" customHeight="1" x14ac:dyDescent="0.2">
      <c r="A24" s="1946"/>
      <c r="B24" s="1918"/>
      <c r="C24" s="144" t="str">
        <f>OF!C170</f>
        <v>&lt;2%, or, no slope is ever apparent (i.e., flat).  Includes most depressional sites and ponds.</v>
      </c>
      <c r="D24" s="286">
        <f>OF!D170</f>
        <v>0</v>
      </c>
      <c r="E24" s="397">
        <v>4</v>
      </c>
      <c r="F24" s="397">
        <f>D24*E24</f>
        <v>0</v>
      </c>
      <c r="G24" s="521"/>
      <c r="H24" s="1834"/>
    </row>
    <row r="25" spans="1:9" ht="15" customHeight="1" x14ac:dyDescent="0.2">
      <c r="A25" s="1946"/>
      <c r="B25" s="1918"/>
      <c r="C25" s="50" t="str">
        <f>OF!C171</f>
        <v>2-5%</v>
      </c>
      <c r="D25" s="271">
        <f>OF!D171</f>
        <v>0</v>
      </c>
      <c r="E25" s="397">
        <v>3</v>
      </c>
      <c r="F25" s="397">
        <f>D25*E25</f>
        <v>0</v>
      </c>
      <c r="G25" s="521"/>
      <c r="H25" s="1834"/>
    </row>
    <row r="26" spans="1:9" ht="15" customHeight="1" x14ac:dyDescent="0.2">
      <c r="A26" s="1946"/>
      <c r="B26" s="1918"/>
      <c r="C26" s="50" t="str">
        <f>OF!C172</f>
        <v>6-10%</v>
      </c>
      <c r="D26" s="271">
        <f>OF!D172</f>
        <v>0</v>
      </c>
      <c r="E26" s="397">
        <v>2</v>
      </c>
      <c r="F26" s="397">
        <f>D26*E26</f>
        <v>0</v>
      </c>
      <c r="G26" s="515"/>
      <c r="H26" s="1834"/>
    </row>
    <row r="27" spans="1:9" ht="15.6" customHeight="1" thickBot="1" x14ac:dyDescent="0.25">
      <c r="A27" s="1947"/>
      <c r="B27" s="1939"/>
      <c r="C27" s="462" t="str">
        <f>OF!C173</f>
        <v>&gt;10%</v>
      </c>
      <c r="D27" s="272">
        <f>OF!D173</f>
        <v>0</v>
      </c>
      <c r="E27" s="638">
        <v>0</v>
      </c>
      <c r="F27" s="638">
        <f>D27*E27</f>
        <v>0</v>
      </c>
      <c r="G27" s="504"/>
      <c r="H27" s="1835"/>
    </row>
    <row r="28" spans="1:9" ht="45" customHeight="1" thickBot="1" x14ac:dyDescent="0.25">
      <c r="A28" s="1832" t="str">
        <f>OF!A174</f>
        <v>OF35</v>
      </c>
      <c r="B28" s="1837" t="str">
        <f>OF!B174</f>
        <v>Internal Flow Distance (Path Length)</v>
      </c>
      <c r="C28" s="622" t="str">
        <f>OF!C174</f>
        <v>From measurement of wetland polygon width or intersected stream length in the online WESPAK-SE Wetlands Module:  The straight-line horizontal distance from the wetland's inlet to outlet is:  [Note: If inlet and/or outlet are lacking, see guidance in last column]</v>
      </c>
      <c r="D28" s="394"/>
      <c r="E28" s="394"/>
      <c r="F28" s="667"/>
      <c r="G28" s="512">
        <f>MAX(F29:F34)/MAX(E29:E34)</f>
        <v>0</v>
      </c>
      <c r="H28" s="1688" t="s">
        <v>1982</v>
      </c>
      <c r="I28" s="3" t="s">
        <v>2000</v>
      </c>
    </row>
    <row r="29" spans="1:9" ht="15" customHeight="1" x14ac:dyDescent="0.2">
      <c r="A29" s="1832"/>
      <c r="B29" s="1837"/>
      <c r="C29" s="687" t="str">
        <f>OF!C175</f>
        <v>&lt;150 ft</v>
      </c>
      <c r="D29" s="287">
        <f>OF!D175</f>
        <v>0</v>
      </c>
      <c r="E29" s="396">
        <v>0</v>
      </c>
      <c r="F29" s="399">
        <f t="shared" ref="F29:F34" si="0">D29*E29</f>
        <v>0</v>
      </c>
      <c r="G29" s="515"/>
      <c r="H29" s="1837"/>
    </row>
    <row r="30" spans="1:9" ht="15" customHeight="1" x14ac:dyDescent="0.2">
      <c r="A30" s="1832"/>
      <c r="B30" s="1837"/>
      <c r="C30" s="623" t="str">
        <f>OF!C176</f>
        <v>150-300 ft</v>
      </c>
      <c r="D30" s="288">
        <f>OF!D176</f>
        <v>0</v>
      </c>
      <c r="E30" s="396">
        <v>1</v>
      </c>
      <c r="F30" s="399">
        <f t="shared" si="0"/>
        <v>0</v>
      </c>
      <c r="G30" s="515"/>
      <c r="H30" s="1837"/>
    </row>
    <row r="31" spans="1:9" ht="15" customHeight="1" x14ac:dyDescent="0.2">
      <c r="A31" s="1832"/>
      <c r="B31" s="1837"/>
      <c r="C31" s="623" t="str">
        <f>OF!C177</f>
        <v>300-800 ft</v>
      </c>
      <c r="D31" s="288">
        <f>OF!D177</f>
        <v>0</v>
      </c>
      <c r="E31" s="396">
        <v>2</v>
      </c>
      <c r="F31" s="399">
        <f t="shared" si="0"/>
        <v>0</v>
      </c>
      <c r="G31" s="515"/>
      <c r="H31" s="1837"/>
    </row>
    <row r="32" spans="1:9" ht="15" customHeight="1" x14ac:dyDescent="0.2">
      <c r="A32" s="1832"/>
      <c r="B32" s="1837"/>
      <c r="C32" s="623" t="str">
        <f>OF!C178</f>
        <v>800-2000 ft</v>
      </c>
      <c r="D32" s="288">
        <f>OF!D178</f>
        <v>0</v>
      </c>
      <c r="E32" s="396">
        <v>3</v>
      </c>
      <c r="F32" s="399">
        <f t="shared" si="0"/>
        <v>0</v>
      </c>
      <c r="G32" s="515"/>
      <c r="H32" s="1837"/>
    </row>
    <row r="33" spans="1:9" ht="15" customHeight="1" x14ac:dyDescent="0.2">
      <c r="A33" s="1832"/>
      <c r="B33" s="1837"/>
      <c r="C33" s="623" t="str">
        <f>OF!C179</f>
        <v>2000 ft - 1 mile</v>
      </c>
      <c r="D33" s="288">
        <f>OF!D179</f>
        <v>0</v>
      </c>
      <c r="E33" s="396">
        <v>4</v>
      </c>
      <c r="F33" s="399">
        <f t="shared" si="0"/>
        <v>0</v>
      </c>
      <c r="G33" s="515"/>
      <c r="H33" s="1837"/>
    </row>
    <row r="34" spans="1:9" ht="15.6" customHeight="1" thickBot="1" x14ac:dyDescent="0.25">
      <c r="A34" s="1833"/>
      <c r="B34" s="1838"/>
      <c r="C34" s="459" t="str">
        <f>OF!C180</f>
        <v>&gt;1 mile</v>
      </c>
      <c r="D34" s="272">
        <f>OF!D180</f>
        <v>0</v>
      </c>
      <c r="E34" s="637">
        <v>5</v>
      </c>
      <c r="F34" s="638">
        <f t="shared" si="0"/>
        <v>0</v>
      </c>
      <c r="G34" s="504"/>
      <c r="H34" s="1838"/>
    </row>
    <row r="35" spans="1:9" ht="30" customHeight="1" thickBot="1" x14ac:dyDescent="0.25">
      <c r="A35" s="1840" t="str">
        <f>F!A11</f>
        <v>F2</v>
      </c>
      <c r="B35" s="1856" t="str">
        <f>F!B11</f>
        <v>% Saturated Only</v>
      </c>
      <c r="C35" s="620" t="str">
        <f>F!C11</f>
        <v>The percentage of the AA that lacks surface water during an average year (that is, except perhaps for a few hours after snowmelt or rainstorms), but which is still a wetland, is:</v>
      </c>
      <c r="D35" s="396"/>
      <c r="E35" s="665"/>
      <c r="F35" s="666"/>
      <c r="G35" s="512">
        <f>MAX(F36:F41)/MAX(E36:E41)</f>
        <v>0</v>
      </c>
      <c r="H35" s="1688" t="s">
        <v>1321</v>
      </c>
      <c r="I35" s="3" t="s">
        <v>1918</v>
      </c>
    </row>
    <row r="36" spans="1:9" ht="27" customHeight="1" x14ac:dyDescent="0.2">
      <c r="A36" s="1840"/>
      <c r="B36" s="1856"/>
      <c r="C36" s="688" t="str">
        <f>F!C12</f>
        <v>less than 1%, or &lt;0.01 acre (about 20 ft on a side) never has surface water.  In other words, all or nearly all of the AA is inundated permanently or at least seasonally.</v>
      </c>
      <c r="D36" s="297">
        <f>F!D12</f>
        <v>0</v>
      </c>
      <c r="E36" s="397">
        <v>0</v>
      </c>
      <c r="F36" s="397">
        <f t="shared" ref="F36:F41" si="1">D36*E36</f>
        <v>0</v>
      </c>
      <c r="G36" s="515"/>
      <c r="H36" s="1688"/>
      <c r="I36" s="3"/>
    </row>
    <row r="37" spans="1:9" ht="15" customHeight="1" x14ac:dyDescent="0.2">
      <c r="A37" s="1840"/>
      <c r="B37" s="1856"/>
      <c r="C37" s="689" t="str">
        <f>F!C13</f>
        <v xml:space="preserve">1-25% of the AA never contains surface water.  </v>
      </c>
      <c r="D37" s="298">
        <f>F!D13</f>
        <v>0</v>
      </c>
      <c r="E37" s="397">
        <v>1</v>
      </c>
      <c r="F37" s="397">
        <f t="shared" si="1"/>
        <v>0</v>
      </c>
      <c r="G37" s="515"/>
      <c r="H37" s="1688"/>
      <c r="I37" s="3"/>
    </row>
    <row r="38" spans="1:9" ht="15" customHeight="1" x14ac:dyDescent="0.2">
      <c r="A38" s="1840"/>
      <c r="B38" s="1856"/>
      <c r="C38" s="689" t="str">
        <f>F!C14</f>
        <v>25-50% of the AA never contains surface water.</v>
      </c>
      <c r="D38" s="298">
        <f>F!D14</f>
        <v>0</v>
      </c>
      <c r="E38" s="397">
        <v>2</v>
      </c>
      <c r="F38" s="397">
        <f t="shared" si="1"/>
        <v>0</v>
      </c>
      <c r="G38" s="515"/>
      <c r="H38" s="1688"/>
      <c r="I38" s="3"/>
    </row>
    <row r="39" spans="1:9" ht="15" customHeight="1" x14ac:dyDescent="0.2">
      <c r="A39" s="1840"/>
      <c r="B39" s="1856"/>
      <c r="C39" s="689" t="str">
        <f>F!C15</f>
        <v>50-99% of the AA never contains surface water.</v>
      </c>
      <c r="D39" s="298">
        <f>F!D15</f>
        <v>0</v>
      </c>
      <c r="E39" s="397">
        <v>3</v>
      </c>
      <c r="F39" s="397">
        <f t="shared" si="1"/>
        <v>0</v>
      </c>
      <c r="G39" s="515"/>
      <c r="H39" s="1688"/>
      <c r="I39" s="3"/>
    </row>
    <row r="40" spans="1:9" ht="27" customHeight="1" x14ac:dyDescent="0.2">
      <c r="A40" s="1840"/>
      <c r="B40" s="1856"/>
      <c r="C40" s="689" t="str">
        <f>F!C16</f>
        <v>&gt;99% of the AA never contains surface water, except for water flowing in channels and/or in pools that occupy &lt;1% of the AA. SKIP to F30.</v>
      </c>
      <c r="D40" s="298">
        <f>F!D16</f>
        <v>0</v>
      </c>
      <c r="E40" s="397">
        <v>4</v>
      </c>
      <c r="F40" s="397">
        <f t="shared" si="1"/>
        <v>0</v>
      </c>
      <c r="G40" s="515"/>
      <c r="H40" s="1688"/>
      <c r="I40" s="3"/>
    </row>
    <row r="41" spans="1:9" ht="27.6" customHeight="1" thickBot="1" x14ac:dyDescent="0.25">
      <c r="A41" s="1840"/>
      <c r="B41" s="1856"/>
      <c r="C41" s="689" t="str">
        <f>F!C17</f>
        <v>&gt;99% of the AA never contains surface water, and AA is not intersected by channels that have flow, not even for a few days per year. SKIP to F28.</v>
      </c>
      <c r="D41" s="298">
        <f>F!D17</f>
        <v>0</v>
      </c>
      <c r="E41" s="399">
        <v>5</v>
      </c>
      <c r="F41" s="399">
        <f t="shared" si="1"/>
        <v>0</v>
      </c>
      <c r="G41" s="500"/>
      <c r="H41" s="1688"/>
      <c r="I41" s="3"/>
    </row>
    <row r="42" spans="1:9" ht="30" customHeight="1" thickBot="1" x14ac:dyDescent="0.25">
      <c r="A42" s="1831" t="str">
        <f>F!A18</f>
        <v>F3</v>
      </c>
      <c r="B42" s="1836" t="str">
        <f>F!B18</f>
        <v>% with Persistent Surface Water</v>
      </c>
      <c r="C42" s="454" t="str">
        <f>F!C18</f>
        <v>The percentage of the AA that has surface water (either ponded or flowing, either open or obscured by vegetation) during all of the growing season during most years is:</v>
      </c>
      <c r="D42" s="635"/>
      <c r="E42" s="644"/>
      <c r="F42" s="639"/>
      <c r="G42" s="496">
        <f>IF((AllSat+AllSat1&gt;0),"",MAX(F43:F48)/MAX(E43:E48))</f>
        <v>0</v>
      </c>
      <c r="H42" s="1709" t="s">
        <v>5297</v>
      </c>
      <c r="I42" s="3" t="s">
        <v>733</v>
      </c>
    </row>
    <row r="43" spans="1:9" ht="15" customHeight="1" x14ac:dyDescent="0.2">
      <c r="A43" s="1832"/>
      <c r="B43" s="1837"/>
      <c r="C43" s="144" t="str">
        <f>F!C19</f>
        <v>less than 1%, or &lt;0.01 acre (whichever is less).  SKIP to F7.</v>
      </c>
      <c r="D43" s="286">
        <f>F!D19</f>
        <v>0</v>
      </c>
      <c r="E43" s="645">
        <v>5</v>
      </c>
      <c r="F43" s="397">
        <f t="shared" ref="F43:F48" si="2">D43*E43</f>
        <v>0</v>
      </c>
      <c r="G43" s="395"/>
      <c r="H43" s="1710"/>
      <c r="I43" s="3"/>
    </row>
    <row r="44" spans="1:9" ht="15" customHeight="1" x14ac:dyDescent="0.2">
      <c r="A44" s="1832"/>
      <c r="B44" s="1837"/>
      <c r="C44" s="50" t="str">
        <f>F!C20</f>
        <v>1-25% of the AA, and mostly in narrow channels and/or small scattered pools.</v>
      </c>
      <c r="D44" s="271">
        <f>F!D20</f>
        <v>0</v>
      </c>
      <c r="E44" s="645">
        <v>4</v>
      </c>
      <c r="F44" s="397">
        <f t="shared" si="2"/>
        <v>0</v>
      </c>
      <c r="G44" s="395"/>
      <c r="H44" s="1710"/>
      <c r="I44" s="3"/>
    </row>
    <row r="45" spans="1:9" ht="15" customHeight="1" x14ac:dyDescent="0.2">
      <c r="A45" s="1832"/>
      <c r="B45" s="1837"/>
      <c r="C45" s="50" t="str">
        <f>F!C21</f>
        <v>1-25% of the AA, and mostly in a single large pool, pond, and/or channel.</v>
      </c>
      <c r="D45" s="271">
        <f>F!D21</f>
        <v>0</v>
      </c>
      <c r="E45" s="397">
        <v>4</v>
      </c>
      <c r="F45" s="397">
        <f t="shared" si="2"/>
        <v>0</v>
      </c>
      <c r="G45" s="521"/>
      <c r="H45" s="1834"/>
    </row>
    <row r="46" spans="1:9" ht="15" customHeight="1" x14ac:dyDescent="0.2">
      <c r="A46" s="1832"/>
      <c r="B46" s="1837"/>
      <c r="C46" s="50" t="str">
        <f>F!C22</f>
        <v>25-50% of the AA</v>
      </c>
      <c r="D46" s="271">
        <f>F!D22</f>
        <v>0</v>
      </c>
      <c r="E46" s="397">
        <v>3</v>
      </c>
      <c r="F46" s="397">
        <f t="shared" si="2"/>
        <v>0</v>
      </c>
      <c r="G46" s="515"/>
      <c r="H46" s="1834"/>
    </row>
    <row r="47" spans="1:9" ht="15" customHeight="1" x14ac:dyDescent="0.2">
      <c r="A47" s="1832"/>
      <c r="B47" s="1837"/>
      <c r="C47" s="50" t="str">
        <f>F!C23</f>
        <v>50-95% of the AA</v>
      </c>
      <c r="D47" s="271">
        <f>F!D23</f>
        <v>0</v>
      </c>
      <c r="E47" s="397">
        <v>2</v>
      </c>
      <c r="F47" s="397">
        <f t="shared" si="2"/>
        <v>0</v>
      </c>
      <c r="G47" s="515"/>
      <c r="H47" s="1834"/>
    </row>
    <row r="48" spans="1:9" ht="15.6" customHeight="1" thickBot="1" x14ac:dyDescent="0.25">
      <c r="A48" s="1832"/>
      <c r="B48" s="1837"/>
      <c r="C48" s="204" t="str">
        <f>F!C24</f>
        <v>&gt;95% of the AA</v>
      </c>
      <c r="D48" s="288">
        <f>F!D24</f>
        <v>0</v>
      </c>
      <c r="E48" s="399">
        <v>1</v>
      </c>
      <c r="F48" s="399">
        <f t="shared" si="2"/>
        <v>0</v>
      </c>
      <c r="G48" s="500"/>
      <c r="H48" s="1834"/>
    </row>
    <row r="49" spans="1:9" ht="30" customHeight="1" thickBot="1" x14ac:dyDescent="0.25">
      <c r="A49" s="684" t="str">
        <f>F!A32</f>
        <v>F6</v>
      </c>
      <c r="B49" s="126" t="str">
        <f>F!B32</f>
        <v>Lacustrine Wetland</v>
      </c>
      <c r="C49" s="690" t="str">
        <f>F!C32</f>
        <v>The AA borders a body of ponded open water whose size (not counting the AA's wetland) exceeds 20 acres during most of the growing season.  Enter "1" if true, "0" if false.</v>
      </c>
      <c r="D49" s="294">
        <f>F!D32</f>
        <v>0</v>
      </c>
      <c r="E49" s="647"/>
      <c r="F49" s="655"/>
      <c r="G49" s="496">
        <f>IF((AllSat+AllSat1&gt;0),"",IF((NoPersis=1),"",D49))</f>
        <v>0</v>
      </c>
      <c r="H49" s="49" t="s">
        <v>2610</v>
      </c>
      <c r="I49" s="3" t="s">
        <v>732</v>
      </c>
    </row>
    <row r="50" spans="1:9" ht="39" customHeight="1" thickBot="1" x14ac:dyDescent="0.25">
      <c r="A50" s="1910" t="str">
        <f>F!A39</f>
        <v>F8</v>
      </c>
      <c r="B50" s="1837" t="str">
        <f>F!B39</f>
        <v>Annual Water Fluctuation Range</v>
      </c>
      <c r="C50" s="615" t="str">
        <f>F!C39</f>
        <v>The maximum annual fluctuation in surface water within the AA is:</v>
      </c>
      <c r="D50" s="394"/>
      <c r="E50" s="645"/>
      <c r="F50" s="395"/>
      <c r="G50" s="512">
        <f>IF((AllSat+AllSat1&gt;0),"",IF((NoSeasonal=1),"",MAX(F51:F54)/MAX(E51:E54)))</f>
        <v>0</v>
      </c>
      <c r="H50" s="1710" t="s">
        <v>5298</v>
      </c>
      <c r="I50" s="3" t="s">
        <v>736</v>
      </c>
    </row>
    <row r="51" spans="1:9" ht="15" customHeight="1" x14ac:dyDescent="0.2">
      <c r="A51" s="1910"/>
      <c r="B51" s="1837"/>
      <c r="C51" s="144" t="str">
        <f>F!C40</f>
        <v xml:space="preserve">&lt;0.5 ft </v>
      </c>
      <c r="D51" s="286">
        <f>F!D40</f>
        <v>0</v>
      </c>
      <c r="E51" s="397">
        <v>5</v>
      </c>
      <c r="F51" s="397">
        <f>D51*E51</f>
        <v>0</v>
      </c>
      <c r="G51" s="521"/>
      <c r="H51" s="1834"/>
    </row>
    <row r="52" spans="1:9" ht="15" customHeight="1" x14ac:dyDescent="0.2">
      <c r="A52" s="1910"/>
      <c r="B52" s="1837"/>
      <c r="C52" s="50" t="str">
        <f>F!C41</f>
        <v>0.5 - 1 ft</v>
      </c>
      <c r="D52" s="271">
        <f>F!D41</f>
        <v>0</v>
      </c>
      <c r="E52" s="396">
        <v>3</v>
      </c>
      <c r="F52" s="397">
        <f>D52*E52</f>
        <v>0</v>
      </c>
      <c r="G52" s="515"/>
      <c r="H52" s="1834"/>
    </row>
    <row r="53" spans="1:9" ht="15" customHeight="1" x14ac:dyDescent="0.2">
      <c r="A53" s="1910"/>
      <c r="B53" s="1837"/>
      <c r="C53" s="50" t="str">
        <f>F!C42</f>
        <v>1-3 ft</v>
      </c>
      <c r="D53" s="271">
        <f>F!D42</f>
        <v>0</v>
      </c>
      <c r="E53" s="397">
        <v>2</v>
      </c>
      <c r="F53" s="397">
        <f>D53*E53</f>
        <v>0</v>
      </c>
      <c r="G53" s="515"/>
      <c r="H53" s="1834"/>
    </row>
    <row r="54" spans="1:9" ht="15" customHeight="1" thickBot="1" x14ac:dyDescent="0.25">
      <c r="A54" s="1911"/>
      <c r="B54" s="1838"/>
      <c r="C54" s="462" t="str">
        <f>F!C43</f>
        <v xml:space="preserve">&gt; 3 ft </v>
      </c>
      <c r="D54" s="272">
        <f>F!D43</f>
        <v>0</v>
      </c>
      <c r="E54" s="638">
        <v>1</v>
      </c>
      <c r="F54" s="638">
        <f>D54*E54</f>
        <v>0</v>
      </c>
      <c r="G54" s="504"/>
      <c r="H54" s="1835"/>
    </row>
    <row r="55" spans="1:9" ht="30" customHeight="1" thickBot="1" x14ac:dyDescent="0.25">
      <c r="A55" s="1910" t="str">
        <f>F!A44</f>
        <v>F9</v>
      </c>
      <c r="B55" s="1837" t="str">
        <f>F!B44</f>
        <v>Predominant Depth Class</v>
      </c>
      <c r="C55" s="454" t="str">
        <f>F!C44</f>
        <v>During most of the growing season, surface water depth in most of the area where it is present is: [Note: This is not asking for the maximum depth.]</v>
      </c>
      <c r="D55" s="394"/>
      <c r="E55" s="645"/>
      <c r="F55" s="395"/>
      <c r="G55" s="512">
        <f>IF((AllSat+AllSat1&gt;0),"",MAX(F56:F60)/MAX(E56:E60))</f>
        <v>0</v>
      </c>
      <c r="H55" s="1688" t="s">
        <v>5299</v>
      </c>
      <c r="I55" s="3" t="s">
        <v>737</v>
      </c>
    </row>
    <row r="56" spans="1:9" ht="15" customHeight="1" x14ac:dyDescent="0.2">
      <c r="A56" s="1910"/>
      <c r="B56" s="1837"/>
      <c r="C56" s="144" t="str">
        <f>F!C45</f>
        <v>&lt;0.5 ft deep (but &gt;0)</v>
      </c>
      <c r="D56" s="286">
        <f>F!D45</f>
        <v>0</v>
      </c>
      <c r="E56" s="397">
        <v>1</v>
      </c>
      <c r="F56" s="397">
        <f>D56*E56</f>
        <v>0</v>
      </c>
      <c r="G56" s="521"/>
      <c r="H56" s="1837"/>
    </row>
    <row r="57" spans="1:9" ht="15" customHeight="1" x14ac:dyDescent="0.2">
      <c r="A57" s="1910"/>
      <c r="B57" s="1837"/>
      <c r="C57" s="50" t="str">
        <f>F!C46</f>
        <v>0.5 - 1 ft deep</v>
      </c>
      <c r="D57" s="271">
        <f>F!D46</f>
        <v>0</v>
      </c>
      <c r="E57" s="397">
        <v>2</v>
      </c>
      <c r="F57" s="397">
        <f>D57*E57</f>
        <v>0</v>
      </c>
      <c r="G57" s="515"/>
      <c r="H57" s="1837"/>
    </row>
    <row r="58" spans="1:9" ht="15" customHeight="1" x14ac:dyDescent="0.2">
      <c r="A58" s="1910"/>
      <c r="B58" s="1837"/>
      <c r="C58" s="50" t="str">
        <f>F!C47</f>
        <v>1-2 ft deep</v>
      </c>
      <c r="D58" s="271">
        <f>F!D47</f>
        <v>0</v>
      </c>
      <c r="E58" s="397">
        <v>5</v>
      </c>
      <c r="F58" s="397">
        <f>D58*E58</f>
        <v>0</v>
      </c>
      <c r="G58" s="515"/>
      <c r="H58" s="1837"/>
    </row>
    <row r="59" spans="1:9" ht="15" customHeight="1" x14ac:dyDescent="0.2">
      <c r="A59" s="1910"/>
      <c r="B59" s="1837"/>
      <c r="C59" s="50" t="str">
        <f>F!C48</f>
        <v>2-6 ft deep</v>
      </c>
      <c r="D59" s="271">
        <f>F!D48</f>
        <v>0</v>
      </c>
      <c r="E59" s="397">
        <v>4</v>
      </c>
      <c r="F59" s="397">
        <f>D59*E59</f>
        <v>0</v>
      </c>
      <c r="G59" s="515"/>
      <c r="H59" s="1837"/>
    </row>
    <row r="60" spans="1:9" ht="15.6" customHeight="1" thickBot="1" x14ac:dyDescent="0.25">
      <c r="A60" s="1911"/>
      <c r="B60" s="1838"/>
      <c r="C60" s="462" t="str">
        <f>F!C49</f>
        <v>&gt;6 ft deep.  True for many fringe wetlands.</v>
      </c>
      <c r="D60" s="272">
        <f>F!D49</f>
        <v>0</v>
      </c>
      <c r="E60" s="638">
        <v>3</v>
      </c>
      <c r="F60" s="638">
        <f>D60*E60</f>
        <v>0</v>
      </c>
      <c r="G60" s="504"/>
      <c r="H60" s="1838"/>
    </row>
    <row r="61" spans="1:9" ht="30" customHeight="1" thickBot="1" x14ac:dyDescent="0.25">
      <c r="A61" s="1943" t="str">
        <f>F!A61</f>
        <v>F13</v>
      </c>
      <c r="B61" s="1836" t="str">
        <f>F!B61</f>
        <v>Width of AA's Vegetated Zone</v>
      </c>
      <c r="C61" s="454" t="str">
        <f>F!C61</f>
        <v>At the driest time of year (or lowest water level), the width of vegetated area in the AA that separates adjoining uplands from most of the open water within or adjoining the AA is:</v>
      </c>
      <c r="D61" s="635"/>
      <c r="E61" s="644"/>
      <c r="F61" s="639"/>
      <c r="G61" s="496" t="str">
        <f>IF((AllSat+AllSat1&gt;0),"",IF((OpenW=0),"",MAX(F62:F66)/MAX(E62:E66)))</f>
        <v/>
      </c>
      <c r="H61" s="1687" t="s">
        <v>5397</v>
      </c>
      <c r="I61" s="39" t="s">
        <v>738</v>
      </c>
    </row>
    <row r="62" spans="1:9" ht="15" customHeight="1" x14ac:dyDescent="0.2">
      <c r="A62" s="1910"/>
      <c r="B62" s="1837"/>
      <c r="C62" s="144" t="str">
        <f>F!C62</f>
        <v xml:space="preserve">1-5 ft </v>
      </c>
      <c r="D62" s="286">
        <f>F!D62</f>
        <v>0</v>
      </c>
      <c r="E62" s="397">
        <v>0</v>
      </c>
      <c r="F62" s="397">
        <f>D62*E62</f>
        <v>0</v>
      </c>
      <c r="G62" s="521"/>
      <c r="H62" s="1837"/>
    </row>
    <row r="63" spans="1:9" ht="15" customHeight="1" x14ac:dyDescent="0.2">
      <c r="A63" s="1910"/>
      <c r="B63" s="1837"/>
      <c r="C63" s="144" t="str">
        <f>F!C63</f>
        <v>5-25 ft</v>
      </c>
      <c r="D63" s="286">
        <f>F!D63</f>
        <v>0</v>
      </c>
      <c r="E63" s="397">
        <v>2</v>
      </c>
      <c r="F63" s="397">
        <f>D63*E63</f>
        <v>0</v>
      </c>
      <c r="G63" s="515"/>
      <c r="H63" s="1837"/>
    </row>
    <row r="64" spans="1:9" ht="15" customHeight="1" x14ac:dyDescent="0.2">
      <c r="A64" s="1910"/>
      <c r="B64" s="1837"/>
      <c r="C64" s="144" t="str">
        <f>F!C64</f>
        <v>25-100 ft</v>
      </c>
      <c r="D64" s="286">
        <f>F!D64</f>
        <v>0</v>
      </c>
      <c r="E64" s="397">
        <v>3</v>
      </c>
      <c r="F64" s="397">
        <f>D64*E64</f>
        <v>0</v>
      </c>
      <c r="G64" s="515"/>
      <c r="H64" s="1837"/>
    </row>
    <row r="65" spans="1:9" ht="15" customHeight="1" x14ac:dyDescent="0.2">
      <c r="A65" s="1910"/>
      <c r="B65" s="1837"/>
      <c r="C65" s="144" t="str">
        <f>F!C65</f>
        <v>100-300 ft</v>
      </c>
      <c r="D65" s="286">
        <f>F!D65</f>
        <v>0</v>
      </c>
      <c r="E65" s="397">
        <v>4</v>
      </c>
      <c r="F65" s="397">
        <f>D65*E65</f>
        <v>0</v>
      </c>
      <c r="G65" s="515"/>
      <c r="H65" s="1837"/>
    </row>
    <row r="66" spans="1:9" ht="15" customHeight="1" thickBot="1" x14ac:dyDescent="0.25">
      <c r="A66" s="1911"/>
      <c r="B66" s="1838"/>
      <c r="C66" s="455" t="str">
        <f>F!C66</f>
        <v>&gt;300 ft</v>
      </c>
      <c r="D66" s="359">
        <f>F!D66</f>
        <v>0</v>
      </c>
      <c r="E66" s="638">
        <v>5</v>
      </c>
      <c r="F66" s="638">
        <f>D66*E66</f>
        <v>0</v>
      </c>
      <c r="G66" s="504"/>
      <c r="H66" s="1838"/>
    </row>
    <row r="67" spans="1:9" ht="30" customHeight="1" thickBot="1" x14ac:dyDescent="0.25">
      <c r="A67" s="1859" t="str">
        <f>F!A79</f>
        <v>F16</v>
      </c>
      <c r="B67" s="1855" t="str">
        <f>F!B79</f>
        <v>Open Ponded Water - Extent</v>
      </c>
      <c r="C67" s="466" t="str">
        <f>F!C79</f>
        <v>The percentage of the ponded water that is open (lacking emergent vegetation during most of the growing season, and unhidden by a forest or shrub canopy) is:</v>
      </c>
      <c r="D67" s="698"/>
      <c r="E67" s="644"/>
      <c r="F67" s="639"/>
      <c r="G67" s="496">
        <f>IF((AllSat+AllSat1&gt;0),"",IF((OR(puddles=1,NoPonded=1)),"", MAX(F68:F73)/MAX(E68:E73)))</f>
        <v>0</v>
      </c>
      <c r="H67" s="1687" t="s">
        <v>5300</v>
      </c>
      <c r="I67" s="39" t="s">
        <v>734</v>
      </c>
    </row>
    <row r="68" spans="1:9" ht="15" customHeight="1" thickBot="1" x14ac:dyDescent="0.25">
      <c r="A68" s="1860"/>
      <c r="B68" s="1856"/>
      <c r="C68" s="1336" t="str">
        <f>F!C80</f>
        <v>&lt;1% or none, or largest pool occupies &lt;100 sq. ft.  Enter "1" and SKIP to F19.</v>
      </c>
      <c r="D68" s="291">
        <f>F!D80</f>
        <v>0</v>
      </c>
      <c r="E68" s="404">
        <v>0</v>
      </c>
      <c r="F68" s="397">
        <f t="shared" ref="F68:F73" si="3">D68*E68</f>
        <v>0</v>
      </c>
      <c r="G68" s="521"/>
      <c r="H68" s="1837"/>
    </row>
    <row r="69" spans="1:9" ht="15" customHeight="1" thickBot="1" x14ac:dyDescent="0.25">
      <c r="A69" s="1860"/>
      <c r="B69" s="1860"/>
      <c r="C69" s="1338" t="str">
        <f>F!C81</f>
        <v>1-5% of the ponded water.  Enter "1" and SKIP to F19.</v>
      </c>
      <c r="D69" s="697">
        <f>F!D81</f>
        <v>0</v>
      </c>
      <c r="E69" s="404">
        <v>2</v>
      </c>
      <c r="F69" s="397">
        <f t="shared" si="3"/>
        <v>0</v>
      </c>
      <c r="G69" s="515"/>
      <c r="H69" s="1837"/>
    </row>
    <row r="70" spans="1:9" ht="15" customHeight="1" thickBot="1" x14ac:dyDescent="0.25">
      <c r="A70" s="1860"/>
      <c r="B70" s="1860"/>
      <c r="C70" s="1338" t="str">
        <f>F!C82</f>
        <v>5-30% of the ponded water.</v>
      </c>
      <c r="D70" s="697">
        <f>F!D82</f>
        <v>0</v>
      </c>
      <c r="E70" s="404">
        <v>5</v>
      </c>
      <c r="F70" s="397">
        <f t="shared" si="3"/>
        <v>0</v>
      </c>
      <c r="G70" s="515"/>
      <c r="H70" s="1837"/>
    </row>
    <row r="71" spans="1:9" ht="15" customHeight="1" thickBot="1" x14ac:dyDescent="0.25">
      <c r="A71" s="1860"/>
      <c r="B71" s="1860"/>
      <c r="C71" s="1338" t="str">
        <f>F!C83</f>
        <v>30-70% of the ponded water.</v>
      </c>
      <c r="D71" s="697">
        <f>F!D83</f>
        <v>0</v>
      </c>
      <c r="E71" s="404">
        <v>4</v>
      </c>
      <c r="F71" s="397">
        <f t="shared" si="3"/>
        <v>0</v>
      </c>
      <c r="G71" s="515"/>
      <c r="H71" s="1837"/>
    </row>
    <row r="72" spans="1:9" ht="15" customHeight="1" thickBot="1" x14ac:dyDescent="0.25">
      <c r="A72" s="1860"/>
      <c r="B72" s="1860"/>
      <c r="C72" s="1338" t="str">
        <f>F!C84</f>
        <v>70-99% of the ponded water.</v>
      </c>
      <c r="D72" s="697">
        <f>F!D84</f>
        <v>0</v>
      </c>
      <c r="E72" s="404">
        <v>3</v>
      </c>
      <c r="F72" s="397">
        <f t="shared" si="3"/>
        <v>0</v>
      </c>
      <c r="G72" s="515"/>
      <c r="H72" s="1837"/>
    </row>
    <row r="73" spans="1:9" ht="15" customHeight="1" thickBot="1" x14ac:dyDescent="0.25">
      <c r="A73" s="1861"/>
      <c r="B73" s="1857"/>
      <c r="C73" s="1337" t="str">
        <f>F!C85</f>
        <v>100% of the ponded water. SKIP to F18.</v>
      </c>
      <c r="D73" s="697">
        <f>F!D85</f>
        <v>0</v>
      </c>
      <c r="E73" s="405">
        <v>1</v>
      </c>
      <c r="F73" s="638">
        <f t="shared" si="3"/>
        <v>0</v>
      </c>
      <c r="G73" s="504"/>
      <c r="H73" s="1838"/>
    </row>
    <row r="74" spans="1:9" ht="30" customHeight="1" thickBot="1" x14ac:dyDescent="0.25">
      <c r="A74" s="1840" t="str">
        <f>F!A86</f>
        <v>F17</v>
      </c>
      <c r="B74" s="1856" t="str">
        <f>F!B86</f>
        <v>Emergent Vegetation - Distribution</v>
      </c>
      <c r="C74" s="620" t="str">
        <f>F!C86</f>
        <v>During most of the growing season, the spatial pattern of herbaceous vegetation that has surface water beneath it (emergent vegetation -- NOT floating-leaved plants) is mostly:</v>
      </c>
      <c r="D74" s="394"/>
      <c r="E74" s="387"/>
      <c r="F74" s="645"/>
      <c r="G74" s="512">
        <f>IF((AllSat+AllSat1&gt;0),"",IF((OR(puddles=1,NoPonded=1)),"", IF((NoOpenPonded+ NoOpenPonded1&gt;0),"", IF((AllOpenPond=1),"", MAX(F75:F77)/MAX(E75:E77)))))</f>
        <v>0</v>
      </c>
      <c r="H74" s="1688" t="s">
        <v>5301</v>
      </c>
      <c r="I74" s="3" t="s">
        <v>2001</v>
      </c>
    </row>
    <row r="75" spans="1:9" ht="15" customHeight="1" x14ac:dyDescent="0.2">
      <c r="A75" s="1840"/>
      <c r="B75" s="1856"/>
      <c r="C75" s="617" t="str">
        <f>F!C87</f>
        <v>scattered in small clumps, islands, or patches throughout the surface water area.</v>
      </c>
      <c r="D75" s="289">
        <f>F!D87</f>
        <v>0</v>
      </c>
      <c r="E75" s="388">
        <v>2</v>
      </c>
      <c r="F75" s="399">
        <f>D75*E75</f>
        <v>0</v>
      </c>
      <c r="G75" s="515"/>
      <c r="H75" s="1837"/>
    </row>
    <row r="76" spans="1:9" ht="15" customHeight="1" x14ac:dyDescent="0.2">
      <c r="A76" s="1840"/>
      <c r="B76" s="1856"/>
      <c r="C76" s="618" t="str">
        <f>F!C88</f>
        <v>intermediate</v>
      </c>
      <c r="D76" s="290">
        <f>F!D88</f>
        <v>0</v>
      </c>
      <c r="E76" s="388">
        <v>1</v>
      </c>
      <c r="F76" s="399">
        <f>D76*E76</f>
        <v>0</v>
      </c>
      <c r="G76" s="515"/>
      <c r="H76" s="1837"/>
    </row>
    <row r="77" spans="1:9" ht="27" customHeight="1" thickBot="1" x14ac:dyDescent="0.25">
      <c r="A77" s="1840"/>
      <c r="B77" s="1856"/>
      <c r="C77" s="691" t="str">
        <f>F!C89</f>
        <v>clumped along the margin of the surface water area, or mostly surrounds a channel or central area of open water, or such vegetation covers &lt;100 sq ft and &lt;1% of the AA.</v>
      </c>
      <c r="D77" s="299">
        <f>F!D89</f>
        <v>0</v>
      </c>
      <c r="E77" s="391">
        <v>0</v>
      </c>
      <c r="F77" s="399">
        <f>D77*E77</f>
        <v>0</v>
      </c>
      <c r="G77" s="500"/>
      <c r="H77" s="1837"/>
    </row>
    <row r="78" spans="1:9" ht="89.25" customHeight="1" thickBot="1" x14ac:dyDescent="0.25">
      <c r="A78" s="452" t="str">
        <f>F!A90</f>
        <v>F18</v>
      </c>
      <c r="B78" s="125" t="str">
        <f>F!B90</f>
        <v>Floating Algae &amp; Duckweed</v>
      </c>
      <c r="C78" s="692" t="str">
        <f>F!C90</f>
        <v>At some time of the year, mats of algae and/or duckweed cover most of the AA's otherwise-unshaded water surface or blanket the underwater substrate.  If true, enter "1" in next column.  If untrue or uncertain, enter "0".</v>
      </c>
      <c r="D78" s="292">
        <f>F!D90</f>
        <v>0</v>
      </c>
      <c r="E78" s="647"/>
      <c r="F78" s="655"/>
      <c r="G78" s="496" t="str">
        <f>IF((AllSat+AllSat1&gt;0),"", IF((OR(puddles=1,NoPonded=1)),"",IF((OR(NoOpenPonded=1,NoOpenPonded1=1)),"", IF((D78=1),0,""))))</f>
        <v/>
      </c>
      <c r="H78" s="5" t="s">
        <v>5302</v>
      </c>
      <c r="I78" s="3" t="s">
        <v>2002</v>
      </c>
    </row>
    <row r="79" spans="1:9" ht="88.5" customHeight="1" thickBot="1" x14ac:dyDescent="0.25">
      <c r="A79" s="685" t="str">
        <f>F!A91</f>
        <v>F19</v>
      </c>
      <c r="B79" s="426" t="str">
        <f>F!B91</f>
        <v>Ice Cover</v>
      </c>
      <c r="C79" s="460" t="str">
        <f>F!C91</f>
        <v>Ice (not just snow) covers nearly all of the AA's water surface for more than 4 continuous weeks during most years, potentially altering the air-water exchange.  If true, enter "1" in next column.  If untrue, enter "0".</v>
      </c>
      <c r="D79" s="287">
        <f>F!D91</f>
        <v>0</v>
      </c>
      <c r="E79" s="666">
        <v>1</v>
      </c>
      <c r="F79" s="667">
        <f>D79*E79</f>
        <v>0</v>
      </c>
      <c r="G79" s="668">
        <f>IF((AllSat+AllSat1&gt;0),"",1-D79)</f>
        <v>1</v>
      </c>
      <c r="H79" s="143" t="s">
        <v>5303</v>
      </c>
      <c r="I79" s="3" t="s">
        <v>735</v>
      </c>
    </row>
    <row r="80" spans="1:9" s="3" customFormat="1" ht="51" customHeight="1" thickBot="1" x14ac:dyDescent="0.25">
      <c r="A80" s="218" t="str">
        <f>F!A92</f>
        <v>F20</v>
      </c>
      <c r="B80" s="49" t="str">
        <f>F!B92</f>
        <v>Stained Surface Water</v>
      </c>
      <c r="C80" s="693" t="str">
        <f>F!C92</f>
        <v xml:space="preserve">Most surface water is tea-colored (from tannins, not iron bacteria), and/or its pH is usually &lt;5.5.  If surface water not observed, enter "1" if organic soil depth exceeds 6 inches and vegetation is mostly moss and/or evergreens. </v>
      </c>
      <c r="D80" s="258">
        <f>F!D92</f>
        <v>0</v>
      </c>
      <c r="E80" s="411"/>
      <c r="F80" s="411"/>
      <c r="G80" s="669">
        <f>D80</f>
        <v>0</v>
      </c>
      <c r="H80" s="268" t="s">
        <v>2393</v>
      </c>
      <c r="I80" s="3" t="s">
        <v>2394</v>
      </c>
    </row>
    <row r="81" spans="1:9" ht="21" customHeight="1" thickBot="1" x14ac:dyDescent="0.25">
      <c r="A81" s="1909" t="str">
        <f>F!A114</f>
        <v>F27</v>
      </c>
      <c r="B81" s="1836" t="str">
        <f>F!B114</f>
        <v>Throughflow Complexity</v>
      </c>
      <c r="C81" s="454" t="str">
        <f>F!C114</f>
        <v xml:space="preserve">During its travel through the AA at the time of peak annual flow, most of the flowing water [select ONE]: </v>
      </c>
      <c r="D81" s="396"/>
      <c r="E81" s="644"/>
      <c r="F81" s="639"/>
      <c r="G81" s="496" t="str">
        <f>IF((AllSat+AllSat1&gt;0),"", IF((Inflows=0),"",MAX(F82:F86)/MAX(E82:E86)))</f>
        <v/>
      </c>
      <c r="H81" s="1709" t="s">
        <v>5304</v>
      </c>
      <c r="I81" s="3" t="s">
        <v>741</v>
      </c>
    </row>
    <row r="82" spans="1:9" ht="42" customHeight="1" x14ac:dyDescent="0.2">
      <c r="A82" s="1910"/>
      <c r="B82" s="1837"/>
      <c r="C82" s="144" t="str">
        <f>F!C115</f>
        <v>Does not bump into plant stems.  Nearly all the water travels in unvegetated (often incised) channels that have little contact with wetland vegetation, or through a zone of open water such as an instream pond or lake.</v>
      </c>
      <c r="D82" s="286">
        <f>F!D115</f>
        <v>0</v>
      </c>
      <c r="E82" s="397">
        <v>0</v>
      </c>
      <c r="F82" s="397">
        <f>D82*E82</f>
        <v>0</v>
      </c>
      <c r="G82" s="521"/>
      <c r="H82" s="1834"/>
    </row>
    <row r="83" spans="1:9" ht="27" customHeight="1" x14ac:dyDescent="0.2">
      <c r="A83" s="1910"/>
      <c r="B83" s="1837"/>
      <c r="C83" s="50" t="str">
        <f>F!C116</f>
        <v>bumps into herbaceous vegetation and follows a fairly straight path from entrance to exit (branched channels few or none, meandering slight or none).</v>
      </c>
      <c r="D83" s="271">
        <f>F!D116</f>
        <v>0</v>
      </c>
      <c r="E83" s="397">
        <v>1</v>
      </c>
      <c r="F83" s="397">
        <f>D83*E83</f>
        <v>0</v>
      </c>
      <c r="G83" s="515"/>
      <c r="H83" s="1834"/>
    </row>
    <row r="84" spans="1:9" ht="27" customHeight="1" x14ac:dyDescent="0.2">
      <c r="A84" s="1910"/>
      <c r="B84" s="1837"/>
      <c r="C84" s="50" t="str">
        <f>F!C117</f>
        <v>bumps into herbaceous vegetation and follows a fairly indirect path from entrance to exit (meandering, multi-branched, or braided).</v>
      </c>
      <c r="D84" s="271">
        <f>F!D117</f>
        <v>0</v>
      </c>
      <c r="E84" s="397">
        <v>2</v>
      </c>
      <c r="F84" s="397">
        <f>D84*E84</f>
        <v>0</v>
      </c>
      <c r="G84" s="515"/>
      <c r="H84" s="1834"/>
    </row>
    <row r="85" spans="1:9" ht="27" customHeight="1" x14ac:dyDescent="0.2">
      <c r="A85" s="1910"/>
      <c r="B85" s="1837"/>
      <c r="C85" s="50" t="str">
        <f>F!C118</f>
        <v>bumps into tree trunks and/or shrub stems and follows a fairly straight path from entrance to exit (branched channels few or none, meandering slight or none).</v>
      </c>
      <c r="D85" s="271">
        <f>F!D118</f>
        <v>0</v>
      </c>
      <c r="E85" s="397">
        <v>3</v>
      </c>
      <c r="F85" s="397">
        <f>D85*E85</f>
        <v>0</v>
      </c>
      <c r="G85" s="515"/>
      <c r="H85" s="1834"/>
    </row>
    <row r="86" spans="1:9" ht="27.6" customHeight="1" thickBot="1" x14ac:dyDescent="0.25">
      <c r="A86" s="1911"/>
      <c r="B86" s="1838"/>
      <c r="C86" s="462" t="str">
        <f>F!C119</f>
        <v>bumps into tree trunks and/or shrub stems and follows a fairly indirect path from entrance to exit (meandering, multi-branched, or braided).</v>
      </c>
      <c r="D86" s="272">
        <f>F!D119</f>
        <v>0</v>
      </c>
      <c r="E86" s="638">
        <v>4</v>
      </c>
      <c r="F86" s="638">
        <f>D86*E86</f>
        <v>0</v>
      </c>
      <c r="G86" s="504"/>
      <c r="H86" s="1835"/>
    </row>
    <row r="87" spans="1:9" ht="30" customHeight="1" thickBot="1" x14ac:dyDescent="0.25">
      <c r="A87" s="1909" t="str">
        <f>F!A120</f>
        <v>F28</v>
      </c>
      <c r="B87" s="1836" t="str">
        <f>F!B120</f>
        <v>Outflow Duration</v>
      </c>
      <c r="C87" s="454" t="str">
        <f>F!C120</f>
        <v>The most persistent surface water connection (outlet channel or pipe, ditch, or overbank water exchange) between the AA and the closest off-site downslope water body is:</v>
      </c>
      <c r="D87" s="392"/>
      <c r="E87" s="644"/>
      <c r="F87" s="639"/>
      <c r="G87" s="496">
        <f>MAX(F88:F92)/MAX(E88:E92)</f>
        <v>0</v>
      </c>
      <c r="H87" s="1687" t="s">
        <v>5442</v>
      </c>
      <c r="I87" s="3" t="s">
        <v>739</v>
      </c>
    </row>
    <row r="88" spans="1:9" ht="27" customHeight="1" x14ac:dyDescent="0.2">
      <c r="A88" s="1910"/>
      <c r="B88" s="1837"/>
      <c r="C88" s="144" t="str">
        <f>F!C121</f>
        <v>persistent (&gt;9 months/year); almost always shown on stream maps, or determine from your dry-season observation.</v>
      </c>
      <c r="D88" s="286">
        <f>F!D121</f>
        <v>0</v>
      </c>
      <c r="E88" s="397">
        <v>1</v>
      </c>
      <c r="F88" s="397">
        <f>D88*E88</f>
        <v>0</v>
      </c>
      <c r="G88" s="521"/>
      <c r="H88" s="1837"/>
    </row>
    <row r="89" spans="1:9" ht="15" customHeight="1" x14ac:dyDescent="0.2">
      <c r="A89" s="1910"/>
      <c r="B89" s="1837"/>
      <c r="C89" s="50" t="str">
        <f>F!C122</f>
        <v>seasonal (14 days to 9 months/year, not necessarily consecutive); sometimes shown on stream maps.</v>
      </c>
      <c r="D89" s="271">
        <f>F!D122</f>
        <v>0</v>
      </c>
      <c r="E89" s="397">
        <v>2</v>
      </c>
      <c r="F89" s="397">
        <f>D89*E89</f>
        <v>0</v>
      </c>
      <c r="G89" s="515"/>
      <c r="H89" s="1837"/>
    </row>
    <row r="90" spans="1:9" ht="15" customHeight="1" x14ac:dyDescent="0.2">
      <c r="A90" s="1910"/>
      <c r="B90" s="1837"/>
      <c r="C90" s="50" t="str">
        <f>F!C123</f>
        <v>temporary (&lt;14 days, not necessarily consecutive); seldom shown on stream maps.</v>
      </c>
      <c r="D90" s="271">
        <f>F!D123</f>
        <v>0</v>
      </c>
      <c r="E90" s="397">
        <v>3</v>
      </c>
      <c r="F90" s="397">
        <f>D90*E90</f>
        <v>0</v>
      </c>
      <c r="G90" s="515"/>
      <c r="H90" s="1837"/>
    </row>
    <row r="91" spans="1:9" ht="27" customHeight="1" x14ac:dyDescent="0.2">
      <c r="A91" s="1910"/>
      <c r="B91" s="1837"/>
      <c r="C91" s="50" t="str">
        <f>F!C124</f>
        <v xml:space="preserve">none -- but maps show a stream or other water body that is downslope from the AA and within a distance that is less than the AA's path length (see definition, OF35).  If so, mark "1" here and SKIP TO F30. </v>
      </c>
      <c r="D91" s="271">
        <f>F!D124</f>
        <v>0</v>
      </c>
      <c r="E91" s="649">
        <v>6</v>
      </c>
      <c r="F91" s="397">
        <f>D91*E91</f>
        <v>0</v>
      </c>
      <c r="G91" s="500"/>
      <c r="H91" s="1837"/>
    </row>
    <row r="92" spans="1:9" ht="42" customHeight="1" thickBot="1" x14ac:dyDescent="0.25">
      <c r="A92" s="1911"/>
      <c r="B92" s="1838"/>
      <c r="C92" s="462" t="str">
        <f>F!C125</f>
        <v xml:space="preserve">no surface water flows out of the wetland except possibly during extreme events (less than once per 10 years). Or, water flows only into a wetland, ditch, or lake that lacks an outlet.  If so, mark "1" here and SKIP TO F30. </v>
      </c>
      <c r="D92" s="272">
        <f>F!D125</f>
        <v>0</v>
      </c>
      <c r="E92" s="650">
        <v>6</v>
      </c>
      <c r="F92" s="638">
        <f>D92*E92</f>
        <v>0</v>
      </c>
      <c r="G92" s="504"/>
      <c r="H92" s="1838"/>
    </row>
    <row r="93" spans="1:9" ht="30" customHeight="1" thickBot="1" x14ac:dyDescent="0.25">
      <c r="A93" s="1832" t="str">
        <f>F!A126</f>
        <v>F29</v>
      </c>
      <c r="B93" s="1837" t="str">
        <f>F!B126</f>
        <v>Outflow Confinement</v>
      </c>
      <c r="C93" s="615" t="str">
        <f>F!C126</f>
        <v>During major runoff events, in the places where surface water in a channel exits the AA or connected waters nearby, it:</v>
      </c>
      <c r="D93" s="394"/>
      <c r="E93" s="645"/>
      <c r="F93" s="395"/>
      <c r="G93" s="512">
        <f>IF((OutNone + OutNone1&gt;0),"",(MAX(F94:F96)/MAX(E94:E96)))</f>
        <v>0</v>
      </c>
      <c r="H93" s="1834" t="s">
        <v>1162</v>
      </c>
      <c r="I93" s="3" t="s">
        <v>740</v>
      </c>
    </row>
    <row r="94" spans="1:9" ht="42" customHeight="1" x14ac:dyDescent="0.2">
      <c r="A94" s="1832"/>
      <c r="B94" s="1837"/>
      <c r="C94" s="144" t="str">
        <f>F!C127</f>
        <v>mostly passes through a pipe, culvert, narrowly breached dike, berm, beaver dam, or other partial obstruction (other than natural topography) that does not appear to drain the wetland artificially during most of the growing season.</v>
      </c>
      <c r="D94" s="286">
        <f>F!D127</f>
        <v>0</v>
      </c>
      <c r="E94" s="397">
        <v>1</v>
      </c>
      <c r="F94" s="397">
        <f>D94*E94</f>
        <v>0</v>
      </c>
      <c r="G94" s="521"/>
      <c r="H94" s="1834"/>
    </row>
    <row r="95" spans="1:9" ht="15" customHeight="1" x14ac:dyDescent="0.2">
      <c r="A95" s="1832"/>
      <c r="B95" s="1837"/>
      <c r="C95" s="50" t="str">
        <f>F!C128</f>
        <v>leaves through natural exits, not mainly through artificial or temporary features.</v>
      </c>
      <c r="D95" s="271">
        <f>F!D128</f>
        <v>0</v>
      </c>
      <c r="E95" s="397">
        <v>0</v>
      </c>
      <c r="F95" s="397">
        <f>D95*E95</f>
        <v>0</v>
      </c>
      <c r="G95" s="499"/>
      <c r="H95" s="1834"/>
    </row>
    <row r="96" spans="1:9" ht="27.6" customHeight="1" thickBot="1" x14ac:dyDescent="0.25">
      <c r="A96" s="1833"/>
      <c r="B96" s="1838"/>
      <c r="C96" s="462" t="str">
        <f>F!C129</f>
        <v>exported more quickly than usual due to ditches or pipes within the AA (or connected to its outlet or within 10 m of the AA's edge) which drain the wetland artificially, or water is pumped out of the AA.</v>
      </c>
      <c r="D96" s="272">
        <f>F!D129</f>
        <v>0</v>
      </c>
      <c r="E96" s="638">
        <v>0</v>
      </c>
      <c r="F96" s="638">
        <f>D96*E96</f>
        <v>0</v>
      </c>
      <c r="G96" s="504"/>
      <c r="H96" s="1835"/>
    </row>
    <row r="97" spans="1:9" ht="60" customHeight="1" thickBot="1" x14ac:dyDescent="0.25">
      <c r="A97" s="1831" t="str">
        <f>F!A200</f>
        <v>F43</v>
      </c>
      <c r="B97" s="1836" t="str">
        <f>F!B200</f>
        <v>Bare Ground &amp; Accumulated Plant Litter</v>
      </c>
      <c r="C97" s="454" t="str">
        <f>F!C200</f>
        <v>As viewed from above at mid-summer, the extent of bare ground (unvegetated mineral or organic soil or rock) within the AA, excluding parts not visible because under water, snow, or dense thatch) is:</v>
      </c>
      <c r="D97" s="396"/>
      <c r="E97" s="644"/>
      <c r="F97" s="639"/>
      <c r="G97" s="496">
        <f>MAX(F98:F101)/MAX(E98:E101)</f>
        <v>0</v>
      </c>
      <c r="H97" s="1687" t="s">
        <v>1074</v>
      </c>
      <c r="I97" s="3" t="s">
        <v>742</v>
      </c>
    </row>
    <row r="98" spans="1:9" ht="42" customHeight="1" x14ac:dyDescent="0.2">
      <c r="A98" s="1832"/>
      <c r="B98" s="1837"/>
      <c r="C98" s="144" t="str">
        <f>F!C201</f>
        <v xml:space="preserve">little or no (&lt;5%) bare ground is visible between erect stems or under canopy and ground surface is extensively blanketed by moss, lichens, graminoids with great stem densities, or plants with ground-hugging foliage.  </v>
      </c>
      <c r="D98" s="286">
        <f>F!D201</f>
        <v>0</v>
      </c>
      <c r="E98" s="397">
        <v>3</v>
      </c>
      <c r="F98" s="397">
        <f>D98*E98</f>
        <v>0</v>
      </c>
      <c r="G98" s="521"/>
      <c r="H98" s="1837"/>
    </row>
    <row r="99" spans="1:9" ht="27" customHeight="1" x14ac:dyDescent="0.2">
      <c r="A99" s="1832"/>
      <c r="B99" s="1837"/>
      <c r="C99" s="50" t="str">
        <f>F!C202</f>
        <v>Slightly bare ground (5-20% bare between plants) is visible in places, but those areas comprise less than 5% of the unflooded parts of the AA.</v>
      </c>
      <c r="D99" s="271">
        <f>F!D202</f>
        <v>0</v>
      </c>
      <c r="E99" s="397">
        <v>2</v>
      </c>
      <c r="F99" s="397">
        <f>D99*E99</f>
        <v>0</v>
      </c>
      <c r="G99" s="515"/>
      <c r="H99" s="1837"/>
    </row>
    <row r="100" spans="1:9" ht="27" customHeight="1" x14ac:dyDescent="0.2">
      <c r="A100" s="1832"/>
      <c r="B100" s="1837"/>
      <c r="C100" s="50" t="str">
        <f>F!C203</f>
        <v>Much bare ground (20-50% bare between plants) is visible in places, and those areas comprise more than 5% of the unflooded parts of the AA. </v>
      </c>
      <c r="D100" s="271">
        <f>F!D203</f>
        <v>0</v>
      </c>
      <c r="E100" s="397">
        <v>1</v>
      </c>
      <c r="F100" s="397">
        <f>D100*E100</f>
        <v>0</v>
      </c>
      <c r="G100" s="515"/>
      <c r="H100" s="1837"/>
    </row>
    <row r="101" spans="1:9" ht="15.6" customHeight="1" thickBot="1" x14ac:dyDescent="0.25">
      <c r="A101" s="1833"/>
      <c r="B101" s="1838"/>
      <c r="C101" s="462" t="str">
        <f>F!C204</f>
        <v>mostly (&gt;50%) bare ground or ground covered only with thatch.</v>
      </c>
      <c r="D101" s="272">
        <f>F!D204</f>
        <v>0</v>
      </c>
      <c r="E101" s="638">
        <v>0</v>
      </c>
      <c r="F101" s="638">
        <f>D101*E101</f>
        <v>0</v>
      </c>
      <c r="G101" s="504"/>
      <c r="H101" s="1838"/>
    </row>
    <row r="102" spans="1:9" ht="45" customHeight="1" thickBot="1" x14ac:dyDescent="0.25">
      <c r="A102" s="1831" t="str">
        <f>F!A206</f>
        <v>F44</v>
      </c>
      <c r="B102" s="1836" t="str">
        <f>F!B206</f>
        <v>Ground Irregularity</v>
      </c>
      <c r="C102" s="454"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02" s="396"/>
      <c r="E102" s="644"/>
      <c r="F102" s="639"/>
      <c r="G102" s="496">
        <f>MAX(F103:F105)/MAX(E103:E105)</f>
        <v>0</v>
      </c>
      <c r="H102" s="1852" t="s">
        <v>196</v>
      </c>
      <c r="I102" s="3" t="s">
        <v>743</v>
      </c>
    </row>
    <row r="103" spans="1:9" ht="15" customHeight="1" x14ac:dyDescent="0.2">
      <c r="A103" s="1832"/>
      <c r="B103" s="1837"/>
      <c r="C103" s="144" t="str">
        <f>F!C207</f>
        <v xml:space="preserve">Few or none (minimal microtopography; &lt;1% of that area) </v>
      </c>
      <c r="D103" s="286">
        <f>F!D207</f>
        <v>0</v>
      </c>
      <c r="E103" s="397">
        <v>0</v>
      </c>
      <c r="F103" s="397">
        <f>D103*E103</f>
        <v>0</v>
      </c>
      <c r="G103" s="521"/>
      <c r="H103" s="1834"/>
    </row>
    <row r="104" spans="1:9" ht="15" customHeight="1" x14ac:dyDescent="0.2">
      <c r="A104" s="1832"/>
      <c r="B104" s="1837"/>
      <c r="C104" s="50" t="str">
        <f>F!C208</f>
        <v>Intermediate</v>
      </c>
      <c r="D104" s="271">
        <f>F!D208</f>
        <v>0</v>
      </c>
      <c r="E104" s="397">
        <v>1</v>
      </c>
      <c r="F104" s="397">
        <f>D104*E104</f>
        <v>0</v>
      </c>
      <c r="G104" s="515"/>
      <c r="H104" s="1834"/>
    </row>
    <row r="105" spans="1:9" ht="15.6" customHeight="1" thickBot="1" x14ac:dyDescent="0.25">
      <c r="A105" s="1833"/>
      <c r="B105" s="1838"/>
      <c r="C105" s="462" t="str">
        <f>F!C209</f>
        <v>Several (extensive micro-topography)</v>
      </c>
      <c r="D105" s="272">
        <f>F!D209</f>
        <v>0</v>
      </c>
      <c r="E105" s="638">
        <v>2</v>
      </c>
      <c r="F105" s="638">
        <f>D105*E105</f>
        <v>0</v>
      </c>
      <c r="G105" s="504"/>
      <c r="H105" s="1835"/>
    </row>
    <row r="106" spans="1:9" ht="60" customHeight="1" thickBot="1" x14ac:dyDescent="0.25">
      <c r="A106" s="1839" t="str">
        <f>F!A214</f>
        <v>F46</v>
      </c>
      <c r="B106" s="1837" t="str">
        <f>F!B214</f>
        <v>Soil Texture</v>
      </c>
      <c r="C106" s="615"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06" s="396"/>
      <c r="E106" s="645"/>
      <c r="F106" s="395"/>
      <c r="G106" s="512">
        <f>MAX(F107:F112)/MAX(E107:E112)</f>
        <v>0</v>
      </c>
      <c r="H106" s="1710" t="s">
        <v>2127</v>
      </c>
      <c r="I106" s="3" t="s">
        <v>744</v>
      </c>
    </row>
    <row r="107" spans="1:9" ht="15" customHeight="1" x14ac:dyDescent="0.2">
      <c r="A107" s="1839"/>
      <c r="B107" s="1837"/>
      <c r="C107" s="144" t="str">
        <f>F!C215</f>
        <v>Loamy: includes loam, sandy loam</v>
      </c>
      <c r="D107" s="286">
        <f>F!D215</f>
        <v>0</v>
      </c>
      <c r="E107" s="397">
        <v>1</v>
      </c>
      <c r="F107" s="397">
        <f t="shared" ref="F107:F112" si="4">D107*E107</f>
        <v>0</v>
      </c>
      <c r="G107" s="521"/>
      <c r="H107" s="1710"/>
    </row>
    <row r="108" spans="1:9" ht="15" customHeight="1" x14ac:dyDescent="0.2">
      <c r="A108" s="1839"/>
      <c r="B108" s="1837"/>
      <c r="C108" s="50" t="str">
        <f>F!C216</f>
        <v>Fines: includes silt, glacial flour, clay, clay loam, silty clay, silty clay loam, sandy clay, sandy clay loam.</v>
      </c>
      <c r="D108" s="271">
        <f>F!D216</f>
        <v>0</v>
      </c>
      <c r="E108" s="397">
        <v>3</v>
      </c>
      <c r="F108" s="397">
        <f t="shared" si="4"/>
        <v>0</v>
      </c>
      <c r="G108" s="515"/>
      <c r="H108" s="1710"/>
    </row>
    <row r="109" spans="1:9" ht="15" customHeight="1" x14ac:dyDescent="0.2">
      <c r="A109" s="1839"/>
      <c r="B109" s="1837"/>
      <c r="C109" s="50" t="str">
        <f>F!C217</f>
        <v>Organic, from surface to within 4 inches of surface only.  Exclude live roots unless from moss.</v>
      </c>
      <c r="D109" s="271">
        <f>F!D217</f>
        <v>0</v>
      </c>
      <c r="E109" s="397">
        <v>4</v>
      </c>
      <c r="F109" s="397">
        <f t="shared" si="4"/>
        <v>0</v>
      </c>
      <c r="G109" s="515"/>
      <c r="H109" s="1710"/>
    </row>
    <row r="110" spans="1:9" ht="15" customHeight="1" x14ac:dyDescent="0.2">
      <c r="A110" s="1839"/>
      <c r="B110" s="1837"/>
      <c r="C110" s="50" t="str">
        <f>F!C218</f>
        <v>Organic, from surface to within 16 inches of surface only. Exclude live roots unless from moss.</v>
      </c>
      <c r="D110" s="271">
        <f>F!D218</f>
        <v>0</v>
      </c>
      <c r="E110" s="397">
        <v>4</v>
      </c>
      <c r="F110" s="397">
        <f t="shared" si="4"/>
        <v>0</v>
      </c>
      <c r="G110" s="500"/>
      <c r="H110" s="1710"/>
    </row>
    <row r="111" spans="1:9" ht="15" customHeight="1" x14ac:dyDescent="0.2">
      <c r="A111" s="1839"/>
      <c r="B111" s="1837"/>
      <c r="C111" s="50" t="str">
        <f>F!C219</f>
        <v>Organic, from surface to greater than 16 inch depth. Exclude live roots unless from moss.</v>
      </c>
      <c r="D111" s="271">
        <f>F!D219</f>
        <v>0</v>
      </c>
      <c r="E111" s="397">
        <v>4</v>
      </c>
      <c r="F111" s="397">
        <f t="shared" si="4"/>
        <v>0</v>
      </c>
      <c r="G111" s="500"/>
      <c r="H111" s="1710"/>
    </row>
    <row r="112" spans="1:9" ht="15.6" customHeight="1" thickBot="1" x14ac:dyDescent="0.25">
      <c r="A112" s="1944"/>
      <c r="B112" s="1942"/>
      <c r="C112" s="50" t="str">
        <f>F!C220</f>
        <v>Coarse: includes sand, loamy sand, gravel, cobble, stones, boulders, fluvents, fluvaquents, riverwash.</v>
      </c>
      <c r="D112" s="271">
        <f>F!D220</f>
        <v>0</v>
      </c>
      <c r="E112" s="397">
        <v>0</v>
      </c>
      <c r="F112" s="397">
        <f t="shared" si="4"/>
        <v>0</v>
      </c>
      <c r="G112" s="500"/>
      <c r="H112" s="1711"/>
    </row>
    <row r="113" spans="1:9" ht="30" customHeight="1" thickBot="1" x14ac:dyDescent="0.25">
      <c r="A113" s="483" t="s">
        <v>290</v>
      </c>
      <c r="B113" s="488" t="s">
        <v>5440</v>
      </c>
      <c r="C113" s="475" t="s">
        <v>2606</v>
      </c>
      <c r="D113" s="474" t="s">
        <v>117</v>
      </c>
      <c r="E113" s="626" t="s">
        <v>5438</v>
      </c>
      <c r="F113" s="627" t="s">
        <v>5439</v>
      </c>
      <c r="G113" s="628" t="s">
        <v>5825</v>
      </c>
      <c r="H113" s="488" t="s">
        <v>919</v>
      </c>
    </row>
    <row r="114" spans="1:9" ht="21" customHeight="1" thickBot="1" x14ac:dyDescent="0.25">
      <c r="A114" s="1831" t="str">
        <f>OF!A93</f>
        <v>OF16</v>
      </c>
      <c r="B114" s="1836" t="str">
        <f>OF!B93</f>
        <v>Glacier Fed</v>
      </c>
      <c r="C114" s="456" t="str">
        <f>OF!C93</f>
        <v>Refer to the Glaciers map in the online WESPAK-SE Wetlands Module.  Select the first applicable choice:</v>
      </c>
      <c r="D114" s="635"/>
      <c r="E114" s="644"/>
      <c r="F114" s="639"/>
      <c r="G114" s="631">
        <f>IF((AllSat=1),"",MAX(F115:F117)/MAX(E115:E117))</f>
        <v>0</v>
      </c>
      <c r="H114" s="1687" t="s">
        <v>5305</v>
      </c>
      <c r="I114" s="3" t="s">
        <v>1117</v>
      </c>
    </row>
    <row r="115" spans="1:9" ht="15" customHeight="1" x14ac:dyDescent="0.2">
      <c r="A115" s="1832"/>
      <c r="B115" s="1837"/>
      <c r="C115" s="457" t="str">
        <f>OF!C94</f>
        <v>No upstream glacier feeds surface water to the AA, not even seasonally.</v>
      </c>
      <c r="D115" s="286">
        <f>OF!D94</f>
        <v>0</v>
      </c>
      <c r="E115" s="397">
        <v>0</v>
      </c>
      <c r="F115" s="399">
        <f>D115*E115</f>
        <v>0</v>
      </c>
      <c r="G115" s="521"/>
      <c r="H115" s="1688"/>
    </row>
    <row r="116" spans="1:9" ht="42" customHeight="1" x14ac:dyDescent="0.2">
      <c r="A116" s="1832"/>
      <c r="B116" s="1837"/>
      <c r="C116" s="458"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6" s="271">
        <f>OF!D95</f>
        <v>0</v>
      </c>
      <c r="E116" s="397">
        <v>5</v>
      </c>
      <c r="F116" s="399">
        <f>D116*E116</f>
        <v>0</v>
      </c>
      <c r="G116" s="515"/>
      <c r="H116" s="1688"/>
    </row>
    <row r="117" spans="1:9" ht="27.6" customHeight="1" thickBot="1" x14ac:dyDescent="0.25">
      <c r="A117" s="1833"/>
      <c r="B117" s="1838"/>
      <c r="C117" s="459" t="str">
        <f>OF!C96</f>
        <v>A glacier feeds streamflow or other surface water to the AA, but there is little or no resultant reduction in water clarity.</v>
      </c>
      <c r="D117" s="272">
        <f>OF!D96</f>
        <v>0</v>
      </c>
      <c r="E117" s="638">
        <v>4</v>
      </c>
      <c r="F117" s="638">
        <f>D117*E117</f>
        <v>0</v>
      </c>
      <c r="G117" s="504"/>
      <c r="H117" s="1689"/>
    </row>
    <row r="118" spans="1:9" ht="30" customHeight="1" thickBot="1" x14ac:dyDescent="0.25">
      <c r="A118" s="1832" t="str">
        <f>OF!A97</f>
        <v>OF17</v>
      </c>
      <c r="B118" s="1837" t="str">
        <f>OF!B97</f>
        <v>Fish Access or Use</v>
      </c>
      <c r="C118" s="615" t="str">
        <f>OF!C97</f>
        <v>Refer to the map in the online WESPAK-SE Wetlands Module: Habitat Layers &gt; Anadromous Waters Catalog, and preferably verify by contacting a local ADFG biologist.  Mark just the first choice that is true.  The AA:</v>
      </c>
      <c r="D118" s="394"/>
      <c r="E118" s="645"/>
      <c r="F118" s="395"/>
      <c r="G118" s="530">
        <f>MAX(F119:F123)/MAX(E119:E123)</f>
        <v>0</v>
      </c>
      <c r="H118" s="1688" t="s">
        <v>1165</v>
      </c>
      <c r="I118" s="39" t="s">
        <v>756</v>
      </c>
    </row>
    <row r="119" spans="1:9" ht="15" customHeight="1" x14ac:dyDescent="0.2">
      <c r="A119" s="1832"/>
      <c r="B119" s="1837"/>
      <c r="C119" s="144" t="str">
        <f>OF!C98</f>
        <v>a) is known to support anadromous fish feeding and/or spawning (some ADFG Class 1 streams).</v>
      </c>
      <c r="D119" s="286">
        <f>OF!D98</f>
        <v>0</v>
      </c>
      <c r="E119" s="397">
        <v>2</v>
      </c>
      <c r="F119" s="397">
        <f>D119*E119</f>
        <v>0</v>
      </c>
      <c r="G119" s="670"/>
      <c r="H119" s="1688"/>
    </row>
    <row r="120" spans="1:9" ht="27" customHeight="1" x14ac:dyDescent="0.2">
      <c r="A120" s="1832"/>
      <c r="B120" s="1837"/>
      <c r="C120" s="50" t="str">
        <f>OF!C99</f>
        <v>b) is probably accessible to anadromous and other fish (at least seasonally, at least for feeding, partially or entirely), but anadromous fish have not been documented (some Class 1 streams).</v>
      </c>
      <c r="D120" s="271">
        <f>OF!D99</f>
        <v>0</v>
      </c>
      <c r="E120" s="397">
        <v>1</v>
      </c>
      <c r="F120" s="397">
        <f>D120*E120</f>
        <v>0</v>
      </c>
      <c r="G120" s="671"/>
      <c r="H120" s="1688"/>
    </row>
    <row r="121" spans="1:9" ht="27" customHeight="1" x14ac:dyDescent="0.2">
      <c r="A121" s="1832"/>
      <c r="B121" s="1837"/>
      <c r="C121" s="50" t="str">
        <f>OF!C100</f>
        <v>c) is not accessible to anadromous fish, but other resident fish are known (or can be assumed) present (Class 2).</v>
      </c>
      <c r="D121" s="271">
        <f>OF!D100</f>
        <v>0</v>
      </c>
      <c r="E121" s="397">
        <v>0</v>
      </c>
      <c r="F121" s="397">
        <f>D121*E121</f>
        <v>0</v>
      </c>
      <c r="G121" s="671"/>
      <c r="H121" s="1688"/>
    </row>
    <row r="122" spans="1:9" ht="27" customHeight="1" x14ac:dyDescent="0.2">
      <c r="A122" s="1832"/>
      <c r="B122" s="1837"/>
      <c r="C122" s="50" t="str">
        <f>OF!C101</f>
        <v>d) is fishless (i.e., not accessible to anadromous fish and is known or can be assumed to have no resident fish).  (Class 3, 4)</v>
      </c>
      <c r="D122" s="271">
        <f>OF!D101</f>
        <v>0</v>
      </c>
      <c r="E122" s="397">
        <v>0</v>
      </c>
      <c r="F122" s="397">
        <f>D122*E122</f>
        <v>0</v>
      </c>
      <c r="G122" s="671"/>
      <c r="H122" s="1688"/>
    </row>
    <row r="123" spans="1:9" ht="15.6" customHeight="1" thickBot="1" x14ac:dyDescent="0.25">
      <c r="A123" s="1833"/>
      <c r="B123" s="1838"/>
      <c r="C123" s="462" t="str">
        <f>OF!C102</f>
        <v>e) fish presence and potential fish access are unknown and undeterminable.</v>
      </c>
      <c r="D123" s="272">
        <f>OF!D102</f>
        <v>0</v>
      </c>
      <c r="E123" s="638">
        <v>0</v>
      </c>
      <c r="F123" s="638">
        <f>D123*E123</f>
        <v>0</v>
      </c>
      <c r="G123" s="672"/>
      <c r="H123" s="1689"/>
    </row>
    <row r="124" spans="1:9" ht="52.5" customHeight="1" thickBot="1" x14ac:dyDescent="0.25">
      <c r="A124" s="1912" t="str">
        <f>OF!A122</f>
        <v>OF24</v>
      </c>
      <c r="B124" s="1837" t="str">
        <f>OF!B122</f>
        <v>Upslope Soil Erodibility &amp; Debris Flow Potential</v>
      </c>
      <c r="C124" s="615" t="str">
        <f>OF!C122</f>
        <v>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v>
      </c>
      <c r="D124" s="396"/>
      <c r="E124" s="645"/>
      <c r="F124" s="666"/>
      <c r="G124" s="530">
        <f>IF((D128=1),"", IF((NoCA=1),"",(MAX(F125:F127))/MAX(E125:E127)))</f>
        <v>0</v>
      </c>
      <c r="H124" s="1710" t="s">
        <v>5310</v>
      </c>
      <c r="I124" s="39" t="s">
        <v>755</v>
      </c>
    </row>
    <row r="125" spans="1:9" ht="15" customHeight="1" x14ac:dyDescent="0.2">
      <c r="A125" s="1912"/>
      <c r="B125" s="1837"/>
      <c r="C125" s="144" t="str">
        <f>OF!C123</f>
        <v>yes, and such conditions or classifications intersect the AA.</v>
      </c>
      <c r="D125" s="300">
        <f>OF!D123</f>
        <v>0</v>
      </c>
      <c r="E125" s="397">
        <v>2</v>
      </c>
      <c r="F125" s="397">
        <f>D125*E125</f>
        <v>0</v>
      </c>
      <c r="G125" s="521"/>
      <c r="H125" s="1834"/>
    </row>
    <row r="126" spans="1:9" ht="15" customHeight="1" x14ac:dyDescent="0.2">
      <c r="A126" s="1912"/>
      <c r="B126" s="1837"/>
      <c r="C126" s="50" t="str">
        <f>OF!C124</f>
        <v>yes, but the conditions or classifications do not reach or intersect the AA.</v>
      </c>
      <c r="D126" s="301">
        <f>OF!D124</f>
        <v>0</v>
      </c>
      <c r="E126" s="397">
        <v>1</v>
      </c>
      <c r="F126" s="397">
        <f>D126*E126</f>
        <v>0</v>
      </c>
      <c r="G126" s="521"/>
      <c r="H126" s="1834"/>
    </row>
    <row r="127" spans="1:9" ht="15" customHeight="1" x14ac:dyDescent="0.2">
      <c r="A127" s="1912"/>
      <c r="B127" s="1837"/>
      <c r="C127" s="50" t="str">
        <f>OF!C125</f>
        <v>no, or no information but very unlikely that AA is intersected by highly erodible lands or landslides</v>
      </c>
      <c r="D127" s="301">
        <f>OF!D125</f>
        <v>0</v>
      </c>
      <c r="E127" s="397">
        <v>0</v>
      </c>
      <c r="F127" s="397">
        <f>D127*E127</f>
        <v>0</v>
      </c>
      <c r="G127" s="515"/>
      <c r="H127" s="1834"/>
    </row>
    <row r="128" spans="1:9" ht="15.6" customHeight="1" thickBot="1" x14ac:dyDescent="0.25">
      <c r="A128" s="1912"/>
      <c r="B128" s="1837"/>
      <c r="C128" s="204" t="str">
        <f>OF!C126</f>
        <v>no information</v>
      </c>
      <c r="D128" s="302">
        <f>OF!D126</f>
        <v>0</v>
      </c>
      <c r="E128" s="399"/>
      <c r="F128" s="399"/>
      <c r="G128" s="500"/>
      <c r="H128" s="1834"/>
    </row>
    <row r="129" spans="1:9" ht="80.25" customHeight="1" thickBot="1" x14ac:dyDescent="0.25">
      <c r="A129" s="1909" t="str">
        <f>OF!A147</f>
        <v>OF28</v>
      </c>
      <c r="B129" s="1836" t="str">
        <f>OF!B147</f>
        <v>Elevation in Multi-scale Watersheds</v>
      </c>
      <c r="C129" s="45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29" s="635"/>
      <c r="E129" s="644"/>
      <c r="F129" s="639"/>
      <c r="G129" s="631" t="str">
        <f>IF((D130=0),"",1-((D130*3 + D131*2 + D132)/18))</f>
        <v/>
      </c>
      <c r="H129" s="1709" t="s">
        <v>5311</v>
      </c>
      <c r="I129" s="3" t="s">
        <v>757</v>
      </c>
    </row>
    <row r="130" spans="1:9" ht="27" customHeight="1" x14ac:dyDescent="0.2">
      <c r="A130" s="1910"/>
      <c r="B130" s="1837"/>
      <c r="C130" s="144" t="str">
        <f>OF!C148</f>
        <v>In its HUC8 (the watershed with a 12-digit code), the AA's elevation puts it in (enter one of the following): 3= upper one-third, 2= middle one-third, 1= lower one-third, 0= no data.</v>
      </c>
      <c r="D130" s="286">
        <f>OF!D148</f>
        <v>0</v>
      </c>
      <c r="E130" s="653">
        <f>4-D130</f>
        <v>4</v>
      </c>
      <c r="F130" s="397"/>
      <c r="G130" s="521"/>
      <c r="H130" s="1834"/>
    </row>
    <row r="131" spans="1:9" ht="42" customHeight="1" x14ac:dyDescent="0.2">
      <c r="A131" s="1910"/>
      <c r="B131" s="1837"/>
      <c r="C131" s="50" t="str">
        <f>OF!C149</f>
        <v>In its HUC7 (the 10-digit* watershed), the AA's elevation puts it in (enter one of the following): 3= upper one-third, 2= middle one-third, 1= lower one-third, 0= no data.  [The 10-digit HUC is obtained by deleting the last 2 digits of the 12-digit HUC code]</v>
      </c>
      <c r="D131" s="271">
        <f>OF!D149</f>
        <v>0</v>
      </c>
      <c r="E131" s="653">
        <f>4-D131</f>
        <v>4</v>
      </c>
      <c r="F131" s="397"/>
      <c r="G131" s="515"/>
      <c r="H131" s="1834"/>
    </row>
    <row r="132" spans="1:9" ht="42" customHeight="1" thickBot="1" x14ac:dyDescent="0.25">
      <c r="A132" s="1911"/>
      <c r="B132" s="1838"/>
      <c r="C132" s="462" t="str">
        <f>OF!C150</f>
        <v>In its HUC6 (the 8-digit* watershed) the AA's elevation puts it in (enter one of the following): 3= upper one-third, 2= middle one-third, 1= lower one-third, 0= no data.  [The 8-digit HUC is obtained by deleting the last 4 digits of the 12-digit HUC code]</v>
      </c>
      <c r="D132" s="272">
        <f>OF!D150</f>
        <v>0</v>
      </c>
      <c r="E132" s="654">
        <f>4-D132</f>
        <v>4</v>
      </c>
      <c r="F132" s="638"/>
      <c r="G132" s="504"/>
      <c r="H132" s="1835"/>
    </row>
    <row r="133" spans="1:9" ht="30" customHeight="1" thickBot="1" x14ac:dyDescent="0.25">
      <c r="A133" s="1909" t="str">
        <f>OF!A152</f>
        <v>OF30</v>
      </c>
      <c r="B133" s="1836" t="str">
        <f>OF!B152</f>
        <v>Contributing Area (CA) Percent</v>
      </c>
      <c r="C133" s="454" t="str">
        <f>OF!C152</f>
        <v>On a topographic map, draw the approximate bounds of this AA's contributing area  (see Manual).  Relative to the extent of this contributing area (CA), the AA comprises:</v>
      </c>
      <c r="D133" s="635"/>
      <c r="E133" s="644"/>
      <c r="F133" s="639"/>
      <c r="G133" s="631">
        <f>(MAX(F134:F137))/MAX(E134:E137)</f>
        <v>0</v>
      </c>
      <c r="H133" s="1709" t="s">
        <v>5312</v>
      </c>
      <c r="I133" s="3" t="s">
        <v>758</v>
      </c>
    </row>
    <row r="134" spans="1:9" ht="27" customHeight="1" x14ac:dyDescent="0.2">
      <c r="A134" s="1910"/>
      <c r="B134" s="1837"/>
      <c r="C134" s="144" t="str">
        <f>OF!C153</f>
        <v>&lt;1% of its CA  (including but not limited to most wetlands flooded annually by a major river, many in karst landscapes, and most that have multiple tributaries).</v>
      </c>
      <c r="D134" s="286">
        <f>OF!D153</f>
        <v>0</v>
      </c>
      <c r="E134" s="397">
        <v>3</v>
      </c>
      <c r="F134" s="397">
        <f t="shared" ref="F134:F145" si="5">D134*E134</f>
        <v>0</v>
      </c>
      <c r="G134" s="521"/>
      <c r="H134" s="1834"/>
    </row>
    <row r="135" spans="1:9" ht="15" customHeight="1" x14ac:dyDescent="0.2">
      <c r="A135" s="1910"/>
      <c r="B135" s="1837"/>
      <c r="C135" s="50" t="str">
        <f>OF!C154</f>
        <v>1 to 10% of its CA</v>
      </c>
      <c r="D135" s="271">
        <f>OF!D154</f>
        <v>0</v>
      </c>
      <c r="E135" s="397">
        <v>2</v>
      </c>
      <c r="F135" s="397">
        <f t="shared" si="5"/>
        <v>0</v>
      </c>
      <c r="G135" s="515"/>
      <c r="H135" s="1834"/>
    </row>
    <row r="136" spans="1:9" ht="15" customHeight="1" x14ac:dyDescent="0.2">
      <c r="A136" s="1910"/>
      <c r="B136" s="1837"/>
      <c r="C136" s="50" t="str">
        <f>OF!C155</f>
        <v>10 to 100%  of its CA</v>
      </c>
      <c r="D136" s="271">
        <f>OF!D155</f>
        <v>0</v>
      </c>
      <c r="E136" s="397">
        <v>1</v>
      </c>
      <c r="F136" s="397">
        <f t="shared" si="5"/>
        <v>0</v>
      </c>
      <c r="G136" s="515"/>
      <c r="H136" s="1834"/>
    </row>
    <row r="137" spans="1:9" ht="27.6" customHeight="1" thickBot="1" x14ac:dyDescent="0.25">
      <c r="A137" s="1911"/>
      <c r="B137" s="1838"/>
      <c r="C137" s="462" t="str">
        <f>OF!C156</f>
        <v>Wetland has essentially no CA, e.g., isolated by dikes with no input channels, or is in terrain so flat that a CA can't be delineated. SKIP TO OF34.</v>
      </c>
      <c r="D137" s="272">
        <f>OF!D156</f>
        <v>0</v>
      </c>
      <c r="E137" s="638">
        <v>0</v>
      </c>
      <c r="F137" s="638">
        <f t="shared" si="5"/>
        <v>0</v>
      </c>
      <c r="G137" s="504"/>
      <c r="H137" s="1835"/>
    </row>
    <row r="138" spans="1:9" ht="60" customHeight="1" thickBot="1" x14ac:dyDescent="0.25">
      <c r="A138" s="1909" t="str">
        <f>OF!A157</f>
        <v>OF31</v>
      </c>
      <c r="B138" s="1836" t="str">
        <f>OF!B157</f>
        <v>Unvegetated Surface in the Contributing Area</v>
      </c>
      <c r="C138" s="454" t="str">
        <f>OF!C157</f>
        <v>The proportion of the AA's contributing area (measured to no more than 1000 ft upslope) that is comprised of buildings, roads, parking lots, other pavement, exposed bedrock, debris flows, and other mostly-bare (but unfrozen) surface is about :</v>
      </c>
      <c r="D138" s="635"/>
      <c r="E138" s="644"/>
      <c r="F138" s="639"/>
      <c r="G138" s="631">
        <f>IF((NoCA=1),"",(MAX(F139:F141))/MAX(E139:E141))</f>
        <v>0</v>
      </c>
      <c r="H138" s="1709" t="s">
        <v>5313</v>
      </c>
      <c r="I138" s="39" t="s">
        <v>759</v>
      </c>
    </row>
    <row r="139" spans="1:9" ht="18" customHeight="1" x14ac:dyDescent="0.2">
      <c r="A139" s="1910"/>
      <c r="B139" s="1837"/>
      <c r="C139" s="144" t="str">
        <f>OF!C158</f>
        <v>&lt;10%</v>
      </c>
      <c r="D139" s="286">
        <f>OF!D158</f>
        <v>0</v>
      </c>
      <c r="E139" s="397">
        <v>0</v>
      </c>
      <c r="F139" s="397">
        <f t="shared" si="5"/>
        <v>0</v>
      </c>
      <c r="G139" s="521"/>
      <c r="H139" s="1834"/>
    </row>
    <row r="140" spans="1:9" ht="18" customHeight="1" x14ac:dyDescent="0.2">
      <c r="A140" s="1910"/>
      <c r="B140" s="1837"/>
      <c r="C140" s="50" t="str">
        <f>OF!C159</f>
        <v>10 to 25%</v>
      </c>
      <c r="D140" s="271">
        <f>OF!D159</f>
        <v>0</v>
      </c>
      <c r="E140" s="397">
        <v>1</v>
      </c>
      <c r="F140" s="397">
        <f t="shared" si="5"/>
        <v>0</v>
      </c>
      <c r="G140" s="515"/>
      <c r="H140" s="1834"/>
    </row>
    <row r="141" spans="1:9" ht="18" customHeight="1" thickBot="1" x14ac:dyDescent="0.25">
      <c r="A141" s="1911"/>
      <c r="B141" s="1838"/>
      <c r="C141" s="462" t="str">
        <f>OF!C160</f>
        <v>&gt;25%</v>
      </c>
      <c r="D141" s="272">
        <f>OF!D160</f>
        <v>0</v>
      </c>
      <c r="E141" s="638">
        <v>2</v>
      </c>
      <c r="F141" s="638">
        <f t="shared" si="5"/>
        <v>0</v>
      </c>
      <c r="G141" s="504"/>
      <c r="H141" s="1835"/>
    </row>
    <row r="142" spans="1:9" ht="126" customHeight="1" thickBot="1" x14ac:dyDescent="0.25">
      <c r="A142" s="1910" t="str">
        <f>OF!A161</f>
        <v>OF32</v>
      </c>
      <c r="B142" s="1837" t="str">
        <f>OF!B161</f>
        <v>Transport From Upslope</v>
      </c>
      <c r="C142" s="615" t="str">
        <f>OF!C161</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This statement is:</v>
      </c>
      <c r="D142" s="394"/>
      <c r="E142" s="645"/>
      <c r="F142" s="395"/>
      <c r="G142" s="530">
        <f>IF((NoCA=1),"", (MAX(F143:F145))/MAX(E143:E145))</f>
        <v>0</v>
      </c>
      <c r="H142" s="1710" t="s">
        <v>5315</v>
      </c>
      <c r="I142" s="3" t="s">
        <v>760</v>
      </c>
    </row>
    <row r="143" spans="1:9" ht="15" customHeight="1" x14ac:dyDescent="0.2">
      <c r="A143" s="1910"/>
      <c r="B143" s="1837"/>
      <c r="C143" s="144" t="str">
        <f>OF!C162</f>
        <v>Mostly true</v>
      </c>
      <c r="D143" s="286">
        <f>OF!D162</f>
        <v>0</v>
      </c>
      <c r="E143" s="397">
        <v>2</v>
      </c>
      <c r="F143" s="397">
        <f t="shared" si="5"/>
        <v>0</v>
      </c>
      <c r="G143" s="521"/>
      <c r="H143" s="1834"/>
    </row>
    <row r="144" spans="1:9" ht="15" customHeight="1" x14ac:dyDescent="0.2">
      <c r="A144" s="1910"/>
      <c r="B144" s="1837"/>
      <c r="C144" s="50" t="str">
        <f>OF!C163</f>
        <v>Somewhat true</v>
      </c>
      <c r="D144" s="271">
        <f>OF!D163</f>
        <v>0</v>
      </c>
      <c r="E144" s="397">
        <v>1</v>
      </c>
      <c r="F144" s="397">
        <f t="shared" si="5"/>
        <v>0</v>
      </c>
      <c r="G144" s="515"/>
      <c r="H144" s="1834"/>
    </row>
    <row r="145" spans="1:9" ht="15.6" customHeight="1" thickBot="1" x14ac:dyDescent="0.25">
      <c r="A145" s="1911"/>
      <c r="B145" s="1838"/>
      <c r="C145" s="462" t="str">
        <f>OF!C164</f>
        <v>Mostly untrue</v>
      </c>
      <c r="D145" s="272">
        <f>OF!D164</f>
        <v>0</v>
      </c>
      <c r="E145" s="399">
        <v>0</v>
      </c>
      <c r="F145" s="638">
        <f t="shared" si="5"/>
        <v>0</v>
      </c>
      <c r="G145" s="504"/>
      <c r="H145" s="1835"/>
    </row>
    <row r="146" spans="1:9" s="3" customFormat="1" ht="45" customHeight="1" thickBot="1" x14ac:dyDescent="0.25">
      <c r="A146" s="686" t="str">
        <f>F!A107</f>
        <v>F24</v>
      </c>
      <c r="B146" s="430" t="str">
        <f>F!B107</f>
        <v>Inflow</v>
      </c>
      <c r="C146" s="694" t="str">
        <f>F!C107</f>
        <v>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SKIP to F28.</v>
      </c>
      <c r="D146" s="679">
        <f>F!D107</f>
        <v>0</v>
      </c>
      <c r="E146" s="680"/>
      <c r="F146" s="681"/>
      <c r="G146" s="682">
        <f>F!D107</f>
        <v>0</v>
      </c>
      <c r="H146" s="425" t="s">
        <v>1095</v>
      </c>
      <c r="I146" s="3" t="s">
        <v>752</v>
      </c>
    </row>
    <row r="147" spans="1:9" ht="30" customHeight="1" thickBot="1" x14ac:dyDescent="0.25">
      <c r="A147" s="1831" t="str">
        <f>F!A109</f>
        <v>F26</v>
      </c>
      <c r="B147" s="1836" t="str">
        <f>F!B109</f>
        <v>Input Stream Gradient</v>
      </c>
      <c r="C147" s="454" t="str">
        <f>F!C109</f>
        <v>The gradient of the tributary with the largest inflow, averaged up to 300 ft from the AA (excluding any portion of the distance where water travels through a pipe) is:</v>
      </c>
      <c r="D147" s="635"/>
      <c r="E147" s="644"/>
      <c r="F147" s="639"/>
      <c r="G147" s="631" t="str">
        <f>IF((Inflows=0),"",MAX(F148:F151)/MAX(E148:E151))</f>
        <v/>
      </c>
      <c r="H147" s="1687" t="s">
        <v>5443</v>
      </c>
      <c r="I147" s="3" t="s">
        <v>746</v>
      </c>
    </row>
    <row r="148" spans="1:9" ht="15" customHeight="1" x14ac:dyDescent="0.2">
      <c r="A148" s="1832"/>
      <c r="B148" s="1837"/>
      <c r="C148" s="144" t="str">
        <f>F!C110</f>
        <v>&lt;1%</v>
      </c>
      <c r="D148" s="286">
        <f>F!D110</f>
        <v>0</v>
      </c>
      <c r="E148" s="397">
        <v>0</v>
      </c>
      <c r="F148" s="399">
        <f>D148*E148</f>
        <v>0</v>
      </c>
      <c r="G148" s="521"/>
      <c r="H148" s="1837"/>
    </row>
    <row r="149" spans="1:9" ht="15" customHeight="1" x14ac:dyDescent="0.2">
      <c r="A149" s="1832"/>
      <c r="B149" s="1837"/>
      <c r="C149" s="50" t="str">
        <f>F!C111</f>
        <v>1-5%</v>
      </c>
      <c r="D149" s="271">
        <f>F!D111</f>
        <v>0</v>
      </c>
      <c r="E149" s="397">
        <v>2</v>
      </c>
      <c r="F149" s="399">
        <f>D149*E149</f>
        <v>0</v>
      </c>
      <c r="G149" s="515"/>
      <c r="H149" s="1837"/>
    </row>
    <row r="150" spans="1:9" ht="15" customHeight="1" x14ac:dyDescent="0.2">
      <c r="A150" s="1832"/>
      <c r="B150" s="1837"/>
      <c r="C150" s="50" t="str">
        <f>F!C112</f>
        <v>5-30%</v>
      </c>
      <c r="D150" s="271">
        <f>F!D112</f>
        <v>0</v>
      </c>
      <c r="E150" s="397">
        <v>3</v>
      </c>
      <c r="F150" s="399">
        <f>D150*E150</f>
        <v>0</v>
      </c>
      <c r="G150" s="515"/>
      <c r="H150" s="1837"/>
    </row>
    <row r="151" spans="1:9" ht="15" customHeight="1" thickBot="1" x14ac:dyDescent="0.25">
      <c r="A151" s="1833"/>
      <c r="B151" s="1838"/>
      <c r="C151" s="462" t="str">
        <f>F!C113</f>
        <v>&gt;30%</v>
      </c>
      <c r="D151" s="272">
        <f>F!D113</f>
        <v>0</v>
      </c>
      <c r="E151" s="638">
        <v>4</v>
      </c>
      <c r="F151" s="638">
        <f>D151*E151</f>
        <v>0</v>
      </c>
      <c r="G151" s="504"/>
      <c r="H151" s="1838"/>
    </row>
    <row r="152" spans="1:9" ht="21" customHeight="1" thickBot="1" x14ac:dyDescent="0.25">
      <c r="A152" s="1869" t="str">
        <f>F!A130</f>
        <v>F30</v>
      </c>
      <c r="B152" s="1688" t="str">
        <f>F!B130</f>
        <v>Groundwater: Strength of Evidence</v>
      </c>
      <c r="C152" s="385" t="str">
        <f>F!C130</f>
        <v>Select first applicable choice.  In the AA:</v>
      </c>
      <c r="D152" s="394"/>
      <c r="E152" s="683"/>
      <c r="F152" s="683"/>
      <c r="G152" s="530">
        <f>MAX(F153:F155)/MAX(E153:E155)</f>
        <v>0</v>
      </c>
      <c r="H152" s="1688" t="s">
        <v>1116</v>
      </c>
      <c r="I152" s="3" t="s">
        <v>753</v>
      </c>
    </row>
    <row r="153" spans="1:9" ht="69" customHeight="1" x14ac:dyDescent="0.2">
      <c r="A153" s="1869"/>
      <c r="B153" s="1688"/>
      <c r="C153"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53" s="380">
        <f>F!D131</f>
        <v>0</v>
      </c>
      <c r="E153" s="397">
        <v>2</v>
      </c>
      <c r="F153" s="397">
        <f>D153*E153</f>
        <v>0</v>
      </c>
      <c r="G153" s="515"/>
      <c r="H153" s="1837"/>
    </row>
    <row r="154" spans="1:9" ht="84" customHeight="1" x14ac:dyDescent="0.2">
      <c r="A154" s="1869"/>
      <c r="B154" s="1688"/>
      <c r="C154" s="470"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54" s="20">
        <f>F!D132</f>
        <v>0</v>
      </c>
      <c r="E154" s="673">
        <v>1</v>
      </c>
      <c r="F154" s="673">
        <f>D154*E154</f>
        <v>0</v>
      </c>
      <c r="G154" s="671"/>
      <c r="H154" s="1837"/>
    </row>
    <row r="155" spans="1:9" ht="27.6" customHeight="1" thickBot="1" x14ac:dyDescent="0.25">
      <c r="A155" s="1870"/>
      <c r="B155" s="1689"/>
      <c r="C155" s="214" t="str">
        <f>F!C133</f>
        <v>Neither of above is true, although some groundwater may discharge to or flow through the AA, or groundwater influx is unknown.</v>
      </c>
      <c r="D155" s="213">
        <f>F!D133</f>
        <v>0</v>
      </c>
      <c r="E155" s="674">
        <v>0</v>
      </c>
      <c r="F155" s="674">
        <f>D155*E155</f>
        <v>0</v>
      </c>
      <c r="G155" s="672"/>
      <c r="H155" s="1838"/>
    </row>
    <row r="156" spans="1:9" ht="30" customHeight="1" thickBot="1" x14ac:dyDescent="0.25">
      <c r="A156" s="1831" t="str">
        <f>F!A264</f>
        <v>F55</v>
      </c>
      <c r="B156" s="1836" t="str">
        <f>F!B264</f>
        <v>Natural Cover in Buffer</v>
      </c>
      <c r="C156" s="454" t="str">
        <f>F!C264</f>
        <v>Along the wetland-upland edge and extending 100 ft upslope, the percentage of the upland that contains natural (not necessarily native -- see column E) land cover taller than 6 inches is:</v>
      </c>
      <c r="D156" s="635"/>
      <c r="E156" s="695"/>
      <c r="F156" s="696"/>
      <c r="G156" s="631">
        <f>(MAX(F157:F161))/MAX(E157:E161)</f>
        <v>0</v>
      </c>
      <c r="H156" s="1687" t="s">
        <v>1248</v>
      </c>
      <c r="I156" s="39" t="s">
        <v>754</v>
      </c>
    </row>
    <row r="157" spans="1:9" ht="15" customHeight="1" x14ac:dyDescent="0.2">
      <c r="A157" s="1832"/>
      <c r="B157" s="1837"/>
      <c r="C157" s="144" t="str">
        <f>F!C265</f>
        <v xml:space="preserve">&lt;5% </v>
      </c>
      <c r="D157" s="286">
        <f>F!D265</f>
        <v>0</v>
      </c>
      <c r="E157" s="397">
        <v>4</v>
      </c>
      <c r="F157" s="397">
        <f>D157*E157</f>
        <v>0</v>
      </c>
      <c r="G157" s="521"/>
      <c r="H157" s="1837"/>
    </row>
    <row r="158" spans="1:9" ht="15" customHeight="1" x14ac:dyDescent="0.2">
      <c r="A158" s="1832"/>
      <c r="B158" s="1837"/>
      <c r="C158" s="50" t="str">
        <f>F!C266</f>
        <v>5 to 30%</v>
      </c>
      <c r="D158" s="271">
        <f>F!D266</f>
        <v>0</v>
      </c>
      <c r="E158" s="397">
        <v>3</v>
      </c>
      <c r="F158" s="397">
        <f>D158*E158</f>
        <v>0</v>
      </c>
      <c r="G158" s="515"/>
      <c r="H158" s="1837"/>
    </row>
    <row r="159" spans="1:9" ht="15" customHeight="1" x14ac:dyDescent="0.2">
      <c r="A159" s="1832"/>
      <c r="B159" s="1837"/>
      <c r="C159" s="50" t="str">
        <f>F!C267</f>
        <v>30 to 60%</v>
      </c>
      <c r="D159" s="271">
        <f>F!D267</f>
        <v>0</v>
      </c>
      <c r="E159" s="397">
        <v>2</v>
      </c>
      <c r="F159" s="397">
        <f>D159*E159</f>
        <v>0</v>
      </c>
      <c r="G159" s="515"/>
      <c r="H159" s="1837"/>
    </row>
    <row r="160" spans="1:9" ht="15" customHeight="1" x14ac:dyDescent="0.2">
      <c r="A160" s="1832"/>
      <c r="B160" s="1837"/>
      <c r="C160" s="50" t="str">
        <f>F!C268</f>
        <v>60 to 90%</v>
      </c>
      <c r="D160" s="271">
        <f>F!D268</f>
        <v>0</v>
      </c>
      <c r="E160" s="397">
        <v>1</v>
      </c>
      <c r="F160" s="397">
        <f>D160*E160</f>
        <v>0</v>
      </c>
      <c r="G160" s="515"/>
      <c r="H160" s="1837"/>
    </row>
    <row r="161" spans="1:9" ht="15.6" customHeight="1" thickBot="1" x14ac:dyDescent="0.25">
      <c r="A161" s="1833"/>
      <c r="B161" s="1838"/>
      <c r="C161" s="462" t="str">
        <f>F!C269</f>
        <v>&gt;90%.  SKIP to F58.</v>
      </c>
      <c r="D161" s="272">
        <f>F!D269</f>
        <v>0</v>
      </c>
      <c r="E161" s="638">
        <v>0</v>
      </c>
      <c r="F161" s="638">
        <f>D161*E161</f>
        <v>0</v>
      </c>
      <c r="G161" s="504"/>
      <c r="H161" s="1838"/>
    </row>
    <row r="162" spans="1:9" ht="30" customHeight="1" thickBot="1" x14ac:dyDescent="0.25">
      <c r="A162" s="1832" t="str">
        <f>F!A273</f>
        <v>F57</v>
      </c>
      <c r="B162" s="1837" t="str">
        <f>F!B273</f>
        <v>Slope from Disturbed Lands</v>
      </c>
      <c r="C162" s="615" t="str">
        <f>F!C273</f>
        <v>The average percent slope of the land, measured from the AA's wetland-upland edge and extending uphill to the most extensive and/or closest disturbance feature within 100 ft, is:</v>
      </c>
      <c r="D162" s="394"/>
      <c r="E162" s="645"/>
      <c r="F162" s="395"/>
      <c r="G162" s="530">
        <f>IF((NoCA=1),"", MAX(F163:F166)/MAX(E163:E166))</f>
        <v>0</v>
      </c>
      <c r="H162" s="1688" t="s">
        <v>5317</v>
      </c>
      <c r="I162" s="3" t="s">
        <v>387</v>
      </c>
    </row>
    <row r="163" spans="1:9" ht="15" customHeight="1" x14ac:dyDescent="0.2">
      <c r="A163" s="1832"/>
      <c r="B163" s="1837"/>
      <c r="C163" s="144" t="str">
        <f>F!C274</f>
        <v>&lt;1% (flat -- almost no noticeable slope)</v>
      </c>
      <c r="D163" s="286">
        <f>F!D274</f>
        <v>0</v>
      </c>
      <c r="E163" s="397">
        <v>0</v>
      </c>
      <c r="F163" s="397">
        <f>D163*E163</f>
        <v>0</v>
      </c>
      <c r="G163" s="521"/>
      <c r="H163" s="1837"/>
    </row>
    <row r="164" spans="1:9" ht="15" customHeight="1" x14ac:dyDescent="0.2">
      <c r="A164" s="1832"/>
      <c r="B164" s="1837"/>
      <c r="C164" s="50" t="str">
        <f>F!C275</f>
        <v>2-5%</v>
      </c>
      <c r="D164" s="271">
        <f>F!D275</f>
        <v>0</v>
      </c>
      <c r="E164" s="397">
        <v>1</v>
      </c>
      <c r="F164" s="397">
        <f>D164*E164</f>
        <v>0</v>
      </c>
      <c r="G164" s="515"/>
      <c r="H164" s="1837"/>
    </row>
    <row r="165" spans="1:9" ht="15" customHeight="1" x14ac:dyDescent="0.2">
      <c r="A165" s="1832"/>
      <c r="B165" s="1837"/>
      <c r="C165" s="50" t="str">
        <f>F!C276</f>
        <v>5-30%</v>
      </c>
      <c r="D165" s="271">
        <f>F!D276</f>
        <v>0</v>
      </c>
      <c r="E165" s="397">
        <v>2</v>
      </c>
      <c r="F165" s="397">
        <f>D165*E165</f>
        <v>0</v>
      </c>
      <c r="G165" s="515"/>
      <c r="H165" s="1837"/>
    </row>
    <row r="166" spans="1:9" ht="15.6" customHeight="1" thickBot="1" x14ac:dyDescent="0.25">
      <c r="A166" s="1833"/>
      <c r="B166" s="1838"/>
      <c r="C166" s="462" t="str">
        <f>F!C277</f>
        <v>&gt;30%</v>
      </c>
      <c r="D166" s="272">
        <f>F!D277</f>
        <v>0</v>
      </c>
      <c r="E166" s="638">
        <v>3</v>
      </c>
      <c r="F166" s="638">
        <f>D166*E166</f>
        <v>0</v>
      </c>
      <c r="G166" s="504"/>
      <c r="H166" s="1838"/>
    </row>
    <row r="167" spans="1:9" ht="45" customHeight="1" thickBot="1" x14ac:dyDescent="0.25">
      <c r="A167" s="1951" t="str">
        <f>F!A279</f>
        <v>F59</v>
      </c>
      <c r="B167" s="1837" t="str">
        <f>F!B279</f>
        <v>New Wetland</v>
      </c>
      <c r="C167" s="622" t="str">
        <f>F!C279</f>
        <v>The AA is (or is within, or contains) a "new" wetland resulting from human actions (e.g., excavation, impoundment) or debris or lava flows, sea level rise, or other factors affecting what once was upland (non-hydric) soil.</v>
      </c>
      <c r="D167" s="396"/>
      <c r="E167" s="394"/>
      <c r="F167" s="667"/>
      <c r="G167" s="530">
        <f>MAX(F168:F172)/MAX(E168:E172)</f>
        <v>0</v>
      </c>
      <c r="H167" s="1688" t="s">
        <v>1208</v>
      </c>
      <c r="I167" s="3" t="s">
        <v>748</v>
      </c>
    </row>
    <row r="168" spans="1:9" ht="15" customHeight="1" x14ac:dyDescent="0.2">
      <c r="A168" s="1951"/>
      <c r="B168" s="1837"/>
      <c r="C168" s="457" t="str">
        <f>F!C280</f>
        <v>No</v>
      </c>
      <c r="D168" s="286">
        <f>F!D280</f>
        <v>0</v>
      </c>
      <c r="E168" s="391">
        <v>3</v>
      </c>
      <c r="F168" s="388">
        <f>D168*E168</f>
        <v>0</v>
      </c>
      <c r="G168" s="499"/>
      <c r="H168" s="1837"/>
    </row>
    <row r="169" spans="1:9" ht="15" customHeight="1" x14ac:dyDescent="0.2">
      <c r="A169" s="1951"/>
      <c r="B169" s="1837"/>
      <c r="C169" s="458" t="str">
        <f>F!C281</f>
        <v xml:space="preserve">yes, and most recently created, deglaciated, or uplifted 20 - 100 years ago </v>
      </c>
      <c r="D169" s="271">
        <f>F!D281</f>
        <v>0</v>
      </c>
      <c r="E169" s="391">
        <v>1</v>
      </c>
      <c r="F169" s="388">
        <f>D169*E169</f>
        <v>0</v>
      </c>
      <c r="G169" s="500"/>
      <c r="H169" s="1837"/>
    </row>
    <row r="170" spans="1:9" ht="15" customHeight="1" x14ac:dyDescent="0.2">
      <c r="A170" s="1951"/>
      <c r="B170" s="1837"/>
      <c r="C170" s="458" t="str">
        <f>F!C282</f>
        <v>yes, and most recently created, deglaciated, or uplifted 3-20 years ago</v>
      </c>
      <c r="D170" s="271">
        <f>F!D282</f>
        <v>0</v>
      </c>
      <c r="E170" s="391">
        <v>2</v>
      </c>
      <c r="F170" s="388">
        <f>D170*E170</f>
        <v>0</v>
      </c>
      <c r="G170" s="500"/>
      <c r="H170" s="1837"/>
    </row>
    <row r="171" spans="1:9" ht="15" customHeight="1" x14ac:dyDescent="0.2">
      <c r="A171" s="1951"/>
      <c r="B171" s="1837"/>
      <c r="C171" s="458" t="str">
        <f>F!C283</f>
        <v>yes, and most recently created, deglaciated, or uplifted within last 3 years</v>
      </c>
      <c r="D171" s="271">
        <f>F!D283</f>
        <v>0</v>
      </c>
      <c r="E171" s="391">
        <v>5</v>
      </c>
      <c r="F171" s="388">
        <f>D171*E171</f>
        <v>0</v>
      </c>
      <c r="G171" s="500"/>
      <c r="H171" s="1837"/>
    </row>
    <row r="172" spans="1:9" ht="15" customHeight="1" x14ac:dyDescent="0.2">
      <c r="A172" s="1951"/>
      <c r="B172" s="1837"/>
      <c r="C172" s="458" t="str">
        <f>F!C284</f>
        <v>yes, but time of origin unknown</v>
      </c>
      <c r="D172" s="271">
        <f>F!D284</f>
        <v>0</v>
      </c>
      <c r="E172" s="391">
        <v>1</v>
      </c>
      <c r="F172" s="388">
        <f>D172*E172</f>
        <v>0</v>
      </c>
      <c r="G172" s="500"/>
      <c r="H172" s="1837"/>
    </row>
    <row r="173" spans="1:9" ht="15.6" customHeight="1" thickBot="1" x14ac:dyDescent="0.25">
      <c r="A173" s="1951"/>
      <c r="B173" s="1837"/>
      <c r="C173" s="623" t="str">
        <f>F!C285</f>
        <v>unknown if new within 20 years or not</v>
      </c>
      <c r="D173" s="288">
        <f>F!D285</f>
        <v>0</v>
      </c>
      <c r="E173" s="391"/>
      <c r="F173" s="391"/>
      <c r="G173" s="500"/>
      <c r="H173" s="1837"/>
    </row>
    <row r="174" spans="1:9" ht="30" customHeight="1" thickBot="1" x14ac:dyDescent="0.25">
      <c r="A174" s="614" t="str">
        <f>S!A80</f>
        <v>S6</v>
      </c>
      <c r="B174" s="125" t="str">
        <f>S!B93</f>
        <v>Accelerated Inputs of Nutrients</v>
      </c>
      <c r="C174" s="463" t="str">
        <f>S!E92</f>
        <v>Final Score=</v>
      </c>
      <c r="D174" s="675">
        <f>S!F105</f>
        <v>0</v>
      </c>
      <c r="E174" s="676"/>
      <c r="F174" s="655"/>
      <c r="G174" s="631">
        <f>D174</f>
        <v>0</v>
      </c>
      <c r="H174" s="125" t="s">
        <v>193</v>
      </c>
      <c r="I174" s="3" t="s">
        <v>761</v>
      </c>
    </row>
    <row r="175" spans="1:9" ht="21" customHeight="1" thickBot="1" x14ac:dyDescent="0.25">
      <c r="A175" s="1829"/>
      <c r="B175" s="1829"/>
      <c r="C175" s="1829"/>
      <c r="D175" s="1829"/>
      <c r="E175" s="1829"/>
      <c r="F175" s="1829"/>
      <c r="G175" s="1829"/>
      <c r="H175" s="1829"/>
    </row>
    <row r="176" spans="1:9" ht="21" customHeight="1" x14ac:dyDescent="0.2">
      <c r="A176" s="1826"/>
      <c r="B176" s="1826"/>
      <c r="C176" s="1830"/>
      <c r="D176" s="1883" t="s">
        <v>2378</v>
      </c>
      <c r="E176" s="1884"/>
      <c r="F176" s="1885"/>
      <c r="G176" s="659">
        <f>AVERAGE(Freeze3, Elev3,_GDD3,TidalProx3)</f>
        <v>0.33333333333333331</v>
      </c>
      <c r="H176" s="662" t="s">
        <v>1904</v>
      </c>
    </row>
    <row r="177" spans="1:8" ht="21" customHeight="1" x14ac:dyDescent="0.2">
      <c r="A177" s="1826"/>
      <c r="B177" s="1826"/>
      <c r="C177" s="1830"/>
      <c r="D177" s="1948" t="s">
        <v>2401</v>
      </c>
      <c r="E177" s="1949"/>
      <c r="F177" s="1950"/>
      <c r="G177" s="660">
        <f>AVERAGE(Gradient3, FlowDist3,AVERAGE(Girreg3,Gcover3,CApctB3))</f>
        <v>0</v>
      </c>
      <c r="H177" s="661" t="s">
        <v>2406</v>
      </c>
    </row>
    <row r="178" spans="1:8" ht="21" customHeight="1" x14ac:dyDescent="0.2">
      <c r="A178" s="1826"/>
      <c r="B178" s="1826"/>
      <c r="C178" s="1830"/>
      <c r="D178" s="1948" t="s">
        <v>2402</v>
      </c>
      <c r="E178" s="1949"/>
      <c r="F178" s="1950"/>
      <c r="G178" s="660">
        <f>IF((AllSat=1),"", IF((NoPonded=1),"",AVERAGE(VegWabs3, MAX(ThruFlo3,AqPlantCov3, Interspers3))))</f>
        <v>0</v>
      </c>
      <c r="H178" s="661" t="s">
        <v>2291</v>
      </c>
    </row>
    <row r="179" spans="1:8" ht="21" customHeight="1" x14ac:dyDescent="0.2">
      <c r="A179" s="1826"/>
      <c r="B179" s="1826"/>
      <c r="C179" s="1830"/>
      <c r="D179" s="1948" t="s">
        <v>329</v>
      </c>
      <c r="E179" s="1949"/>
      <c r="F179" s="1950"/>
      <c r="G179" s="660">
        <f>AVERAGE(OutDura3,Gradient3,Constric3,FlowDist3,Lake3a)</f>
        <v>0</v>
      </c>
      <c r="H179" s="661" t="s">
        <v>2405</v>
      </c>
    </row>
    <row r="180" spans="1:8" ht="21" customHeight="1" x14ac:dyDescent="0.2">
      <c r="A180" s="1826"/>
      <c r="B180" s="1826"/>
      <c r="C180" s="1830"/>
      <c r="D180" s="1948" t="s">
        <v>2403</v>
      </c>
      <c r="E180" s="1949"/>
      <c r="F180" s="1950"/>
      <c r="G180" s="660">
        <f>AVERAGE(SoilTex3, Stain3)</f>
        <v>0</v>
      </c>
      <c r="H180" s="661" t="s">
        <v>2396</v>
      </c>
    </row>
    <row r="181" spans="1:8" ht="21" customHeight="1" thickBot="1" x14ac:dyDescent="0.25">
      <c r="A181" s="1826"/>
      <c r="B181" s="1826"/>
      <c r="C181" s="1830"/>
      <c r="D181" s="1880" t="s">
        <v>2404</v>
      </c>
      <c r="E181" s="1881"/>
      <c r="F181" s="1882"/>
      <c r="G181" s="634">
        <f>AVERAGE(SatPct3,Persis3,DomDepth3,Fluctu3,Algae3)</f>
        <v>0</v>
      </c>
      <c r="H181" s="663" t="s">
        <v>1919</v>
      </c>
    </row>
    <row r="182" spans="1:8" ht="21" customHeight="1" thickBot="1" x14ac:dyDescent="0.25">
      <c r="A182" s="1826"/>
      <c r="B182" s="1826"/>
      <c r="C182" s="1826"/>
      <c r="D182" s="1826"/>
      <c r="E182" s="1826"/>
      <c r="F182" s="1826"/>
      <c r="G182" s="1826"/>
      <c r="H182" s="1826"/>
    </row>
    <row r="183" spans="1:8" ht="30" customHeight="1" thickBot="1" x14ac:dyDescent="0.25">
      <c r="A183" s="1826"/>
      <c r="B183" s="1830"/>
      <c r="C183" s="1842" t="s">
        <v>180</v>
      </c>
      <c r="D183" s="1843"/>
      <c r="E183" s="1844"/>
      <c r="F183" s="658" t="s">
        <v>141</v>
      </c>
      <c r="G183" s="505">
        <f>10*(IF((AllSat=1), AVERAGE(IntercepDry3,Adsorb3,FreezeDura3), IF((NoOutlet3=1),1, (3*AVERAGE(Adsorb3, Desorb3) + 2*Connec3 + AVERAGE(IntercepDry3, IntercepWet3) + FreezeDura3)/ 7)))</f>
        <v>0.47619047619047616</v>
      </c>
      <c r="H183" s="49" t="s">
        <v>1770</v>
      </c>
    </row>
    <row r="184" spans="1:8" ht="30" customHeight="1" thickBot="1" x14ac:dyDescent="0.25">
      <c r="A184" s="1826"/>
      <c r="B184" s="1830"/>
      <c r="C184" s="1842" t="s">
        <v>183</v>
      </c>
      <c r="D184" s="1843"/>
      <c r="E184" s="1844"/>
      <c r="F184" s="658" t="s">
        <v>142</v>
      </c>
      <c r="G184" s="538">
        <f>10*((MAX(Pload3,AVERAGE(Inflo3,StreamInGrad3, Glacier3, AVERAGE(BuffSlope3,ErodScore3,PosShed3,NewWet3,CApct3,Transport3,Anad3,Groundw3,ImpervCA3,NatCApct3)))))</f>
        <v>0</v>
      </c>
      <c r="H184" s="49" t="s">
        <v>2407</v>
      </c>
    </row>
    <row r="185" spans="1:8" ht="21" customHeight="1" thickBot="1" x14ac:dyDescent="0.25">
      <c r="A185" s="1826"/>
      <c r="B185" s="1826"/>
      <c r="C185" s="1826"/>
      <c r="D185" s="1826"/>
      <c r="E185" s="1826"/>
      <c r="F185" s="1826"/>
      <c r="G185" s="1826"/>
      <c r="H185" s="1826"/>
    </row>
    <row r="186" spans="1:8" ht="21" customHeight="1" thickBot="1" x14ac:dyDescent="0.25">
      <c r="A186" s="1826"/>
      <c r="B186" s="1826"/>
      <c r="C186" s="1826"/>
      <c r="D186" s="1826"/>
      <c r="E186" s="1826"/>
      <c r="F186" s="1826"/>
      <c r="G186" s="1830"/>
      <c r="H186" s="78" t="s">
        <v>1345</v>
      </c>
    </row>
    <row r="187" spans="1:8" ht="27" customHeight="1" x14ac:dyDescent="0.2">
      <c r="A187" s="1826"/>
      <c r="B187" s="1826"/>
      <c r="C187" s="1826"/>
      <c r="D187" s="1826"/>
      <c r="E187" s="1826"/>
      <c r="F187" s="1826"/>
      <c r="G187" s="1830"/>
      <c r="H187" s="141" t="s">
        <v>1398</v>
      </c>
    </row>
    <row r="188" spans="1:8" ht="27" customHeight="1" x14ac:dyDescent="0.2">
      <c r="A188" s="1826"/>
      <c r="B188" s="1826"/>
      <c r="C188" s="1826"/>
      <c r="D188" s="1826"/>
      <c r="E188" s="1826"/>
      <c r="F188" s="1826"/>
      <c r="G188" s="1830"/>
      <c r="H188" s="118" t="s">
        <v>1399</v>
      </c>
    </row>
    <row r="189" spans="1:8" ht="42" customHeight="1" x14ac:dyDescent="0.2">
      <c r="A189" s="1826"/>
      <c r="B189" s="1826"/>
      <c r="C189" s="1826"/>
      <c r="D189" s="1826"/>
      <c r="E189" s="1826"/>
      <c r="F189" s="1826"/>
      <c r="G189" s="1830"/>
      <c r="H189" s="118" t="s">
        <v>1374</v>
      </c>
    </row>
    <row r="190" spans="1:8" ht="42" customHeight="1" x14ac:dyDescent="0.2">
      <c r="A190" s="1826"/>
      <c r="B190" s="1826"/>
      <c r="C190" s="1826"/>
      <c r="D190" s="1826"/>
      <c r="E190" s="1826"/>
      <c r="F190" s="1826"/>
      <c r="G190" s="1830"/>
      <c r="H190" s="118" t="s">
        <v>1400</v>
      </c>
    </row>
    <row r="191" spans="1:8" ht="42" customHeight="1" x14ac:dyDescent="0.2">
      <c r="A191" s="1826"/>
      <c r="B191" s="1826"/>
      <c r="C191" s="1826"/>
      <c r="D191" s="1826"/>
      <c r="E191" s="1826"/>
      <c r="F191" s="1826"/>
      <c r="G191" s="1830"/>
      <c r="H191" s="118" t="s">
        <v>1401</v>
      </c>
    </row>
    <row r="192" spans="1:8" ht="27" customHeight="1" x14ac:dyDescent="0.2">
      <c r="A192" s="1826"/>
      <c r="B192" s="1826"/>
      <c r="C192" s="1826"/>
      <c r="D192" s="1826"/>
      <c r="E192" s="1826"/>
      <c r="F192" s="1826"/>
      <c r="G192" s="1830"/>
      <c r="H192" s="118" t="s">
        <v>1402</v>
      </c>
    </row>
    <row r="193" spans="1:8" ht="27" customHeight="1" x14ac:dyDescent="0.2">
      <c r="A193" s="1826"/>
      <c r="B193" s="1826"/>
      <c r="C193" s="1826"/>
      <c r="D193" s="1826"/>
      <c r="E193" s="1826"/>
      <c r="F193" s="1826"/>
      <c r="G193" s="1830"/>
      <c r="H193" s="118" t="s">
        <v>1380</v>
      </c>
    </row>
    <row r="194" spans="1:8" ht="27" customHeight="1" x14ac:dyDescent="0.2">
      <c r="A194" s="1826"/>
      <c r="B194" s="1826"/>
      <c r="C194" s="1826"/>
      <c r="D194" s="1826"/>
      <c r="E194" s="1826"/>
      <c r="F194" s="1826"/>
      <c r="G194" s="1830"/>
      <c r="H194" s="118" t="s">
        <v>1403</v>
      </c>
    </row>
    <row r="195" spans="1:8" ht="27" customHeight="1" x14ac:dyDescent="0.2">
      <c r="A195" s="1826"/>
      <c r="B195" s="1826"/>
      <c r="C195" s="1826"/>
      <c r="D195" s="1826"/>
      <c r="E195" s="1826"/>
      <c r="F195" s="1826"/>
      <c r="G195" s="1830"/>
      <c r="H195" s="118" t="s">
        <v>1404</v>
      </c>
    </row>
    <row r="196" spans="1:8" ht="42" customHeight="1" x14ac:dyDescent="0.2">
      <c r="A196" s="1826"/>
      <c r="B196" s="1826"/>
      <c r="C196" s="1826"/>
      <c r="D196" s="1826"/>
      <c r="E196" s="1826"/>
      <c r="F196" s="1826"/>
      <c r="G196" s="1830"/>
      <c r="H196" s="118" t="s">
        <v>1350</v>
      </c>
    </row>
    <row r="197" spans="1:8" ht="27" customHeight="1" x14ac:dyDescent="0.2">
      <c r="A197" s="1826"/>
      <c r="B197" s="1826"/>
      <c r="C197" s="1826"/>
      <c r="D197" s="1826"/>
      <c r="E197" s="1826"/>
      <c r="F197" s="1826"/>
      <c r="G197" s="1830"/>
      <c r="H197" s="118" t="s">
        <v>1405</v>
      </c>
    </row>
    <row r="198" spans="1:8" ht="27" customHeight="1" x14ac:dyDescent="0.2">
      <c r="A198" s="1826"/>
      <c r="B198" s="1826"/>
      <c r="C198" s="1826"/>
      <c r="D198" s="1826"/>
      <c r="E198" s="1826"/>
      <c r="F198" s="1826"/>
      <c r="G198" s="1830"/>
      <c r="H198" s="118" t="s">
        <v>1406</v>
      </c>
    </row>
    <row r="199" spans="1:8" ht="27" customHeight="1" x14ac:dyDescent="0.2">
      <c r="A199" s="1826"/>
      <c r="B199" s="1826"/>
      <c r="C199" s="1826"/>
      <c r="D199" s="1826"/>
      <c r="E199" s="1826"/>
      <c r="F199" s="1826"/>
      <c r="G199" s="1830"/>
      <c r="H199" s="118" t="s">
        <v>1387</v>
      </c>
    </row>
    <row r="200" spans="1:8" ht="42" customHeight="1" x14ac:dyDescent="0.2">
      <c r="A200" s="1826"/>
      <c r="B200" s="1826"/>
      <c r="C200" s="1826"/>
      <c r="D200" s="1826"/>
      <c r="E200" s="1826"/>
      <c r="F200" s="1826"/>
      <c r="G200" s="1830"/>
      <c r="H200" s="118" t="s">
        <v>1407</v>
      </c>
    </row>
    <row r="201" spans="1:8" ht="42" customHeight="1" x14ac:dyDescent="0.2">
      <c r="A201" s="1826"/>
      <c r="B201" s="1826"/>
      <c r="C201" s="1826"/>
      <c r="D201" s="1826"/>
      <c r="E201" s="1826"/>
      <c r="F201" s="1826"/>
      <c r="G201" s="1830"/>
      <c r="H201" s="118" t="s">
        <v>1408</v>
      </c>
    </row>
    <row r="202" spans="1:8" ht="27" customHeight="1" x14ac:dyDescent="0.2">
      <c r="A202" s="1826"/>
      <c r="B202" s="1826"/>
      <c r="C202" s="1826"/>
      <c r="D202" s="1826"/>
      <c r="E202" s="1826"/>
      <c r="F202" s="1826"/>
      <c r="G202" s="1830"/>
      <c r="H202" s="118" t="s">
        <v>1409</v>
      </c>
    </row>
    <row r="203" spans="1:8" ht="27" customHeight="1" x14ac:dyDescent="0.2">
      <c r="A203" s="1826"/>
      <c r="B203" s="1826"/>
      <c r="C203" s="1826"/>
      <c r="D203" s="1826"/>
      <c r="E203" s="1826"/>
      <c r="F203" s="1826"/>
      <c r="G203" s="1830"/>
      <c r="H203" s="118" t="s">
        <v>1410</v>
      </c>
    </row>
    <row r="204" spans="1:8" ht="42" customHeight="1" x14ac:dyDescent="0.2">
      <c r="A204" s="1826"/>
      <c r="B204" s="1826"/>
      <c r="C204" s="1826"/>
      <c r="D204" s="1826"/>
      <c r="E204" s="1826"/>
      <c r="F204" s="1826"/>
      <c r="G204" s="1830"/>
      <c r="H204" s="118" t="s">
        <v>1411</v>
      </c>
    </row>
    <row r="205" spans="1:8" ht="42" customHeight="1" x14ac:dyDescent="0.2">
      <c r="A205" s="1826"/>
      <c r="B205" s="1826"/>
      <c r="C205" s="1826"/>
      <c r="D205" s="1826"/>
      <c r="E205" s="1826"/>
      <c r="F205" s="1826"/>
      <c r="G205" s="1830"/>
      <c r="H205" s="118" t="s">
        <v>5441</v>
      </c>
    </row>
    <row r="206" spans="1:8" ht="42" customHeight="1" x14ac:dyDescent="0.2">
      <c r="A206" s="1826"/>
      <c r="B206" s="1826"/>
      <c r="C206" s="1826"/>
      <c r="D206" s="1826"/>
      <c r="E206" s="1826"/>
      <c r="F206" s="1826"/>
      <c r="G206" s="1830"/>
      <c r="H206" s="118" t="s">
        <v>1412</v>
      </c>
    </row>
    <row r="207" spans="1:8" ht="42" customHeight="1" thickBot="1" x14ac:dyDescent="0.25">
      <c r="A207" s="1826"/>
      <c r="B207" s="1826"/>
      <c r="C207" s="1826"/>
      <c r="D207" s="1826"/>
      <c r="E207" s="1826"/>
      <c r="F207" s="1826"/>
      <c r="G207" s="1830"/>
      <c r="H207" s="142" t="s">
        <v>1395</v>
      </c>
    </row>
  </sheetData>
  <sheetProtection algorithmName="SHA-512" hashValue="9wc4gB/P5P6woAyZ9HyVGQQi3QiFRpYhNWfs/wP6lVfpFsVBPkBm9Z9JUi1hebZSaETksxzc9s0r6TMtjGYI1Q==" saltValue="khh3chQag99DrbCzU+s0ZA==" spinCount="100000" sheet="1" formatCells="0" formatColumns="0" formatRows="0"/>
  <customSheetViews>
    <customSheetView guid="{B8E02330-2419-4DE6-AD01-7ACC7A5D18DD}" scale="75">
      <selection activeCell="H167" sqref="A2:H167"/>
      <pageMargins left="0.75" right="0.75" top="1" bottom="1" header="0.5" footer="0.5"/>
      <pageSetup orientation="portrait" r:id="rId1"/>
      <headerFooter alignWithMargins="0"/>
    </customSheetView>
  </customSheetViews>
  <mergeCells count="109">
    <mergeCell ref="A182:H182"/>
    <mergeCell ref="A183:B184"/>
    <mergeCell ref="A185:H185"/>
    <mergeCell ref="A186:G207"/>
    <mergeCell ref="C184:E184"/>
    <mergeCell ref="A118:A123"/>
    <mergeCell ref="B118:B123"/>
    <mergeCell ref="A147:A151"/>
    <mergeCell ref="D181:F181"/>
    <mergeCell ref="A156:A161"/>
    <mergeCell ref="C183:E183"/>
    <mergeCell ref="D180:F180"/>
    <mergeCell ref="B152:B155"/>
    <mergeCell ref="D176:F176"/>
    <mergeCell ref="D179:F179"/>
    <mergeCell ref="B147:B151"/>
    <mergeCell ref="A162:A166"/>
    <mergeCell ref="B162:B166"/>
    <mergeCell ref="A167:A173"/>
    <mergeCell ref="B156:B161"/>
    <mergeCell ref="B129:B132"/>
    <mergeCell ref="D177:F177"/>
    <mergeCell ref="D178:F178"/>
    <mergeCell ref="H142:H145"/>
    <mergeCell ref="H167:H173"/>
    <mergeCell ref="B167:B173"/>
    <mergeCell ref="H162:H166"/>
    <mergeCell ref="H156:H161"/>
    <mergeCell ref="H133:H137"/>
    <mergeCell ref="E1:H1"/>
    <mergeCell ref="A175:H175"/>
    <mergeCell ref="A176:C181"/>
    <mergeCell ref="H93:H96"/>
    <mergeCell ref="A152:A155"/>
    <mergeCell ref="B142:B145"/>
    <mergeCell ref="A142:A145"/>
    <mergeCell ref="H138:H141"/>
    <mergeCell ref="H152:H155"/>
    <mergeCell ref="A133:A137"/>
    <mergeCell ref="B133:B137"/>
    <mergeCell ref="B124:B128"/>
    <mergeCell ref="A138:A141"/>
    <mergeCell ref="B138:B141"/>
    <mergeCell ref="H124:H128"/>
    <mergeCell ref="A93:A96"/>
    <mergeCell ref="B93:B96"/>
    <mergeCell ref="H147:H151"/>
    <mergeCell ref="H129:H132"/>
    <mergeCell ref="A129:A132"/>
    <mergeCell ref="B50:B54"/>
    <mergeCell ref="A42:A48"/>
    <mergeCell ref="A81:A86"/>
    <mergeCell ref="H61:H66"/>
    <mergeCell ref="B55:B60"/>
    <mergeCell ref="B61:B66"/>
    <mergeCell ref="H81:H86"/>
    <mergeCell ref="A55:A60"/>
    <mergeCell ref="H67:H73"/>
    <mergeCell ref="B67:B73"/>
    <mergeCell ref="A67:A73"/>
    <mergeCell ref="B81:B86"/>
    <mergeCell ref="B18:B22"/>
    <mergeCell ref="A50:A54"/>
    <mergeCell ref="H18:H22"/>
    <mergeCell ref="H87:H92"/>
    <mergeCell ref="B114:B117"/>
    <mergeCell ref="H23:H27"/>
    <mergeCell ref="A124:A128"/>
    <mergeCell ref="H97:H101"/>
    <mergeCell ref="H102:H105"/>
    <mergeCell ref="A114:A117"/>
    <mergeCell ref="A97:A101"/>
    <mergeCell ref="A87:A92"/>
    <mergeCell ref="A106:A112"/>
    <mergeCell ref="H106:H112"/>
    <mergeCell ref="B87:B92"/>
    <mergeCell ref="B106:B112"/>
    <mergeCell ref="H114:H117"/>
    <mergeCell ref="B23:B27"/>
    <mergeCell ref="H118:H123"/>
    <mergeCell ref="A102:A105"/>
    <mergeCell ref="B102:B105"/>
    <mergeCell ref="B97:B101"/>
    <mergeCell ref="A23:A27"/>
    <mergeCell ref="B42:B48"/>
    <mergeCell ref="A35:A41"/>
    <mergeCell ref="H35:H41"/>
    <mergeCell ref="H42:H48"/>
    <mergeCell ref="A1:B1"/>
    <mergeCell ref="H74:H77"/>
    <mergeCell ref="A74:A77"/>
    <mergeCell ref="B74:B77"/>
    <mergeCell ref="H28:H34"/>
    <mergeCell ref="A28:A34"/>
    <mergeCell ref="H55:H60"/>
    <mergeCell ref="H50:H54"/>
    <mergeCell ref="A18:A22"/>
    <mergeCell ref="B35:B41"/>
    <mergeCell ref="A3:A8"/>
    <mergeCell ref="H3:H8"/>
    <mergeCell ref="B3:B8"/>
    <mergeCell ref="A9:A15"/>
    <mergeCell ref="B9:B15"/>
    <mergeCell ref="B28:B34"/>
    <mergeCell ref="H9:H15"/>
    <mergeCell ref="A16:A17"/>
    <mergeCell ref="H16:H17"/>
    <mergeCell ref="B16:B17"/>
    <mergeCell ref="A61:A66"/>
  </mergeCells>
  <phoneticPr fontId="3" type="noConversion"/>
  <pageMargins left="0.75" right="0.75" top="1" bottom="1" header="0.5" footer="0.5"/>
  <pageSetup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I279"/>
  <sheetViews>
    <sheetView zoomScaleNormal="100" workbookViewId="0">
      <selection sqref="A1:B1"/>
    </sheetView>
  </sheetViews>
  <sheetFormatPr defaultColWidth="9.33203125" defaultRowHeight="12.75" x14ac:dyDescent="0.2"/>
  <cols>
    <col min="1" max="1" width="5.83203125" style="15" customWidth="1"/>
    <col min="2" max="2" width="18.83203125" style="3" customWidth="1"/>
    <col min="3" max="3" width="75.83203125" style="3" customWidth="1"/>
    <col min="4" max="4" width="6.83203125" style="724" customWidth="1"/>
    <col min="5" max="5" width="8.1640625" style="724" customWidth="1"/>
    <col min="6" max="6" width="8.5" style="724" customWidth="1"/>
    <col min="7" max="7" width="9.83203125" style="727" customWidth="1"/>
    <col min="8" max="8" width="75.83203125" style="3" customWidth="1"/>
    <col min="9" max="9" width="15.33203125" style="3" customWidth="1"/>
    <col min="10" max="16384" width="9.33203125" style="3"/>
  </cols>
  <sheetData>
    <row r="1" spans="1:9" s="91" customFormat="1" ht="66" customHeight="1" thickBot="1" x14ac:dyDescent="0.25">
      <c r="A1" s="1957" t="s">
        <v>5551</v>
      </c>
      <c r="B1" s="1958"/>
      <c r="C1" s="87" t="s">
        <v>2158</v>
      </c>
      <c r="D1" s="127" t="s">
        <v>2137</v>
      </c>
      <c r="E1" s="1921"/>
      <c r="F1" s="1922"/>
      <c r="G1" s="1922"/>
      <c r="H1" s="1922"/>
    </row>
    <row r="2" spans="1:9" s="39" customFormat="1" ht="30" customHeight="1" thickBot="1" x14ac:dyDescent="0.25">
      <c r="A2" s="451" t="s">
        <v>290</v>
      </c>
      <c r="B2" s="450" t="s">
        <v>5445</v>
      </c>
      <c r="C2" s="484" t="s">
        <v>2606</v>
      </c>
      <c r="D2" s="612" t="s">
        <v>117</v>
      </c>
      <c r="E2" s="471" t="s">
        <v>5438</v>
      </c>
      <c r="F2" s="481" t="s">
        <v>5439</v>
      </c>
      <c r="G2" s="482" t="s">
        <v>5825</v>
      </c>
      <c r="H2" s="473" t="s">
        <v>919</v>
      </c>
    </row>
    <row r="3" spans="1:9" ht="21" customHeight="1" thickBot="1" x14ac:dyDescent="0.25">
      <c r="A3" s="1868" t="str">
        <f>OF!A80</f>
        <v>OF13</v>
      </c>
      <c r="B3" s="1687" t="str">
        <f>OF!B80</f>
        <v>Tidal Proximity</v>
      </c>
      <c r="C3" s="231" t="str">
        <f>OF!C80</f>
        <v>The distance from the AA edge to the closest tidal water body is:</v>
      </c>
      <c r="D3" s="392"/>
      <c r="E3" s="392"/>
      <c r="F3" s="393"/>
      <c r="G3" s="600">
        <f>MAX(F4:F8)/MAX(E4:E8)</f>
        <v>0</v>
      </c>
      <c r="H3" s="1687" t="s">
        <v>1120</v>
      </c>
      <c r="I3" s="3" t="s">
        <v>782</v>
      </c>
    </row>
    <row r="4" spans="1:9" ht="15" customHeight="1" x14ac:dyDescent="0.2">
      <c r="A4" s="1869"/>
      <c r="B4" s="1688"/>
      <c r="C4" s="21" t="str">
        <f>OF!C81</f>
        <v>&lt;300 ft</v>
      </c>
      <c r="D4" s="280">
        <f>OF!D81</f>
        <v>0</v>
      </c>
      <c r="E4" s="388">
        <v>4</v>
      </c>
      <c r="F4" s="388">
        <f>D4*E4</f>
        <v>0</v>
      </c>
      <c r="G4" s="708"/>
      <c r="H4" s="1688"/>
    </row>
    <row r="5" spans="1:9" ht="15" customHeight="1" x14ac:dyDescent="0.2">
      <c r="A5" s="1869"/>
      <c r="B5" s="1688"/>
      <c r="C5" s="6" t="str">
        <f>OF!C82</f>
        <v>300-1000 ft</v>
      </c>
      <c r="D5" s="46">
        <f>OF!D82</f>
        <v>0</v>
      </c>
      <c r="E5" s="388">
        <v>4</v>
      </c>
      <c r="F5" s="388">
        <f>D5*E5</f>
        <v>0</v>
      </c>
      <c r="G5" s="708"/>
      <c r="H5" s="1688"/>
    </row>
    <row r="6" spans="1:9" ht="15" customHeight="1" x14ac:dyDescent="0.2">
      <c r="A6" s="1869"/>
      <c r="B6" s="1688"/>
      <c r="C6" s="6" t="str">
        <f>OF!C83</f>
        <v>1000 ft - 1 mile</v>
      </c>
      <c r="D6" s="46">
        <f>OF!D83</f>
        <v>0</v>
      </c>
      <c r="E6" s="388">
        <v>3</v>
      </c>
      <c r="F6" s="388">
        <f>D6*E6</f>
        <v>0</v>
      </c>
      <c r="G6" s="708"/>
      <c r="H6" s="1688"/>
    </row>
    <row r="7" spans="1:9" ht="15" customHeight="1" x14ac:dyDescent="0.2">
      <c r="A7" s="1869"/>
      <c r="B7" s="1688"/>
      <c r="C7" s="6" t="str">
        <f>OF!C84</f>
        <v>1-5 miles</v>
      </c>
      <c r="D7" s="46">
        <f>OF!D84</f>
        <v>0</v>
      </c>
      <c r="E7" s="388">
        <v>2</v>
      </c>
      <c r="F7" s="388">
        <f>D7*E7</f>
        <v>0</v>
      </c>
      <c r="G7" s="709"/>
      <c r="H7" s="1688"/>
    </row>
    <row r="8" spans="1:9" ht="15.6" customHeight="1" thickBot="1" x14ac:dyDescent="0.25">
      <c r="A8" s="1870"/>
      <c r="B8" s="1689"/>
      <c r="C8" s="214" t="str">
        <f>OF!C85</f>
        <v>&gt;5 miles</v>
      </c>
      <c r="D8" s="213">
        <f>OF!D85</f>
        <v>0</v>
      </c>
      <c r="E8" s="389">
        <v>0</v>
      </c>
      <c r="F8" s="389">
        <f>D8*E8</f>
        <v>0</v>
      </c>
      <c r="G8" s="710"/>
      <c r="H8" s="1689"/>
    </row>
    <row r="9" spans="1:9" ht="21" customHeight="1" thickBot="1" x14ac:dyDescent="0.25">
      <c r="A9" s="1868" t="str">
        <f>OF!A86</f>
        <v>OF14</v>
      </c>
      <c r="B9" s="1709" t="str">
        <f>OF!B86</f>
        <v>Upland Edge Contact</v>
      </c>
      <c r="C9" s="231" t="str">
        <f>OF!C86</f>
        <v>Select one:</v>
      </c>
      <c r="D9" s="392"/>
      <c r="E9" s="392"/>
      <c r="F9" s="393"/>
      <c r="G9" s="600">
        <f>MAX(F10:F12)/MAX(E10:E12)</f>
        <v>0</v>
      </c>
      <c r="H9" s="1709" t="s">
        <v>1121</v>
      </c>
      <c r="I9" s="3" t="s">
        <v>781</v>
      </c>
    </row>
    <row r="10" spans="1:9" ht="27" customHeight="1" x14ac:dyDescent="0.2">
      <c r="A10" s="1869"/>
      <c r="B10" s="1710"/>
      <c r="C10" s="21" t="str">
        <f>OF!C87</f>
        <v>The AA has no upland edge (or upland is &lt;1% of perimeter).  The AA is entirely surrounded by other wetland or water.</v>
      </c>
      <c r="D10" s="280">
        <f>OF!D87</f>
        <v>0</v>
      </c>
      <c r="E10" s="388">
        <v>0</v>
      </c>
      <c r="F10" s="388">
        <f>D10*E10</f>
        <v>0</v>
      </c>
      <c r="G10" s="708"/>
      <c r="H10" s="1710"/>
    </row>
    <row r="11" spans="1:9" ht="27" customHeight="1" x14ac:dyDescent="0.2">
      <c r="A11" s="1869"/>
      <c r="B11" s="1710"/>
      <c r="C11" s="6" t="str">
        <f>OF!C90</f>
        <v>50-75% of the AA's perimeter abuts upland. The rest adjoins other wetlands or water that is mostly wider than the AA.</v>
      </c>
      <c r="D11" s="46">
        <f>OF!D90</f>
        <v>0</v>
      </c>
      <c r="E11" s="388">
        <v>2</v>
      </c>
      <c r="F11" s="388">
        <f>D11*E11</f>
        <v>0</v>
      </c>
      <c r="G11" s="709"/>
      <c r="H11" s="1710"/>
    </row>
    <row r="12" spans="1:9" ht="27" customHeight="1" thickBot="1" x14ac:dyDescent="0.25">
      <c r="A12" s="1870"/>
      <c r="B12" s="1711"/>
      <c r="C12" s="214" t="str">
        <f>OF!C91</f>
        <v>More than 75% of the AA's perimeter abuts upland. Any remainder adjoins other wetlands or water that is mostly wider than the AA.</v>
      </c>
      <c r="D12" s="213">
        <f>OF!D91</f>
        <v>0</v>
      </c>
      <c r="E12" s="389">
        <v>1</v>
      </c>
      <c r="F12" s="389">
        <f>D12*E12</f>
        <v>0</v>
      </c>
      <c r="G12" s="710"/>
      <c r="H12" s="1711"/>
    </row>
    <row r="13" spans="1:9" ht="30" customHeight="1" thickBot="1" x14ac:dyDescent="0.25">
      <c r="A13" s="1831" t="str">
        <f>OF!A113</f>
        <v>OF21</v>
      </c>
      <c r="B13" s="1836" t="str">
        <f>OF!B113</f>
        <v>Temperature, Mean Annual</v>
      </c>
      <c r="C13" s="454" t="str">
        <f>OF!C113</f>
        <v>Refer to the Temperature layer in the online WESPAK-SE Wetlands Module. The mean annual temperature in the vicinity of the AA was modeled as (rounded to the nearest whole number):</v>
      </c>
      <c r="D13" s="392"/>
      <c r="E13" s="635"/>
      <c r="F13" s="639"/>
      <c r="G13" s="496">
        <f>IF((D19=1),"",MAX(F14:F18)/MAX(E14:E18))</f>
        <v>0</v>
      </c>
      <c r="H13" s="1709" t="s">
        <v>1895</v>
      </c>
      <c r="I13" s="3" t="s">
        <v>2013</v>
      </c>
    </row>
    <row r="14" spans="1:9" ht="15" customHeight="1" x14ac:dyDescent="0.2">
      <c r="A14" s="1832"/>
      <c r="B14" s="1837"/>
      <c r="C14" s="144" t="str">
        <f>OF!C114</f>
        <v>&lt;38 degrees F</v>
      </c>
      <c r="D14" s="286">
        <f>OF!D114</f>
        <v>0</v>
      </c>
      <c r="E14" s="396">
        <v>0</v>
      </c>
      <c r="F14" s="397">
        <f>D14*E14</f>
        <v>0</v>
      </c>
      <c r="G14" s="521"/>
      <c r="H14" s="1710"/>
    </row>
    <row r="15" spans="1:9" ht="15" customHeight="1" x14ac:dyDescent="0.2">
      <c r="A15" s="1832"/>
      <c r="B15" s="1837"/>
      <c r="C15" s="50" t="str">
        <f>OF!C115</f>
        <v>38-40 degrees F</v>
      </c>
      <c r="D15" s="271">
        <f>OF!D115</f>
        <v>0</v>
      </c>
      <c r="E15" s="396">
        <v>1</v>
      </c>
      <c r="F15" s="397">
        <f>D15*E15</f>
        <v>0</v>
      </c>
      <c r="G15" s="521"/>
      <c r="H15" s="1710"/>
    </row>
    <row r="16" spans="1:9" ht="15" customHeight="1" x14ac:dyDescent="0.2">
      <c r="A16" s="1832"/>
      <c r="B16" s="1837"/>
      <c r="C16" s="50" t="str">
        <f>OF!C116</f>
        <v>41-42 degrees F</v>
      </c>
      <c r="D16" s="271">
        <f>OF!D116</f>
        <v>0</v>
      </c>
      <c r="E16" s="396">
        <v>2</v>
      </c>
      <c r="F16" s="397">
        <f>D16*E16</f>
        <v>0</v>
      </c>
      <c r="G16" s="521"/>
      <c r="H16" s="1710"/>
    </row>
    <row r="17" spans="1:9" ht="15" customHeight="1" x14ac:dyDescent="0.2">
      <c r="A17" s="1832"/>
      <c r="B17" s="1837"/>
      <c r="C17" s="50" t="str">
        <f>OF!C117</f>
        <v>43-44 degrees F</v>
      </c>
      <c r="D17" s="271">
        <f>OF!D117</f>
        <v>0</v>
      </c>
      <c r="E17" s="396">
        <v>3</v>
      </c>
      <c r="F17" s="397">
        <f>D17*E17</f>
        <v>0</v>
      </c>
      <c r="G17" s="521"/>
      <c r="H17" s="1710"/>
    </row>
    <row r="18" spans="1:9" ht="15" customHeight="1" x14ac:dyDescent="0.2">
      <c r="A18" s="1832"/>
      <c r="B18" s="1837"/>
      <c r="C18" s="50" t="str">
        <f>OF!C118</f>
        <v>&gt; 44 degrees F</v>
      </c>
      <c r="D18" s="271">
        <f>OF!D118</f>
        <v>0</v>
      </c>
      <c r="E18" s="396">
        <v>4</v>
      </c>
      <c r="F18" s="397">
        <f>D18*E18</f>
        <v>0</v>
      </c>
      <c r="G18" s="515"/>
      <c r="H18" s="1710"/>
    </row>
    <row r="19" spans="1:9" ht="15" customHeight="1" thickBot="1" x14ac:dyDescent="0.25">
      <c r="A19" s="1833"/>
      <c r="B19" s="1838"/>
      <c r="C19" s="462" t="str">
        <f>OF!C119</f>
        <v>no information available</v>
      </c>
      <c r="D19" s="272">
        <f>OF!D119</f>
        <v>0</v>
      </c>
      <c r="E19" s="637"/>
      <c r="F19" s="638"/>
      <c r="G19" s="504"/>
      <c r="H19" s="1711"/>
    </row>
    <row r="20" spans="1:9" ht="81" customHeight="1" thickBot="1" x14ac:dyDescent="0.25">
      <c r="A20" s="1868" t="str">
        <f>OF!A147</f>
        <v>OF28</v>
      </c>
      <c r="B20" s="1687" t="str">
        <f>OF!B147</f>
        <v>Elevation in Multi-scale Watersheds</v>
      </c>
      <c r="C20" s="111"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20" s="392"/>
      <c r="E20" s="392"/>
      <c r="F20" s="393"/>
      <c r="G20" s="600" t="str">
        <f>IF((D21=0),"",1-(D21/3))</f>
        <v/>
      </c>
      <c r="H20" s="1687" t="s">
        <v>785</v>
      </c>
      <c r="I20" s="3" t="s">
        <v>784</v>
      </c>
    </row>
    <row r="21" spans="1:9" ht="39" thickBot="1" x14ac:dyDescent="0.25">
      <c r="A21" s="1870"/>
      <c r="B21" s="1689"/>
      <c r="C21" s="429" t="str">
        <f>OF!C150</f>
        <v>In its HUC6 (the 8-digit* watershed) the AA's elevation puts it in (enter one of the following): 3= upper one-third, 2= middle one-third, 1= lower one-third, 0= no data.  [The 8-digit HUC is obtained by deleting the last 4 digits of the 12-digit HUC code]</v>
      </c>
      <c r="D21" s="303">
        <f>OF!D150</f>
        <v>0</v>
      </c>
      <c r="E21" s="654">
        <f>4-D21</f>
        <v>4</v>
      </c>
      <c r="F21" s="389"/>
      <c r="G21" s="710"/>
      <c r="H21" s="1689"/>
    </row>
    <row r="22" spans="1:9" ht="30" customHeight="1" thickBot="1" x14ac:dyDescent="0.25">
      <c r="A22" s="1868" t="str">
        <f>OF!A152</f>
        <v>OF30</v>
      </c>
      <c r="B22" s="1701" t="str">
        <f>OF!B152</f>
        <v>Contributing Area (CA) Percent</v>
      </c>
      <c r="C22" s="111" t="str">
        <f>OF!C152</f>
        <v>On a topographic map, draw the approximate bounds of this AA's contributing area  (see Manual).  Relative to the extent of this contributing area (CA), the AA comprises:</v>
      </c>
      <c r="D22" s="392"/>
      <c r="E22" s="711"/>
      <c r="F22" s="392"/>
      <c r="G22" s="600">
        <f>MAX(F23:F26)/MAX(E23:E26)</f>
        <v>0</v>
      </c>
      <c r="H22" s="1687" t="s">
        <v>2216</v>
      </c>
      <c r="I22" s="3" t="s">
        <v>2010</v>
      </c>
    </row>
    <row r="23" spans="1:9" ht="27" customHeight="1" x14ac:dyDescent="0.2">
      <c r="A23" s="1869"/>
      <c r="B23" s="1702"/>
      <c r="C23" s="384" t="str">
        <f>OF!C153</f>
        <v>&lt;1% of its CA  (including but not limited to most wetlands flooded annually by a major river, many in karst landscapes, and most that have multiple tributaries).</v>
      </c>
      <c r="D23" s="280">
        <f>OF!D153</f>
        <v>0</v>
      </c>
      <c r="E23" s="388">
        <v>0</v>
      </c>
      <c r="F23" s="391">
        <f>D23*E23</f>
        <v>0</v>
      </c>
      <c r="G23" s="709"/>
      <c r="H23" s="1688"/>
    </row>
    <row r="24" spans="1:9" ht="15" customHeight="1" x14ac:dyDescent="0.2">
      <c r="A24" s="1869"/>
      <c r="B24" s="1702"/>
      <c r="C24" s="487" t="str">
        <f>OF!C154</f>
        <v>1 to 10% of its CA</v>
      </c>
      <c r="D24" s="46">
        <f>OF!D154</f>
        <v>0</v>
      </c>
      <c r="E24" s="388">
        <v>1</v>
      </c>
      <c r="F24" s="391">
        <f>D24*E24</f>
        <v>0</v>
      </c>
      <c r="G24" s="709"/>
      <c r="H24" s="1688"/>
    </row>
    <row r="25" spans="1:9" ht="15" customHeight="1" x14ac:dyDescent="0.2">
      <c r="A25" s="1869"/>
      <c r="B25" s="1702"/>
      <c r="C25" s="487" t="str">
        <f>OF!C155</f>
        <v>10 to 100%  of its CA</v>
      </c>
      <c r="D25" s="46">
        <f>OF!D155</f>
        <v>0</v>
      </c>
      <c r="E25" s="388">
        <v>2</v>
      </c>
      <c r="F25" s="391">
        <f>D25*E25</f>
        <v>0</v>
      </c>
      <c r="G25" s="709"/>
      <c r="H25" s="1688"/>
    </row>
    <row r="26" spans="1:9" ht="27.6" customHeight="1" thickBot="1" x14ac:dyDescent="0.25">
      <c r="A26" s="1870"/>
      <c r="B26" s="1712"/>
      <c r="C26" s="486" t="str">
        <f>OF!C156</f>
        <v>Wetland has essentially no CA, e.g., isolated by dikes with no input channels, or is in terrain so flat that a CA can't be delineated. SKIP TO OF34.</v>
      </c>
      <c r="D26" s="213">
        <f>OF!D156</f>
        <v>0</v>
      </c>
      <c r="E26" s="389">
        <v>3</v>
      </c>
      <c r="F26" s="389">
        <f>D26*E26</f>
        <v>0</v>
      </c>
      <c r="G26" s="710"/>
      <c r="H26" s="1689"/>
    </row>
    <row r="27" spans="1:9" ht="21" customHeight="1" thickBot="1" x14ac:dyDescent="0.25">
      <c r="A27" s="1868" t="str">
        <f>OF!A165</f>
        <v>OF33</v>
      </c>
      <c r="B27" s="1701" t="str">
        <f>OF!B165</f>
        <v>Aspect</v>
      </c>
      <c r="C27" s="111" t="str">
        <f>OF!C165</f>
        <v>The overland flow direction of most surface water (in streams or runoff) that enters the AA is:</v>
      </c>
      <c r="D27" s="392"/>
      <c r="E27" s="392"/>
      <c r="F27" s="393"/>
      <c r="G27" s="600">
        <f>IF((NoCA=1),"", MAX(F28:F30)/MAX(E28:E30))</f>
        <v>0</v>
      </c>
      <c r="H27" s="1687" t="s">
        <v>1183</v>
      </c>
      <c r="I27" s="3" t="s">
        <v>424</v>
      </c>
    </row>
    <row r="28" spans="1:9" ht="15" customHeight="1" x14ac:dyDescent="0.2">
      <c r="A28" s="1869"/>
      <c r="B28" s="1702"/>
      <c r="C28" s="384" t="str">
        <f>OF!C166</f>
        <v>Northward (N, NE).  north-facing CA.</v>
      </c>
      <c r="D28" s="280">
        <f>OF!D166</f>
        <v>0</v>
      </c>
      <c r="E28" s="388">
        <v>0</v>
      </c>
      <c r="F28" s="391">
        <f>D28*E28</f>
        <v>0</v>
      </c>
      <c r="G28" s="708"/>
      <c r="H28" s="1688"/>
    </row>
    <row r="29" spans="1:9" ht="15" customHeight="1" x14ac:dyDescent="0.2">
      <c r="A29" s="1869"/>
      <c r="B29" s="1702"/>
      <c r="C29" s="487" t="str">
        <f>OF!C167</f>
        <v>Southward (S, SW).  south-facing CA.</v>
      </c>
      <c r="D29" s="46">
        <f>OF!D167</f>
        <v>0</v>
      </c>
      <c r="E29" s="388">
        <v>2</v>
      </c>
      <c r="F29" s="391">
        <f>D29*E29</f>
        <v>0</v>
      </c>
      <c r="G29" s="709"/>
      <c r="H29" s="1688"/>
    </row>
    <row r="30" spans="1:9" ht="15.6" customHeight="1" thickBot="1" x14ac:dyDescent="0.25">
      <c r="A30" s="1870"/>
      <c r="B30" s="1712"/>
      <c r="C30" s="486" t="str">
        <f>OF!C168</f>
        <v>other (E, SE, W, NW), or no detectable uphill slope or input channel (flat)</v>
      </c>
      <c r="D30" s="213">
        <f>OF!D168</f>
        <v>0</v>
      </c>
      <c r="E30" s="389">
        <v>1</v>
      </c>
      <c r="F30" s="389">
        <f>D30*E30</f>
        <v>0</v>
      </c>
      <c r="G30" s="710"/>
      <c r="H30" s="1689"/>
    </row>
    <row r="31" spans="1:9" ht="21" customHeight="1" thickBot="1" x14ac:dyDescent="0.25">
      <c r="A31" s="1954" t="str">
        <f>OF!A169</f>
        <v>OF34</v>
      </c>
      <c r="B31" s="1709" t="str">
        <f>OF!B169</f>
        <v>Internal Gradient</v>
      </c>
      <c r="C31" s="231" t="str">
        <f>OF!C169</f>
        <v>The gradient along most of the flow path within the AA is:</v>
      </c>
      <c r="D31" s="392"/>
      <c r="E31" s="392"/>
      <c r="F31" s="393"/>
      <c r="G31" s="600">
        <f>MAX(F32:F35)/MAX(E32:E35)</f>
        <v>0</v>
      </c>
      <c r="H31" s="1709" t="s">
        <v>1150</v>
      </c>
      <c r="I31" s="3" t="s">
        <v>780</v>
      </c>
    </row>
    <row r="32" spans="1:9" ht="15" customHeight="1" x14ac:dyDescent="0.2">
      <c r="A32" s="1955"/>
      <c r="B32" s="1710"/>
      <c r="C32" s="21" t="str">
        <f>OF!C170</f>
        <v>&lt;2%, or, no slope is ever apparent (i.e., flat).  Includes most depressional sites and ponds.</v>
      </c>
      <c r="D32" s="280">
        <f>OF!D170</f>
        <v>0</v>
      </c>
      <c r="E32" s="388">
        <v>4</v>
      </c>
      <c r="F32" s="388">
        <f>D32*E32</f>
        <v>0</v>
      </c>
      <c r="G32" s="708"/>
      <c r="H32" s="1710"/>
    </row>
    <row r="33" spans="1:9" ht="15" customHeight="1" x14ac:dyDescent="0.2">
      <c r="A33" s="1955"/>
      <c r="B33" s="1710"/>
      <c r="C33" s="21" t="str">
        <f>OF!C171</f>
        <v>2-5%</v>
      </c>
      <c r="D33" s="280">
        <f>OF!D171</f>
        <v>0</v>
      </c>
      <c r="E33" s="388">
        <v>2</v>
      </c>
      <c r="F33" s="388">
        <f>D33*E33</f>
        <v>0</v>
      </c>
      <c r="G33" s="709"/>
      <c r="H33" s="1710"/>
    </row>
    <row r="34" spans="1:9" ht="15" customHeight="1" x14ac:dyDescent="0.2">
      <c r="A34" s="1955"/>
      <c r="B34" s="1710"/>
      <c r="C34" s="21" t="str">
        <f>OF!C172</f>
        <v>6-10%</v>
      </c>
      <c r="D34" s="280">
        <f>OF!D172</f>
        <v>0</v>
      </c>
      <c r="E34" s="388">
        <v>1</v>
      </c>
      <c r="F34" s="388">
        <f>D34*E34</f>
        <v>0</v>
      </c>
      <c r="G34" s="709"/>
      <c r="H34" s="1710"/>
    </row>
    <row r="35" spans="1:9" ht="15.6" customHeight="1" thickBot="1" x14ac:dyDescent="0.25">
      <c r="A35" s="1956"/>
      <c r="B35" s="1711"/>
      <c r="C35" s="702" t="str">
        <f>OF!C173</f>
        <v>&gt;10%</v>
      </c>
      <c r="D35" s="317">
        <f>OF!D173</f>
        <v>0</v>
      </c>
      <c r="E35" s="389">
        <v>0</v>
      </c>
      <c r="F35" s="389">
        <f>D35*E35</f>
        <v>0</v>
      </c>
      <c r="G35" s="710"/>
      <c r="H35" s="1711"/>
    </row>
    <row r="36" spans="1:9" ht="45" customHeight="1" thickBot="1" x14ac:dyDescent="0.25">
      <c r="A36" s="1868" t="str">
        <f>OF!A174</f>
        <v>OF35</v>
      </c>
      <c r="B36" s="1687" t="str">
        <f>OF!B174</f>
        <v>Internal Flow Distance (Path Length)</v>
      </c>
      <c r="C36" s="231" t="str">
        <f>OF!C174</f>
        <v>From measurement of wetland polygon width or intersected stream length in the online WESPAK-SE Wetlands Module:  The straight-line horizontal distance from the wetland's inlet to outlet is:  [Note: If inlet and/or outlet are lacking, see guidance in last column]</v>
      </c>
      <c r="D36" s="392"/>
      <c r="E36" s="392"/>
      <c r="F36" s="393"/>
      <c r="G36" s="496">
        <f>MAX(F37:F42)/MAX(E37:E42)</f>
        <v>0</v>
      </c>
      <c r="H36" s="1687" t="s">
        <v>1984</v>
      </c>
      <c r="I36" s="3" t="s">
        <v>2012</v>
      </c>
    </row>
    <row r="37" spans="1:9" ht="15" customHeight="1" x14ac:dyDescent="0.2">
      <c r="A37" s="1869"/>
      <c r="B37" s="1688"/>
      <c r="C37" s="21" t="str">
        <f>OF!C175</f>
        <v>&lt;150 ft</v>
      </c>
      <c r="D37" s="280">
        <f>OF!D175</f>
        <v>0</v>
      </c>
      <c r="E37" s="388">
        <v>1</v>
      </c>
      <c r="F37" s="388">
        <f t="shared" ref="F37:F42" si="0">D37*E37</f>
        <v>0</v>
      </c>
      <c r="G37" s="709"/>
      <c r="H37" s="1688"/>
    </row>
    <row r="38" spans="1:9" ht="15" customHeight="1" x14ac:dyDescent="0.2">
      <c r="A38" s="1869"/>
      <c r="B38" s="1688"/>
      <c r="C38" s="6" t="str">
        <f>OF!C176</f>
        <v>150-300 ft</v>
      </c>
      <c r="D38" s="46">
        <f>OF!D176</f>
        <v>0</v>
      </c>
      <c r="E38" s="388">
        <v>2</v>
      </c>
      <c r="F38" s="388">
        <f t="shared" si="0"/>
        <v>0</v>
      </c>
      <c r="G38" s="709"/>
      <c r="H38" s="1688"/>
    </row>
    <row r="39" spans="1:9" ht="15" customHeight="1" x14ac:dyDescent="0.2">
      <c r="A39" s="1869"/>
      <c r="B39" s="1688"/>
      <c r="C39" s="6" t="str">
        <f>OF!C177</f>
        <v>300-800 ft</v>
      </c>
      <c r="D39" s="46">
        <f>OF!D177</f>
        <v>0</v>
      </c>
      <c r="E39" s="388">
        <v>3</v>
      </c>
      <c r="F39" s="388">
        <f t="shared" si="0"/>
        <v>0</v>
      </c>
      <c r="G39" s="709"/>
      <c r="H39" s="1688"/>
    </row>
    <row r="40" spans="1:9" ht="15" customHeight="1" x14ac:dyDescent="0.2">
      <c r="A40" s="1869"/>
      <c r="B40" s="1688"/>
      <c r="C40" s="6" t="str">
        <f>OF!C178</f>
        <v>800-2000 ft</v>
      </c>
      <c r="D40" s="46">
        <f>OF!D178</f>
        <v>0</v>
      </c>
      <c r="E40" s="388">
        <v>4</v>
      </c>
      <c r="F40" s="388">
        <f t="shared" si="0"/>
        <v>0</v>
      </c>
      <c r="G40" s="709"/>
      <c r="H40" s="1688"/>
    </row>
    <row r="41" spans="1:9" ht="15" customHeight="1" x14ac:dyDescent="0.2">
      <c r="A41" s="1869"/>
      <c r="B41" s="1688"/>
      <c r="C41" s="6" t="str">
        <f>OF!C179</f>
        <v>2000 ft - 1 mile</v>
      </c>
      <c r="D41" s="46">
        <f>OF!D179</f>
        <v>0</v>
      </c>
      <c r="E41" s="388">
        <v>5</v>
      </c>
      <c r="F41" s="388">
        <f t="shared" si="0"/>
        <v>0</v>
      </c>
      <c r="G41" s="709"/>
      <c r="H41" s="1688"/>
    </row>
    <row r="42" spans="1:9" ht="15" customHeight="1" thickBot="1" x14ac:dyDescent="0.25">
      <c r="A42" s="1870"/>
      <c r="B42" s="1689"/>
      <c r="C42" s="214" t="str">
        <f>OF!C180</f>
        <v>&gt;1 mile</v>
      </c>
      <c r="D42" s="213">
        <f>OF!D180</f>
        <v>0</v>
      </c>
      <c r="E42" s="389">
        <v>6</v>
      </c>
      <c r="F42" s="389">
        <f t="shared" si="0"/>
        <v>0</v>
      </c>
      <c r="G42" s="710"/>
      <c r="H42" s="1689"/>
    </row>
    <row r="43" spans="1:9" ht="66" customHeight="1" thickBot="1" x14ac:dyDescent="0.25">
      <c r="A43" s="1845" t="str">
        <f>F!A4</f>
        <v>F1</v>
      </c>
      <c r="B43" s="1688" t="str">
        <f>F!B4</f>
        <v>Wetland Type</v>
      </c>
      <c r="C43" s="385" t="str">
        <f>F!C4</f>
        <v>Most of the vegetated part of the AA (wetland Assessment Area) is a (select ONE):</v>
      </c>
      <c r="D43" s="392"/>
      <c r="E43" s="712"/>
      <c r="F43" s="713"/>
      <c r="G43" s="601">
        <f>MAX(F44:F48)/MAX(E44:E48)</f>
        <v>0</v>
      </c>
      <c r="H43" s="1688" t="s">
        <v>1983</v>
      </c>
      <c r="I43" s="3" t="s">
        <v>762</v>
      </c>
    </row>
    <row r="44" spans="1:9" ht="24" customHeight="1" x14ac:dyDescent="0.2">
      <c r="A44" s="1845"/>
      <c r="B44" s="1688"/>
      <c r="C44" s="700" t="str">
        <f>F!C5</f>
        <v>Forested Peatland</v>
      </c>
      <c r="D44" s="304">
        <f>F!D5</f>
        <v>0</v>
      </c>
      <c r="E44" s="714">
        <v>2</v>
      </c>
      <c r="F44" s="388">
        <f>D44*E44</f>
        <v>0</v>
      </c>
      <c r="G44" s="568"/>
      <c r="H44" s="1688"/>
    </row>
    <row r="45" spans="1:9" ht="24" customHeight="1" x14ac:dyDescent="0.2">
      <c r="A45" s="1845"/>
      <c r="B45" s="1688"/>
      <c r="C45" s="434" t="str">
        <f>F!C6</f>
        <v>Open Peatland</v>
      </c>
      <c r="D45" s="305">
        <f>F!D6</f>
        <v>0</v>
      </c>
      <c r="E45" s="714">
        <v>1</v>
      </c>
      <c r="F45" s="388">
        <f>D45*E45</f>
        <v>0</v>
      </c>
      <c r="G45" s="559"/>
      <c r="H45" s="1688"/>
    </row>
    <row r="46" spans="1:9" ht="24" customHeight="1" x14ac:dyDescent="0.2">
      <c r="A46" s="1845"/>
      <c r="B46" s="1688"/>
      <c r="C46" s="434" t="str">
        <f>F!C7</f>
        <v>Fen/ Marsh</v>
      </c>
      <c r="D46" s="305">
        <f>F!D7</f>
        <v>0</v>
      </c>
      <c r="E46" s="714">
        <v>4</v>
      </c>
      <c r="F46" s="388">
        <f>D46*E46</f>
        <v>0</v>
      </c>
      <c r="G46" s="559"/>
      <c r="H46" s="1688"/>
    </row>
    <row r="47" spans="1:9" ht="24" customHeight="1" x14ac:dyDescent="0.2">
      <c r="A47" s="1845"/>
      <c r="B47" s="1688"/>
      <c r="C47" s="434" t="str">
        <f>F!C8</f>
        <v>Floodplain Wetland</v>
      </c>
      <c r="D47" s="305">
        <f>F!D8</f>
        <v>0</v>
      </c>
      <c r="E47" s="714">
        <v>5</v>
      </c>
      <c r="F47" s="388">
        <f>D47*E47</f>
        <v>0</v>
      </c>
      <c r="G47" s="559"/>
      <c r="H47" s="1688"/>
    </row>
    <row r="48" spans="1:9" ht="24" customHeight="1" x14ac:dyDescent="0.2">
      <c r="A48" s="1845"/>
      <c r="B48" s="1688"/>
      <c r="C48" s="434" t="str">
        <f>F!C9</f>
        <v>Uplift Meadow</v>
      </c>
      <c r="D48" s="305">
        <f>F!D9</f>
        <v>0</v>
      </c>
      <c r="E48" s="714">
        <v>3</v>
      </c>
      <c r="F48" s="388">
        <f>D48*E48</f>
        <v>0</v>
      </c>
      <c r="G48" s="562"/>
      <c r="H48" s="1688"/>
    </row>
    <row r="49" spans="1:9" ht="33" customHeight="1" thickBot="1" x14ac:dyDescent="0.25">
      <c r="A49" s="1845"/>
      <c r="B49" s="1688"/>
      <c r="C49" s="701" t="str">
        <f>F!C10</f>
        <v>Tidal Marsh or Tidal Swamp.  Do not continue.  Use other spreadsheet.</v>
      </c>
      <c r="D49" s="306">
        <f>F!D10</f>
        <v>0</v>
      </c>
      <c r="E49" s="715"/>
      <c r="F49" s="391"/>
      <c r="G49" s="562"/>
      <c r="H49" s="1688"/>
    </row>
    <row r="50" spans="1:9" ht="30" customHeight="1" thickBot="1" x14ac:dyDescent="0.25">
      <c r="A50" s="1868" t="str">
        <f>F!A11</f>
        <v>F2</v>
      </c>
      <c r="B50" s="1687" t="str">
        <f>F!B11</f>
        <v>% Saturated Only</v>
      </c>
      <c r="C50" s="231" t="str">
        <f>F!C11</f>
        <v>The percentage of the AA that lacks surface water during an average year (that is, except perhaps for a few hours after snowmelt or rainstorms), but which is still a wetland, is:</v>
      </c>
      <c r="D50" s="392"/>
      <c r="E50" s="716"/>
      <c r="F50" s="717"/>
      <c r="G50" s="600">
        <f>MAX(F51:F56)/MAX(E51:E56)</f>
        <v>0</v>
      </c>
      <c r="H50" s="1687" t="s">
        <v>1336</v>
      </c>
      <c r="I50" s="3" t="s">
        <v>1920</v>
      </c>
    </row>
    <row r="51" spans="1:9" ht="27" customHeight="1" x14ac:dyDescent="0.2">
      <c r="A51" s="1869"/>
      <c r="B51" s="1688"/>
      <c r="C51" s="21" t="str">
        <f>F!C12</f>
        <v>less than 1%, or &lt;0.01 acre (about 20 ft on a side) never has surface water.  In other words, all or nearly all of the AA is inundated permanently or at least seasonally.</v>
      </c>
      <c r="D51" s="280">
        <f>F!D12</f>
        <v>0</v>
      </c>
      <c r="E51" s="412">
        <v>4</v>
      </c>
      <c r="F51" s="388">
        <f t="shared" ref="F51:F56" si="1">D51*E51</f>
        <v>0</v>
      </c>
      <c r="G51" s="709"/>
      <c r="H51" s="1688"/>
    </row>
    <row r="52" spans="1:9" ht="15" customHeight="1" x14ac:dyDescent="0.2">
      <c r="A52" s="1869"/>
      <c r="B52" s="1688"/>
      <c r="C52" s="6" t="str">
        <f>F!C13</f>
        <v xml:space="preserve">1-25% of the AA never contains surface water.  </v>
      </c>
      <c r="D52" s="46">
        <f>F!D13</f>
        <v>0</v>
      </c>
      <c r="E52" s="412">
        <v>5</v>
      </c>
      <c r="F52" s="388">
        <f t="shared" si="1"/>
        <v>0</v>
      </c>
      <c r="G52" s="709"/>
      <c r="H52" s="1688"/>
    </row>
    <row r="53" spans="1:9" ht="15" customHeight="1" x14ac:dyDescent="0.2">
      <c r="A53" s="1869"/>
      <c r="B53" s="1688"/>
      <c r="C53" s="6" t="str">
        <f>F!C14</f>
        <v>25-50% of the AA never contains surface water.</v>
      </c>
      <c r="D53" s="46">
        <f>F!D14</f>
        <v>0</v>
      </c>
      <c r="E53" s="412">
        <v>3</v>
      </c>
      <c r="F53" s="388">
        <f t="shared" si="1"/>
        <v>0</v>
      </c>
      <c r="G53" s="709"/>
      <c r="H53" s="1688"/>
    </row>
    <row r="54" spans="1:9" ht="15" customHeight="1" x14ac:dyDescent="0.2">
      <c r="A54" s="1869"/>
      <c r="B54" s="1688"/>
      <c r="C54" s="6" t="str">
        <f>F!C15</f>
        <v>50-99% of the AA never contains surface water.</v>
      </c>
      <c r="D54" s="46">
        <f>F!D15</f>
        <v>0</v>
      </c>
      <c r="E54" s="412">
        <v>2</v>
      </c>
      <c r="F54" s="388">
        <f t="shared" si="1"/>
        <v>0</v>
      </c>
      <c r="G54" s="709"/>
      <c r="H54" s="1688"/>
    </row>
    <row r="55" spans="1:9" ht="27" customHeight="1" x14ac:dyDescent="0.2">
      <c r="A55" s="1869"/>
      <c r="B55" s="1688"/>
      <c r="C55" s="6" t="str">
        <f>F!C16</f>
        <v>&gt;99% of the AA never contains surface water, except for water flowing in channels and/or in pools that occupy &lt;1% of the AA. SKIP to F30.</v>
      </c>
      <c r="D55" s="46">
        <f>F!D16</f>
        <v>0</v>
      </c>
      <c r="E55" s="412">
        <v>1</v>
      </c>
      <c r="F55" s="388">
        <f t="shared" si="1"/>
        <v>0</v>
      </c>
      <c r="G55" s="709"/>
      <c r="H55" s="1688"/>
    </row>
    <row r="56" spans="1:9" ht="27.6" customHeight="1" thickBot="1" x14ac:dyDescent="0.25">
      <c r="A56" s="1870"/>
      <c r="B56" s="1689"/>
      <c r="C56" s="214" t="str">
        <f>F!C17</f>
        <v>&gt;99% of the AA never contains surface water, and AA is not intersected by channels that have flow, not even for a few days per year. SKIP to F28.</v>
      </c>
      <c r="D56" s="213">
        <f>F!D17</f>
        <v>0</v>
      </c>
      <c r="E56" s="416">
        <v>0</v>
      </c>
      <c r="F56" s="389">
        <f t="shared" si="1"/>
        <v>0</v>
      </c>
      <c r="G56" s="710"/>
      <c r="H56" s="1689"/>
    </row>
    <row r="57" spans="1:9" ht="30" customHeight="1" thickBot="1" x14ac:dyDescent="0.25">
      <c r="A57" s="1845" t="str">
        <f>F!A18</f>
        <v>F3</v>
      </c>
      <c r="B57" s="1688" t="str">
        <f>F!B18</f>
        <v>% with Persistent Surface Water</v>
      </c>
      <c r="C57" s="385" t="str">
        <f>F!C18</f>
        <v>The percentage of the AA that has surface water (either ponded or flowing, either open or obscured by vegetation) during all of the growing season during most years is:</v>
      </c>
      <c r="D57" s="392"/>
      <c r="E57" s="387"/>
      <c r="F57" s="390"/>
      <c r="G57" s="601">
        <f>IF((AllSat+AllSat1&gt;0),"", MAX(F58:F63)/MAX(E58:E63))</f>
        <v>0</v>
      </c>
      <c r="H57" s="1710" t="s">
        <v>5319</v>
      </c>
      <c r="I57" s="3" t="s">
        <v>764</v>
      </c>
    </row>
    <row r="58" spans="1:9" ht="15" customHeight="1" x14ac:dyDescent="0.2">
      <c r="A58" s="1845"/>
      <c r="B58" s="1688"/>
      <c r="C58" s="19" t="str">
        <f>F!C19</f>
        <v>less than 1%, or &lt;0.01 acre (whichever is less).  SKIP to F7.</v>
      </c>
      <c r="D58" s="380">
        <f>F!D19</f>
        <v>0</v>
      </c>
      <c r="E58" s="388">
        <v>0</v>
      </c>
      <c r="F58" s="388">
        <f t="shared" ref="F58:F63" si="2">D58*E58</f>
        <v>0</v>
      </c>
      <c r="G58" s="709"/>
      <c r="H58" s="1710"/>
    </row>
    <row r="59" spans="1:9" ht="15" customHeight="1" x14ac:dyDescent="0.2">
      <c r="A59" s="1845"/>
      <c r="B59" s="1688"/>
      <c r="C59" s="470" t="str">
        <f>F!C20</f>
        <v>1-25% of the AA, and mostly in narrow channels and/or small scattered pools.</v>
      </c>
      <c r="D59" s="20">
        <f>F!D20</f>
        <v>0</v>
      </c>
      <c r="E59" s="48">
        <v>1</v>
      </c>
      <c r="F59" s="388">
        <f t="shared" si="2"/>
        <v>0</v>
      </c>
      <c r="G59" s="708"/>
      <c r="H59" s="1710"/>
    </row>
    <row r="60" spans="1:9" ht="15" customHeight="1" x14ac:dyDescent="0.2">
      <c r="A60" s="1845"/>
      <c r="B60" s="1688"/>
      <c r="C60" s="470" t="str">
        <f>F!C21</f>
        <v>1-25% of the AA, and mostly in a single large pool, pond, and/or channel.</v>
      </c>
      <c r="D60" s="20">
        <f>F!D21</f>
        <v>0</v>
      </c>
      <c r="E60" s="48">
        <v>1</v>
      </c>
      <c r="F60" s="388">
        <f t="shared" si="2"/>
        <v>0</v>
      </c>
      <c r="G60" s="708"/>
      <c r="H60" s="1710"/>
    </row>
    <row r="61" spans="1:9" ht="15" customHeight="1" x14ac:dyDescent="0.2">
      <c r="A61" s="1845"/>
      <c r="B61" s="1688"/>
      <c r="C61" s="470" t="str">
        <f>F!C22</f>
        <v>25-50% of the AA</v>
      </c>
      <c r="D61" s="20">
        <f>F!D22</f>
        <v>0</v>
      </c>
      <c r="E61" s="48">
        <v>3</v>
      </c>
      <c r="F61" s="388">
        <f t="shared" si="2"/>
        <v>0</v>
      </c>
      <c r="G61" s="709"/>
      <c r="H61" s="1710"/>
    </row>
    <row r="62" spans="1:9" ht="15" customHeight="1" x14ac:dyDescent="0.2">
      <c r="A62" s="1845"/>
      <c r="B62" s="1688"/>
      <c r="C62" s="470" t="str">
        <f>F!C23</f>
        <v>50-95% of the AA</v>
      </c>
      <c r="D62" s="20">
        <f>F!D23</f>
        <v>0</v>
      </c>
      <c r="E62" s="48">
        <v>4</v>
      </c>
      <c r="F62" s="388">
        <f t="shared" si="2"/>
        <v>0</v>
      </c>
      <c r="G62" s="709"/>
      <c r="H62" s="1710"/>
    </row>
    <row r="63" spans="1:9" ht="15.6" customHeight="1" thickBot="1" x14ac:dyDescent="0.25">
      <c r="A63" s="1900"/>
      <c r="B63" s="1689"/>
      <c r="C63" s="470" t="str">
        <f>F!C24</f>
        <v>&gt;95% of the AA</v>
      </c>
      <c r="D63" s="20">
        <f>F!D24</f>
        <v>0</v>
      </c>
      <c r="E63" s="47">
        <v>2</v>
      </c>
      <c r="F63" s="391">
        <f t="shared" si="2"/>
        <v>0</v>
      </c>
      <c r="G63" s="718"/>
      <c r="H63" s="1710"/>
    </row>
    <row r="64" spans="1:9" ht="30" customHeight="1" thickBot="1" x14ac:dyDescent="0.25">
      <c r="A64" s="1868" t="str">
        <f>F!A33</f>
        <v>F7</v>
      </c>
      <c r="B64" s="1687" t="str">
        <f>F!B33</f>
        <v>% Flooded Only Seasonally</v>
      </c>
      <c r="C64" s="231" t="str">
        <f>F!C33</f>
        <v>The percentage of the AA soil that is covered by surface water only during the wettest time of year, and for &gt;2 continuous weeks during that time, is:</v>
      </c>
      <c r="D64" s="392"/>
      <c r="E64" s="392"/>
      <c r="F64" s="393"/>
      <c r="G64" s="600">
        <f>IF((AllSat+AllSat1&gt;0),"",MAX(F65:F69)/MAX(E65:E69))</f>
        <v>0</v>
      </c>
      <c r="H64" s="1709" t="s">
        <v>5320</v>
      </c>
      <c r="I64" s="3" t="s">
        <v>763</v>
      </c>
    </row>
    <row r="65" spans="1:9" ht="15" customHeight="1" x14ac:dyDescent="0.2">
      <c r="A65" s="1869"/>
      <c r="B65" s="1688"/>
      <c r="C65" s="19" t="str">
        <f>F!C34</f>
        <v>&lt;1% or &lt;0.01 acre, whichever is less.  SKIP to F9.</v>
      </c>
      <c r="D65" s="380">
        <f>F!D34</f>
        <v>0</v>
      </c>
      <c r="E65" s="48">
        <v>0</v>
      </c>
      <c r="F65" s="388">
        <f>D65*E65</f>
        <v>0</v>
      </c>
      <c r="G65" s="708"/>
      <c r="H65" s="1710"/>
    </row>
    <row r="66" spans="1:9" ht="15" customHeight="1" x14ac:dyDescent="0.2">
      <c r="A66" s="1869"/>
      <c r="B66" s="1688"/>
      <c r="C66" s="470" t="str">
        <f>F!C35</f>
        <v xml:space="preserve">1-25% </v>
      </c>
      <c r="D66" s="20">
        <f>F!D35</f>
        <v>0</v>
      </c>
      <c r="E66" s="48">
        <v>1</v>
      </c>
      <c r="F66" s="388">
        <f>D66*E66</f>
        <v>0</v>
      </c>
      <c r="G66" s="709"/>
      <c r="H66" s="1710"/>
    </row>
    <row r="67" spans="1:9" ht="15" customHeight="1" x14ac:dyDescent="0.2">
      <c r="A67" s="1869"/>
      <c r="B67" s="1688"/>
      <c r="C67" s="470" t="str">
        <f>F!C36</f>
        <v xml:space="preserve">25-50% </v>
      </c>
      <c r="D67" s="20">
        <f>F!D36</f>
        <v>0</v>
      </c>
      <c r="E67" s="48">
        <v>2</v>
      </c>
      <c r="F67" s="388">
        <f>D67*E67</f>
        <v>0</v>
      </c>
      <c r="G67" s="709"/>
      <c r="H67" s="1710"/>
    </row>
    <row r="68" spans="1:9" ht="15" customHeight="1" x14ac:dyDescent="0.2">
      <c r="A68" s="1869"/>
      <c r="B68" s="1688"/>
      <c r="C68" s="470" t="str">
        <f>F!C37</f>
        <v xml:space="preserve">50-95% </v>
      </c>
      <c r="D68" s="20">
        <f>F!D37</f>
        <v>0</v>
      </c>
      <c r="E68" s="48">
        <v>4</v>
      </c>
      <c r="F68" s="388">
        <f>D68*E68</f>
        <v>0</v>
      </c>
      <c r="G68" s="709"/>
      <c r="H68" s="1710"/>
    </row>
    <row r="69" spans="1:9" ht="15.6" customHeight="1" thickBot="1" x14ac:dyDescent="0.25">
      <c r="A69" s="1870"/>
      <c r="B69" s="1689"/>
      <c r="C69" s="214" t="str">
        <f>F!C38</f>
        <v xml:space="preserve">&gt;95% </v>
      </c>
      <c r="D69" s="213">
        <f>F!D38</f>
        <v>0</v>
      </c>
      <c r="E69" s="255">
        <v>3</v>
      </c>
      <c r="F69" s="389">
        <f>D69*E69</f>
        <v>0</v>
      </c>
      <c r="G69" s="710"/>
      <c r="H69" s="1711"/>
    </row>
    <row r="70" spans="1:9" ht="24" customHeight="1" thickBot="1" x14ac:dyDescent="0.25">
      <c r="A70" s="1901" t="str">
        <f>F!A39</f>
        <v>F8</v>
      </c>
      <c r="B70" s="1953" t="str">
        <f>F!B39</f>
        <v>Annual Water Fluctuation Range</v>
      </c>
      <c r="C70" s="385" t="str">
        <f>F!C39</f>
        <v>The maximum annual fluctuation in surface water within the AA is:</v>
      </c>
      <c r="D70" s="392"/>
      <c r="E70" s="387"/>
      <c r="F70" s="390"/>
      <c r="G70" s="719">
        <f>IF((AllSat+AllSat1&gt;0),"", IF((NoSeasonal=1),"",MAX(F71:F74)/MAX(E71:E74)))</f>
        <v>0</v>
      </c>
      <c r="H70" s="1710" t="s">
        <v>5321</v>
      </c>
      <c r="I70" s="3" t="s">
        <v>767</v>
      </c>
    </row>
    <row r="71" spans="1:9" ht="15" customHeight="1" x14ac:dyDescent="0.2">
      <c r="A71" s="1986"/>
      <c r="B71" s="1961"/>
      <c r="C71" s="21" t="str">
        <f>F!C40</f>
        <v xml:space="preserve">&lt;0.5 ft </v>
      </c>
      <c r="D71" s="280">
        <f>F!D40</f>
        <v>0</v>
      </c>
      <c r="E71" s="48">
        <v>0</v>
      </c>
      <c r="F71" s="388">
        <f>D71*E71</f>
        <v>0</v>
      </c>
      <c r="G71" s="708"/>
      <c r="H71" s="1710"/>
    </row>
    <row r="72" spans="1:9" ht="15" customHeight="1" x14ac:dyDescent="0.2">
      <c r="A72" s="1986"/>
      <c r="B72" s="1961"/>
      <c r="C72" s="6" t="str">
        <f>F!C41</f>
        <v>0.5 - 1 ft</v>
      </c>
      <c r="D72" s="46">
        <f>F!D41</f>
        <v>0</v>
      </c>
      <c r="E72" s="48">
        <v>2</v>
      </c>
      <c r="F72" s="388">
        <f>D72*E72</f>
        <v>0</v>
      </c>
      <c r="G72" s="709"/>
      <c r="H72" s="1710"/>
    </row>
    <row r="73" spans="1:9" ht="15" customHeight="1" x14ac:dyDescent="0.2">
      <c r="A73" s="1986"/>
      <c r="B73" s="1961"/>
      <c r="C73" s="6" t="str">
        <f>F!C42</f>
        <v>1-3 ft</v>
      </c>
      <c r="D73" s="46">
        <f>F!D42</f>
        <v>0</v>
      </c>
      <c r="E73" s="48">
        <v>3</v>
      </c>
      <c r="F73" s="388">
        <f>D73*E73</f>
        <v>0</v>
      </c>
      <c r="G73" s="709"/>
      <c r="H73" s="1710"/>
    </row>
    <row r="74" spans="1:9" ht="15" customHeight="1" thickBot="1" x14ac:dyDescent="0.25">
      <c r="A74" s="1960"/>
      <c r="B74" s="1959"/>
      <c r="C74" s="470" t="str">
        <f>F!C43</f>
        <v xml:space="preserve">&gt; 3 ft </v>
      </c>
      <c r="D74" s="20">
        <f>F!D43</f>
        <v>0</v>
      </c>
      <c r="E74" s="47">
        <v>4</v>
      </c>
      <c r="F74" s="391">
        <f>D74*E74</f>
        <v>0</v>
      </c>
      <c r="G74" s="718"/>
      <c r="H74" s="1710"/>
    </row>
    <row r="75" spans="1:9" ht="51" customHeight="1" thickBot="1" x14ac:dyDescent="0.25">
      <c r="A75" s="1896" t="str">
        <f>F!A61</f>
        <v>F13</v>
      </c>
      <c r="B75" s="1692" t="str">
        <f>F!B61</f>
        <v>Width of AA's Vegetated Zone</v>
      </c>
      <c r="C75" s="231" t="str">
        <f>F!C61</f>
        <v>At the driest time of year (or lowest water level), the width of vegetated area in the AA that separates adjoining uplands from most of the open water within or adjoining the AA is:</v>
      </c>
      <c r="D75" s="392"/>
      <c r="E75" s="392"/>
      <c r="F75" s="393"/>
      <c r="G75" s="600" t="str">
        <f>IF((AllSat+AllSat1&gt;0),"", IF((OpenW=0),"",MAX(F76:F80)/MAX(E76:E80)))</f>
        <v/>
      </c>
      <c r="H75" s="1701" t="s">
        <v>5398</v>
      </c>
      <c r="I75" s="3" t="s">
        <v>769</v>
      </c>
    </row>
    <row r="76" spans="1:9" ht="18" customHeight="1" x14ac:dyDescent="0.2">
      <c r="A76" s="1897"/>
      <c r="B76" s="1713"/>
      <c r="C76" s="19" t="str">
        <f>F!C62</f>
        <v xml:space="preserve">1-5 ft </v>
      </c>
      <c r="D76" s="380">
        <f>F!D62</f>
        <v>0</v>
      </c>
      <c r="E76" s="388">
        <v>0</v>
      </c>
      <c r="F76" s="388">
        <f>D76*E76</f>
        <v>0</v>
      </c>
      <c r="G76" s="708"/>
      <c r="H76" s="1702"/>
    </row>
    <row r="77" spans="1:9" ht="18" customHeight="1" x14ac:dyDescent="0.2">
      <c r="A77" s="1897"/>
      <c r="B77" s="1713"/>
      <c r="C77" s="470" t="str">
        <f>F!C63</f>
        <v>5-25 ft</v>
      </c>
      <c r="D77" s="20">
        <f>F!D63</f>
        <v>0</v>
      </c>
      <c r="E77" s="388">
        <v>1</v>
      </c>
      <c r="F77" s="388">
        <f>D77*E77</f>
        <v>0</v>
      </c>
      <c r="G77" s="709"/>
      <c r="H77" s="1702"/>
    </row>
    <row r="78" spans="1:9" ht="18" customHeight="1" x14ac:dyDescent="0.2">
      <c r="A78" s="1897"/>
      <c r="B78" s="1713"/>
      <c r="C78" s="470" t="str">
        <f>F!C64</f>
        <v>25-100 ft</v>
      </c>
      <c r="D78" s="20">
        <f>F!D64</f>
        <v>0</v>
      </c>
      <c r="E78" s="388">
        <v>2</v>
      </c>
      <c r="F78" s="388">
        <f>D78*E78</f>
        <v>0</v>
      </c>
      <c r="G78" s="709"/>
      <c r="H78" s="1702"/>
    </row>
    <row r="79" spans="1:9" ht="18" customHeight="1" x14ac:dyDescent="0.2">
      <c r="A79" s="1897"/>
      <c r="B79" s="1713"/>
      <c r="C79" s="470" t="str">
        <f>F!C65</f>
        <v>100-300 ft</v>
      </c>
      <c r="D79" s="20">
        <f>F!D65</f>
        <v>0</v>
      </c>
      <c r="E79" s="388">
        <v>3</v>
      </c>
      <c r="F79" s="388">
        <f>D79*E79</f>
        <v>0</v>
      </c>
      <c r="G79" s="709"/>
      <c r="H79" s="1702"/>
    </row>
    <row r="80" spans="1:9" ht="18" customHeight="1" thickBot="1" x14ac:dyDescent="0.25">
      <c r="A80" s="1898"/>
      <c r="B80" s="1714"/>
      <c r="C80" s="214" t="str">
        <f>F!C66</f>
        <v>&gt;300 ft</v>
      </c>
      <c r="D80" s="213">
        <f>F!D66</f>
        <v>0</v>
      </c>
      <c r="E80" s="389">
        <v>4</v>
      </c>
      <c r="F80" s="389">
        <f>D80*E80</f>
        <v>0</v>
      </c>
      <c r="G80" s="710"/>
      <c r="H80" s="1712"/>
    </row>
    <row r="81" spans="1:9" ht="45" customHeight="1" thickBot="1" x14ac:dyDescent="0.25">
      <c r="A81" s="1845" t="str">
        <f>F!A71</f>
        <v>F15</v>
      </c>
      <c r="B81" s="1688" t="str">
        <f>F!B71</f>
        <v>All Ponded Water - Extent</v>
      </c>
      <c r="C81" s="385" t="str">
        <f>F!C71</f>
        <v>During most of the growing season, the percentage of the AA that has ponded surface water (stagnant, or flows so slowly that fine sediment is not held in suspension) which is either open or shaded by emergent vegetation is:</v>
      </c>
      <c r="D81" s="392"/>
      <c r="E81" s="51"/>
      <c r="F81" s="390"/>
      <c r="G81" s="601">
        <f>IF((AllSat+AllSat1&gt;0),"", MAX(F82:F88)/MAX(E82:E88))</f>
        <v>0</v>
      </c>
      <c r="H81" s="1688" t="s">
        <v>5322</v>
      </c>
      <c r="I81" s="3" t="s">
        <v>2125</v>
      </c>
    </row>
    <row r="82" spans="1:9" ht="15" customHeight="1" x14ac:dyDescent="0.2">
      <c r="A82" s="1845"/>
      <c r="B82" s="1688"/>
      <c r="C82" s="21" t="str">
        <f>F!C72</f>
        <v>&lt;1% or none, or occupies &lt;100 sq. ft cumulatively.  Enter "1" and SKIP to F19.</v>
      </c>
      <c r="D82" s="280">
        <f>F!D72</f>
        <v>0</v>
      </c>
      <c r="E82" s="48">
        <v>0</v>
      </c>
      <c r="F82" s="388">
        <f t="shared" ref="F82:F88" si="3">D82*E82</f>
        <v>0</v>
      </c>
      <c r="G82" s="709"/>
      <c r="H82" s="1688"/>
    </row>
    <row r="83" spans="1:9" ht="15" customHeight="1" x14ac:dyDescent="0.2">
      <c r="A83" s="1845"/>
      <c r="B83" s="1688"/>
      <c r="C83" s="6" t="str">
        <f>F!C73</f>
        <v>1-25% of the AA, and mainly in small fishless pools. Enter "1" and SKIP to F19.</v>
      </c>
      <c r="D83" s="46">
        <f>F!D73</f>
        <v>0</v>
      </c>
      <c r="E83" s="48">
        <v>1</v>
      </c>
      <c r="F83" s="388">
        <f t="shared" si="3"/>
        <v>0</v>
      </c>
      <c r="G83" s="709"/>
      <c r="H83" s="1688"/>
    </row>
    <row r="84" spans="1:9" ht="15" customHeight="1" x14ac:dyDescent="0.2">
      <c r="A84" s="1845"/>
      <c r="B84" s="1688"/>
      <c r="C84" s="6" t="str">
        <f>F!C74</f>
        <v>1-25% of the AA, and mainly in a single large pool or pond, with or without fish access.</v>
      </c>
      <c r="D84" s="46">
        <f>F!D74</f>
        <v>0</v>
      </c>
      <c r="E84" s="48">
        <v>1</v>
      </c>
      <c r="F84" s="388">
        <f t="shared" si="3"/>
        <v>0</v>
      </c>
      <c r="G84" s="709"/>
      <c r="H84" s="1688"/>
    </row>
    <row r="85" spans="1:9" ht="15" customHeight="1" x14ac:dyDescent="0.2">
      <c r="A85" s="1845"/>
      <c r="B85" s="1688"/>
      <c r="C85" s="6" t="str">
        <f>F!C75</f>
        <v>5-30% of the AA.</v>
      </c>
      <c r="D85" s="46">
        <f>F!D75</f>
        <v>0</v>
      </c>
      <c r="E85" s="48">
        <v>2</v>
      </c>
      <c r="F85" s="388">
        <f t="shared" si="3"/>
        <v>0</v>
      </c>
      <c r="G85" s="709"/>
      <c r="H85" s="1688"/>
    </row>
    <row r="86" spans="1:9" ht="15" customHeight="1" x14ac:dyDescent="0.2">
      <c r="A86" s="1845"/>
      <c r="B86" s="1688"/>
      <c r="C86" s="6" t="str">
        <f>F!C76</f>
        <v>30-70% of the AA.</v>
      </c>
      <c r="D86" s="46">
        <f>F!D76</f>
        <v>0</v>
      </c>
      <c r="E86" s="48">
        <v>3</v>
      </c>
      <c r="F86" s="388">
        <f t="shared" si="3"/>
        <v>0</v>
      </c>
      <c r="G86" s="709"/>
      <c r="H86" s="1688"/>
    </row>
    <row r="87" spans="1:9" ht="15" customHeight="1" x14ac:dyDescent="0.2">
      <c r="A87" s="1845"/>
      <c r="B87" s="1688"/>
      <c r="C87" s="6" t="str">
        <f>F!C77</f>
        <v>70-95% of the AA.</v>
      </c>
      <c r="D87" s="46">
        <f>F!D77</f>
        <v>0</v>
      </c>
      <c r="E87" s="48">
        <v>4</v>
      </c>
      <c r="F87" s="388">
        <f t="shared" si="3"/>
        <v>0</v>
      </c>
      <c r="G87" s="709"/>
      <c r="H87" s="1688"/>
    </row>
    <row r="88" spans="1:9" ht="15.6" customHeight="1" thickBot="1" x14ac:dyDescent="0.25">
      <c r="A88" s="1845"/>
      <c r="B88" s="1688"/>
      <c r="C88" s="470" t="str">
        <f>F!C78</f>
        <v>&gt;95% of the AA.</v>
      </c>
      <c r="D88" s="20">
        <f>F!D78</f>
        <v>0</v>
      </c>
      <c r="E88" s="47">
        <v>5</v>
      </c>
      <c r="F88" s="391">
        <f t="shared" si="3"/>
        <v>0</v>
      </c>
      <c r="G88" s="718"/>
      <c r="H88" s="1688"/>
    </row>
    <row r="89" spans="1:9" ht="30" customHeight="1" thickBot="1" x14ac:dyDescent="0.25">
      <c r="A89" s="1969" t="str">
        <f>F!A79</f>
        <v>F16</v>
      </c>
      <c r="B89" s="1703" t="str">
        <f>F!B79</f>
        <v>Open Ponded Water - Extent</v>
      </c>
      <c r="C89" s="5" t="str">
        <f>F!C79</f>
        <v>The percentage of the ponded water that is open (lacking emergent vegetation during most of the growing season, and unhidden by a forest or shrub canopy) is:</v>
      </c>
      <c r="D89" s="403"/>
      <c r="E89" s="392"/>
      <c r="F89" s="393"/>
      <c r="G89" s="600">
        <f>IF((AllSat+AllSat1&gt;0),"", IF((OR(puddles=1,NoPonded=1)),"", MAX(F90:F95)/MAX(E90:E95)))</f>
        <v>0</v>
      </c>
      <c r="H89" s="1687" t="s">
        <v>5323</v>
      </c>
      <c r="I89" s="3" t="s">
        <v>765</v>
      </c>
    </row>
    <row r="90" spans="1:9" ht="15" customHeight="1" x14ac:dyDescent="0.2">
      <c r="A90" s="1970"/>
      <c r="B90" s="1688"/>
      <c r="C90" s="19" t="str">
        <f>F!C80</f>
        <v>&lt;1% or none, or largest pool occupies &lt;100 sq. ft.  Enter "1" and SKIP to F19.</v>
      </c>
      <c r="D90" s="20">
        <f>F!D80</f>
        <v>0</v>
      </c>
      <c r="E90" s="388">
        <v>5</v>
      </c>
      <c r="F90" s="388">
        <f t="shared" ref="F90:F95" si="4">D90*E90</f>
        <v>0</v>
      </c>
      <c r="G90" s="708"/>
      <c r="H90" s="1688"/>
    </row>
    <row r="91" spans="1:9" ht="15" customHeight="1" x14ac:dyDescent="0.2">
      <c r="A91" s="1970"/>
      <c r="B91" s="1688"/>
      <c r="C91" s="470" t="str">
        <f>F!C81</f>
        <v>1-5% of the ponded water.  Enter "1" and SKIP to F19.</v>
      </c>
      <c r="D91" s="20">
        <f>F!D81</f>
        <v>0</v>
      </c>
      <c r="E91" s="388">
        <v>4</v>
      </c>
      <c r="F91" s="388">
        <f t="shared" si="4"/>
        <v>0</v>
      </c>
      <c r="G91" s="709"/>
      <c r="H91" s="1688"/>
    </row>
    <row r="92" spans="1:9" ht="15" customHeight="1" x14ac:dyDescent="0.2">
      <c r="A92" s="1970"/>
      <c r="B92" s="1688"/>
      <c r="C92" s="470" t="str">
        <f>F!C82</f>
        <v>5-30% of the ponded water.</v>
      </c>
      <c r="D92" s="20">
        <f>F!D82</f>
        <v>0</v>
      </c>
      <c r="E92" s="388">
        <v>3</v>
      </c>
      <c r="F92" s="388">
        <f t="shared" si="4"/>
        <v>0</v>
      </c>
      <c r="G92" s="709"/>
      <c r="H92" s="1688"/>
    </row>
    <row r="93" spans="1:9" ht="15" customHeight="1" x14ac:dyDescent="0.2">
      <c r="A93" s="1970"/>
      <c r="B93" s="1688"/>
      <c r="C93" s="470" t="str">
        <f>F!C83</f>
        <v>30-70% of the ponded water.</v>
      </c>
      <c r="D93" s="20">
        <f>F!D83</f>
        <v>0</v>
      </c>
      <c r="E93" s="388">
        <v>2</v>
      </c>
      <c r="F93" s="388">
        <f t="shared" si="4"/>
        <v>0</v>
      </c>
      <c r="G93" s="709"/>
      <c r="H93" s="1688"/>
    </row>
    <row r="94" spans="1:9" ht="15" customHeight="1" x14ac:dyDescent="0.2">
      <c r="A94" s="1970"/>
      <c r="B94" s="1688"/>
      <c r="C94" s="470" t="str">
        <f>F!C84</f>
        <v>70-99% of the ponded water.</v>
      </c>
      <c r="D94" s="20">
        <f>F!D84</f>
        <v>0</v>
      </c>
      <c r="E94" s="388">
        <v>1</v>
      </c>
      <c r="F94" s="388">
        <f t="shared" si="4"/>
        <v>0</v>
      </c>
      <c r="G94" s="709"/>
      <c r="H94" s="1688"/>
    </row>
    <row r="95" spans="1:9" ht="15.6" customHeight="1" thickBot="1" x14ac:dyDescent="0.25">
      <c r="A95" s="1971"/>
      <c r="B95" s="1689"/>
      <c r="C95" s="470" t="str">
        <f>F!C85</f>
        <v>100% of the ponded water. SKIP to F18.</v>
      </c>
      <c r="D95" s="20">
        <f>F!D85</f>
        <v>0</v>
      </c>
      <c r="E95" s="389">
        <v>0</v>
      </c>
      <c r="F95" s="389">
        <f t="shared" si="4"/>
        <v>0</v>
      </c>
      <c r="G95" s="710"/>
      <c r="H95" s="1689"/>
    </row>
    <row r="96" spans="1:9" ht="30" customHeight="1" thickBot="1" x14ac:dyDescent="0.25">
      <c r="A96" s="1896" t="str">
        <f>F!A86</f>
        <v>F17</v>
      </c>
      <c r="B96" s="1962" t="str">
        <f>F!B86</f>
        <v>Emergent Vegetation - Distribution</v>
      </c>
      <c r="C96" s="111" t="str">
        <f>F!C86</f>
        <v>During most of the growing season, the spatial pattern of herbaceous vegetation that has surface water beneath it (emergent vegetation -- NOT floating-leaved plants) is mostly:</v>
      </c>
      <c r="D96" s="392"/>
      <c r="E96" s="392"/>
      <c r="F96" s="393"/>
      <c r="G96" s="600">
        <f>IF((AllSat+AllSat1&gt;0),"", IF((OR(puddles=1,NoPonded=1)),"", IF((NoOpenPonded+ NoOpenPonded1&gt;0),"", IF((AllOpenPond=1),"", MAX(F97:F99)/MAX(E97:E99)))))</f>
        <v>0</v>
      </c>
      <c r="H96" s="1687" t="s">
        <v>5324</v>
      </c>
      <c r="I96" s="3" t="s">
        <v>768</v>
      </c>
    </row>
    <row r="97" spans="1:9" ht="15" customHeight="1" x14ac:dyDescent="0.2">
      <c r="A97" s="1869"/>
      <c r="B97" s="1702"/>
      <c r="C97" s="384" t="str">
        <f>F!C87</f>
        <v>scattered in small clumps, islands, or patches throughout the surface water area.</v>
      </c>
      <c r="D97" s="280">
        <f>F!D87</f>
        <v>0</v>
      </c>
      <c r="E97" s="388">
        <v>3</v>
      </c>
      <c r="F97" s="388">
        <f>D97*E97</f>
        <v>0</v>
      </c>
      <c r="G97" s="413"/>
      <c r="H97" s="1688"/>
    </row>
    <row r="98" spans="1:9" ht="15" customHeight="1" x14ac:dyDescent="0.2">
      <c r="A98" s="1869"/>
      <c r="B98" s="1702"/>
      <c r="C98" s="487" t="str">
        <f>F!C88</f>
        <v>intermediate</v>
      </c>
      <c r="D98" s="46">
        <f>F!D88</f>
        <v>0</v>
      </c>
      <c r="E98" s="388">
        <v>2</v>
      </c>
      <c r="F98" s="388">
        <f>D98*E98</f>
        <v>0</v>
      </c>
      <c r="G98" s="413"/>
      <c r="H98" s="1688"/>
    </row>
    <row r="99" spans="1:9" ht="27.6" customHeight="1" thickBot="1" x14ac:dyDescent="0.25">
      <c r="A99" s="1870"/>
      <c r="B99" s="1712"/>
      <c r="C99" s="486" t="str">
        <f>F!C89</f>
        <v>clumped along the margin of the surface water area, or mostly surrounds a channel or central area of open water, or such vegetation covers &lt;100 sq ft and &lt;1% of the AA.</v>
      </c>
      <c r="D99" s="213">
        <f>F!D89</f>
        <v>0</v>
      </c>
      <c r="E99" s="389">
        <v>1</v>
      </c>
      <c r="F99" s="389">
        <f>D99*E99</f>
        <v>0</v>
      </c>
      <c r="G99" s="417"/>
      <c r="H99" s="1689"/>
    </row>
    <row r="100" spans="1:9" ht="72" customHeight="1" thickBot="1" x14ac:dyDescent="0.25">
      <c r="A100" s="42" t="str">
        <f>F!A91</f>
        <v>F19</v>
      </c>
      <c r="B100" s="143" t="str">
        <f>F!B91</f>
        <v>Ice Cover</v>
      </c>
      <c r="C100" s="3" t="str">
        <f>F!C91</f>
        <v>Ice (not just snow) covers nearly all of the AA's water surface for more than 4 continuous weeks during most years, potentially altering the air-water exchange.  If true, enter "1" in next column.  If untrue, enter "0".</v>
      </c>
      <c r="D100" s="282">
        <f>F!D91</f>
        <v>0</v>
      </c>
      <c r="E100" s="407">
        <v>1</v>
      </c>
      <c r="F100" s="401">
        <f>D100*E100</f>
        <v>0</v>
      </c>
      <c r="G100" s="424">
        <f>IF((AllSat+AllSat1&gt;0),"", 1-D100)</f>
        <v>1</v>
      </c>
      <c r="H100" s="143" t="s">
        <v>5325</v>
      </c>
      <c r="I100" s="3" t="s">
        <v>766</v>
      </c>
    </row>
    <row r="101" spans="1:9" ht="21" customHeight="1" thickBot="1" x14ac:dyDescent="0.25">
      <c r="A101" s="1868" t="str">
        <f>F!A114</f>
        <v>F27</v>
      </c>
      <c r="B101" s="1709" t="str">
        <f>F!B114</f>
        <v>Throughflow Complexity</v>
      </c>
      <c r="C101" s="231" t="str">
        <f>F!C114</f>
        <v xml:space="preserve">During its travel through the AA at the time of peak annual flow, most of the flowing water [select ONE]: </v>
      </c>
      <c r="D101" s="392"/>
      <c r="E101" s="392"/>
      <c r="F101" s="393"/>
      <c r="G101" s="600" t="str">
        <f>IF((AllSat+AllSat1&gt;0),"", IF((Inflows=0),"",MAX(F102:F106)/MAX(E102:E106)))</f>
        <v/>
      </c>
      <c r="H101" s="1709" t="s">
        <v>5326</v>
      </c>
      <c r="I101" s="3" t="s">
        <v>775</v>
      </c>
    </row>
    <row r="102" spans="1:9" ht="42" customHeight="1" x14ac:dyDescent="0.2">
      <c r="A102" s="1869"/>
      <c r="B102" s="1710"/>
      <c r="C102" s="21" t="str">
        <f>F!C115</f>
        <v>Does not bump into plant stems.  Nearly all the water travels in unvegetated (often incised) channels that have little contact with wetland vegetation, or through a zone of open water such as an instream pond or lake.</v>
      </c>
      <c r="D102" s="280">
        <f>F!D115</f>
        <v>0</v>
      </c>
      <c r="E102" s="388">
        <v>0</v>
      </c>
      <c r="F102" s="388">
        <f>D102*E102</f>
        <v>0</v>
      </c>
      <c r="G102" s="708"/>
      <c r="H102" s="1710"/>
    </row>
    <row r="103" spans="1:9" ht="27.6" customHeight="1" x14ac:dyDescent="0.2">
      <c r="A103" s="1869"/>
      <c r="B103" s="1710"/>
      <c r="C103" s="6" t="str">
        <f>F!C116</f>
        <v>bumps into herbaceous vegetation and follows a fairly straight path from entrance to exit (branched channels few or none, meandering slight or none).</v>
      </c>
      <c r="D103" s="46">
        <f>F!D116</f>
        <v>0</v>
      </c>
      <c r="E103" s="388">
        <v>1</v>
      </c>
      <c r="F103" s="388">
        <f>D103*E103</f>
        <v>0</v>
      </c>
      <c r="G103" s="709"/>
      <c r="H103" s="1710"/>
    </row>
    <row r="104" spans="1:9" ht="27.6" customHeight="1" x14ac:dyDescent="0.2">
      <c r="A104" s="1869"/>
      <c r="B104" s="1710"/>
      <c r="C104" s="6" t="str">
        <f>F!C117</f>
        <v>bumps into herbaceous vegetation and follows a fairly indirect path from entrance to exit (meandering, multi-branched, or braided).</v>
      </c>
      <c r="D104" s="46">
        <f>F!D117</f>
        <v>0</v>
      </c>
      <c r="E104" s="388">
        <v>2</v>
      </c>
      <c r="F104" s="388">
        <f>D104*E104</f>
        <v>0</v>
      </c>
      <c r="G104" s="709"/>
      <c r="H104" s="1710"/>
    </row>
    <row r="105" spans="1:9" ht="27.6" customHeight="1" x14ac:dyDescent="0.2">
      <c r="A105" s="1869"/>
      <c r="B105" s="1710"/>
      <c r="C105" s="6" t="str">
        <f>F!C118</f>
        <v>bumps into tree trunks and/or shrub stems and follows a fairly straight path from entrance to exit (branched channels few or none, meandering slight or none).</v>
      </c>
      <c r="D105" s="46">
        <f>F!D118</f>
        <v>0</v>
      </c>
      <c r="E105" s="388">
        <v>3</v>
      </c>
      <c r="F105" s="388">
        <f>D105*E105</f>
        <v>0</v>
      </c>
      <c r="G105" s="709"/>
      <c r="H105" s="1710"/>
    </row>
    <row r="106" spans="1:9" ht="27.6" customHeight="1" thickBot="1" x14ac:dyDescent="0.25">
      <c r="A106" s="1870"/>
      <c r="B106" s="1711"/>
      <c r="C106" s="214" t="str">
        <f>F!C119</f>
        <v>bumps into tree trunks and/or shrub stems and follows a fairly indirect path from entrance to exit (meandering, multi-branched, or braided).</v>
      </c>
      <c r="D106" s="213">
        <f>F!D119</f>
        <v>0</v>
      </c>
      <c r="E106" s="389">
        <v>4</v>
      </c>
      <c r="F106" s="389">
        <f>D106*E106</f>
        <v>0</v>
      </c>
      <c r="G106" s="710"/>
      <c r="H106" s="1711"/>
    </row>
    <row r="107" spans="1:9" ht="30" customHeight="1" thickBot="1" x14ac:dyDescent="0.25">
      <c r="A107" s="1845" t="str">
        <f>F!A120</f>
        <v>F28</v>
      </c>
      <c r="B107" s="1710" t="str">
        <f>F!B120</f>
        <v>Outflow Duration</v>
      </c>
      <c r="C107" s="385" t="str">
        <f>F!C120</f>
        <v>The most persistent surface water connection (outlet channel or pipe, ditch, or overbank water exchange) between the AA and the closest off-site downslope water body is:</v>
      </c>
      <c r="D107" s="392"/>
      <c r="E107" s="387"/>
      <c r="F107" s="390"/>
      <c r="G107" s="601">
        <f>MAX(F108:F112)/MAX(E108:E112)</f>
        <v>0</v>
      </c>
      <c r="H107" s="1688" t="s">
        <v>5327</v>
      </c>
      <c r="I107" s="3" t="s">
        <v>773</v>
      </c>
    </row>
    <row r="108" spans="1:9" ht="27" customHeight="1" x14ac:dyDescent="0.2">
      <c r="A108" s="1845"/>
      <c r="B108" s="1710"/>
      <c r="C108" s="21" t="str">
        <f>F!C121</f>
        <v>persistent (&gt;9 months/year); almost always shown on stream maps, or determine from your dry-season observation.</v>
      </c>
      <c r="D108" s="280">
        <f>F!D121</f>
        <v>0</v>
      </c>
      <c r="E108" s="388">
        <v>1</v>
      </c>
      <c r="F108" s="388">
        <f>D108*E108</f>
        <v>0</v>
      </c>
      <c r="G108" s="708"/>
      <c r="H108" s="1688"/>
    </row>
    <row r="109" spans="1:9" ht="15" customHeight="1" x14ac:dyDescent="0.2">
      <c r="A109" s="1845"/>
      <c r="B109" s="1710"/>
      <c r="C109" s="6" t="str">
        <f>F!C122</f>
        <v>seasonal (14 days to 9 months/year, not necessarily consecutive); sometimes shown on stream maps.</v>
      </c>
      <c r="D109" s="46">
        <f>F!D122</f>
        <v>0</v>
      </c>
      <c r="E109" s="388">
        <v>2</v>
      </c>
      <c r="F109" s="388">
        <f>D109*E109</f>
        <v>0</v>
      </c>
      <c r="G109" s="709"/>
      <c r="H109" s="1688"/>
    </row>
    <row r="110" spans="1:9" ht="15" customHeight="1" x14ac:dyDescent="0.2">
      <c r="A110" s="1845"/>
      <c r="B110" s="1710"/>
      <c r="C110" s="6" t="str">
        <f>F!C123</f>
        <v>temporary (&lt;14 days, not necessarily consecutive); seldom shown on stream maps.</v>
      </c>
      <c r="D110" s="46">
        <f>F!D123</f>
        <v>0</v>
      </c>
      <c r="E110" s="388">
        <v>3</v>
      </c>
      <c r="F110" s="388">
        <f>D110*E110</f>
        <v>0</v>
      </c>
      <c r="G110" s="709"/>
      <c r="H110" s="1688"/>
    </row>
    <row r="111" spans="1:9" ht="27" customHeight="1" x14ac:dyDescent="0.2">
      <c r="A111" s="1845"/>
      <c r="B111" s="1710"/>
      <c r="C111" s="6" t="str">
        <f>F!C124</f>
        <v xml:space="preserve">none -- but maps show a stream or other water body that is downslope from the AA and within a distance that is less than the AA's path length (see definition, OF35).  If so, mark "1" here and SKIP TO F30. </v>
      </c>
      <c r="D111" s="46">
        <f>F!D124</f>
        <v>0</v>
      </c>
      <c r="E111" s="404">
        <v>6</v>
      </c>
      <c r="F111" s="388">
        <f>D111*E111</f>
        <v>0</v>
      </c>
      <c r="G111" s="718"/>
      <c r="H111" s="1688"/>
    </row>
    <row r="112" spans="1:9" ht="42" customHeight="1" thickBot="1" x14ac:dyDescent="0.25">
      <c r="A112" s="1845"/>
      <c r="B112" s="1710"/>
      <c r="C112" s="470" t="str">
        <f>F!C125</f>
        <v xml:space="preserve">no surface water flows out of the wetland except possibly during extreme events (less than once per 10 years). Or, water flows only into a wetland, ditch, or lake that lacks an outlet.  If so, mark "1" here and SKIP TO F30. </v>
      </c>
      <c r="D112" s="20">
        <f>F!D125</f>
        <v>0</v>
      </c>
      <c r="E112" s="583">
        <v>6</v>
      </c>
      <c r="F112" s="391">
        <f>D112*E112</f>
        <v>0</v>
      </c>
      <c r="G112" s="718"/>
      <c r="H112" s="1688"/>
    </row>
    <row r="113" spans="1:9" ht="30" customHeight="1" thickBot="1" x14ac:dyDescent="0.25">
      <c r="A113" s="1868" t="str">
        <f>F!A126</f>
        <v>F29</v>
      </c>
      <c r="B113" s="1687" t="str">
        <f>F!B126</f>
        <v>Outflow Confinement</v>
      </c>
      <c r="C113" s="231" t="str">
        <f>F!C126</f>
        <v>During major runoff events, in the places where surface water in a channel exits the AA or connected waters nearby, it:</v>
      </c>
      <c r="D113" s="392"/>
      <c r="E113" s="392"/>
      <c r="F113" s="393"/>
      <c r="G113" s="600">
        <f>IF((OutNone+OutNone1&gt;0),"",MAX(F114:F116)/MAX(E114:E116))</f>
        <v>0</v>
      </c>
      <c r="H113" s="1709" t="s">
        <v>5328</v>
      </c>
      <c r="I113" s="3" t="s">
        <v>774</v>
      </c>
    </row>
    <row r="114" spans="1:9" ht="42" customHeight="1" x14ac:dyDescent="0.2">
      <c r="A114" s="1869"/>
      <c r="B114" s="1688"/>
      <c r="C114" s="21" t="str">
        <f>F!C127</f>
        <v>mostly passes through a pipe, culvert, narrowly breached dike, berm, beaver dam, or other partial obstruction (other than natural topography) that does not appear to drain the wetland artificially during most of the growing season.</v>
      </c>
      <c r="D114" s="280">
        <f>F!D127</f>
        <v>0</v>
      </c>
      <c r="E114" s="388">
        <v>2</v>
      </c>
      <c r="F114" s="388">
        <f>D114*E114</f>
        <v>0</v>
      </c>
      <c r="G114" s="708"/>
      <c r="H114" s="1710"/>
    </row>
    <row r="115" spans="1:9" ht="15" customHeight="1" x14ac:dyDescent="0.2">
      <c r="A115" s="1869"/>
      <c r="B115" s="1688"/>
      <c r="C115" s="6" t="str">
        <f>F!C128</f>
        <v>leaves through natural exits, not mainly through artificial or temporary features.</v>
      </c>
      <c r="D115" s="46">
        <f>F!D128</f>
        <v>0</v>
      </c>
      <c r="E115" s="388">
        <v>1</v>
      </c>
      <c r="F115" s="388">
        <f>D115*E115</f>
        <v>0</v>
      </c>
      <c r="G115" s="720"/>
      <c r="H115" s="1710"/>
    </row>
    <row r="116" spans="1:9" ht="27.6" customHeight="1" thickBot="1" x14ac:dyDescent="0.25">
      <c r="A116" s="1870"/>
      <c r="B116" s="1689"/>
      <c r="C116" s="214" t="str">
        <f>F!C129</f>
        <v>exported more quickly than usual due to ditches or pipes within the AA (or connected to its outlet or within 10 m of the AA's edge) which drain the wetland artificially, or water is pumped out of the AA.</v>
      </c>
      <c r="D116" s="213">
        <f>F!D129</f>
        <v>0</v>
      </c>
      <c r="E116" s="389">
        <v>0</v>
      </c>
      <c r="F116" s="389">
        <f>D116*E116</f>
        <v>0</v>
      </c>
      <c r="G116" s="710"/>
      <c r="H116" s="1711"/>
    </row>
    <row r="117" spans="1:9" ht="21" customHeight="1" thickBot="1" x14ac:dyDescent="0.25">
      <c r="A117" s="1868" t="str">
        <f>F!A130</f>
        <v>F30</v>
      </c>
      <c r="B117" s="1687" t="str">
        <f>F!B130</f>
        <v>Groundwater: Strength of Evidence</v>
      </c>
      <c r="C117" s="231" t="str">
        <f>F!C130</f>
        <v>Select first applicable choice.  In the AA:</v>
      </c>
      <c r="D117" s="392"/>
      <c r="E117" s="392"/>
      <c r="F117" s="393"/>
      <c r="G117" s="600">
        <f>MAX(F118:F120)/MAX(E118:E120)</f>
        <v>0</v>
      </c>
      <c r="H117" s="1709" t="s">
        <v>1119</v>
      </c>
      <c r="I117" s="3" t="s">
        <v>772</v>
      </c>
    </row>
    <row r="118" spans="1:9" ht="72" customHeight="1" x14ac:dyDescent="0.2">
      <c r="A118" s="1869"/>
      <c r="B118" s="1688"/>
      <c r="C118"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18" s="380">
        <f>F!D131</f>
        <v>0</v>
      </c>
      <c r="E118" s="388">
        <v>3</v>
      </c>
      <c r="F118" s="388">
        <f>D118*E118</f>
        <v>0</v>
      </c>
      <c r="G118" s="708"/>
      <c r="H118" s="1710"/>
    </row>
    <row r="119" spans="1:9" ht="99" customHeight="1" x14ac:dyDescent="0.2">
      <c r="A119" s="1869"/>
      <c r="B119" s="1688"/>
      <c r="C119" s="470"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19" s="20">
        <f>F!D132</f>
        <v>0</v>
      </c>
      <c r="E119" s="388">
        <v>2</v>
      </c>
      <c r="F119" s="388">
        <f>D119*E119</f>
        <v>0</v>
      </c>
      <c r="G119" s="709"/>
      <c r="H119" s="1710"/>
    </row>
    <row r="120" spans="1:9" ht="27.6" customHeight="1" thickBot="1" x14ac:dyDescent="0.25">
      <c r="A120" s="1870"/>
      <c r="B120" s="1689"/>
      <c r="C120" s="214" t="str">
        <f>F!C133</f>
        <v>Neither of above is true, although some groundwater may discharge to or flow through the AA, or groundwater influx is unknown.</v>
      </c>
      <c r="D120" s="213">
        <f>F!D133</f>
        <v>0</v>
      </c>
      <c r="E120" s="389">
        <v>0</v>
      </c>
      <c r="F120" s="389">
        <f>D120*E120</f>
        <v>0</v>
      </c>
      <c r="G120" s="710"/>
      <c r="H120" s="1711"/>
    </row>
    <row r="121" spans="1:9" ht="30" customHeight="1" thickBot="1" x14ac:dyDescent="0.25">
      <c r="A121" s="1845" t="str">
        <f>F!A134</f>
        <v>F31</v>
      </c>
      <c r="B121" s="1688" t="str">
        <f>F!B134</f>
        <v>Woody Cover Extent</v>
      </c>
      <c r="C121" s="385" t="str">
        <f>F!C134</f>
        <v>Within the entire vegetated part of the AA, the percentage occupied by woody plants taller than 3 feet (shrubs, trees) is:</v>
      </c>
      <c r="D121" s="387"/>
      <c r="E121" s="387"/>
      <c r="F121" s="390"/>
      <c r="G121" s="601">
        <f>MAX(F122:F126)/MAX(E122:E126)</f>
        <v>0</v>
      </c>
      <c r="H121" s="1873" t="s">
        <v>1146</v>
      </c>
      <c r="I121" s="3" t="s">
        <v>770</v>
      </c>
    </row>
    <row r="122" spans="1:9" ht="15" customHeight="1" x14ac:dyDescent="0.2">
      <c r="A122" s="1845"/>
      <c r="B122" s="1688"/>
      <c r="C122" s="19" t="str">
        <f>F!C135</f>
        <v>&lt;5% of the vegetated AA, or there is no woody vegetation in the AA.  SKIP to F41.</v>
      </c>
      <c r="D122" s="380">
        <f>F!D135</f>
        <v>0</v>
      </c>
      <c r="E122" s="388">
        <v>3</v>
      </c>
      <c r="F122" s="391">
        <f>D122*E122</f>
        <v>0</v>
      </c>
      <c r="G122" s="708"/>
      <c r="H122" s="1702"/>
    </row>
    <row r="123" spans="1:9" ht="15" customHeight="1" x14ac:dyDescent="0.2">
      <c r="A123" s="1845"/>
      <c r="B123" s="1688"/>
      <c r="C123" s="470" t="str">
        <f>F!C136</f>
        <v xml:space="preserve">5-25%.  </v>
      </c>
      <c r="D123" s="20">
        <f>F!D136</f>
        <v>0</v>
      </c>
      <c r="E123" s="388">
        <v>4</v>
      </c>
      <c r="F123" s="391">
        <f>D123*E123</f>
        <v>0</v>
      </c>
      <c r="G123" s="709"/>
      <c r="H123" s="1702"/>
    </row>
    <row r="124" spans="1:9" ht="15" customHeight="1" x14ac:dyDescent="0.2">
      <c r="A124" s="1845"/>
      <c r="B124" s="1688"/>
      <c r="C124" s="470" t="str">
        <f>F!C137</f>
        <v>25-50%</v>
      </c>
      <c r="D124" s="20">
        <f>F!D137</f>
        <v>0</v>
      </c>
      <c r="E124" s="388">
        <v>2</v>
      </c>
      <c r="F124" s="391">
        <f>D124*E124</f>
        <v>0</v>
      </c>
      <c r="G124" s="709"/>
      <c r="H124" s="1702"/>
    </row>
    <row r="125" spans="1:9" ht="15" customHeight="1" x14ac:dyDescent="0.2">
      <c r="A125" s="1845"/>
      <c r="B125" s="1688"/>
      <c r="C125" s="470" t="str">
        <f>F!C138</f>
        <v>50-75%</v>
      </c>
      <c r="D125" s="20">
        <f>F!D138</f>
        <v>0</v>
      </c>
      <c r="E125" s="388">
        <v>1</v>
      </c>
      <c r="F125" s="391">
        <f>D125*E125</f>
        <v>0</v>
      </c>
      <c r="G125" s="709"/>
      <c r="H125" s="1702"/>
    </row>
    <row r="126" spans="1:9" ht="15.6" customHeight="1" thickBot="1" x14ac:dyDescent="0.25">
      <c r="A126" s="1845"/>
      <c r="B126" s="1688"/>
      <c r="C126" s="470" t="str">
        <f>F!C139</f>
        <v>&gt;75%</v>
      </c>
      <c r="D126" s="20">
        <f>F!D139</f>
        <v>0</v>
      </c>
      <c r="E126" s="391">
        <v>0</v>
      </c>
      <c r="F126" s="391">
        <f>D126*E126</f>
        <v>0</v>
      </c>
      <c r="G126" s="718"/>
      <c r="H126" s="1703"/>
    </row>
    <row r="127" spans="1:9" ht="60" customHeight="1" thickBot="1" x14ac:dyDescent="0.25">
      <c r="A127" s="1954" t="str">
        <f>F!A200</f>
        <v>F43</v>
      </c>
      <c r="B127" s="1709" t="str">
        <f>F!B200</f>
        <v>Bare Ground &amp; Accumulated Plant Litter</v>
      </c>
      <c r="C127" s="231" t="str">
        <f>F!C200</f>
        <v>As viewed from above at mid-summer, the extent of bare ground (unvegetated mineral or organic soil or rock) within the AA, excluding parts not visible because under water, snow, or dense thatch) is:</v>
      </c>
      <c r="D127" s="392"/>
      <c r="E127" s="392"/>
      <c r="F127" s="393"/>
      <c r="G127" s="600">
        <f>MAX(F128:F131)/MAX(E128:E131)</f>
        <v>0</v>
      </c>
      <c r="H127" s="1687" t="s">
        <v>1147</v>
      </c>
      <c r="I127" s="3" t="s">
        <v>776</v>
      </c>
    </row>
    <row r="128" spans="1:9" ht="42" customHeight="1" x14ac:dyDescent="0.2">
      <c r="A128" s="1955"/>
      <c r="B128" s="1710"/>
      <c r="C128" s="21" t="str">
        <f>F!C201</f>
        <v xml:space="preserve">little or no (&lt;5%) bare ground is visible between erect stems or under canopy and ground surface is extensively blanketed by moss, lichens, graminoids with great stem densities, or plants with ground-hugging foliage.  </v>
      </c>
      <c r="D128" s="280">
        <f>F!D201</f>
        <v>0</v>
      </c>
      <c r="E128" s="388">
        <v>3</v>
      </c>
      <c r="F128" s="388">
        <f>D128*E128</f>
        <v>0</v>
      </c>
      <c r="G128" s="708"/>
      <c r="H128" s="1688"/>
    </row>
    <row r="129" spans="1:9" ht="27" customHeight="1" x14ac:dyDescent="0.2">
      <c r="A129" s="1955"/>
      <c r="B129" s="1710"/>
      <c r="C129" s="6" t="str">
        <f>F!C202</f>
        <v>Slightly bare ground (5-20% bare between plants) is visible in places, but those areas comprise less than 5% of the unflooded parts of the AA.</v>
      </c>
      <c r="D129" s="46">
        <f>F!D202</f>
        <v>0</v>
      </c>
      <c r="E129" s="388">
        <v>2</v>
      </c>
      <c r="F129" s="388">
        <f>D129*E129</f>
        <v>0</v>
      </c>
      <c r="G129" s="709"/>
      <c r="H129" s="1688"/>
    </row>
    <row r="130" spans="1:9" ht="27" customHeight="1" x14ac:dyDescent="0.2">
      <c r="A130" s="1955"/>
      <c r="B130" s="1710"/>
      <c r="C130" s="6" t="str">
        <f>F!C203</f>
        <v>Much bare ground (20-50% bare between plants) is visible in places, and those areas comprise more than 5% of the unflooded parts of the AA. </v>
      </c>
      <c r="D130" s="46">
        <f>F!D203</f>
        <v>0</v>
      </c>
      <c r="E130" s="388">
        <v>1</v>
      </c>
      <c r="F130" s="388">
        <f>D130*E130</f>
        <v>0</v>
      </c>
      <c r="G130" s="709"/>
      <c r="H130" s="1688"/>
    </row>
    <row r="131" spans="1:9" ht="15" customHeight="1" thickBot="1" x14ac:dyDescent="0.25">
      <c r="A131" s="1956"/>
      <c r="B131" s="1711"/>
      <c r="C131" s="214" t="str">
        <f>F!C204</f>
        <v>mostly (&gt;50%) bare ground or ground covered only with thatch.</v>
      </c>
      <c r="D131" s="213">
        <f>F!D204</f>
        <v>0</v>
      </c>
      <c r="E131" s="389">
        <v>0</v>
      </c>
      <c r="F131" s="389">
        <f>D131*E131</f>
        <v>0</v>
      </c>
      <c r="G131" s="710"/>
      <c r="H131" s="1689"/>
    </row>
    <row r="132" spans="1:9" ht="45" customHeight="1" thickBot="1" x14ac:dyDescent="0.25">
      <c r="A132" s="1954" t="str">
        <f>F!A206</f>
        <v>F44</v>
      </c>
      <c r="B132" s="1709" t="str">
        <f>F!B206</f>
        <v>Ground Irregularity</v>
      </c>
      <c r="C132" s="231"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32" s="392"/>
      <c r="E132" s="392"/>
      <c r="F132" s="393"/>
      <c r="G132" s="600">
        <f>MAX(F133:F135)/MAX(E133:E135)</f>
        <v>0</v>
      </c>
      <c r="H132" s="1709" t="s">
        <v>1148</v>
      </c>
      <c r="I132" s="3" t="s">
        <v>777</v>
      </c>
    </row>
    <row r="133" spans="1:9" ht="15" customHeight="1" x14ac:dyDescent="0.2">
      <c r="A133" s="1955"/>
      <c r="B133" s="1710"/>
      <c r="C133" s="21" t="str">
        <f>F!C207</f>
        <v xml:space="preserve">Few or none (minimal microtopography; &lt;1% of that area) </v>
      </c>
      <c r="D133" s="280">
        <f>F!D207</f>
        <v>0</v>
      </c>
      <c r="E133" s="388">
        <v>0</v>
      </c>
      <c r="F133" s="388">
        <f>D133*E133</f>
        <v>0</v>
      </c>
      <c r="G133" s="708"/>
      <c r="H133" s="1710"/>
    </row>
    <row r="134" spans="1:9" ht="15" customHeight="1" x14ac:dyDescent="0.2">
      <c r="A134" s="1955"/>
      <c r="B134" s="1710"/>
      <c r="C134" s="6" t="str">
        <f>F!C208</f>
        <v>Intermediate</v>
      </c>
      <c r="D134" s="46">
        <f>F!D208</f>
        <v>0</v>
      </c>
      <c r="E134" s="388">
        <v>2</v>
      </c>
      <c r="F134" s="388">
        <f>D134*E134</f>
        <v>0</v>
      </c>
      <c r="G134" s="709"/>
      <c r="H134" s="1710"/>
    </row>
    <row r="135" spans="1:9" ht="15" customHeight="1" thickBot="1" x14ac:dyDescent="0.25">
      <c r="A135" s="1956"/>
      <c r="B135" s="1711"/>
      <c r="C135" s="214" t="str">
        <f>F!C209</f>
        <v>Several (extensive micro-topography)</v>
      </c>
      <c r="D135" s="213">
        <f>F!D209</f>
        <v>0</v>
      </c>
      <c r="E135" s="389">
        <v>3</v>
      </c>
      <c r="F135" s="389">
        <f>D135*E135</f>
        <v>0</v>
      </c>
      <c r="G135" s="710"/>
      <c r="H135" s="1711"/>
    </row>
    <row r="136" spans="1:9" ht="21" customHeight="1" thickBot="1" x14ac:dyDescent="0.25">
      <c r="A136" s="1954" t="str">
        <f>F!A210</f>
        <v>F45</v>
      </c>
      <c r="B136" s="1709" t="str">
        <f>F!B210</f>
        <v>Upland Inclusions</v>
      </c>
      <c r="C136" s="385" t="str">
        <f>F!C210</f>
        <v>Within the AA, inclusions of upland that individually are &gt;100 sq. ft. are:</v>
      </c>
      <c r="D136" s="392"/>
      <c r="E136" s="387"/>
      <c r="F136" s="390"/>
      <c r="G136" s="601">
        <f>IF((D137=1),"", MAX(F137:F139)/MAX(E137:E139))</f>
        <v>0</v>
      </c>
      <c r="H136" s="1709" t="s">
        <v>1149</v>
      </c>
      <c r="I136" s="3" t="s">
        <v>778</v>
      </c>
    </row>
    <row r="137" spans="1:9" ht="15" customHeight="1" x14ac:dyDescent="0.2">
      <c r="A137" s="1955"/>
      <c r="B137" s="1710"/>
      <c r="C137" s="21" t="str">
        <f>F!C211</f>
        <v>Few or none</v>
      </c>
      <c r="D137" s="280">
        <f>F!D211</f>
        <v>0</v>
      </c>
      <c r="E137" s="388">
        <v>0</v>
      </c>
      <c r="F137" s="388">
        <f>D137*E137</f>
        <v>0</v>
      </c>
      <c r="G137" s="708"/>
      <c r="H137" s="1710"/>
    </row>
    <row r="138" spans="1:9" ht="15" customHeight="1" x14ac:dyDescent="0.2">
      <c r="A138" s="1955"/>
      <c r="B138" s="1710"/>
      <c r="C138" s="6" t="str">
        <f>F!C212</f>
        <v>Intermediate (1 - 10% of vegetated part of the AA).</v>
      </c>
      <c r="D138" s="46">
        <f>F!D212</f>
        <v>0</v>
      </c>
      <c r="E138" s="388">
        <v>1</v>
      </c>
      <c r="F138" s="388">
        <f>D138*E138</f>
        <v>0</v>
      </c>
      <c r="G138" s="720"/>
      <c r="H138" s="1710"/>
    </row>
    <row r="139" spans="1:9" ht="15.6" customHeight="1" thickBot="1" x14ac:dyDescent="0.25">
      <c r="A139" s="1956"/>
      <c r="B139" s="1711"/>
      <c r="C139" s="470" t="str">
        <f>F!C213</f>
        <v>Many (e.g., wetland-upland "mosaic", &gt;10% of the vegetated AA).</v>
      </c>
      <c r="D139" s="20">
        <f>F!D213</f>
        <v>0</v>
      </c>
      <c r="E139" s="388">
        <v>2</v>
      </c>
      <c r="F139" s="388">
        <f>D139*E139</f>
        <v>0</v>
      </c>
      <c r="G139" s="718"/>
      <c r="H139" s="1711"/>
    </row>
    <row r="140" spans="1:9" ht="60" customHeight="1" thickBot="1" x14ac:dyDescent="0.25">
      <c r="A140" s="1952" t="str">
        <f>F!A214</f>
        <v>F46</v>
      </c>
      <c r="B140" s="1710" t="str">
        <f>F!B214</f>
        <v>Soil Texture</v>
      </c>
      <c r="C140" s="231"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40" s="392"/>
      <c r="E140" s="388"/>
      <c r="F140" s="413"/>
      <c r="G140" s="600">
        <f>MAX(F141:F146)/MAX(E141:E146)</f>
        <v>0</v>
      </c>
      <c r="H140" s="1710" t="s">
        <v>1137</v>
      </c>
      <c r="I140" s="3" t="s">
        <v>779</v>
      </c>
    </row>
    <row r="141" spans="1:9" ht="15" customHeight="1" x14ac:dyDescent="0.2">
      <c r="A141" s="1952"/>
      <c r="B141" s="1710"/>
      <c r="C141" s="21" t="str">
        <f>F!C215</f>
        <v>Loamy: includes loam, sandy loam</v>
      </c>
      <c r="D141" s="280">
        <f>F!D215</f>
        <v>0</v>
      </c>
      <c r="E141" s="388">
        <v>1</v>
      </c>
      <c r="F141" s="388">
        <f t="shared" ref="F141:F146" si="5">D141*E141</f>
        <v>0</v>
      </c>
      <c r="G141" s="708"/>
      <c r="H141" s="1710"/>
    </row>
    <row r="142" spans="1:9" ht="15" customHeight="1" x14ac:dyDescent="0.2">
      <c r="A142" s="1952"/>
      <c r="B142" s="1710"/>
      <c r="C142" s="6" t="str">
        <f>F!C216</f>
        <v>Fines: includes silt, glacial flour, clay, clay loam, silty clay, silty clay loam, sandy clay, sandy clay loam.</v>
      </c>
      <c r="D142" s="46">
        <f>F!D216</f>
        <v>0</v>
      </c>
      <c r="E142" s="388">
        <v>2</v>
      </c>
      <c r="F142" s="388">
        <f t="shared" si="5"/>
        <v>0</v>
      </c>
      <c r="G142" s="709"/>
      <c r="H142" s="1710"/>
    </row>
    <row r="143" spans="1:9" ht="15" customHeight="1" x14ac:dyDescent="0.2">
      <c r="A143" s="1952"/>
      <c r="B143" s="1710"/>
      <c r="C143" s="6" t="str">
        <f>F!C217</f>
        <v>Organic, from surface to within 4 inches of surface only.  Exclude live roots unless from moss.</v>
      </c>
      <c r="D143" s="46">
        <f>F!D217</f>
        <v>0</v>
      </c>
      <c r="E143" s="388">
        <v>3</v>
      </c>
      <c r="F143" s="388">
        <f t="shared" si="5"/>
        <v>0</v>
      </c>
      <c r="G143" s="709"/>
      <c r="H143" s="1710"/>
    </row>
    <row r="144" spans="1:9" ht="15" customHeight="1" x14ac:dyDescent="0.2">
      <c r="A144" s="1952"/>
      <c r="B144" s="1710"/>
      <c r="C144" s="6" t="str">
        <f>F!C218</f>
        <v>Organic, from surface to within 16 inches of surface only. Exclude live roots unless from moss.</v>
      </c>
      <c r="D144" s="46">
        <f>F!D218</f>
        <v>0</v>
      </c>
      <c r="E144" s="388">
        <v>3</v>
      </c>
      <c r="F144" s="388">
        <f t="shared" si="5"/>
        <v>0</v>
      </c>
      <c r="G144" s="718"/>
      <c r="H144" s="1710"/>
    </row>
    <row r="145" spans="1:9" ht="15" customHeight="1" x14ac:dyDescent="0.2">
      <c r="A145" s="1952"/>
      <c r="B145" s="1710"/>
      <c r="C145" s="6" t="str">
        <f>F!C219</f>
        <v>Organic, from surface to greater than 16 inch depth. Exclude live roots unless from moss.</v>
      </c>
      <c r="D145" s="46">
        <f>F!D219</f>
        <v>0</v>
      </c>
      <c r="E145" s="388">
        <v>3</v>
      </c>
      <c r="F145" s="388">
        <f t="shared" si="5"/>
        <v>0</v>
      </c>
      <c r="G145" s="718"/>
      <c r="H145" s="1710"/>
    </row>
    <row r="146" spans="1:9" ht="15.6" customHeight="1" thickBot="1" x14ac:dyDescent="0.25">
      <c r="A146" s="1952"/>
      <c r="B146" s="1710"/>
      <c r="C146" s="470" t="str">
        <f>F!C220</f>
        <v>Coarse: includes sand, loamy sand, gravel, cobble, stones, boulders, fluvents, fluvaquents, riverwash.</v>
      </c>
      <c r="D146" s="20">
        <f>F!D220</f>
        <v>0</v>
      </c>
      <c r="E146" s="391">
        <v>0</v>
      </c>
      <c r="F146" s="391">
        <f t="shared" si="5"/>
        <v>0</v>
      </c>
      <c r="G146" s="718"/>
      <c r="H146" s="1710"/>
    </row>
    <row r="147" spans="1:9" ht="45" customHeight="1" thickBot="1" x14ac:dyDescent="0.25">
      <c r="A147" s="1963" t="str">
        <f>F!A279</f>
        <v>F59</v>
      </c>
      <c r="B147" s="1966" t="str">
        <f>F!B279</f>
        <v>New Wetland</v>
      </c>
      <c r="C147" s="703" t="str">
        <f>F!C279</f>
        <v>The AA is (or is within, or contains) a "new" wetland resulting from human actions (e.g., excavation, impoundment) or debris or lava flows, sea level rise, or other factors affecting what once was upland (non-hydric) soil.</v>
      </c>
      <c r="D147" s="392"/>
      <c r="E147" s="717"/>
      <c r="F147" s="721"/>
      <c r="G147" s="600">
        <f>IF((D153=1),"",MAX(F148:F152)/MAX(E148:E152))</f>
        <v>0</v>
      </c>
      <c r="H147" s="1709" t="s">
        <v>1122</v>
      </c>
      <c r="I147" s="3" t="s">
        <v>783</v>
      </c>
    </row>
    <row r="148" spans="1:9" ht="15" customHeight="1" x14ac:dyDescent="0.2">
      <c r="A148" s="1964"/>
      <c r="B148" s="1967"/>
      <c r="C148" s="704" t="str">
        <f>F!C280</f>
        <v>No</v>
      </c>
      <c r="D148" s="307">
        <f>F!D280</f>
        <v>0</v>
      </c>
      <c r="E148" s="391">
        <v>5</v>
      </c>
      <c r="F148" s="388">
        <f>D148*E148</f>
        <v>0</v>
      </c>
      <c r="G148" s="720"/>
      <c r="H148" s="1710"/>
    </row>
    <row r="149" spans="1:9" ht="15" customHeight="1" x14ac:dyDescent="0.2">
      <c r="A149" s="1964"/>
      <c r="B149" s="1967"/>
      <c r="C149" s="705" t="str">
        <f>F!C281</f>
        <v xml:space="preserve">yes, and most recently created, deglaciated, or uplifted 20 - 100 years ago </v>
      </c>
      <c r="D149" s="308">
        <f>F!D281</f>
        <v>0</v>
      </c>
      <c r="E149" s="391">
        <v>2</v>
      </c>
      <c r="F149" s="388">
        <f>D149*E149</f>
        <v>0</v>
      </c>
      <c r="G149" s="718"/>
      <c r="H149" s="1710"/>
    </row>
    <row r="150" spans="1:9" ht="15" customHeight="1" x14ac:dyDescent="0.2">
      <c r="A150" s="1964"/>
      <c r="B150" s="1967"/>
      <c r="C150" s="705" t="str">
        <f>F!C282</f>
        <v>yes, and most recently created, deglaciated, or uplifted 3-20 years ago</v>
      </c>
      <c r="D150" s="308">
        <f>F!D282</f>
        <v>0</v>
      </c>
      <c r="E150" s="391">
        <v>1</v>
      </c>
      <c r="F150" s="388">
        <f>D150*E150</f>
        <v>0</v>
      </c>
      <c r="G150" s="718"/>
      <c r="H150" s="1710"/>
    </row>
    <row r="151" spans="1:9" ht="15" customHeight="1" x14ac:dyDescent="0.2">
      <c r="A151" s="1964"/>
      <c r="B151" s="1967"/>
      <c r="C151" s="705" t="str">
        <f>F!C283</f>
        <v>yes, and most recently created, deglaciated, or uplifted within last 3 years</v>
      </c>
      <c r="D151" s="308">
        <f>F!D283</f>
        <v>0</v>
      </c>
      <c r="E151" s="391">
        <v>0</v>
      </c>
      <c r="F151" s="388">
        <f>D151*E151</f>
        <v>0</v>
      </c>
      <c r="G151" s="718"/>
      <c r="H151" s="1710"/>
    </row>
    <row r="152" spans="1:9" ht="15" customHeight="1" x14ac:dyDescent="0.2">
      <c r="A152" s="1964"/>
      <c r="B152" s="1967"/>
      <c r="C152" s="705" t="str">
        <f>F!C284</f>
        <v>yes, but time of origin unknown</v>
      </c>
      <c r="D152" s="308">
        <f>F!D284</f>
        <v>0</v>
      </c>
      <c r="E152" s="391">
        <v>1</v>
      </c>
      <c r="F152" s="388">
        <f>D152*E152</f>
        <v>0</v>
      </c>
      <c r="G152" s="718"/>
      <c r="H152" s="1710"/>
    </row>
    <row r="153" spans="1:9" ht="15.6" customHeight="1" thickBot="1" x14ac:dyDescent="0.25">
      <c r="A153" s="1965"/>
      <c r="B153" s="1968"/>
      <c r="C153" s="706" t="str">
        <f>F!C285</f>
        <v>unknown if new within 20 years or not</v>
      </c>
      <c r="D153" s="309">
        <f>F!D285</f>
        <v>0</v>
      </c>
      <c r="E153" s="389"/>
      <c r="F153" s="389"/>
      <c r="G153" s="710"/>
      <c r="H153" s="1711"/>
    </row>
    <row r="154" spans="1:9" ht="60" customHeight="1" thickBot="1" x14ac:dyDescent="0.25">
      <c r="A154" s="541" t="str">
        <f>S!A124</f>
        <v>S9</v>
      </c>
      <c r="B154" s="5" t="str">
        <f>S!B124</f>
        <v>Soil or Sediment Alteration Within the Assessment Area</v>
      </c>
      <c r="C154" s="205" t="str">
        <f>S!E141</f>
        <v>Final Score=</v>
      </c>
      <c r="D154" s="1276">
        <f>S!F141</f>
        <v>0</v>
      </c>
      <c r="E154" s="411"/>
      <c r="F154" s="400"/>
      <c r="G154" s="600" t="str">
        <f>IF((D154=0),"",1-D154)</f>
        <v/>
      </c>
      <c r="H154" s="5" t="s">
        <v>1123</v>
      </c>
      <c r="I154" s="3" t="s">
        <v>786</v>
      </c>
    </row>
    <row r="155" spans="1:9" s="39" customFormat="1" ht="30" customHeight="1" thickBot="1" x14ac:dyDescent="0.25">
      <c r="A155" s="483" t="s">
        <v>290</v>
      </c>
      <c r="B155" s="488" t="s">
        <v>2614</v>
      </c>
      <c r="C155" s="475" t="s">
        <v>2606</v>
      </c>
      <c r="D155" s="474" t="s">
        <v>117</v>
      </c>
      <c r="E155" s="626" t="s">
        <v>5438</v>
      </c>
      <c r="F155" s="627" t="s">
        <v>5439</v>
      </c>
      <c r="G155" s="628" t="s">
        <v>5825</v>
      </c>
      <c r="H155" s="488" t="s">
        <v>919</v>
      </c>
    </row>
    <row r="156" spans="1:9" ht="30" customHeight="1" thickBot="1" x14ac:dyDescent="0.25">
      <c r="A156" s="1960" t="str">
        <f>OF!A4</f>
        <v>OF1</v>
      </c>
      <c r="B156" s="1703" t="str">
        <f>OF!B4</f>
        <v>Distance by Road to Nearest Population Center</v>
      </c>
      <c r="C156" s="231" t="str">
        <f>OF!C4</f>
        <v>Measured along the maintained road or boat landing that is nearest the AA, the distance to the nearest population center is:</v>
      </c>
      <c r="D156" s="392"/>
      <c r="E156" s="388"/>
      <c r="F156" s="388"/>
      <c r="G156" s="580">
        <f>MAX(F157:F161)/MAX(E157:E161)</f>
        <v>0</v>
      </c>
      <c r="H156" s="1687" t="s">
        <v>1127</v>
      </c>
      <c r="I156" s="3" t="s">
        <v>791</v>
      </c>
    </row>
    <row r="157" spans="1:9" ht="15" customHeight="1" x14ac:dyDescent="0.2">
      <c r="A157" s="1845"/>
      <c r="B157" s="1688"/>
      <c r="C157" s="21" t="str">
        <f>OF!C5</f>
        <v>&lt;0.5 mile</v>
      </c>
      <c r="D157" s="280">
        <f>OF!D5</f>
        <v>0</v>
      </c>
      <c r="E157" s="387">
        <v>5</v>
      </c>
      <c r="F157" s="388">
        <f t="shared" ref="F157:F166" si="6">D157*E157</f>
        <v>0</v>
      </c>
      <c r="G157" s="708"/>
      <c r="H157" s="1688"/>
    </row>
    <row r="158" spans="1:9" ht="15" customHeight="1" x14ac:dyDescent="0.2">
      <c r="A158" s="1845"/>
      <c r="B158" s="1688"/>
      <c r="C158" s="6" t="str">
        <f>OF!C6</f>
        <v>0.5 - 2 miles</v>
      </c>
      <c r="D158" s="46">
        <f>OF!D6</f>
        <v>0</v>
      </c>
      <c r="E158" s="387">
        <v>3</v>
      </c>
      <c r="F158" s="388">
        <f t="shared" si="6"/>
        <v>0</v>
      </c>
      <c r="G158" s="708"/>
      <c r="H158" s="1688"/>
    </row>
    <row r="159" spans="1:9" ht="15" customHeight="1" x14ac:dyDescent="0.2">
      <c r="A159" s="1845"/>
      <c r="B159" s="1688"/>
      <c r="C159" s="6" t="str">
        <f>OF!C7</f>
        <v>2-5 miles</v>
      </c>
      <c r="D159" s="46">
        <f>OF!D7</f>
        <v>0</v>
      </c>
      <c r="E159" s="387">
        <v>2</v>
      </c>
      <c r="F159" s="388">
        <f t="shared" si="6"/>
        <v>0</v>
      </c>
      <c r="G159" s="708"/>
      <c r="H159" s="1688"/>
    </row>
    <row r="160" spans="1:9" ht="15" customHeight="1" x14ac:dyDescent="0.2">
      <c r="A160" s="1845"/>
      <c r="B160" s="1688"/>
      <c r="C160" s="6" t="str">
        <f>OF!C8</f>
        <v>5-10 miles</v>
      </c>
      <c r="D160" s="46">
        <f>OF!D8</f>
        <v>0</v>
      </c>
      <c r="E160" s="387">
        <v>1</v>
      </c>
      <c r="F160" s="388">
        <f t="shared" si="6"/>
        <v>0</v>
      </c>
      <c r="G160" s="708"/>
      <c r="H160" s="1688"/>
    </row>
    <row r="161" spans="1:9" ht="15.6" customHeight="1" thickBot="1" x14ac:dyDescent="0.25">
      <c r="A161" s="1845"/>
      <c r="B161" s="1688"/>
      <c r="C161" s="470" t="str">
        <f>OF!C9</f>
        <v>&gt;10 miles</v>
      </c>
      <c r="D161" s="20">
        <f>OF!D9</f>
        <v>0</v>
      </c>
      <c r="E161" s="391">
        <v>0</v>
      </c>
      <c r="F161" s="391">
        <f t="shared" si="6"/>
        <v>0</v>
      </c>
      <c r="G161" s="718"/>
      <c r="H161" s="1688"/>
    </row>
    <row r="162" spans="1:9" ht="30" customHeight="1" thickBot="1" x14ac:dyDescent="0.25">
      <c r="A162" s="1868" t="str">
        <f>OF!A97</f>
        <v>OF17</v>
      </c>
      <c r="B162" s="1687" t="str">
        <f>OF!B97</f>
        <v>Fish Access or Use</v>
      </c>
      <c r="C162" s="231" t="str">
        <f>OF!C97</f>
        <v>Refer to the map in the online WESPAK-SE Wetlands Module: Habitat Layers &gt; Anadromous Waters Catalog, and preferably verify by contacting a local ADFG biologist.  Mark just the first choice that is true.  The AA:</v>
      </c>
      <c r="D162" s="392"/>
      <c r="E162" s="392"/>
      <c r="F162" s="393"/>
      <c r="G162" s="580">
        <f>MAX(F163:F166)/MAX(E163:E166)</f>
        <v>0</v>
      </c>
      <c r="H162" s="1687" t="s">
        <v>1128</v>
      </c>
      <c r="I162" s="3" t="s">
        <v>792</v>
      </c>
    </row>
    <row r="163" spans="1:9" ht="15" customHeight="1" x14ac:dyDescent="0.2">
      <c r="A163" s="1869"/>
      <c r="B163" s="1688"/>
      <c r="C163" s="21" t="str">
        <f>OF!C98</f>
        <v>a) is known to support anadromous fish feeding and/or spawning (some ADFG Class 1 streams).</v>
      </c>
      <c r="D163" s="280">
        <f>OF!D98</f>
        <v>0</v>
      </c>
      <c r="E163" s="387">
        <v>3</v>
      </c>
      <c r="F163" s="413">
        <f t="shared" si="6"/>
        <v>0</v>
      </c>
      <c r="G163" s="708"/>
      <c r="H163" s="1688"/>
    </row>
    <row r="164" spans="1:9" ht="27" customHeight="1" x14ac:dyDescent="0.2">
      <c r="A164" s="1869"/>
      <c r="B164" s="1688"/>
      <c r="C164" s="6" t="str">
        <f>OF!C99</f>
        <v>b) is probably accessible to anadromous and other fish (at least seasonally, at least for feeding, partially or entirely), but anadromous fish have not been documented (some Class 1 streams).</v>
      </c>
      <c r="D164" s="46">
        <f>OF!D99</f>
        <v>0</v>
      </c>
      <c r="E164" s="387">
        <v>1</v>
      </c>
      <c r="F164" s="388">
        <f t="shared" si="6"/>
        <v>0</v>
      </c>
      <c r="G164" s="708"/>
      <c r="H164" s="1688"/>
    </row>
    <row r="165" spans="1:9" ht="27" customHeight="1" x14ac:dyDescent="0.2">
      <c r="A165" s="1869"/>
      <c r="B165" s="1688"/>
      <c r="C165" s="6" t="str">
        <f>OF!C100</f>
        <v>c) is not accessible to anadromous fish, but other resident fish are known (or can be assumed) present (Class 2).</v>
      </c>
      <c r="D165" s="46">
        <f>OF!D100</f>
        <v>0</v>
      </c>
      <c r="E165" s="387">
        <v>0</v>
      </c>
      <c r="F165" s="388">
        <f t="shared" si="6"/>
        <v>0</v>
      </c>
      <c r="G165" s="709"/>
      <c r="H165" s="1688"/>
    </row>
    <row r="166" spans="1:9" ht="27" customHeight="1" x14ac:dyDescent="0.2">
      <c r="A166" s="1869"/>
      <c r="B166" s="1688"/>
      <c r="C166" s="6" t="str">
        <f>OF!C101</f>
        <v>d) is fishless (i.e., not accessible to anadromous fish and is known or can be assumed to have no resident fish).  (Class 3, 4)</v>
      </c>
      <c r="D166" s="46">
        <f>OF!D101</f>
        <v>0</v>
      </c>
      <c r="E166" s="387">
        <v>0</v>
      </c>
      <c r="F166" s="388">
        <f t="shared" si="6"/>
        <v>0</v>
      </c>
      <c r="G166" s="709"/>
      <c r="H166" s="1688"/>
    </row>
    <row r="167" spans="1:9" ht="15.6" customHeight="1" thickBot="1" x14ac:dyDescent="0.25">
      <c r="A167" s="1870"/>
      <c r="B167" s="1689"/>
      <c r="C167" s="214" t="str">
        <f>OF!C102</f>
        <v>e) fish presence and potential fish access are unknown and undeterminable.</v>
      </c>
      <c r="D167" s="213">
        <f>OF!D102</f>
        <v>0</v>
      </c>
      <c r="E167" s="402"/>
      <c r="F167" s="722"/>
      <c r="G167" s="710"/>
      <c r="H167" s="1689"/>
    </row>
    <row r="168" spans="1:9" ht="30" customHeight="1" thickBot="1" x14ac:dyDescent="0.25">
      <c r="A168" s="1868" t="str">
        <f>OF!A137</f>
        <v>OF27</v>
      </c>
      <c r="B168" s="1709" t="str">
        <f>OF!B137</f>
        <v xml:space="preserve">Drinking Water Source </v>
      </c>
      <c r="C168" s="231" t="str">
        <f>OF!C137</f>
        <v>Refer to the Drinking Water Protection Areas layer of the online WESPAK-SE Wetlands Module. Mark all that are true for the AA:</v>
      </c>
      <c r="D168" s="392"/>
      <c r="E168" s="392"/>
      <c r="F168" s="393"/>
      <c r="G168" s="580">
        <f>(MAX(F169:F177))/MAX(E169:E177)</f>
        <v>0</v>
      </c>
      <c r="H168" s="1709" t="s">
        <v>1133</v>
      </c>
      <c r="I168" s="3" t="s">
        <v>797</v>
      </c>
    </row>
    <row r="169" spans="1:9" ht="15" customHeight="1" x14ac:dyDescent="0.2">
      <c r="A169" s="1869"/>
      <c r="B169" s="1710"/>
      <c r="C169" s="21" t="str">
        <f>OF!C138</f>
        <v>Zone A Ground Water</v>
      </c>
      <c r="D169" s="280">
        <f>OF!D138</f>
        <v>0</v>
      </c>
      <c r="E169" s="388">
        <v>5</v>
      </c>
      <c r="F169" s="388">
        <f>D169*E169</f>
        <v>0</v>
      </c>
      <c r="G169" s="708"/>
      <c r="H169" s="1710"/>
    </row>
    <row r="170" spans="1:9" ht="15" customHeight="1" x14ac:dyDescent="0.2">
      <c r="A170" s="1869"/>
      <c r="B170" s="1710"/>
      <c r="C170" s="6" t="str">
        <f>OF!C139</f>
        <v>Zone B Ground Water</v>
      </c>
      <c r="D170" s="46">
        <f>OF!D139</f>
        <v>0</v>
      </c>
      <c r="E170" s="388">
        <v>4</v>
      </c>
      <c r="F170" s="388">
        <f>D170*E170</f>
        <v>0</v>
      </c>
      <c r="G170" s="709"/>
      <c r="H170" s="1710"/>
    </row>
    <row r="171" spans="1:9" ht="15" customHeight="1" x14ac:dyDescent="0.2">
      <c r="A171" s="1869"/>
      <c r="B171" s="1710"/>
      <c r="C171" s="6" t="str">
        <f>OF!C140</f>
        <v>Zone A Surface Water</v>
      </c>
      <c r="D171" s="46">
        <f>OF!D140</f>
        <v>0</v>
      </c>
      <c r="E171" s="388">
        <v>8</v>
      </c>
      <c r="F171" s="388">
        <f>D171*E171</f>
        <v>0</v>
      </c>
      <c r="G171" s="709"/>
      <c r="H171" s="1710"/>
    </row>
    <row r="172" spans="1:9" ht="15" customHeight="1" x14ac:dyDescent="0.2">
      <c r="A172" s="1869"/>
      <c r="B172" s="1710"/>
      <c r="C172" s="6" t="str">
        <f>OF!C141</f>
        <v>Zone B Surface Water</v>
      </c>
      <c r="D172" s="46">
        <f>OF!D141</f>
        <v>0</v>
      </c>
      <c r="E172" s="388">
        <v>7</v>
      </c>
      <c r="F172" s="388">
        <f t="shared" ref="F172:F177" si="7">D172*E172</f>
        <v>0</v>
      </c>
      <c r="G172" s="709"/>
      <c r="H172" s="1710"/>
    </row>
    <row r="173" spans="1:9" ht="15" customHeight="1" x14ac:dyDescent="0.2">
      <c r="A173" s="1869"/>
      <c r="B173" s="1710"/>
      <c r="C173" s="6" t="str">
        <f>OF!C142</f>
        <v>Zone C Surface Water</v>
      </c>
      <c r="D173" s="46">
        <f>OF!D142</f>
        <v>0</v>
      </c>
      <c r="E173" s="388">
        <v>6</v>
      </c>
      <c r="F173" s="388">
        <f t="shared" si="7"/>
        <v>0</v>
      </c>
      <c r="G173" s="709"/>
      <c r="H173" s="1710"/>
    </row>
    <row r="174" spans="1:9" ht="15" customHeight="1" x14ac:dyDescent="0.2">
      <c r="A174" s="1869"/>
      <c r="B174" s="1710"/>
      <c r="C174" s="6" t="str">
        <f>OF!C143</f>
        <v>Zone E Ground Water Surface Water Influence</v>
      </c>
      <c r="D174" s="46">
        <f>OF!D143</f>
        <v>0</v>
      </c>
      <c r="E174" s="388">
        <v>3</v>
      </c>
      <c r="F174" s="388">
        <f t="shared" si="7"/>
        <v>0</v>
      </c>
      <c r="G174" s="709"/>
      <c r="H174" s="1710"/>
    </row>
    <row r="175" spans="1:9" ht="15" customHeight="1" x14ac:dyDescent="0.2">
      <c r="A175" s="1869"/>
      <c r="B175" s="1710"/>
      <c r="C175" s="6" t="str">
        <f>OF!C144</f>
        <v>Zone F Ground Water Surface Water Influence</v>
      </c>
      <c r="D175" s="46">
        <f>OF!D144</f>
        <v>0</v>
      </c>
      <c r="E175" s="388">
        <v>2</v>
      </c>
      <c r="F175" s="388">
        <f t="shared" si="7"/>
        <v>0</v>
      </c>
      <c r="G175" s="709"/>
      <c r="H175" s="1710"/>
    </row>
    <row r="176" spans="1:9" ht="15" customHeight="1" x14ac:dyDescent="0.2">
      <c r="A176" s="1869"/>
      <c r="B176" s="1710"/>
      <c r="C176" s="6" t="str">
        <f>OF!C145</f>
        <v>Zone G Ground Water Surface Water Influence</v>
      </c>
      <c r="D176" s="46">
        <f>OF!D145</f>
        <v>0</v>
      </c>
      <c r="E176" s="388">
        <v>1</v>
      </c>
      <c r="F176" s="388">
        <f t="shared" si="7"/>
        <v>0</v>
      </c>
      <c r="G176" s="709"/>
      <c r="H176" s="1710"/>
    </row>
    <row r="177" spans="1:9" ht="15.6" customHeight="1" thickBot="1" x14ac:dyDescent="0.25">
      <c r="A177" s="1870"/>
      <c r="B177" s="1711"/>
      <c r="C177" s="214" t="str">
        <f>OF!C146</f>
        <v>None of above</v>
      </c>
      <c r="D177" s="213">
        <f>OF!D146</f>
        <v>0</v>
      </c>
      <c r="E177" s="389">
        <v>0</v>
      </c>
      <c r="F177" s="389">
        <f t="shared" si="7"/>
        <v>0</v>
      </c>
      <c r="G177" s="710"/>
      <c r="H177" s="1711"/>
    </row>
    <row r="178" spans="1:9" ht="75" customHeight="1" thickBot="1" x14ac:dyDescent="0.25">
      <c r="A178" s="1868" t="str">
        <f>OF!A147</f>
        <v>OF28</v>
      </c>
      <c r="B178" s="1709" t="str">
        <f>OF!B147</f>
        <v>Elevation in Multi-scale Watersheds</v>
      </c>
      <c r="C178" s="231"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78" s="392"/>
      <c r="E178" s="392"/>
      <c r="F178" s="393"/>
      <c r="G178" s="580" t="str">
        <f>IF((D179=0),"",(D179*3 + D180*2 + D181)/18)</f>
        <v/>
      </c>
      <c r="H178" s="1709" t="s">
        <v>1129</v>
      </c>
      <c r="I178" s="3" t="s">
        <v>793</v>
      </c>
    </row>
    <row r="179" spans="1:9" ht="27" customHeight="1" x14ac:dyDescent="0.2">
      <c r="A179" s="1869"/>
      <c r="B179" s="1710"/>
      <c r="C179" s="21" t="str">
        <f>OF!C148</f>
        <v>In its HUC8 (the watershed with a 12-digit code), the AA's elevation puts it in (enter one of the following): 3= upper one-third, 2= middle one-third, 1= lower one-third, 0= no data.</v>
      </c>
      <c r="D179" s="280">
        <f>OF!D148</f>
        <v>0</v>
      </c>
      <c r="E179" s="653">
        <f>4-D179</f>
        <v>4</v>
      </c>
      <c r="F179" s="388"/>
      <c r="G179" s="708"/>
      <c r="H179" s="1710"/>
    </row>
    <row r="180" spans="1:9" ht="42" customHeight="1" x14ac:dyDescent="0.2">
      <c r="A180" s="1869"/>
      <c r="B180" s="1710"/>
      <c r="C180" s="6" t="str">
        <f>OF!C149</f>
        <v>In its HUC7 (the 10-digit* watershed), the AA's elevation puts it in (enter one of the following): 3= upper one-third, 2= middle one-third, 1= lower one-third, 0= no data.  [The 10-digit HUC is obtained by deleting the last 2 digits of the 12-digit HUC code]</v>
      </c>
      <c r="D180" s="46">
        <f>OF!D149</f>
        <v>0</v>
      </c>
      <c r="E180" s="653">
        <f>4-D180</f>
        <v>4</v>
      </c>
      <c r="F180" s="388"/>
      <c r="G180" s="709"/>
      <c r="H180" s="1710"/>
    </row>
    <row r="181" spans="1:9" ht="42.6" customHeight="1" thickBot="1" x14ac:dyDescent="0.25">
      <c r="A181" s="1870"/>
      <c r="B181" s="1711"/>
      <c r="C181" s="214" t="str">
        <f>OF!C150</f>
        <v>In its HUC6 (the 8-digit* watershed) the AA's elevation puts it in (enter one of the following): 3= upper one-third, 2= middle one-third, 1= lower one-third, 0= no data.  [The 8-digit HUC is obtained by deleting the last 4 digits of the 12-digit HUC code]</v>
      </c>
      <c r="D181" s="213">
        <f>OF!D150</f>
        <v>0</v>
      </c>
      <c r="E181" s="654">
        <f>4-D181</f>
        <v>4</v>
      </c>
      <c r="F181" s="389"/>
      <c r="G181" s="710"/>
      <c r="H181" s="1711"/>
    </row>
    <row r="182" spans="1:9" ht="30" customHeight="1" thickBot="1" x14ac:dyDescent="0.25">
      <c r="A182" s="1868" t="str">
        <f>OF!A152</f>
        <v>OF30</v>
      </c>
      <c r="B182" s="1709" t="str">
        <f>OF!B152</f>
        <v>Contributing Area (CA) Percent</v>
      </c>
      <c r="C182" s="231" t="str">
        <f>OF!C152</f>
        <v>On a topographic map, draw the approximate bounds of this AA's contributing area  (see Manual).  Relative to the extent of this contributing area (CA), the AA comprises:</v>
      </c>
      <c r="D182" s="403"/>
      <c r="E182" s="387"/>
      <c r="F182" s="390"/>
      <c r="G182" s="606">
        <f>MAX(F183:F186)/MAX(E183:E186)</f>
        <v>0</v>
      </c>
      <c r="H182" s="1710" t="s">
        <v>1130</v>
      </c>
      <c r="I182" s="3" t="s">
        <v>794</v>
      </c>
    </row>
    <row r="183" spans="1:9" ht="27" customHeight="1" x14ac:dyDescent="0.2">
      <c r="A183" s="1869"/>
      <c r="B183" s="1710"/>
      <c r="C183" s="732" t="str">
        <f>OF!C153</f>
        <v>&lt;1% of its CA  (including but not limited to most wetlands flooded annually by a major river, many in karst landscapes, and most that have multiple tributaries).</v>
      </c>
      <c r="D183" s="310">
        <f>OF!D153</f>
        <v>0</v>
      </c>
      <c r="E183" s="388">
        <v>3</v>
      </c>
      <c r="F183" s="388">
        <f>D183*E183</f>
        <v>0</v>
      </c>
      <c r="G183" s="708"/>
      <c r="H183" s="1710"/>
    </row>
    <row r="184" spans="1:9" ht="15" customHeight="1" x14ac:dyDescent="0.2">
      <c r="A184" s="1869"/>
      <c r="B184" s="1710"/>
      <c r="C184" s="733" t="str">
        <f>OF!C154</f>
        <v>1 to 10% of its CA</v>
      </c>
      <c r="D184" s="311">
        <f>OF!D154</f>
        <v>0</v>
      </c>
      <c r="E184" s="388">
        <v>2</v>
      </c>
      <c r="F184" s="388">
        <f>D184*E184</f>
        <v>0</v>
      </c>
      <c r="G184" s="709"/>
      <c r="H184" s="1710"/>
    </row>
    <row r="185" spans="1:9" ht="15" customHeight="1" x14ac:dyDescent="0.2">
      <c r="A185" s="1869"/>
      <c r="B185" s="1710"/>
      <c r="C185" s="733" t="str">
        <f>OF!C155</f>
        <v>10 to 100%  of its CA</v>
      </c>
      <c r="D185" s="311">
        <f>OF!D155</f>
        <v>0</v>
      </c>
      <c r="E185" s="388">
        <v>1</v>
      </c>
      <c r="F185" s="388">
        <f>D185*E185</f>
        <v>0</v>
      </c>
      <c r="G185" s="709"/>
      <c r="H185" s="1710"/>
    </row>
    <row r="186" spans="1:9" ht="27.6" customHeight="1" thickBot="1" x14ac:dyDescent="0.25">
      <c r="A186" s="1870"/>
      <c r="B186" s="1711"/>
      <c r="C186" s="734" t="str">
        <f>OF!C156</f>
        <v>Wetland has essentially no CA, e.g., isolated by dikes with no input channels, or is in terrain so flat that a CA can't be delineated. SKIP TO OF34.</v>
      </c>
      <c r="D186" s="731">
        <f>OF!D156</f>
        <v>0</v>
      </c>
      <c r="E186" s="388">
        <v>0</v>
      </c>
      <c r="F186" s="388">
        <f>D186*E186</f>
        <v>0</v>
      </c>
      <c r="G186" s="718"/>
      <c r="H186" s="1953"/>
    </row>
    <row r="187" spans="1:9" ht="45" customHeight="1" thickBot="1" x14ac:dyDescent="0.25">
      <c r="A187" s="1845" t="str">
        <f>OF!A157</f>
        <v>OF31</v>
      </c>
      <c r="B187" s="1710" t="str">
        <f>OF!B157</f>
        <v>Unvegetated Surface in the Contributing Area</v>
      </c>
      <c r="C187" s="385" t="str">
        <f>OF!C157</f>
        <v>The proportion of the AA's contributing area (measured to no more than 1000 ft upslope) that is comprised of buildings, roads, parking lots, other pavement, exposed bedrock, debris flows, and other mostly-bare (but unfrozen) surface is about :</v>
      </c>
      <c r="D187" s="392"/>
      <c r="E187" s="388"/>
      <c r="F187" s="413"/>
      <c r="G187" s="580">
        <f>IF((NoCA=1),"", MAX(F188:F190)/MAX(E188:E190))</f>
        <v>0</v>
      </c>
      <c r="H187" s="1959" t="s">
        <v>1131</v>
      </c>
      <c r="I187" s="3" t="s">
        <v>795</v>
      </c>
    </row>
    <row r="188" spans="1:9" ht="15" customHeight="1" x14ac:dyDescent="0.2">
      <c r="A188" s="1845"/>
      <c r="B188" s="1710"/>
      <c r="C188" s="21" t="str">
        <f>OF!C158</f>
        <v>&lt;10%</v>
      </c>
      <c r="D188" s="280">
        <f>OF!D158</f>
        <v>0</v>
      </c>
      <c r="E188" s="388">
        <v>0</v>
      </c>
      <c r="F188" s="388">
        <f>D188*E188</f>
        <v>0</v>
      </c>
      <c r="G188" s="708"/>
      <c r="H188" s="1710"/>
    </row>
    <row r="189" spans="1:9" ht="15" customHeight="1" x14ac:dyDescent="0.2">
      <c r="A189" s="1845"/>
      <c r="B189" s="1710"/>
      <c r="C189" s="6" t="str">
        <f>OF!C159</f>
        <v>10 to 25%</v>
      </c>
      <c r="D189" s="46">
        <f>OF!D159</f>
        <v>0</v>
      </c>
      <c r="E189" s="388">
        <v>1</v>
      </c>
      <c r="F189" s="388">
        <f>D189*E189</f>
        <v>0</v>
      </c>
      <c r="G189" s="709"/>
      <c r="H189" s="1710"/>
    </row>
    <row r="190" spans="1:9" ht="15.6" customHeight="1" thickBot="1" x14ac:dyDescent="0.25">
      <c r="A190" s="1845"/>
      <c r="B190" s="1710"/>
      <c r="C190" s="470" t="str">
        <f>OF!C160</f>
        <v>&gt;25%</v>
      </c>
      <c r="D190" s="20">
        <f>OF!D160</f>
        <v>0</v>
      </c>
      <c r="E190" s="391">
        <v>2</v>
      </c>
      <c r="F190" s="391">
        <f>D190*E190</f>
        <v>0</v>
      </c>
      <c r="G190" s="718"/>
      <c r="H190" s="1710"/>
    </row>
    <row r="191" spans="1:9" ht="126" customHeight="1" thickBot="1" x14ac:dyDescent="0.25">
      <c r="A191" s="1868" t="str">
        <f>OF!A161</f>
        <v>OF32</v>
      </c>
      <c r="B191" s="1709" t="str">
        <f>OF!B161</f>
        <v>Transport From Upslope</v>
      </c>
      <c r="C191" s="231" t="str">
        <f>OF!C161</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This statement is:</v>
      </c>
      <c r="D191" s="392"/>
      <c r="E191" s="392"/>
      <c r="F191" s="393"/>
      <c r="G191" s="580">
        <f>IF((NoCA=1),"", MAX(F192:F194)/MAX(E192:E194))</f>
        <v>0</v>
      </c>
      <c r="H191" s="1709" t="s">
        <v>1132</v>
      </c>
      <c r="I191" s="3" t="s">
        <v>796</v>
      </c>
    </row>
    <row r="192" spans="1:9" ht="15" customHeight="1" x14ac:dyDescent="0.2">
      <c r="A192" s="1869"/>
      <c r="B192" s="1710"/>
      <c r="C192" s="21" t="str">
        <f>OF!C162</f>
        <v>Mostly true</v>
      </c>
      <c r="D192" s="280">
        <f>OF!D162</f>
        <v>0</v>
      </c>
      <c r="E192" s="388">
        <v>2</v>
      </c>
      <c r="F192" s="388">
        <f>D192*E192</f>
        <v>0</v>
      </c>
      <c r="G192" s="708"/>
      <c r="H192" s="1710"/>
    </row>
    <row r="193" spans="1:9" ht="15" customHeight="1" x14ac:dyDescent="0.2">
      <c r="A193" s="1869"/>
      <c r="B193" s="1710"/>
      <c r="C193" s="6" t="str">
        <f>OF!C163</f>
        <v>Somewhat true</v>
      </c>
      <c r="D193" s="46">
        <f>OF!D163</f>
        <v>0</v>
      </c>
      <c r="E193" s="388">
        <v>1</v>
      </c>
      <c r="F193" s="388">
        <f>D193*E193</f>
        <v>0</v>
      </c>
      <c r="G193" s="709"/>
      <c r="H193" s="1710"/>
    </row>
    <row r="194" spans="1:9" ht="15.6" customHeight="1" thickBot="1" x14ac:dyDescent="0.25">
      <c r="A194" s="1870"/>
      <c r="B194" s="1711"/>
      <c r="C194" s="214" t="str">
        <f>OF!C164</f>
        <v>Mostly untrue</v>
      </c>
      <c r="D194" s="213">
        <f>OF!D164</f>
        <v>0</v>
      </c>
      <c r="E194" s="389">
        <v>0</v>
      </c>
      <c r="F194" s="389">
        <f>D194*E194</f>
        <v>0</v>
      </c>
      <c r="G194" s="710"/>
      <c r="H194" s="1711"/>
    </row>
    <row r="195" spans="1:9" ht="54.75" customHeight="1" thickBot="1" x14ac:dyDescent="0.25">
      <c r="A195" s="585" t="str">
        <f>F!A107</f>
        <v>F24</v>
      </c>
      <c r="B195" s="263" t="str">
        <f>F!B107</f>
        <v>Inflow</v>
      </c>
      <c r="C195" s="707" t="str">
        <f>F!C107</f>
        <v>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SKIP to F28.</v>
      </c>
      <c r="D195" s="269">
        <f>F!D107</f>
        <v>0</v>
      </c>
      <c r="E195" s="408"/>
      <c r="F195" s="411"/>
      <c r="G195" s="606">
        <f>D195</f>
        <v>0</v>
      </c>
      <c r="H195" s="5" t="s">
        <v>1096</v>
      </c>
      <c r="I195" s="3" t="s">
        <v>787</v>
      </c>
    </row>
    <row r="196" spans="1:9" ht="30" customHeight="1" thickBot="1" x14ac:dyDescent="0.25">
      <c r="A196" s="1845" t="str">
        <f>F!A188</f>
        <v>F41</v>
      </c>
      <c r="B196" s="1688" t="str">
        <f>F!B188</f>
        <v>N Fixers</v>
      </c>
      <c r="C196" s="385" t="str">
        <f>F!C188</f>
        <v>The percent of the AA's vegetated cover that is nitrogen-fixing  plants -- e.g., alder, sweet clover (Meliolotus), sweetgale (Myrica gale), buffaloberry, clover, lupine, other legumes -- is:</v>
      </c>
      <c r="D196" s="392"/>
      <c r="E196" s="387"/>
      <c r="F196" s="387"/>
      <c r="G196" s="606">
        <f>MAX(F197:F201)/MAX(E197:E201)</f>
        <v>0</v>
      </c>
      <c r="H196" s="1688" t="s">
        <v>1118</v>
      </c>
      <c r="I196" s="3" t="s">
        <v>771</v>
      </c>
    </row>
    <row r="197" spans="1:9" ht="15" customHeight="1" x14ac:dyDescent="0.2">
      <c r="A197" s="1845"/>
      <c r="B197" s="1688"/>
      <c r="C197" s="21" t="str">
        <f>F!C189</f>
        <v>&lt;1% or none</v>
      </c>
      <c r="D197" s="280">
        <f>F!D189</f>
        <v>0</v>
      </c>
      <c r="E197" s="387">
        <v>0</v>
      </c>
      <c r="F197" s="391">
        <f>D197*E197</f>
        <v>0</v>
      </c>
      <c r="G197" s="709"/>
      <c r="H197" s="1688"/>
    </row>
    <row r="198" spans="1:9" ht="15" customHeight="1" x14ac:dyDescent="0.2">
      <c r="A198" s="1845"/>
      <c r="B198" s="1688"/>
      <c r="C198" s="6" t="str">
        <f>F!C190</f>
        <v>1-25% of the shrub plus ground cover, in the AA or along its water edge (whichever has more).</v>
      </c>
      <c r="D198" s="46">
        <f>F!D190</f>
        <v>0</v>
      </c>
      <c r="E198" s="387">
        <v>1</v>
      </c>
      <c r="F198" s="391">
        <f>D198*E198</f>
        <v>0</v>
      </c>
      <c r="G198" s="709"/>
      <c r="H198" s="1688"/>
    </row>
    <row r="199" spans="1:9" ht="15" customHeight="1" x14ac:dyDescent="0.2">
      <c r="A199" s="1845"/>
      <c r="B199" s="1688"/>
      <c r="C199" s="6" t="str">
        <f>F!C191</f>
        <v>25-50% of the shrub plus ground cover, in the AA or along its water edge (whichever has more).</v>
      </c>
      <c r="D199" s="46">
        <f>F!D191</f>
        <v>0</v>
      </c>
      <c r="E199" s="387">
        <v>2</v>
      </c>
      <c r="F199" s="391">
        <f>D199*E199</f>
        <v>0</v>
      </c>
      <c r="G199" s="709"/>
      <c r="H199" s="1688"/>
    </row>
    <row r="200" spans="1:9" ht="15" customHeight="1" x14ac:dyDescent="0.2">
      <c r="A200" s="1845"/>
      <c r="B200" s="1688"/>
      <c r="C200" s="6" t="str">
        <f>F!C192</f>
        <v>50-75% of the shrub plus ground cover, in the AA or along its water edge (whichever has more).</v>
      </c>
      <c r="D200" s="46">
        <f>F!D192</f>
        <v>0</v>
      </c>
      <c r="E200" s="387">
        <v>3</v>
      </c>
      <c r="F200" s="391">
        <f>D200*E200</f>
        <v>0</v>
      </c>
      <c r="G200" s="709"/>
      <c r="H200" s="1688"/>
    </row>
    <row r="201" spans="1:9" ht="15.6" customHeight="1" thickBot="1" x14ac:dyDescent="0.25">
      <c r="A201" s="1845"/>
      <c r="B201" s="1688"/>
      <c r="C201" s="470" t="str">
        <f>F!C193</f>
        <v>&gt;75% of the shrub plus ground cover, in the AA or along its water edge (whichever has more).</v>
      </c>
      <c r="D201" s="20">
        <f>F!D193</f>
        <v>0</v>
      </c>
      <c r="E201" s="407">
        <v>4</v>
      </c>
      <c r="F201" s="391">
        <f>D201*E201</f>
        <v>0</v>
      </c>
      <c r="G201" s="718"/>
      <c r="H201" s="1688"/>
    </row>
    <row r="202" spans="1:9" ht="30" customHeight="1" thickBot="1" x14ac:dyDescent="0.25">
      <c r="A202" s="1954" t="str">
        <f>F!A264</f>
        <v>F55</v>
      </c>
      <c r="B202" s="1709" t="str">
        <f>F!B264</f>
        <v>Natural Cover in Buffer</v>
      </c>
      <c r="C202" s="231" t="str">
        <f>F!C264</f>
        <v>Along the wetland-upland edge and extending 100 ft upslope, the percentage of the upland that contains natural (not necessarily native -- see column E) land cover taller than 6 inches is:</v>
      </c>
      <c r="D202" s="392"/>
      <c r="E202" s="392"/>
      <c r="F202" s="723"/>
      <c r="G202" s="580">
        <f>MAX(F203:F207)/MAX(E203:E207)</f>
        <v>0</v>
      </c>
      <c r="H202" s="1687" t="s">
        <v>1124</v>
      </c>
      <c r="I202" s="3" t="s">
        <v>788</v>
      </c>
    </row>
    <row r="203" spans="1:9" ht="15" customHeight="1" x14ac:dyDescent="0.2">
      <c r="A203" s="1955"/>
      <c r="B203" s="1710"/>
      <c r="C203" s="21" t="str">
        <f>F!C265</f>
        <v xml:space="preserve">&lt;5% </v>
      </c>
      <c r="D203" s="280">
        <f>F!D265</f>
        <v>0</v>
      </c>
      <c r="E203" s="388">
        <v>4</v>
      </c>
      <c r="F203" s="388">
        <f>D203*E203</f>
        <v>0</v>
      </c>
      <c r="G203" s="708"/>
      <c r="H203" s="1688"/>
    </row>
    <row r="204" spans="1:9" ht="15" customHeight="1" x14ac:dyDescent="0.2">
      <c r="A204" s="1955"/>
      <c r="B204" s="1710"/>
      <c r="C204" s="21" t="str">
        <f>F!C266</f>
        <v>5 to 30%</v>
      </c>
      <c r="D204" s="280">
        <f>F!D266</f>
        <v>0</v>
      </c>
      <c r="E204" s="388">
        <v>3</v>
      </c>
      <c r="F204" s="388">
        <f>D204*E204</f>
        <v>0</v>
      </c>
      <c r="G204" s="709"/>
      <c r="H204" s="1688"/>
    </row>
    <row r="205" spans="1:9" ht="15" customHeight="1" x14ac:dyDescent="0.2">
      <c r="A205" s="1955"/>
      <c r="B205" s="1710"/>
      <c r="C205" s="21" t="str">
        <f>F!C267</f>
        <v>30 to 60%</v>
      </c>
      <c r="D205" s="280">
        <f>F!D267</f>
        <v>0</v>
      </c>
      <c r="E205" s="388">
        <v>2</v>
      </c>
      <c r="F205" s="388">
        <f>D205*E205</f>
        <v>0</v>
      </c>
      <c r="G205" s="709"/>
      <c r="H205" s="1688"/>
    </row>
    <row r="206" spans="1:9" ht="15" customHeight="1" x14ac:dyDescent="0.2">
      <c r="A206" s="1955"/>
      <c r="B206" s="1710"/>
      <c r="C206" s="21" t="str">
        <f>F!C268</f>
        <v>60 to 90%</v>
      </c>
      <c r="D206" s="280">
        <f>F!D268</f>
        <v>0</v>
      </c>
      <c r="E206" s="388">
        <v>1</v>
      </c>
      <c r="F206" s="388">
        <f>D206*E206</f>
        <v>0</v>
      </c>
      <c r="G206" s="709"/>
      <c r="H206" s="1688"/>
    </row>
    <row r="207" spans="1:9" ht="15.6" customHeight="1" thickBot="1" x14ac:dyDescent="0.25">
      <c r="A207" s="1956"/>
      <c r="B207" s="1711"/>
      <c r="C207" s="702" t="str">
        <f>F!C269</f>
        <v>&gt;90%.  SKIP to F58.</v>
      </c>
      <c r="D207" s="317">
        <f>F!D269</f>
        <v>0</v>
      </c>
      <c r="E207" s="389">
        <v>0</v>
      </c>
      <c r="F207" s="389">
        <f>D207*E207</f>
        <v>0</v>
      </c>
      <c r="G207" s="710"/>
      <c r="H207" s="1689"/>
    </row>
    <row r="208" spans="1:9" ht="30" customHeight="1" thickBot="1" x14ac:dyDescent="0.25">
      <c r="A208" s="1845" t="str">
        <f>F!A270</f>
        <v>F56</v>
      </c>
      <c r="B208" s="1688" t="str">
        <f>F!B270</f>
        <v>Type of Cover in Buffer</v>
      </c>
      <c r="C208" s="385" t="str">
        <f>F!C270</f>
        <v>Within 100 ft upslope of the wetland-upland edge closest to the AA, the upland land cover that is NOT unmanaged vegetation or water is mostly (mark ONE):</v>
      </c>
      <c r="D208" s="392"/>
      <c r="E208" s="387"/>
      <c r="F208" s="387"/>
      <c r="G208" s="606">
        <f>IF((BuffAllNat=1),"",MAX(F209:F210)/MAX(E209:E210))</f>
        <v>0</v>
      </c>
      <c r="H208" s="1688" t="s">
        <v>2121</v>
      </c>
      <c r="I208" s="3" t="s">
        <v>2120</v>
      </c>
    </row>
    <row r="209" spans="1:9" ht="15" customHeight="1" x14ac:dyDescent="0.2">
      <c r="A209" s="1845"/>
      <c r="B209" s="1688"/>
      <c r="C209" s="21" t="str">
        <f>F!C271</f>
        <v>impervious surface, e.g., paved road, parking lot, building, exposed rock.</v>
      </c>
      <c r="D209" s="280">
        <f>F!D271</f>
        <v>0</v>
      </c>
      <c r="E209" s="388">
        <v>2</v>
      </c>
      <c r="F209" s="391">
        <f>D209*E209</f>
        <v>0</v>
      </c>
      <c r="G209" s="709"/>
      <c r="H209" s="1688"/>
    </row>
    <row r="210" spans="1:9" ht="27.6" customHeight="1" thickBot="1" x14ac:dyDescent="0.25">
      <c r="A210" s="1845"/>
      <c r="B210" s="1688"/>
      <c r="C210" s="19" t="str">
        <f>F!C272</f>
        <v>bare or nearly bare pervious surface or managed vegetation, e.g., lawn, mostly-unvegetated clearcut, landslide, unpaved road, dike.</v>
      </c>
      <c r="D210" s="380">
        <f>F!D272</f>
        <v>0</v>
      </c>
      <c r="E210" s="391">
        <v>1</v>
      </c>
      <c r="F210" s="391">
        <f>D210*E210</f>
        <v>0</v>
      </c>
      <c r="G210" s="718"/>
      <c r="H210" s="1688"/>
    </row>
    <row r="211" spans="1:9" ht="30" customHeight="1" thickBot="1" x14ac:dyDescent="0.25">
      <c r="A211" s="1868" t="str">
        <f>F!A273</f>
        <v>F57</v>
      </c>
      <c r="B211" s="1687" t="str">
        <f>F!B273</f>
        <v>Slope from Disturbed Lands</v>
      </c>
      <c r="C211" s="231" t="str">
        <f>F!C273</f>
        <v>The average percent slope of the land, measured from the AA's wetland-upland edge and extending uphill to the most extensive and/or closest disturbance feature within 100 ft, is:</v>
      </c>
      <c r="D211" s="392"/>
      <c r="E211" s="392"/>
      <c r="F211" s="393"/>
      <c r="G211" s="580">
        <f>IF((BuffAllNat=1),"",MAX(F212:F215)/MAX(E212:E215))</f>
        <v>0</v>
      </c>
      <c r="H211" s="1687" t="s">
        <v>1125</v>
      </c>
      <c r="I211" s="3" t="s">
        <v>789</v>
      </c>
    </row>
    <row r="212" spans="1:9" ht="15" customHeight="1" x14ac:dyDescent="0.2">
      <c r="A212" s="1869"/>
      <c r="B212" s="1688"/>
      <c r="C212" s="21" t="str">
        <f>F!C274</f>
        <v>&lt;1% (flat -- almost no noticeable slope)</v>
      </c>
      <c r="D212" s="280">
        <f>F!D274</f>
        <v>0</v>
      </c>
      <c r="E212" s="388">
        <v>0</v>
      </c>
      <c r="F212" s="388">
        <f>D212*E212</f>
        <v>0</v>
      </c>
      <c r="G212" s="708"/>
      <c r="H212" s="1688"/>
    </row>
    <row r="213" spans="1:9" ht="15" customHeight="1" x14ac:dyDescent="0.2">
      <c r="A213" s="1869"/>
      <c r="B213" s="1688"/>
      <c r="C213" s="6" t="str">
        <f>F!C275</f>
        <v>2-5%</v>
      </c>
      <c r="D213" s="46">
        <f>F!D275</f>
        <v>0</v>
      </c>
      <c r="E213" s="388">
        <v>1</v>
      </c>
      <c r="F213" s="388">
        <f>D213*E213</f>
        <v>0</v>
      </c>
      <c r="G213" s="709"/>
      <c r="H213" s="1688"/>
    </row>
    <row r="214" spans="1:9" ht="15" customHeight="1" x14ac:dyDescent="0.2">
      <c r="A214" s="1869"/>
      <c r="B214" s="1688"/>
      <c r="C214" s="6" t="str">
        <f>F!C276</f>
        <v>5-30%</v>
      </c>
      <c r="D214" s="46">
        <f>F!D276</f>
        <v>0</v>
      </c>
      <c r="E214" s="388">
        <v>2</v>
      </c>
      <c r="F214" s="388">
        <f>D214*E214</f>
        <v>0</v>
      </c>
      <c r="G214" s="709"/>
      <c r="H214" s="1688"/>
    </row>
    <row r="215" spans="1:9" ht="15.6" customHeight="1" thickBot="1" x14ac:dyDescent="0.25">
      <c r="A215" s="1870"/>
      <c r="B215" s="1689"/>
      <c r="C215" s="214" t="str">
        <f>F!C277</f>
        <v>&gt;30%</v>
      </c>
      <c r="D215" s="213">
        <f>F!D277</f>
        <v>0</v>
      </c>
      <c r="E215" s="389">
        <v>3</v>
      </c>
      <c r="F215" s="389">
        <f>D215*E215</f>
        <v>0</v>
      </c>
      <c r="G215" s="710"/>
      <c r="H215" s="1689"/>
    </row>
    <row r="216" spans="1:9" ht="21" customHeight="1" thickBot="1" x14ac:dyDescent="0.25">
      <c r="A216" s="1952" t="str">
        <f>F!A321</f>
        <v>F68</v>
      </c>
      <c r="B216" s="1710" t="str">
        <f>F!B321</f>
        <v>Domestic Wells</v>
      </c>
      <c r="C216" s="385" t="str">
        <f>F!C321</f>
        <v>Wells or water bodies that currently provide drinking water are:</v>
      </c>
      <c r="D216" s="392"/>
      <c r="E216" s="387"/>
      <c r="F216" s="390"/>
      <c r="G216" s="606">
        <f>MAX(F217:F219)/MAX(E217:E219)</f>
        <v>0</v>
      </c>
      <c r="H216" s="1710" t="s">
        <v>1126</v>
      </c>
      <c r="I216" s="3" t="s">
        <v>790</v>
      </c>
    </row>
    <row r="217" spans="1:9" ht="15" customHeight="1" x14ac:dyDescent="0.2">
      <c r="A217" s="1952"/>
      <c r="B217" s="1710"/>
      <c r="C217" s="21" t="str">
        <f>F!C322</f>
        <v xml:space="preserve">Within 500 ft </v>
      </c>
      <c r="D217" s="280">
        <f>F!D322</f>
        <v>0</v>
      </c>
      <c r="E217" s="388">
        <v>2</v>
      </c>
      <c r="F217" s="388">
        <f>D217*E217</f>
        <v>0</v>
      </c>
      <c r="G217" s="708"/>
      <c r="H217" s="1710"/>
    </row>
    <row r="218" spans="1:9" ht="15" customHeight="1" x14ac:dyDescent="0.2">
      <c r="A218" s="1952"/>
      <c r="B218" s="1710"/>
      <c r="C218" s="6" t="str">
        <f>F!C323</f>
        <v xml:space="preserve">500-1000 ft </v>
      </c>
      <c r="D218" s="46">
        <f>F!D323</f>
        <v>0</v>
      </c>
      <c r="E218" s="388">
        <v>1</v>
      </c>
      <c r="F218" s="388">
        <f>D218*E218</f>
        <v>0</v>
      </c>
      <c r="G218" s="709"/>
      <c r="H218" s="1710"/>
    </row>
    <row r="219" spans="1:9" ht="15.6" customHeight="1" thickBot="1" x14ac:dyDescent="0.25">
      <c r="A219" s="1952"/>
      <c r="B219" s="1710"/>
      <c r="C219" s="470" t="str">
        <f>F!C324</f>
        <v>&gt;1000 ft away, or none, or no information</v>
      </c>
      <c r="D219" s="20">
        <f>F!D324</f>
        <v>0</v>
      </c>
      <c r="E219" s="391">
        <v>0</v>
      </c>
      <c r="F219" s="391">
        <f>D219*E219</f>
        <v>0</v>
      </c>
      <c r="G219" s="718"/>
      <c r="H219" s="1710"/>
    </row>
    <row r="220" spans="1:9" s="39" customFormat="1" ht="30" customHeight="1" thickBot="1" x14ac:dyDescent="0.25">
      <c r="A220" s="614" t="str">
        <f>S!A80</f>
        <v>S6</v>
      </c>
      <c r="B220" s="125" t="str">
        <f>S!B93</f>
        <v>Accelerated Inputs of Nutrients</v>
      </c>
      <c r="C220" s="463" t="str">
        <f>S!E92</f>
        <v>Final Score=</v>
      </c>
      <c r="D220" s="657">
        <f>S!F105</f>
        <v>0</v>
      </c>
      <c r="E220" s="647"/>
      <c r="F220" s="655"/>
      <c r="G220" s="631">
        <f>D220</f>
        <v>0</v>
      </c>
      <c r="H220" s="49" t="s">
        <v>1894</v>
      </c>
      <c r="I220" s="3" t="s">
        <v>2003</v>
      </c>
    </row>
    <row r="221" spans="1:9" ht="21" customHeight="1" thickBot="1" x14ac:dyDescent="0.25">
      <c r="A221" s="1889"/>
      <c r="B221" s="1889"/>
      <c r="C221" s="1889"/>
      <c r="D221" s="1889"/>
      <c r="E221" s="1889"/>
      <c r="F221" s="1889"/>
      <c r="G221" s="1889"/>
      <c r="H221" s="1972"/>
    </row>
    <row r="222" spans="1:9" ht="21" customHeight="1" x14ac:dyDescent="0.2">
      <c r="A222" s="1862" t="s">
        <v>1712</v>
      </c>
      <c r="B222" s="1862"/>
      <c r="C222" s="1863"/>
      <c r="D222" s="1977" t="s">
        <v>2004</v>
      </c>
      <c r="E222" s="1978"/>
      <c r="F222" s="1979"/>
      <c r="G222" s="539">
        <f xml:space="preserve"> AVERAGE(AVERAGE(Aspect4,Groundw4,TreeCanop4),AVERAGE(Freeze4, Elev4,Warmth4,TidalProx4, Groundw4))</f>
        <v>0.125</v>
      </c>
      <c r="H222" s="728" t="s">
        <v>2410</v>
      </c>
    </row>
    <row r="223" spans="1:9" ht="30" customHeight="1" x14ac:dyDescent="0.2">
      <c r="A223" s="1862"/>
      <c r="B223" s="1862"/>
      <c r="C223" s="1863"/>
      <c r="D223" s="1980" t="s">
        <v>2005</v>
      </c>
      <c r="E223" s="1981"/>
      <c r="F223" s="1982"/>
      <c r="G223" s="540">
        <f xml:space="preserve"> AVERAGE(PondPct4,VwidthAbs4, FloDist4,Gcover4,ThruFlo4,Interspers4, WetPctCA4)</f>
        <v>0</v>
      </c>
      <c r="H223" s="729" t="s">
        <v>2580</v>
      </c>
    </row>
    <row r="224" spans="1:9" ht="21" customHeight="1" x14ac:dyDescent="0.2">
      <c r="A224" s="1862"/>
      <c r="B224" s="1862"/>
      <c r="C224" s="1863"/>
      <c r="D224" s="1980" t="s">
        <v>329</v>
      </c>
      <c r="E224" s="1981"/>
      <c r="F224" s="1982"/>
      <c r="G224" s="540">
        <f>AVERAGE(OutDura4,Gradient4,Constric4)</f>
        <v>0</v>
      </c>
      <c r="H224" s="729" t="s">
        <v>2006</v>
      </c>
    </row>
    <row r="225" spans="1:9" ht="21" customHeight="1" x14ac:dyDescent="0.2">
      <c r="A225" s="1862"/>
      <c r="B225" s="1862"/>
      <c r="C225" s="1863"/>
      <c r="D225" s="1980" t="s">
        <v>2408</v>
      </c>
      <c r="E225" s="1981"/>
      <c r="F225" s="1982"/>
      <c r="G225" s="540">
        <f>AVERAGE(SoilTex4,Wettype4,NewWet,AqPlantCov4, SoilDisturb4)</f>
        <v>0</v>
      </c>
      <c r="H225" s="729" t="s">
        <v>2009</v>
      </c>
    </row>
    <row r="226" spans="1:9" ht="21" customHeight="1" thickBot="1" x14ac:dyDescent="0.25">
      <c r="A226" s="1862"/>
      <c r="B226" s="1862"/>
      <c r="C226" s="1863"/>
      <c r="D226" s="1983" t="s">
        <v>2007</v>
      </c>
      <c r="E226" s="1984"/>
      <c r="F226" s="1985"/>
      <c r="G226" s="535">
        <f>(AVERAGE(SatPct4,PermWpct4, SeasWpct4) + AVERAGE(Fluctu4, UpEdgeShape4, Inclus4, Girreg4))/2</f>
        <v>0</v>
      </c>
      <c r="H226" s="730" t="s">
        <v>2008</v>
      </c>
    </row>
    <row r="227" spans="1:9" ht="21" customHeight="1" thickBot="1" x14ac:dyDescent="0.25">
      <c r="A227" s="1862"/>
      <c r="B227" s="1862"/>
      <c r="C227" s="1862"/>
      <c r="D227" s="1862"/>
      <c r="E227" s="1862"/>
      <c r="F227" s="1862"/>
      <c r="G227" s="1862"/>
      <c r="H227" s="1973"/>
    </row>
    <row r="228" spans="1:9" ht="30" customHeight="1" thickBot="1" x14ac:dyDescent="0.25">
      <c r="A228" s="1862"/>
      <c r="B228" s="1863"/>
      <c r="C228" s="1974" t="s">
        <v>181</v>
      </c>
      <c r="D228" s="1975"/>
      <c r="E228" s="1976"/>
      <c r="F228" s="725" t="s">
        <v>141</v>
      </c>
      <c r="G228" s="600">
        <f>10*(IF((NoOutlet4=1),1,IF((AllSat=1),(2*Connec4 + Intercep4 + FrozDur4 + Organic4 + Redox4)/6, (3*Redox4 + 2*Connec4 + FrozDur4 + Organic4 + Intercep4)/ 8)))</f>
        <v>0.15625</v>
      </c>
      <c r="H228" s="209" t="s">
        <v>2409</v>
      </c>
      <c r="I228" s="82"/>
    </row>
    <row r="229" spans="1:9" ht="30" customHeight="1" thickBot="1" x14ac:dyDescent="0.25">
      <c r="A229" s="1862"/>
      <c r="B229" s="1863"/>
      <c r="C229" s="1974" t="s">
        <v>182</v>
      </c>
      <c r="D229" s="1975"/>
      <c r="E229" s="1976"/>
      <c r="F229" s="725" t="s">
        <v>142</v>
      </c>
      <c r="G229" s="726">
        <f>10*AVERAGE(MAX(Aquifer4,Drink4),Inflo4,MAX(Nsource4,Nfix4,Anad4,CAnatPct4,Imperv4,PopDist4), AVERAGE(BuffSlope4,BuffCovTyp4,ShedPos4,CApct4,Transport4))</f>
        <v>0</v>
      </c>
      <c r="H229" s="210" t="s">
        <v>2411</v>
      </c>
    </row>
    <row r="230" spans="1:9" ht="21" customHeight="1" thickBot="1" x14ac:dyDescent="0.25">
      <c r="A230" s="1862"/>
      <c r="B230" s="1862"/>
      <c r="C230" s="1862"/>
      <c r="D230" s="1862"/>
      <c r="E230" s="1862"/>
      <c r="F230" s="1862"/>
      <c r="G230" s="1862"/>
      <c r="H230" s="1862"/>
    </row>
    <row r="231" spans="1:9" ht="21" customHeight="1" thickBot="1" x14ac:dyDescent="0.25">
      <c r="A231" s="1862"/>
      <c r="B231" s="1862"/>
      <c r="C231" s="1862"/>
      <c r="D231" s="1862"/>
      <c r="E231" s="1862"/>
      <c r="F231" s="1862"/>
      <c r="G231" s="1863"/>
      <c r="H231" s="80" t="s">
        <v>1345</v>
      </c>
    </row>
    <row r="232" spans="1:9" ht="42" customHeight="1" x14ac:dyDescent="0.2">
      <c r="A232" s="1862"/>
      <c r="B232" s="1862"/>
      <c r="C232" s="1862"/>
      <c r="D232" s="1862"/>
      <c r="E232" s="1862"/>
      <c r="F232" s="1862"/>
      <c r="G232" s="1863"/>
      <c r="H232" s="141" t="s">
        <v>1413</v>
      </c>
    </row>
    <row r="233" spans="1:9" ht="27" customHeight="1" x14ac:dyDescent="0.2">
      <c r="A233" s="1862"/>
      <c r="B233" s="1862"/>
      <c r="C233" s="1862"/>
      <c r="D233" s="1862"/>
      <c r="E233" s="1862"/>
      <c r="F233" s="1862"/>
      <c r="G233" s="1863"/>
      <c r="H233" s="118" t="s">
        <v>1414</v>
      </c>
    </row>
    <row r="234" spans="1:9" ht="27" customHeight="1" x14ac:dyDescent="0.2">
      <c r="A234" s="1862"/>
      <c r="B234" s="1862"/>
      <c r="C234" s="1862"/>
      <c r="D234" s="1862"/>
      <c r="E234" s="1862"/>
      <c r="F234" s="1862"/>
      <c r="G234" s="1863"/>
      <c r="H234" s="118" t="s">
        <v>1415</v>
      </c>
    </row>
    <row r="235" spans="1:9" ht="56.45" customHeight="1" x14ac:dyDescent="0.2">
      <c r="A235" s="1862"/>
      <c r="B235" s="1862"/>
      <c r="C235" s="1862"/>
      <c r="D235" s="1862"/>
      <c r="E235" s="1862"/>
      <c r="F235" s="1862"/>
      <c r="G235" s="1863"/>
      <c r="H235" s="118" t="s">
        <v>1416</v>
      </c>
    </row>
    <row r="236" spans="1:9" ht="42" customHeight="1" x14ac:dyDescent="0.2">
      <c r="A236" s="1862"/>
      <c r="B236" s="1862"/>
      <c r="C236" s="1862"/>
      <c r="D236" s="1862"/>
      <c r="E236" s="1862"/>
      <c r="F236" s="1862"/>
      <c r="G236" s="1863"/>
      <c r="H236" s="118" t="s">
        <v>1417</v>
      </c>
    </row>
    <row r="237" spans="1:9" ht="42" customHeight="1" x14ac:dyDescent="0.2">
      <c r="A237" s="1862"/>
      <c r="B237" s="1862"/>
      <c r="C237" s="1862"/>
      <c r="D237" s="1862"/>
      <c r="E237" s="1862"/>
      <c r="F237" s="1862"/>
      <c r="G237" s="1863"/>
      <c r="H237" s="118" t="s">
        <v>1418</v>
      </c>
    </row>
    <row r="238" spans="1:9" ht="42" customHeight="1" x14ac:dyDescent="0.2">
      <c r="A238" s="1862"/>
      <c r="B238" s="1862"/>
      <c r="C238" s="1862"/>
      <c r="D238" s="1862"/>
      <c r="E238" s="1862"/>
      <c r="F238" s="1862"/>
      <c r="G238" s="1863"/>
      <c r="H238" s="118" t="s">
        <v>1419</v>
      </c>
    </row>
    <row r="239" spans="1:9" ht="42" customHeight="1" x14ac:dyDescent="0.2">
      <c r="A239" s="1862"/>
      <c r="B239" s="1862"/>
      <c r="C239" s="1862"/>
      <c r="D239" s="1862"/>
      <c r="E239" s="1862"/>
      <c r="F239" s="1862"/>
      <c r="G239" s="1863"/>
      <c r="H239" s="118" t="s">
        <v>1420</v>
      </c>
    </row>
    <row r="240" spans="1:9" ht="30" customHeight="1" x14ac:dyDescent="0.2">
      <c r="A240" s="1862"/>
      <c r="B240" s="1862"/>
      <c r="C240" s="1862"/>
      <c r="D240" s="1862"/>
      <c r="E240" s="1862"/>
      <c r="F240" s="1862"/>
      <c r="G240" s="1863"/>
      <c r="H240" s="118" t="s">
        <v>1421</v>
      </c>
    </row>
    <row r="241" spans="1:9" ht="27" customHeight="1" x14ac:dyDescent="0.2">
      <c r="A241" s="1862"/>
      <c r="B241" s="1862"/>
      <c r="C241" s="1862"/>
      <c r="D241" s="1862"/>
      <c r="E241" s="1862"/>
      <c r="F241" s="1862"/>
      <c r="G241" s="1863"/>
      <c r="H241" s="118" t="s">
        <v>1422</v>
      </c>
    </row>
    <row r="242" spans="1:9" ht="42" customHeight="1" x14ac:dyDescent="0.2">
      <c r="A242" s="1862"/>
      <c r="B242" s="1862"/>
      <c r="C242" s="1862"/>
      <c r="D242" s="1862"/>
      <c r="E242" s="1862"/>
      <c r="F242" s="1862"/>
      <c r="G242" s="1863"/>
      <c r="H242" s="118" t="s">
        <v>1423</v>
      </c>
    </row>
    <row r="243" spans="1:9" ht="27" customHeight="1" x14ac:dyDescent="0.2">
      <c r="A243" s="1862"/>
      <c r="B243" s="1862"/>
      <c r="C243" s="1862"/>
      <c r="D243" s="1862"/>
      <c r="E243" s="1862"/>
      <c r="F243" s="1862"/>
      <c r="G243" s="1863"/>
      <c r="H243" s="118" t="s">
        <v>1424</v>
      </c>
    </row>
    <row r="244" spans="1:9" ht="27" customHeight="1" x14ac:dyDescent="0.2">
      <c r="A244" s="1862"/>
      <c r="B244" s="1862"/>
      <c r="C244" s="1862"/>
      <c r="D244" s="1862"/>
      <c r="E244" s="1862"/>
      <c r="F244" s="1862"/>
      <c r="G244" s="1863"/>
      <c r="H244" s="118" t="s">
        <v>1376</v>
      </c>
    </row>
    <row r="245" spans="1:9" ht="42" customHeight="1" x14ac:dyDescent="0.2">
      <c r="A245" s="1862"/>
      <c r="B245" s="1862"/>
      <c r="C245" s="1862"/>
      <c r="D245" s="1862"/>
      <c r="E245" s="1862"/>
      <c r="F245" s="1862"/>
      <c r="G245" s="1863"/>
      <c r="H245" s="118" t="s">
        <v>1375</v>
      </c>
    </row>
    <row r="246" spans="1:9" ht="27" customHeight="1" x14ac:dyDescent="0.2">
      <c r="A246" s="1862"/>
      <c r="B246" s="1862"/>
      <c r="C246" s="1862"/>
      <c r="D246" s="1862"/>
      <c r="E246" s="1862"/>
      <c r="F246" s="1862"/>
      <c r="G246" s="1863"/>
      <c r="H246" s="118" t="s">
        <v>1425</v>
      </c>
    </row>
    <row r="247" spans="1:9" ht="27" customHeight="1" x14ac:dyDescent="0.2">
      <c r="A247" s="1862"/>
      <c r="B247" s="1862"/>
      <c r="C247" s="1862"/>
      <c r="D247" s="1862"/>
      <c r="E247" s="1862"/>
      <c r="F247" s="1862"/>
      <c r="G247" s="1863"/>
      <c r="H247" s="118" t="s">
        <v>1426</v>
      </c>
    </row>
    <row r="248" spans="1:9" ht="27" customHeight="1" x14ac:dyDescent="0.2">
      <c r="A248" s="1862"/>
      <c r="B248" s="1862"/>
      <c r="C248" s="1862"/>
      <c r="D248" s="1862"/>
      <c r="E248" s="1862"/>
      <c r="F248" s="1862"/>
      <c r="G248" s="1863"/>
      <c r="H248" s="118" t="s">
        <v>1427</v>
      </c>
    </row>
    <row r="249" spans="1:9" ht="42" customHeight="1" x14ac:dyDescent="0.2">
      <c r="A249" s="1862"/>
      <c r="B249" s="1862"/>
      <c r="C249" s="1862"/>
      <c r="D249" s="1862"/>
      <c r="E249" s="1862"/>
      <c r="F249" s="1862"/>
      <c r="G249" s="1863"/>
      <c r="H249" s="118" t="s">
        <v>1428</v>
      </c>
      <c r="I249" s="8"/>
    </row>
    <row r="250" spans="1:9" ht="42" customHeight="1" x14ac:dyDescent="0.2">
      <c r="A250" s="1862"/>
      <c r="B250" s="1862"/>
      <c r="C250" s="1862"/>
      <c r="D250" s="1862"/>
      <c r="E250" s="1862"/>
      <c r="F250" s="1862"/>
      <c r="G250" s="1863"/>
      <c r="H250" s="118" t="s">
        <v>1429</v>
      </c>
      <c r="I250" s="8"/>
    </row>
    <row r="251" spans="1:9" ht="27" customHeight="1" x14ac:dyDescent="0.2">
      <c r="A251" s="1862"/>
      <c r="B251" s="1862"/>
      <c r="C251" s="1862"/>
      <c r="D251" s="1862"/>
      <c r="E251" s="1862"/>
      <c r="F251" s="1862"/>
      <c r="G251" s="1863"/>
      <c r="H251" s="118" t="s">
        <v>1430</v>
      </c>
      <c r="I251" s="16"/>
    </row>
    <row r="252" spans="1:9" ht="27" customHeight="1" x14ac:dyDescent="0.2">
      <c r="A252" s="1862"/>
      <c r="B252" s="1862"/>
      <c r="C252" s="1862"/>
      <c r="D252" s="1862"/>
      <c r="E252" s="1862"/>
      <c r="F252" s="1862"/>
      <c r="G252" s="1863"/>
      <c r="H252" s="118" t="s">
        <v>1431</v>
      </c>
      <c r="I252" s="8"/>
    </row>
    <row r="253" spans="1:9" ht="27" customHeight="1" x14ac:dyDescent="0.2">
      <c r="A253" s="1862"/>
      <c r="B253" s="1862"/>
      <c r="C253" s="1862"/>
      <c r="D253" s="1862"/>
      <c r="E253" s="1862"/>
      <c r="F253" s="1862"/>
      <c r="G253" s="1863"/>
      <c r="H253" s="118" t="s">
        <v>1432</v>
      </c>
      <c r="I253" s="8"/>
    </row>
    <row r="254" spans="1:9" ht="42" customHeight="1" x14ac:dyDescent="0.2">
      <c r="A254" s="1862"/>
      <c r="B254" s="1862"/>
      <c r="C254" s="1862"/>
      <c r="D254" s="1862"/>
      <c r="E254" s="1862"/>
      <c r="F254" s="1862"/>
      <c r="G254" s="1863"/>
      <c r="H254" s="118" t="s">
        <v>1433</v>
      </c>
      <c r="I254" s="8"/>
    </row>
    <row r="255" spans="1:9" s="18" customFormat="1" ht="27" customHeight="1" x14ac:dyDescent="0.2">
      <c r="A255" s="1862"/>
      <c r="B255" s="1862"/>
      <c r="C255" s="1862"/>
      <c r="D255" s="1862"/>
      <c r="E255" s="1862"/>
      <c r="F255" s="1862"/>
      <c r="G255" s="1863"/>
      <c r="H255" s="118" t="s">
        <v>1434</v>
      </c>
    </row>
    <row r="256" spans="1:9" ht="27" customHeight="1" x14ac:dyDescent="0.2">
      <c r="A256" s="1862"/>
      <c r="B256" s="1862"/>
      <c r="C256" s="1862"/>
      <c r="D256" s="1862"/>
      <c r="E256" s="1862"/>
      <c r="F256" s="1862"/>
      <c r="G256" s="1863"/>
      <c r="H256" s="118" t="s">
        <v>1435</v>
      </c>
    </row>
    <row r="257" spans="1:8" ht="42" customHeight="1" x14ac:dyDescent="0.2">
      <c r="A257" s="1862"/>
      <c r="B257" s="1862"/>
      <c r="C257" s="1862"/>
      <c r="D257" s="1862"/>
      <c r="E257" s="1862"/>
      <c r="F257" s="1862"/>
      <c r="G257" s="1863"/>
      <c r="H257" s="118" t="s">
        <v>1436</v>
      </c>
    </row>
    <row r="258" spans="1:8" ht="27" customHeight="1" x14ac:dyDescent="0.2">
      <c r="A258" s="1862"/>
      <c r="B258" s="1862"/>
      <c r="C258" s="1862"/>
      <c r="D258" s="1862"/>
      <c r="E258" s="1862"/>
      <c r="F258" s="1862"/>
      <c r="G258" s="1863"/>
      <c r="H258" s="118" t="s">
        <v>1405</v>
      </c>
    </row>
    <row r="259" spans="1:8" ht="27" customHeight="1" x14ac:dyDescent="0.2">
      <c r="A259" s="1862"/>
      <c r="B259" s="1862"/>
      <c r="C259" s="1862"/>
      <c r="D259" s="1862"/>
      <c r="E259" s="1862"/>
      <c r="F259" s="1862"/>
      <c r="G259" s="1863"/>
      <c r="H259" s="118" t="s">
        <v>1437</v>
      </c>
    </row>
    <row r="260" spans="1:8" ht="27" customHeight="1" x14ac:dyDescent="0.2">
      <c r="A260" s="1862"/>
      <c r="B260" s="1862"/>
      <c r="C260" s="1862"/>
      <c r="D260" s="1862"/>
      <c r="E260" s="1862"/>
      <c r="F260" s="1862"/>
      <c r="G260" s="1863"/>
      <c r="H260" s="118" t="s">
        <v>1438</v>
      </c>
    </row>
    <row r="261" spans="1:8" ht="27" customHeight="1" x14ac:dyDescent="0.2">
      <c r="A261" s="1862"/>
      <c r="B261" s="1862"/>
      <c r="C261" s="1862"/>
      <c r="D261" s="1862"/>
      <c r="E261" s="1862"/>
      <c r="F261" s="1862"/>
      <c r="G261" s="1863"/>
      <c r="H261" s="118" t="s">
        <v>1439</v>
      </c>
    </row>
    <row r="262" spans="1:8" ht="42" customHeight="1" x14ac:dyDescent="0.2">
      <c r="A262" s="1862"/>
      <c r="B262" s="1862"/>
      <c r="C262" s="1862"/>
      <c r="D262" s="1862"/>
      <c r="E262" s="1862"/>
      <c r="F262" s="1862"/>
      <c r="G262" s="1863"/>
      <c r="H262" s="118" t="s">
        <v>1440</v>
      </c>
    </row>
    <row r="263" spans="1:8" ht="42" customHeight="1" x14ac:dyDescent="0.2">
      <c r="A263" s="1862"/>
      <c r="B263" s="1862"/>
      <c r="C263" s="1862"/>
      <c r="D263" s="1862"/>
      <c r="E263" s="1862"/>
      <c r="F263" s="1862"/>
      <c r="G263" s="1863"/>
      <c r="H263" s="118" t="s">
        <v>1441</v>
      </c>
    </row>
    <row r="264" spans="1:8" ht="27" customHeight="1" x14ac:dyDescent="0.2">
      <c r="A264" s="1862"/>
      <c r="B264" s="1862"/>
      <c r="C264" s="1862"/>
      <c r="D264" s="1862"/>
      <c r="E264" s="1862"/>
      <c r="F264" s="1862"/>
      <c r="G264" s="1863"/>
      <c r="H264" s="118" t="s">
        <v>1442</v>
      </c>
    </row>
    <row r="265" spans="1:8" ht="54" customHeight="1" x14ac:dyDescent="0.2">
      <c r="A265" s="1862"/>
      <c r="B265" s="1862"/>
      <c r="C265" s="1862"/>
      <c r="D265" s="1862"/>
      <c r="E265" s="1862"/>
      <c r="F265" s="1862"/>
      <c r="G265" s="1863"/>
      <c r="H265" s="118" t="s">
        <v>1443</v>
      </c>
    </row>
    <row r="266" spans="1:8" ht="27" customHeight="1" x14ac:dyDescent="0.2">
      <c r="A266" s="1862"/>
      <c r="B266" s="1862"/>
      <c r="C266" s="1862"/>
      <c r="D266" s="1862"/>
      <c r="E266" s="1862"/>
      <c r="F266" s="1862"/>
      <c r="G266" s="1863"/>
      <c r="H266" s="118" t="s">
        <v>1387</v>
      </c>
    </row>
    <row r="267" spans="1:8" ht="27" customHeight="1" x14ac:dyDescent="0.2">
      <c r="A267" s="1862"/>
      <c r="B267" s="1862"/>
      <c r="C267" s="1862"/>
      <c r="D267" s="1862"/>
      <c r="E267" s="1862"/>
      <c r="F267" s="1862"/>
      <c r="G267" s="1863"/>
      <c r="H267" s="118" t="s">
        <v>1388</v>
      </c>
    </row>
    <row r="268" spans="1:8" ht="27" customHeight="1" x14ac:dyDescent="0.2">
      <c r="A268" s="1862"/>
      <c r="B268" s="1862"/>
      <c r="C268" s="1862"/>
      <c r="D268" s="1862"/>
      <c r="E268" s="1862"/>
      <c r="F268" s="1862"/>
      <c r="G268" s="1863"/>
      <c r="H268" s="118" t="s">
        <v>1390</v>
      </c>
    </row>
    <row r="269" spans="1:8" ht="27" customHeight="1" x14ac:dyDescent="0.2">
      <c r="A269" s="1862"/>
      <c r="B269" s="1862"/>
      <c r="C269" s="1862"/>
      <c r="D269" s="1862"/>
      <c r="E269" s="1862"/>
      <c r="F269" s="1862"/>
      <c r="G269" s="1863"/>
      <c r="H269" s="118" t="s">
        <v>1444</v>
      </c>
    </row>
    <row r="270" spans="1:8" ht="27" customHeight="1" x14ac:dyDescent="0.2">
      <c r="A270" s="1862"/>
      <c r="B270" s="1862"/>
      <c r="C270" s="1862"/>
      <c r="D270" s="1862"/>
      <c r="E270" s="1862"/>
      <c r="F270" s="1862"/>
      <c r="G270" s="1863"/>
      <c r="H270" s="118" t="s">
        <v>1409</v>
      </c>
    </row>
    <row r="271" spans="1:8" ht="27" customHeight="1" x14ac:dyDescent="0.2">
      <c r="A271" s="1862"/>
      <c r="B271" s="1862"/>
      <c r="C271" s="1862"/>
      <c r="D271" s="1862"/>
      <c r="E271" s="1862"/>
      <c r="F271" s="1862"/>
      <c r="G271" s="1863"/>
      <c r="H271" s="118" t="s">
        <v>1445</v>
      </c>
    </row>
    <row r="272" spans="1:8" ht="27" customHeight="1" x14ac:dyDescent="0.2">
      <c r="A272" s="1862"/>
      <c r="B272" s="1862"/>
      <c r="C272" s="1862"/>
      <c r="D272" s="1862"/>
      <c r="E272" s="1862"/>
      <c r="F272" s="1862"/>
      <c r="G272" s="1863"/>
      <c r="H272" s="118" t="s">
        <v>1446</v>
      </c>
    </row>
    <row r="273" spans="1:8" ht="42" customHeight="1" x14ac:dyDescent="0.2">
      <c r="A273" s="1862"/>
      <c r="B273" s="1862"/>
      <c r="C273" s="1862"/>
      <c r="D273" s="1862"/>
      <c r="E273" s="1862"/>
      <c r="F273" s="1862"/>
      <c r="G273" s="1863"/>
      <c r="H273" s="118" t="s">
        <v>1447</v>
      </c>
    </row>
    <row r="274" spans="1:8" ht="27" customHeight="1" x14ac:dyDescent="0.2">
      <c r="A274" s="1862"/>
      <c r="B274" s="1862"/>
      <c r="C274" s="1862"/>
      <c r="D274" s="1862"/>
      <c r="E274" s="1862"/>
      <c r="F274" s="1862"/>
      <c r="G274" s="1863"/>
      <c r="H274" s="118" t="s">
        <v>1448</v>
      </c>
    </row>
    <row r="275" spans="1:8" ht="27" customHeight="1" x14ac:dyDescent="0.2">
      <c r="A275" s="1862"/>
      <c r="B275" s="1862"/>
      <c r="C275" s="1862"/>
      <c r="D275" s="1862"/>
      <c r="E275" s="1862"/>
      <c r="F275" s="1862"/>
      <c r="G275" s="1863"/>
      <c r="H275" s="118" t="s">
        <v>1394</v>
      </c>
    </row>
    <row r="276" spans="1:8" ht="42" customHeight="1" x14ac:dyDescent="0.2">
      <c r="A276" s="1862"/>
      <c r="B276" s="1862"/>
      <c r="C276" s="1862"/>
      <c r="D276" s="1862"/>
      <c r="E276" s="1862"/>
      <c r="F276" s="1862"/>
      <c r="G276" s="1863"/>
      <c r="H276" s="118" t="s">
        <v>1449</v>
      </c>
    </row>
    <row r="277" spans="1:8" ht="26.45" customHeight="1" x14ac:dyDescent="0.2">
      <c r="A277" s="1862"/>
      <c r="B277" s="1862"/>
      <c r="C277" s="1862"/>
      <c r="D277" s="1862"/>
      <c r="E277" s="1862"/>
      <c r="F277" s="1862"/>
      <c r="G277" s="1863"/>
      <c r="H277" s="118" t="s">
        <v>1357</v>
      </c>
    </row>
    <row r="278" spans="1:8" ht="42" customHeight="1" x14ac:dyDescent="0.2">
      <c r="A278" s="1862"/>
      <c r="B278" s="1862"/>
      <c r="C278" s="1862"/>
      <c r="D278" s="1862"/>
      <c r="E278" s="1862"/>
      <c r="F278" s="1862"/>
      <c r="G278" s="1863"/>
      <c r="H278" s="118" t="s">
        <v>1450</v>
      </c>
    </row>
    <row r="279" spans="1:8" ht="42" customHeight="1" thickBot="1" x14ac:dyDescent="0.25">
      <c r="A279" s="1862"/>
      <c r="B279" s="1862"/>
      <c r="C279" s="1862"/>
      <c r="D279" s="1862"/>
      <c r="E279" s="1862"/>
      <c r="F279" s="1862"/>
      <c r="G279" s="1863"/>
      <c r="H279" s="142" t="s">
        <v>1451</v>
      </c>
    </row>
  </sheetData>
  <sheetProtection algorithmName="SHA-512" hashValue="oT3w2tnE1yCPBCWs+BRQhiwujy3+CSioBCp3iT+k1u3r73MGwXYtu7uVDhpw+i6hsLB99isQtouWlGEEsXTnFA==" saltValue="IWOLo6rOHXcBXcEY7AgeLQ==" spinCount="100000" sheet="1" formatCells="0" formatColumns="0" formatRows="0"/>
  <customSheetViews>
    <customSheetView guid="{B8E02330-2419-4DE6-AD01-7ACC7A5D18DD}" scale="75" topLeftCell="A162">
      <selection activeCell="A2" sqref="A2:H172"/>
      <pageMargins left="0.75" right="0.75" top="1" bottom="1" header="0.5" footer="0.5"/>
      <pageSetup orientation="portrait" horizontalDpi="300" verticalDpi="300" r:id="rId1"/>
      <headerFooter alignWithMargins="0"/>
    </customSheetView>
  </customSheetViews>
  <mergeCells count="132">
    <mergeCell ref="E1:H1"/>
    <mergeCell ref="A221:H221"/>
    <mergeCell ref="A222:C226"/>
    <mergeCell ref="A227:H227"/>
    <mergeCell ref="A228:B229"/>
    <mergeCell ref="A230:H230"/>
    <mergeCell ref="A231:G279"/>
    <mergeCell ref="A50:A56"/>
    <mergeCell ref="A140:A146"/>
    <mergeCell ref="B140:B146"/>
    <mergeCell ref="A75:A80"/>
    <mergeCell ref="B75:B80"/>
    <mergeCell ref="C228:E228"/>
    <mergeCell ref="C229:E229"/>
    <mergeCell ref="D222:F222"/>
    <mergeCell ref="D223:F223"/>
    <mergeCell ref="D224:F224"/>
    <mergeCell ref="D225:F225"/>
    <mergeCell ref="D226:F226"/>
    <mergeCell ref="A70:A74"/>
    <mergeCell ref="A96:A99"/>
    <mergeCell ref="A117:A120"/>
    <mergeCell ref="A101:A106"/>
    <mergeCell ref="A107:A112"/>
    <mergeCell ref="A211:A215"/>
    <mergeCell ref="A178:A181"/>
    <mergeCell ref="B178:B181"/>
    <mergeCell ref="B216:B219"/>
    <mergeCell ref="B196:B201"/>
    <mergeCell ref="B121:B126"/>
    <mergeCell ref="A113:A116"/>
    <mergeCell ref="A121:A126"/>
    <mergeCell ref="H127:H131"/>
    <mergeCell ref="A191:A194"/>
    <mergeCell ref="B182:B186"/>
    <mergeCell ref="A57:A63"/>
    <mergeCell ref="B57:B63"/>
    <mergeCell ref="A162:A167"/>
    <mergeCell ref="A136:A139"/>
    <mergeCell ref="A127:A131"/>
    <mergeCell ref="A147:A153"/>
    <mergeCell ref="B147:B153"/>
    <mergeCell ref="B113:B116"/>
    <mergeCell ref="H57:H63"/>
    <mergeCell ref="B64:B69"/>
    <mergeCell ref="H89:H95"/>
    <mergeCell ref="B136:B139"/>
    <mergeCell ref="B89:B95"/>
    <mergeCell ref="A89:A95"/>
    <mergeCell ref="B3:B8"/>
    <mergeCell ref="A3:A8"/>
    <mergeCell ref="H3:H8"/>
    <mergeCell ref="H9:H12"/>
    <mergeCell ref="B27:B30"/>
    <mergeCell ref="A9:A12"/>
    <mergeCell ref="B9:B12"/>
    <mergeCell ref="A27:A30"/>
    <mergeCell ref="H27:H30"/>
    <mergeCell ref="H20:H21"/>
    <mergeCell ref="H22:H26"/>
    <mergeCell ref="A22:A26"/>
    <mergeCell ref="B22:B26"/>
    <mergeCell ref="A20:A21"/>
    <mergeCell ref="H13:H19"/>
    <mergeCell ref="B36:B42"/>
    <mergeCell ref="H156:H161"/>
    <mergeCell ref="H113:H116"/>
    <mergeCell ref="B20:B21"/>
    <mergeCell ref="H36:H42"/>
    <mergeCell ref="B132:B135"/>
    <mergeCell ref="H64:H69"/>
    <mergeCell ref="B50:B56"/>
    <mergeCell ref="H50:H56"/>
    <mergeCell ref="B43:B49"/>
    <mergeCell ref="B70:B74"/>
    <mergeCell ref="B81:B88"/>
    <mergeCell ref="B96:B99"/>
    <mergeCell ref="B127:B131"/>
    <mergeCell ref="H31:H35"/>
    <mergeCell ref="H75:H80"/>
    <mergeCell ref="H121:H126"/>
    <mergeCell ref="B31:B35"/>
    <mergeCell ref="H70:H74"/>
    <mergeCell ref="H43:H49"/>
    <mergeCell ref="A1:B1"/>
    <mergeCell ref="H187:H190"/>
    <mergeCell ref="A168:A177"/>
    <mergeCell ref="H211:H215"/>
    <mergeCell ref="B187:B190"/>
    <mergeCell ref="A187:A190"/>
    <mergeCell ref="H196:H201"/>
    <mergeCell ref="H168:H177"/>
    <mergeCell ref="B168:B177"/>
    <mergeCell ref="B191:B194"/>
    <mergeCell ref="A13:A19"/>
    <mergeCell ref="A156:A161"/>
    <mergeCell ref="A31:A35"/>
    <mergeCell ref="H101:H106"/>
    <mergeCell ref="H117:H120"/>
    <mergeCell ref="H140:H146"/>
    <mergeCell ref="B13:B19"/>
    <mergeCell ref="H107:H112"/>
    <mergeCell ref="H162:H167"/>
    <mergeCell ref="B156:B161"/>
    <mergeCell ref="H147:H153"/>
    <mergeCell ref="H81:H88"/>
    <mergeCell ref="H136:H139"/>
    <mergeCell ref="B107:B112"/>
    <mergeCell ref="A43:A49"/>
    <mergeCell ref="B117:B120"/>
    <mergeCell ref="A36:A42"/>
    <mergeCell ref="H191:H194"/>
    <mergeCell ref="H178:H181"/>
    <mergeCell ref="A81:A88"/>
    <mergeCell ref="H216:H219"/>
    <mergeCell ref="B202:B207"/>
    <mergeCell ref="H208:H210"/>
    <mergeCell ref="A216:A219"/>
    <mergeCell ref="H182:H186"/>
    <mergeCell ref="A182:A186"/>
    <mergeCell ref="A132:A135"/>
    <mergeCell ref="B211:B215"/>
    <mergeCell ref="B208:B210"/>
    <mergeCell ref="A208:A210"/>
    <mergeCell ref="B101:B106"/>
    <mergeCell ref="H202:H207"/>
    <mergeCell ref="A202:A207"/>
    <mergeCell ref="H96:H99"/>
    <mergeCell ref="H132:H135"/>
    <mergeCell ref="A64:A69"/>
    <mergeCell ref="B162:B167"/>
    <mergeCell ref="A196:A201"/>
  </mergeCells>
  <phoneticPr fontId="3" type="noConversion"/>
  <pageMargins left="0.75" right="0.75" top="1" bottom="1" header="0.5" footer="0.5"/>
  <pageSetup orientation="portrait" horizontalDpi="300"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I216"/>
  <sheetViews>
    <sheetView zoomScaleNormal="100" workbookViewId="0">
      <selection sqref="A1:B1"/>
    </sheetView>
  </sheetViews>
  <sheetFormatPr defaultColWidth="9.33203125" defaultRowHeight="12.75" x14ac:dyDescent="0.2"/>
  <cols>
    <col min="1" max="1" width="5.83203125" style="15" customWidth="1"/>
    <col min="2" max="2" width="18.83203125" style="3" customWidth="1"/>
    <col min="3" max="3" width="75.83203125" style="3" customWidth="1"/>
    <col min="4" max="4" width="6.83203125" style="135" customWidth="1"/>
    <col min="5" max="5" width="8.1640625" style="135" customWidth="1"/>
    <col min="6" max="6" width="8.33203125" style="135" customWidth="1"/>
    <col min="7" max="7" width="9.83203125" style="134" customWidth="1"/>
    <col min="8" max="8" width="75.83203125" style="15" customWidth="1"/>
    <col min="9" max="9" width="15.6640625" style="3" customWidth="1"/>
    <col min="10" max="16384" width="9.33203125" style="3"/>
  </cols>
  <sheetData>
    <row r="1" spans="1:9" ht="91.5" customHeight="1" thickBot="1" x14ac:dyDescent="0.25">
      <c r="A1" s="1866" t="s">
        <v>2138</v>
      </c>
      <c r="B1" s="2002"/>
      <c r="C1" s="87" t="s">
        <v>2139</v>
      </c>
      <c r="D1" s="127" t="s">
        <v>2140</v>
      </c>
      <c r="E1" s="1995"/>
      <c r="F1" s="1996"/>
      <c r="G1" s="1996"/>
      <c r="H1" s="1996"/>
    </row>
    <row r="2" spans="1:9" ht="30" customHeight="1" thickBot="1" x14ac:dyDescent="0.25">
      <c r="A2" s="451" t="s">
        <v>290</v>
      </c>
      <c r="B2" s="450" t="s">
        <v>5444</v>
      </c>
      <c r="C2" s="484" t="s">
        <v>2606</v>
      </c>
      <c r="D2" s="450" t="s">
        <v>117</v>
      </c>
      <c r="E2" s="592" t="s">
        <v>5438</v>
      </c>
      <c r="F2" s="472" t="s">
        <v>5439</v>
      </c>
      <c r="G2" s="593" t="s">
        <v>5825</v>
      </c>
      <c r="H2" s="450" t="s">
        <v>919</v>
      </c>
    </row>
    <row r="3" spans="1:9" ht="30" customHeight="1" thickBot="1" x14ac:dyDescent="0.25">
      <c r="A3" s="1831" t="str">
        <f>OF!A113</f>
        <v>OF21</v>
      </c>
      <c r="B3" s="1836" t="str">
        <f>OF!B113</f>
        <v>Temperature, Mean Annual</v>
      </c>
      <c r="C3" s="454" t="str">
        <f>OF!C113</f>
        <v>Refer to the Temperature layer in the online WESPAK-SE Wetlands Module. The mean annual temperature in the vicinity of the AA was modeled as (rounded to the nearest whole number):</v>
      </c>
      <c r="D3" s="635"/>
      <c r="E3" s="635"/>
      <c r="F3" s="639"/>
      <c r="G3" s="496">
        <f>IF((D9=1),"",MAX(F4:F8)/MAX(E4:E8))</f>
        <v>0</v>
      </c>
      <c r="H3" s="1687" t="s">
        <v>2581</v>
      </c>
      <c r="I3" s="3" t="s">
        <v>2016</v>
      </c>
    </row>
    <row r="4" spans="1:9" ht="15" customHeight="1" x14ac:dyDescent="0.2">
      <c r="A4" s="1832"/>
      <c r="B4" s="1837"/>
      <c r="C4" s="144" t="str">
        <f>OF!C114</f>
        <v>&lt;38 degrees F</v>
      </c>
      <c r="D4" s="286">
        <f>OF!D114</f>
        <v>0</v>
      </c>
      <c r="E4" s="396">
        <v>4</v>
      </c>
      <c r="F4" s="397">
        <f>D4*E4</f>
        <v>0</v>
      </c>
      <c r="G4" s="521"/>
      <c r="H4" s="1688"/>
    </row>
    <row r="5" spans="1:9" ht="15" customHeight="1" x14ac:dyDescent="0.2">
      <c r="A5" s="1832"/>
      <c r="B5" s="1837"/>
      <c r="C5" s="50" t="str">
        <f>OF!C115</f>
        <v>38-40 degrees F</v>
      </c>
      <c r="D5" s="271">
        <f>OF!D115</f>
        <v>0</v>
      </c>
      <c r="E5" s="396">
        <v>3</v>
      </c>
      <c r="F5" s="397">
        <f>D5*E5</f>
        <v>0</v>
      </c>
      <c r="G5" s="521"/>
      <c r="H5" s="1688"/>
    </row>
    <row r="6" spans="1:9" ht="15" customHeight="1" x14ac:dyDescent="0.2">
      <c r="A6" s="1832"/>
      <c r="B6" s="1837"/>
      <c r="C6" s="50" t="str">
        <f>OF!C116</f>
        <v>41-42 degrees F</v>
      </c>
      <c r="D6" s="271">
        <f>OF!D116</f>
        <v>0</v>
      </c>
      <c r="E6" s="396">
        <v>2</v>
      </c>
      <c r="F6" s="397">
        <f>D6*E6</f>
        <v>0</v>
      </c>
      <c r="G6" s="521"/>
      <c r="H6" s="1688"/>
    </row>
    <row r="7" spans="1:9" ht="15" customHeight="1" x14ac:dyDescent="0.2">
      <c r="A7" s="1832"/>
      <c r="B7" s="1837"/>
      <c r="C7" s="50" t="str">
        <f>OF!C117</f>
        <v>43-44 degrees F</v>
      </c>
      <c r="D7" s="271">
        <f>OF!D117</f>
        <v>0</v>
      </c>
      <c r="E7" s="396">
        <v>1</v>
      </c>
      <c r="F7" s="397">
        <f>D7*E7</f>
        <v>0</v>
      </c>
      <c r="G7" s="521"/>
      <c r="H7" s="1688"/>
    </row>
    <row r="8" spans="1:9" ht="15" customHeight="1" x14ac:dyDescent="0.2">
      <c r="A8" s="1832"/>
      <c r="B8" s="1837"/>
      <c r="C8" s="50" t="str">
        <f>OF!C118</f>
        <v>&gt; 44 degrees F</v>
      </c>
      <c r="D8" s="271">
        <f>OF!D118</f>
        <v>0</v>
      </c>
      <c r="E8" s="396">
        <v>0</v>
      </c>
      <c r="F8" s="397">
        <f>D8*E8</f>
        <v>0</v>
      </c>
      <c r="G8" s="515"/>
      <c r="H8" s="1688"/>
    </row>
    <row r="9" spans="1:9" ht="15.6" customHeight="1" thickBot="1" x14ac:dyDescent="0.25">
      <c r="A9" s="1833"/>
      <c r="B9" s="1838"/>
      <c r="C9" s="462" t="str">
        <f>OF!C119</f>
        <v>no information available</v>
      </c>
      <c r="D9" s="272">
        <f>OF!D119</f>
        <v>0</v>
      </c>
      <c r="E9" s="637"/>
      <c r="F9" s="638"/>
      <c r="G9" s="504"/>
      <c r="H9" s="1689"/>
    </row>
    <row r="10" spans="1:9" ht="79.5" customHeight="1" thickBot="1" x14ac:dyDescent="0.25">
      <c r="A10" s="2004" t="str">
        <f>OF!A147</f>
        <v>OF28</v>
      </c>
      <c r="B10" s="1953" t="str">
        <f>OF!B147</f>
        <v>Elevation in Multi-scale Watersheds</v>
      </c>
      <c r="C10" s="38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0" s="394"/>
      <c r="E10" s="51"/>
      <c r="F10" s="67"/>
      <c r="G10" s="601" t="str">
        <f>IF((D11=0),"",D11/3)</f>
        <v/>
      </c>
      <c r="H10" s="1688" t="s">
        <v>1989</v>
      </c>
      <c r="I10" s="3" t="s">
        <v>974</v>
      </c>
    </row>
    <row r="11" spans="1:9" ht="42.6" customHeight="1" thickBot="1" x14ac:dyDescent="0.25">
      <c r="A11" s="2005"/>
      <c r="B11" s="1959"/>
      <c r="C11" s="19" t="str">
        <f>OF!C150</f>
        <v>In its HUC6 (the 8-digit* watershed) the AA's elevation puts it in (enter one of the following): 3= upper one-third, 2= middle one-third, 1= lower one-third, 0= no data.  [The 8-digit HUC is obtained by deleting the last 4 digits of the 12-digit HUC code]</v>
      </c>
      <c r="D11" s="380">
        <f>OF!D150</f>
        <v>0</v>
      </c>
      <c r="E11" s="47"/>
      <c r="F11" s="391"/>
      <c r="G11" s="718"/>
      <c r="H11" s="1688"/>
    </row>
    <row r="12" spans="1:9" ht="21" customHeight="1" thickBot="1" x14ac:dyDescent="0.25">
      <c r="A12" s="1954" t="str">
        <f>OF!A169</f>
        <v>OF34</v>
      </c>
      <c r="B12" s="1709" t="str">
        <f>OF!B169</f>
        <v>Internal Gradient</v>
      </c>
      <c r="C12" s="231" t="str">
        <f>OF!C169</f>
        <v>The gradient along most of the flow path within the AA is:</v>
      </c>
      <c r="D12" s="635"/>
      <c r="E12" s="392"/>
      <c r="F12" s="393"/>
      <c r="G12" s="600">
        <f>MAX(F13:F16)/MAX(E13:E16)</f>
        <v>0</v>
      </c>
      <c r="H12" s="1709" t="s">
        <v>1134</v>
      </c>
      <c r="I12" s="3" t="s">
        <v>972</v>
      </c>
    </row>
    <row r="13" spans="1:9" ht="15" customHeight="1" x14ac:dyDescent="0.2">
      <c r="A13" s="1955"/>
      <c r="B13" s="1710"/>
      <c r="C13" s="21" t="str">
        <f>OF!C170</f>
        <v>&lt;2%, or, no slope is ever apparent (i.e., flat).  Includes most depressional sites and ponds.</v>
      </c>
      <c r="D13" s="280">
        <f>OF!D170</f>
        <v>0</v>
      </c>
      <c r="E13" s="388">
        <v>4</v>
      </c>
      <c r="F13" s="388">
        <f>D13*E13</f>
        <v>0</v>
      </c>
      <c r="G13" s="708"/>
      <c r="H13" s="1710"/>
    </row>
    <row r="14" spans="1:9" ht="15" customHeight="1" x14ac:dyDescent="0.2">
      <c r="A14" s="1955"/>
      <c r="B14" s="1710"/>
      <c r="C14" s="6" t="str">
        <f>OF!C171</f>
        <v>2-5%</v>
      </c>
      <c r="D14" s="46">
        <f>OF!D171</f>
        <v>0</v>
      </c>
      <c r="E14" s="388">
        <v>2</v>
      </c>
      <c r="F14" s="388">
        <f>D14*E14</f>
        <v>0</v>
      </c>
      <c r="G14" s="709"/>
      <c r="H14" s="1710"/>
    </row>
    <row r="15" spans="1:9" ht="15" customHeight="1" x14ac:dyDescent="0.2">
      <c r="A15" s="1955"/>
      <c r="B15" s="1710"/>
      <c r="C15" s="6" t="str">
        <f>OF!C172</f>
        <v>6-10%</v>
      </c>
      <c r="D15" s="46">
        <f>OF!D172</f>
        <v>0</v>
      </c>
      <c r="E15" s="388">
        <v>1</v>
      </c>
      <c r="F15" s="388">
        <f>D15*E15</f>
        <v>0</v>
      </c>
      <c r="G15" s="709"/>
      <c r="H15" s="1710"/>
    </row>
    <row r="16" spans="1:9" ht="15.6" customHeight="1" thickBot="1" x14ac:dyDescent="0.25">
      <c r="A16" s="1956"/>
      <c r="B16" s="1711"/>
      <c r="C16" s="214" t="str">
        <f>OF!C173</f>
        <v>&gt;10%</v>
      </c>
      <c r="D16" s="213">
        <f>OF!D173</f>
        <v>0</v>
      </c>
      <c r="E16" s="389">
        <v>0</v>
      </c>
      <c r="F16" s="389">
        <f>D16*E16</f>
        <v>0</v>
      </c>
      <c r="G16" s="710"/>
      <c r="H16" s="1711"/>
    </row>
    <row r="17" spans="1:9" ht="36" customHeight="1" thickBot="1" x14ac:dyDescent="0.25">
      <c r="A17" s="741" t="str">
        <f>F!A4</f>
        <v>F1</v>
      </c>
      <c r="B17" s="1688" t="str">
        <f>F!B4</f>
        <v>Wetland Type</v>
      </c>
      <c r="C17" s="385" t="str">
        <f>F!C4</f>
        <v>Most of the vegetated part of the AA (wetland Assessment Area) is a (select ONE):</v>
      </c>
      <c r="D17" s="394"/>
      <c r="E17" s="387"/>
      <c r="F17" s="390"/>
      <c r="G17" s="601">
        <f>IF((D23=1),"",MAX(F18:F22)/MAX(E18:E22))</f>
        <v>0</v>
      </c>
      <c r="H17" s="1688" t="s">
        <v>1879</v>
      </c>
      <c r="I17" s="3" t="s">
        <v>975</v>
      </c>
    </row>
    <row r="18" spans="1:9" ht="15" customHeight="1" x14ac:dyDescent="0.2">
      <c r="A18" s="742" t="str">
        <f>F!A5</f>
        <v>F1.1</v>
      </c>
      <c r="B18" s="1688"/>
      <c r="C18" s="21" t="str">
        <f>F!C5</f>
        <v>Forested Peatland</v>
      </c>
      <c r="D18" s="280">
        <f>F!D5</f>
        <v>0</v>
      </c>
      <c r="E18" s="388">
        <v>3</v>
      </c>
      <c r="F18" s="388">
        <f>D18*E18</f>
        <v>0</v>
      </c>
      <c r="G18" s="708"/>
      <c r="H18" s="1688"/>
    </row>
    <row r="19" spans="1:9" ht="15" customHeight="1" x14ac:dyDescent="0.2">
      <c r="A19" s="742" t="str">
        <f>F!A6</f>
        <v>F1.2</v>
      </c>
      <c r="B19" s="1688"/>
      <c r="C19" s="6" t="str">
        <f>F!C6</f>
        <v>Open Peatland</v>
      </c>
      <c r="D19" s="46">
        <f>F!D6</f>
        <v>0</v>
      </c>
      <c r="E19" s="388">
        <v>4</v>
      </c>
      <c r="F19" s="388">
        <f>D19*E19</f>
        <v>0</v>
      </c>
      <c r="G19" s="718"/>
      <c r="H19" s="1688"/>
    </row>
    <row r="20" spans="1:9" ht="15" customHeight="1" x14ac:dyDescent="0.2">
      <c r="A20" s="742" t="str">
        <f>F!A7</f>
        <v>F1.3</v>
      </c>
      <c r="B20" s="1688"/>
      <c r="C20" s="6" t="str">
        <f>F!C7</f>
        <v>Fen/ Marsh</v>
      </c>
      <c r="D20" s="46">
        <f>F!D7</f>
        <v>0</v>
      </c>
      <c r="E20" s="388">
        <v>2</v>
      </c>
      <c r="F20" s="413">
        <f>D20*E20</f>
        <v>0</v>
      </c>
      <c r="G20" s="709"/>
      <c r="H20" s="1688"/>
    </row>
    <row r="21" spans="1:9" ht="15" customHeight="1" x14ac:dyDescent="0.2">
      <c r="A21" s="742" t="str">
        <f>F!A8</f>
        <v>F1.4</v>
      </c>
      <c r="B21" s="1688"/>
      <c r="C21" s="6" t="str">
        <f>F!C8</f>
        <v>Floodplain Wetland</v>
      </c>
      <c r="D21" s="46">
        <f>F!D8</f>
        <v>0</v>
      </c>
      <c r="E21" s="388">
        <v>1</v>
      </c>
      <c r="F21" s="388">
        <f>D21*E21</f>
        <v>0</v>
      </c>
      <c r="G21" s="709"/>
      <c r="H21" s="1688"/>
    </row>
    <row r="22" spans="1:9" ht="15" customHeight="1" x14ac:dyDescent="0.2">
      <c r="A22" s="742" t="str">
        <f>F!A9</f>
        <v>F1.5</v>
      </c>
      <c r="B22" s="1688"/>
      <c r="C22" s="6" t="str">
        <f>F!C9</f>
        <v>Uplift Meadow</v>
      </c>
      <c r="D22" s="46">
        <f>F!D9</f>
        <v>0</v>
      </c>
      <c r="E22" s="388">
        <v>0</v>
      </c>
      <c r="F22" s="391">
        <f>D22*E22</f>
        <v>0</v>
      </c>
      <c r="G22" s="709"/>
      <c r="H22" s="1688"/>
    </row>
    <row r="23" spans="1:9" ht="18.75" customHeight="1" thickBot="1" x14ac:dyDescent="0.25">
      <c r="A23" s="743" t="str">
        <f>F!A10</f>
        <v>F1.6</v>
      </c>
      <c r="B23" s="1689"/>
      <c r="C23" s="214" t="str">
        <f>F!C10</f>
        <v>Tidal Marsh or Tidal Swamp.  Do not continue.  Use other spreadsheet.</v>
      </c>
      <c r="D23" s="213">
        <f>F!D10</f>
        <v>0</v>
      </c>
      <c r="E23" s="389"/>
      <c r="F23" s="389"/>
      <c r="G23" s="710"/>
      <c r="H23" s="1689"/>
    </row>
    <row r="24" spans="1:9" ht="30" customHeight="1" thickBot="1" x14ac:dyDescent="0.25">
      <c r="A24" s="1869" t="str">
        <f>F!A18</f>
        <v>F3</v>
      </c>
      <c r="B24" s="1688" t="str">
        <f>F!B18</f>
        <v>% with Persistent Surface Water</v>
      </c>
      <c r="C24" s="385" t="str">
        <f>F!C18</f>
        <v>The percentage of the AA that has surface water (either ponded or flowing, either open or obscured by vegetation) during all of the growing season during most years is:</v>
      </c>
      <c r="D24" s="394"/>
      <c r="E24" s="387"/>
      <c r="F24" s="390"/>
      <c r="G24" s="601">
        <f>IF((AllSat+AllSat1&gt;0),"", MAX(F25:F30)/MAX(E25:E30))</f>
        <v>0</v>
      </c>
      <c r="H24" s="1688" t="s">
        <v>5447</v>
      </c>
      <c r="I24" s="3" t="s">
        <v>963</v>
      </c>
    </row>
    <row r="25" spans="1:9" ht="15" customHeight="1" x14ac:dyDescent="0.2">
      <c r="A25" s="1869"/>
      <c r="B25" s="1688"/>
      <c r="C25" s="19" t="str">
        <f>F!C19</f>
        <v>less than 1%, or &lt;0.01 acre (whichever is less).  SKIP to F7.</v>
      </c>
      <c r="D25" s="380">
        <f>F!D19</f>
        <v>0</v>
      </c>
      <c r="E25" s="388">
        <v>4</v>
      </c>
      <c r="F25" s="388">
        <f t="shared" ref="F25:F30" si="0">D25*E25</f>
        <v>0</v>
      </c>
      <c r="G25" s="709"/>
      <c r="H25" s="1688"/>
    </row>
    <row r="26" spans="1:9" ht="15" customHeight="1" x14ac:dyDescent="0.2">
      <c r="A26" s="1869"/>
      <c r="B26" s="1688"/>
      <c r="C26" s="470" t="str">
        <f>F!C20</f>
        <v>1-25% of the AA, and mostly in narrow channels and/or small scattered pools.</v>
      </c>
      <c r="D26" s="20">
        <f>F!D20</f>
        <v>0</v>
      </c>
      <c r="E26" s="48">
        <v>5</v>
      </c>
      <c r="F26" s="388">
        <f t="shared" si="0"/>
        <v>0</v>
      </c>
      <c r="G26" s="708"/>
      <c r="H26" s="1688"/>
    </row>
    <row r="27" spans="1:9" ht="15" customHeight="1" x14ac:dyDescent="0.2">
      <c r="A27" s="1869"/>
      <c r="B27" s="1688"/>
      <c r="C27" s="470" t="str">
        <f>F!C21</f>
        <v>1-25% of the AA, and mostly in a single large pool, pond, and/or channel.</v>
      </c>
      <c r="D27" s="20">
        <f>F!D21</f>
        <v>0</v>
      </c>
      <c r="E27" s="48">
        <v>5</v>
      </c>
      <c r="F27" s="388">
        <f t="shared" si="0"/>
        <v>0</v>
      </c>
      <c r="G27" s="709"/>
      <c r="H27" s="1688"/>
    </row>
    <row r="28" spans="1:9" ht="15" customHeight="1" x14ac:dyDescent="0.2">
      <c r="A28" s="1869"/>
      <c r="B28" s="1688"/>
      <c r="C28" s="470" t="str">
        <f>F!C22</f>
        <v>25-50% of the AA</v>
      </c>
      <c r="D28" s="20">
        <f>F!D22</f>
        <v>0</v>
      </c>
      <c r="E28" s="48">
        <v>3</v>
      </c>
      <c r="F28" s="388">
        <f t="shared" si="0"/>
        <v>0</v>
      </c>
      <c r="G28" s="709"/>
      <c r="H28" s="1688"/>
    </row>
    <row r="29" spans="1:9" ht="15" customHeight="1" x14ac:dyDescent="0.2">
      <c r="A29" s="1869"/>
      <c r="B29" s="1688"/>
      <c r="C29" s="470" t="str">
        <f>F!C23</f>
        <v>50-95% of the AA</v>
      </c>
      <c r="D29" s="20">
        <f>F!D23</f>
        <v>0</v>
      </c>
      <c r="E29" s="48">
        <v>2</v>
      </c>
      <c r="F29" s="388">
        <f t="shared" si="0"/>
        <v>0</v>
      </c>
      <c r="G29" s="709"/>
      <c r="H29" s="1688"/>
    </row>
    <row r="30" spans="1:9" ht="15.6" customHeight="1" thickBot="1" x14ac:dyDescent="0.25">
      <c r="A30" s="1870"/>
      <c r="B30" s="1689"/>
      <c r="C30" s="214" t="str">
        <f>F!C24</f>
        <v>&gt;95% of the AA</v>
      </c>
      <c r="D30" s="213">
        <f>F!D24</f>
        <v>0</v>
      </c>
      <c r="E30" s="255">
        <v>1</v>
      </c>
      <c r="F30" s="389">
        <f t="shared" si="0"/>
        <v>0</v>
      </c>
      <c r="G30" s="710"/>
      <c r="H30" s="1689"/>
    </row>
    <row r="31" spans="1:9" ht="30" customHeight="1" thickBot="1" x14ac:dyDescent="0.25">
      <c r="A31" s="1868" t="str">
        <f>F!A33</f>
        <v>F7</v>
      </c>
      <c r="B31" s="1687" t="str">
        <f>F!B33</f>
        <v>% Flooded Only Seasonally</v>
      </c>
      <c r="C31" s="231" t="str">
        <f>F!C33</f>
        <v>The percentage of the AA soil that is covered by surface water only during the wettest time of year, and for &gt;2 continuous weeks during that time, is:</v>
      </c>
      <c r="D31" s="635"/>
      <c r="E31" s="392"/>
      <c r="F31" s="393"/>
      <c r="G31" s="600">
        <f>IF((AllSat+AllSat1&gt;0),"", MAX(F32:F36)/MAX(E32:E36))</f>
        <v>0</v>
      </c>
      <c r="H31" s="1687" t="s">
        <v>5448</v>
      </c>
      <c r="I31" s="3" t="s">
        <v>962</v>
      </c>
    </row>
    <row r="32" spans="1:9" ht="15" customHeight="1" x14ac:dyDescent="0.2">
      <c r="A32" s="1869"/>
      <c r="B32" s="1688"/>
      <c r="C32" s="19" t="str">
        <f>F!C34</f>
        <v>&lt;1% or &lt;0.01 acre, whichever is less.  SKIP to F9.</v>
      </c>
      <c r="D32" s="380">
        <f>F!D34</f>
        <v>0</v>
      </c>
      <c r="E32" s="48">
        <v>0</v>
      </c>
      <c r="F32" s="388">
        <f>D32*E32</f>
        <v>0</v>
      </c>
      <c r="G32" s="708"/>
      <c r="H32" s="1688"/>
    </row>
    <row r="33" spans="1:9" ht="15" customHeight="1" x14ac:dyDescent="0.2">
      <c r="A33" s="1869"/>
      <c r="B33" s="1688"/>
      <c r="C33" s="470" t="str">
        <f>F!C35</f>
        <v xml:space="preserve">1-25% </v>
      </c>
      <c r="D33" s="20">
        <f>F!D35</f>
        <v>0</v>
      </c>
      <c r="E33" s="48">
        <v>1</v>
      </c>
      <c r="F33" s="388">
        <f>D33*E33</f>
        <v>0</v>
      </c>
      <c r="G33" s="709"/>
      <c r="H33" s="1688"/>
    </row>
    <row r="34" spans="1:9" ht="15" customHeight="1" x14ac:dyDescent="0.2">
      <c r="A34" s="1869"/>
      <c r="B34" s="1688"/>
      <c r="C34" s="470" t="str">
        <f>F!C36</f>
        <v xml:space="preserve">25-50% </v>
      </c>
      <c r="D34" s="20">
        <f>F!D36</f>
        <v>0</v>
      </c>
      <c r="E34" s="48">
        <v>2</v>
      </c>
      <c r="F34" s="388">
        <f>D34*E34</f>
        <v>0</v>
      </c>
      <c r="G34" s="709"/>
      <c r="H34" s="1688"/>
    </row>
    <row r="35" spans="1:9" ht="15" customHeight="1" x14ac:dyDescent="0.2">
      <c r="A35" s="1869"/>
      <c r="B35" s="1688"/>
      <c r="C35" s="470" t="str">
        <f>F!C37</f>
        <v xml:space="preserve">50-95% </v>
      </c>
      <c r="D35" s="20">
        <f>F!D37</f>
        <v>0</v>
      </c>
      <c r="E35" s="48">
        <v>3</v>
      </c>
      <c r="F35" s="388">
        <f>D35*E35</f>
        <v>0</v>
      </c>
      <c r="G35" s="709"/>
      <c r="H35" s="1688"/>
    </row>
    <row r="36" spans="1:9" ht="15.6" customHeight="1" thickBot="1" x14ac:dyDescent="0.25">
      <c r="A36" s="1870"/>
      <c r="B36" s="1689"/>
      <c r="C36" s="214" t="str">
        <f>F!C38</f>
        <v xml:space="preserve">&gt;95% </v>
      </c>
      <c r="D36" s="213">
        <f>F!D38</f>
        <v>0</v>
      </c>
      <c r="E36" s="255">
        <v>4</v>
      </c>
      <c r="F36" s="389">
        <f>D36*E36</f>
        <v>0</v>
      </c>
      <c r="G36" s="710"/>
      <c r="H36" s="1689"/>
    </row>
    <row r="37" spans="1:9" ht="21" customHeight="1" thickBot="1" x14ac:dyDescent="0.25">
      <c r="A37" s="1869" t="str">
        <f>F!A39</f>
        <v>F8</v>
      </c>
      <c r="B37" s="1710" t="str">
        <f>F!B39</f>
        <v>Annual Water Fluctuation Range</v>
      </c>
      <c r="C37" s="385" t="str">
        <f>F!C39</f>
        <v>The maximum annual fluctuation in surface water within the AA is:</v>
      </c>
      <c r="D37" s="394"/>
      <c r="E37" s="387"/>
      <c r="F37" s="390"/>
      <c r="G37" s="601">
        <f>IF((AllSat+AllSat1&gt;0),"", IF((NoSeasonal=1),"",MAX(F38:F41)/MAX(E38:E41)))</f>
        <v>0</v>
      </c>
      <c r="H37" s="1688" t="s">
        <v>5329</v>
      </c>
      <c r="I37" s="3" t="s">
        <v>976</v>
      </c>
    </row>
    <row r="38" spans="1:9" ht="15" customHeight="1" x14ac:dyDescent="0.2">
      <c r="A38" s="1869"/>
      <c r="B38" s="1710"/>
      <c r="C38" s="21" t="str">
        <f>F!C40</f>
        <v xml:space="preserve">&lt;0.5 ft </v>
      </c>
      <c r="D38" s="280">
        <f>F!D40</f>
        <v>0</v>
      </c>
      <c r="E38" s="388">
        <v>5</v>
      </c>
      <c r="F38" s="388">
        <f>D38*E38</f>
        <v>0</v>
      </c>
      <c r="G38" s="708"/>
      <c r="H38" s="1688"/>
    </row>
    <row r="39" spans="1:9" ht="15" customHeight="1" x14ac:dyDescent="0.2">
      <c r="A39" s="1869"/>
      <c r="B39" s="1710"/>
      <c r="C39" s="6" t="str">
        <f>F!C41</f>
        <v>0.5 - 1 ft</v>
      </c>
      <c r="D39" s="46">
        <f>F!D41</f>
        <v>0</v>
      </c>
      <c r="E39" s="388">
        <v>3</v>
      </c>
      <c r="F39" s="388">
        <f>D39*E39</f>
        <v>0</v>
      </c>
      <c r="G39" s="709"/>
      <c r="H39" s="1688"/>
    </row>
    <row r="40" spans="1:9" ht="15" customHeight="1" x14ac:dyDescent="0.2">
      <c r="A40" s="1869"/>
      <c r="B40" s="1710"/>
      <c r="C40" s="6" t="str">
        <f>F!C42</f>
        <v>1-3 ft</v>
      </c>
      <c r="D40" s="46">
        <f>F!D42</f>
        <v>0</v>
      </c>
      <c r="E40" s="388">
        <v>2</v>
      </c>
      <c r="F40" s="388">
        <f>D40*E40</f>
        <v>0</v>
      </c>
      <c r="G40" s="709"/>
      <c r="H40" s="1688"/>
    </row>
    <row r="41" spans="1:9" ht="15.6" customHeight="1" thickBot="1" x14ac:dyDescent="0.25">
      <c r="A41" s="1870"/>
      <c r="B41" s="1711"/>
      <c r="C41" s="214" t="str">
        <f>F!C43</f>
        <v xml:space="preserve">&gt; 3 ft </v>
      </c>
      <c r="D41" s="213">
        <f>F!D43</f>
        <v>0</v>
      </c>
      <c r="E41" s="389">
        <v>0</v>
      </c>
      <c r="F41" s="389">
        <f>D41*E41</f>
        <v>0</v>
      </c>
      <c r="G41" s="710"/>
      <c r="H41" s="1689"/>
    </row>
    <row r="42" spans="1:9" ht="36" customHeight="1" thickBot="1" x14ac:dyDescent="0.25">
      <c r="A42" s="1868" t="str">
        <f>F!A44</f>
        <v>F9</v>
      </c>
      <c r="B42" s="1709" t="str">
        <f>F!B44</f>
        <v>Predominant Depth Class</v>
      </c>
      <c r="C42" s="231" t="str">
        <f>F!C44</f>
        <v>During most of the growing season, surface water depth in most of the area where it is present is: [Note: This is not asking for the maximum depth.]</v>
      </c>
      <c r="D42" s="635"/>
      <c r="E42" s="392"/>
      <c r="F42" s="393"/>
      <c r="G42" s="600">
        <f>IF((AllSat+AllSat1&gt;0),"", MAX(F43:F47)/MAX(E43:E47))</f>
        <v>0</v>
      </c>
      <c r="H42" s="1687" t="s">
        <v>5330</v>
      </c>
      <c r="I42" s="3" t="s">
        <v>965</v>
      </c>
    </row>
    <row r="43" spans="1:9" ht="15" customHeight="1" x14ac:dyDescent="0.2">
      <c r="A43" s="1869"/>
      <c r="B43" s="1710"/>
      <c r="C43" s="21" t="str">
        <f>F!C45</f>
        <v>&lt;0.5 ft deep (but &gt;0)</v>
      </c>
      <c r="D43" s="280">
        <f>F!D45</f>
        <v>0</v>
      </c>
      <c r="E43" s="388">
        <v>1</v>
      </c>
      <c r="F43" s="388">
        <f>D43*E43</f>
        <v>0</v>
      </c>
      <c r="G43" s="708"/>
      <c r="H43" s="1688"/>
    </row>
    <row r="44" spans="1:9" ht="15" customHeight="1" x14ac:dyDescent="0.2">
      <c r="A44" s="1869"/>
      <c r="B44" s="1710"/>
      <c r="C44" s="6" t="str">
        <f>F!C46</f>
        <v>0.5 - 1 ft deep</v>
      </c>
      <c r="D44" s="46">
        <f>F!D46</f>
        <v>0</v>
      </c>
      <c r="E44" s="388">
        <v>2</v>
      </c>
      <c r="F44" s="388">
        <f>D44*E44</f>
        <v>0</v>
      </c>
      <c r="G44" s="709"/>
      <c r="H44" s="1688"/>
    </row>
    <row r="45" spans="1:9" ht="15" customHeight="1" x14ac:dyDescent="0.2">
      <c r="A45" s="1869"/>
      <c r="B45" s="1710"/>
      <c r="C45" s="6" t="str">
        <f>F!C47</f>
        <v>1-2 ft deep</v>
      </c>
      <c r="D45" s="46">
        <f>F!D47</f>
        <v>0</v>
      </c>
      <c r="E45" s="388">
        <v>3</v>
      </c>
      <c r="F45" s="388">
        <f>D45*E45</f>
        <v>0</v>
      </c>
      <c r="G45" s="709"/>
      <c r="H45" s="1688"/>
    </row>
    <row r="46" spans="1:9" ht="15" customHeight="1" x14ac:dyDescent="0.2">
      <c r="A46" s="1869"/>
      <c r="B46" s="1710"/>
      <c r="C46" s="6" t="str">
        <f>F!C48</f>
        <v>2-6 ft deep</v>
      </c>
      <c r="D46" s="46">
        <f>F!D48</f>
        <v>0</v>
      </c>
      <c r="E46" s="388">
        <v>2</v>
      </c>
      <c r="F46" s="388">
        <f>D46*E46</f>
        <v>0</v>
      </c>
      <c r="G46" s="709"/>
      <c r="H46" s="1688"/>
    </row>
    <row r="47" spans="1:9" ht="15.6" customHeight="1" thickBot="1" x14ac:dyDescent="0.25">
      <c r="A47" s="1870"/>
      <c r="B47" s="1711"/>
      <c r="C47" s="214" t="str">
        <f>F!C49</f>
        <v>&gt;6 ft deep.  True for many fringe wetlands.</v>
      </c>
      <c r="D47" s="213">
        <f>F!D49</f>
        <v>0</v>
      </c>
      <c r="E47" s="389">
        <v>1</v>
      </c>
      <c r="F47" s="389">
        <f>D47*E47</f>
        <v>0</v>
      </c>
      <c r="G47" s="710"/>
      <c r="H47" s="1689"/>
    </row>
    <row r="48" spans="1:9" ht="30" customHeight="1" thickBot="1" x14ac:dyDescent="0.25">
      <c r="A48" s="1869" t="str">
        <f>F!A61</f>
        <v>F13</v>
      </c>
      <c r="B48" s="1873" t="str">
        <f>F!B61</f>
        <v>Width of AA's Vegetated Zone</v>
      </c>
      <c r="C48" s="385" t="str">
        <f>F!C61</f>
        <v>At the driest time of year (or lowest water level), the width of vegetated area in the AA that separates adjoining uplands from most of the open water within or adjoining the AA is:</v>
      </c>
      <c r="D48" s="394"/>
      <c r="E48" s="387"/>
      <c r="F48" s="390"/>
      <c r="G48" s="601" t="str">
        <f>IF((AllSat+AllSat1&gt;0),"", IF((OpenW=0),"",MAX(F49:F53)/MAX(E49:E53)))</f>
        <v/>
      </c>
      <c r="H48" s="1688" t="s">
        <v>5331</v>
      </c>
      <c r="I48" s="3" t="s">
        <v>966</v>
      </c>
    </row>
    <row r="49" spans="1:9" ht="15" customHeight="1" x14ac:dyDescent="0.2">
      <c r="A49" s="1869"/>
      <c r="B49" s="1702"/>
      <c r="C49" s="21" t="str">
        <f>F!C62</f>
        <v xml:space="preserve">1-5 ft </v>
      </c>
      <c r="D49" s="280">
        <f>F!D62</f>
        <v>0</v>
      </c>
      <c r="E49" s="404">
        <v>1</v>
      </c>
      <c r="F49" s="388">
        <f>D49*E49</f>
        <v>0</v>
      </c>
      <c r="G49" s="708"/>
      <c r="H49" s="1688"/>
    </row>
    <row r="50" spans="1:9" ht="15" customHeight="1" x14ac:dyDescent="0.2">
      <c r="A50" s="1869"/>
      <c r="B50" s="1702"/>
      <c r="C50" s="6" t="str">
        <f>F!C63</f>
        <v>5-25 ft</v>
      </c>
      <c r="D50" s="46">
        <f>F!D63</f>
        <v>0</v>
      </c>
      <c r="E50" s="404">
        <v>2</v>
      </c>
      <c r="F50" s="388">
        <f>D50*E50</f>
        <v>0</v>
      </c>
      <c r="G50" s="709"/>
      <c r="H50" s="1688"/>
    </row>
    <row r="51" spans="1:9" ht="15" customHeight="1" x14ac:dyDescent="0.2">
      <c r="A51" s="1869"/>
      <c r="B51" s="1702"/>
      <c r="C51" s="6" t="str">
        <f>F!C64</f>
        <v>25-100 ft</v>
      </c>
      <c r="D51" s="46">
        <f>F!D64</f>
        <v>0</v>
      </c>
      <c r="E51" s="404">
        <v>3</v>
      </c>
      <c r="F51" s="388">
        <f>D51*E51</f>
        <v>0</v>
      </c>
      <c r="G51" s="709"/>
      <c r="H51" s="1688"/>
    </row>
    <row r="52" spans="1:9" ht="15" customHeight="1" x14ac:dyDescent="0.2">
      <c r="A52" s="1869"/>
      <c r="B52" s="1702"/>
      <c r="C52" s="6" t="str">
        <f>F!C65</f>
        <v>100-300 ft</v>
      </c>
      <c r="D52" s="46">
        <f>F!D65</f>
        <v>0</v>
      </c>
      <c r="E52" s="404">
        <v>4</v>
      </c>
      <c r="F52" s="388">
        <f>D52*E52</f>
        <v>0</v>
      </c>
      <c r="G52" s="709"/>
      <c r="H52" s="1688"/>
    </row>
    <row r="53" spans="1:9" ht="15.6" customHeight="1" thickBot="1" x14ac:dyDescent="0.25">
      <c r="A53" s="1870"/>
      <c r="B53" s="1712"/>
      <c r="C53" s="214" t="str">
        <f>F!C66</f>
        <v>&gt;300 ft</v>
      </c>
      <c r="D53" s="213">
        <f>F!D66</f>
        <v>0</v>
      </c>
      <c r="E53" s="405">
        <v>5</v>
      </c>
      <c r="F53" s="389">
        <f>D53*E53</f>
        <v>0</v>
      </c>
      <c r="G53" s="710"/>
      <c r="H53" s="1689"/>
    </row>
    <row r="54" spans="1:9" ht="45" customHeight="1" thickBot="1" x14ac:dyDescent="0.25">
      <c r="A54" s="1896" t="str">
        <f>F!A71</f>
        <v>F15</v>
      </c>
      <c r="B54" s="1692" t="str">
        <f>F!B71</f>
        <v>All Ponded Water - Extent</v>
      </c>
      <c r="C54" s="231" t="str">
        <f>F!C71</f>
        <v>During most of the growing season, the percentage of the AA that has ponded surface water (stagnant, or flows so slowly that fine sediment is not held in suspension) which is either open or shaded by emergent vegetation is:</v>
      </c>
      <c r="D54" s="635"/>
      <c r="E54" s="392"/>
      <c r="F54" s="723"/>
      <c r="G54" s="600">
        <f>IF((AllSat+AllSat1&gt;0),"", MAX(F55:F61)/MAX(E55:E61))</f>
        <v>0</v>
      </c>
      <c r="H54" s="2003" t="s">
        <v>5332</v>
      </c>
      <c r="I54" s="3" t="s">
        <v>964</v>
      </c>
    </row>
    <row r="55" spans="1:9" ht="15" customHeight="1" x14ac:dyDescent="0.2">
      <c r="A55" s="1869"/>
      <c r="B55" s="1688"/>
      <c r="C55" s="21" t="str">
        <f>F!C72</f>
        <v>&lt;1% or none, or occupies &lt;100 sq. ft cumulatively.  Enter "1" and SKIP to F19.</v>
      </c>
      <c r="D55" s="280">
        <f>F!D72</f>
        <v>0</v>
      </c>
      <c r="E55" s="388">
        <v>1</v>
      </c>
      <c r="F55" s="388">
        <f t="shared" ref="F55:F61" si="1">D55*E55</f>
        <v>0</v>
      </c>
      <c r="G55" s="709"/>
      <c r="H55" s="1987"/>
    </row>
    <row r="56" spans="1:9" ht="15" customHeight="1" x14ac:dyDescent="0.2">
      <c r="A56" s="1869"/>
      <c r="B56" s="1688"/>
      <c r="C56" s="6" t="str">
        <f>F!C73</f>
        <v>1-25% of the AA, and mainly in small fishless pools. Enter "1" and SKIP to F19.</v>
      </c>
      <c r="D56" s="46">
        <f>F!D73</f>
        <v>0</v>
      </c>
      <c r="E56" s="388">
        <v>2</v>
      </c>
      <c r="F56" s="388">
        <f t="shared" si="1"/>
        <v>0</v>
      </c>
      <c r="G56" s="709"/>
      <c r="H56" s="1987"/>
    </row>
    <row r="57" spans="1:9" ht="15" customHeight="1" x14ac:dyDescent="0.2">
      <c r="A57" s="1869"/>
      <c r="B57" s="1688"/>
      <c r="C57" s="6" t="str">
        <f>F!C74</f>
        <v>1-25% of the AA, and mainly in a single large pool or pond, with or without fish access.</v>
      </c>
      <c r="D57" s="46">
        <f>F!D74</f>
        <v>0</v>
      </c>
      <c r="E57" s="388">
        <v>2</v>
      </c>
      <c r="F57" s="388">
        <f t="shared" si="1"/>
        <v>0</v>
      </c>
      <c r="G57" s="709"/>
      <c r="H57" s="1987"/>
    </row>
    <row r="58" spans="1:9" ht="15" customHeight="1" x14ac:dyDescent="0.2">
      <c r="A58" s="1869"/>
      <c r="B58" s="1688"/>
      <c r="C58" s="6" t="str">
        <f>F!C75</f>
        <v>5-30% of the AA.</v>
      </c>
      <c r="D58" s="46">
        <f>F!D75</f>
        <v>0</v>
      </c>
      <c r="E58" s="388">
        <v>3</v>
      </c>
      <c r="F58" s="388">
        <f t="shared" si="1"/>
        <v>0</v>
      </c>
      <c r="G58" s="709"/>
      <c r="H58" s="1987"/>
    </row>
    <row r="59" spans="1:9" ht="15" customHeight="1" x14ac:dyDescent="0.2">
      <c r="A59" s="1869"/>
      <c r="B59" s="1688"/>
      <c r="C59" s="6" t="str">
        <f>F!C76</f>
        <v>30-70% of the AA.</v>
      </c>
      <c r="D59" s="46">
        <f>F!D76</f>
        <v>0</v>
      </c>
      <c r="E59" s="388">
        <v>3</v>
      </c>
      <c r="F59" s="388">
        <f t="shared" si="1"/>
        <v>0</v>
      </c>
      <c r="G59" s="709"/>
      <c r="H59" s="1987"/>
    </row>
    <row r="60" spans="1:9" ht="15" customHeight="1" x14ac:dyDescent="0.2">
      <c r="A60" s="1869"/>
      <c r="B60" s="1688"/>
      <c r="C60" s="6" t="str">
        <f>F!C77</f>
        <v>70-95% of the AA.</v>
      </c>
      <c r="D60" s="46">
        <f>F!D77</f>
        <v>0</v>
      </c>
      <c r="E60" s="391">
        <v>2</v>
      </c>
      <c r="F60" s="388">
        <f t="shared" si="1"/>
        <v>0</v>
      </c>
      <c r="G60" s="709"/>
      <c r="H60" s="1987"/>
    </row>
    <row r="61" spans="1:9" ht="15.6" customHeight="1" thickBot="1" x14ac:dyDescent="0.25">
      <c r="A61" s="1870"/>
      <c r="B61" s="1689"/>
      <c r="C61" s="214" t="str">
        <f>F!C78</f>
        <v>&gt;95% of the AA.</v>
      </c>
      <c r="D61" s="213">
        <f>F!D78</f>
        <v>0</v>
      </c>
      <c r="E61" s="389">
        <v>1</v>
      </c>
      <c r="F61" s="389">
        <f t="shared" si="1"/>
        <v>0</v>
      </c>
      <c r="G61" s="710"/>
      <c r="H61" s="1988"/>
    </row>
    <row r="62" spans="1:9" ht="51" customHeight="1" thickBot="1" x14ac:dyDescent="0.25">
      <c r="A62" s="2008" t="str">
        <f>F!A79</f>
        <v>F16</v>
      </c>
      <c r="B62" s="1687" t="str">
        <f>F!B79</f>
        <v>Open Ponded Water - Extent</v>
      </c>
      <c r="C62" s="5" t="str">
        <f>F!C79</f>
        <v>The percentage of the ponded water that is open (lacking emergent vegetation during most of the growing season, and unhidden by a forest or shrub canopy) is:</v>
      </c>
      <c r="D62" s="699"/>
      <c r="E62" s="387"/>
      <c r="F62" s="387"/>
      <c r="G62" s="601">
        <f>IF((AllSat+AllSat1&gt;0),"", IF((OR(puddles=1,NoPonded=1)),"",MAX(F63:F68)/MAX(E63:E68)))</f>
        <v>0</v>
      </c>
      <c r="H62" s="1688" t="s">
        <v>5333</v>
      </c>
      <c r="I62" s="3" t="s">
        <v>798</v>
      </c>
    </row>
    <row r="63" spans="1:9" ht="15" customHeight="1" x14ac:dyDescent="0.2">
      <c r="A63" s="1970"/>
      <c r="B63" s="1688"/>
      <c r="C63" s="19" t="str">
        <f>F!C80</f>
        <v>&lt;1% or none, or largest pool occupies &lt;100 sq. ft.  Enter "1" and SKIP to F19.</v>
      </c>
      <c r="D63" s="20">
        <f>F!D80</f>
        <v>0</v>
      </c>
      <c r="E63" s="388">
        <v>1</v>
      </c>
      <c r="F63" s="388">
        <f t="shared" ref="F63:F68" si="2">D63*E63</f>
        <v>0</v>
      </c>
      <c r="G63" s="709"/>
      <c r="H63" s="1688"/>
    </row>
    <row r="64" spans="1:9" ht="15" customHeight="1" x14ac:dyDescent="0.2">
      <c r="A64" s="1970"/>
      <c r="B64" s="1688"/>
      <c r="C64" s="470" t="str">
        <f>F!C81</f>
        <v>1-5% of the ponded water.  Enter "1" and SKIP to F19.</v>
      </c>
      <c r="D64" s="20">
        <f>F!D81</f>
        <v>0</v>
      </c>
      <c r="E64" s="388">
        <v>2</v>
      </c>
      <c r="F64" s="388">
        <f t="shared" si="2"/>
        <v>0</v>
      </c>
      <c r="G64" s="709"/>
      <c r="H64" s="1688"/>
    </row>
    <row r="65" spans="1:9" ht="15" customHeight="1" x14ac:dyDescent="0.2">
      <c r="A65" s="1970"/>
      <c r="B65" s="1688"/>
      <c r="C65" s="470" t="str">
        <f>F!C82</f>
        <v>5-30% of the ponded water.</v>
      </c>
      <c r="D65" s="20">
        <f>F!D82</f>
        <v>0</v>
      </c>
      <c r="E65" s="388">
        <v>4</v>
      </c>
      <c r="F65" s="388">
        <f t="shared" si="2"/>
        <v>0</v>
      </c>
      <c r="G65" s="709"/>
      <c r="H65" s="1688"/>
    </row>
    <row r="66" spans="1:9" ht="15" customHeight="1" x14ac:dyDescent="0.2">
      <c r="A66" s="1970"/>
      <c r="B66" s="1688"/>
      <c r="C66" s="470" t="str">
        <f>F!C83</f>
        <v>30-70% of the ponded water.</v>
      </c>
      <c r="D66" s="20">
        <f>F!D83</f>
        <v>0</v>
      </c>
      <c r="E66" s="388">
        <v>3</v>
      </c>
      <c r="F66" s="388">
        <f t="shared" si="2"/>
        <v>0</v>
      </c>
      <c r="G66" s="709"/>
      <c r="H66" s="1688"/>
    </row>
    <row r="67" spans="1:9" ht="15" customHeight="1" x14ac:dyDescent="0.2">
      <c r="A67" s="1970"/>
      <c r="B67" s="1688"/>
      <c r="C67" s="470" t="str">
        <f>F!C84</f>
        <v>70-99% of the ponded water.</v>
      </c>
      <c r="D67" s="20">
        <f>F!D84</f>
        <v>0</v>
      </c>
      <c r="E67" s="388">
        <v>2</v>
      </c>
      <c r="F67" s="388">
        <f t="shared" si="2"/>
        <v>0</v>
      </c>
      <c r="G67" s="709"/>
      <c r="H67" s="1688"/>
    </row>
    <row r="68" spans="1:9" ht="15" customHeight="1" thickBot="1" x14ac:dyDescent="0.25">
      <c r="A68" s="1971"/>
      <c r="B68" s="1689"/>
      <c r="C68" s="470" t="str">
        <f>F!C85</f>
        <v>100% of the ponded water. SKIP to F18.</v>
      </c>
      <c r="D68" s="20">
        <f>F!D85</f>
        <v>0</v>
      </c>
      <c r="E68" s="391">
        <v>0</v>
      </c>
      <c r="F68" s="391">
        <f t="shared" si="2"/>
        <v>0</v>
      </c>
      <c r="G68" s="718"/>
      <c r="H68" s="1689"/>
    </row>
    <row r="69" spans="1:9" ht="72" customHeight="1" thickBot="1" x14ac:dyDescent="0.25">
      <c r="A69" s="541" t="str">
        <f>F!A91</f>
        <v>F19</v>
      </c>
      <c r="B69" s="5" t="str">
        <f>F!B91</f>
        <v>Ice Cover</v>
      </c>
      <c r="C69" s="205" t="str">
        <f>F!C91</f>
        <v>Ice (not just snow) covers nearly all of the AA's water surface for more than 4 continuous weeks during most years, potentially altering the air-water exchange.  If true, enter "1" in next column.  If untrue, enter "0".</v>
      </c>
      <c r="D69" s="258">
        <f>F!D91</f>
        <v>0</v>
      </c>
      <c r="E69" s="411"/>
      <c r="F69" s="400"/>
      <c r="G69" s="745">
        <f>IF((AllSat+AllSat1&gt;0),"", 1-D69)</f>
        <v>1</v>
      </c>
      <c r="H69" s="109" t="s">
        <v>5334</v>
      </c>
      <c r="I69" s="3" t="s">
        <v>960</v>
      </c>
    </row>
    <row r="70" spans="1:9" ht="30" customHeight="1" thickBot="1" x14ac:dyDescent="0.25">
      <c r="A70" s="1868" t="str">
        <f>F!A120</f>
        <v>F28</v>
      </c>
      <c r="B70" s="1709" t="str">
        <f>F!B120</f>
        <v>Outflow Duration</v>
      </c>
      <c r="C70" s="231" t="str">
        <f>F!C120</f>
        <v>The most persistent surface water connection (outlet channel or pipe, ditch, or overbank water exchange) between the AA and the closest off-site downslope water body is:</v>
      </c>
      <c r="D70" s="394"/>
      <c r="E70" s="392"/>
      <c r="F70" s="393"/>
      <c r="G70" s="600">
        <f>MAX(F71:F75)/MAX(E71:E75)</f>
        <v>0</v>
      </c>
      <c r="H70" s="1687" t="s">
        <v>5335</v>
      </c>
      <c r="I70" s="3" t="s">
        <v>968</v>
      </c>
    </row>
    <row r="71" spans="1:9" ht="27" customHeight="1" x14ac:dyDescent="0.2">
      <c r="A71" s="1869"/>
      <c r="B71" s="1710"/>
      <c r="C71" s="21" t="str">
        <f>F!C121</f>
        <v>persistent (&gt;9 months/year); almost always shown on stream maps, or determine from your dry-season observation.</v>
      </c>
      <c r="D71" s="280">
        <f>F!D121</f>
        <v>0</v>
      </c>
      <c r="E71" s="388">
        <v>3</v>
      </c>
      <c r="F71" s="388">
        <f>D71*E71</f>
        <v>0</v>
      </c>
      <c r="G71" s="708"/>
      <c r="H71" s="1688"/>
    </row>
    <row r="72" spans="1:9" ht="15" customHeight="1" x14ac:dyDescent="0.2">
      <c r="A72" s="1869"/>
      <c r="B72" s="1710"/>
      <c r="C72" s="6" t="str">
        <f>F!C122</f>
        <v>seasonal (14 days to 9 months/year, not necessarily consecutive); sometimes shown on stream maps.</v>
      </c>
      <c r="D72" s="46">
        <f>F!D122</f>
        <v>0</v>
      </c>
      <c r="E72" s="388">
        <v>6</v>
      </c>
      <c r="F72" s="388">
        <f>D72*E72</f>
        <v>0</v>
      </c>
      <c r="G72" s="709"/>
      <c r="H72" s="1688"/>
    </row>
    <row r="73" spans="1:9" ht="15" customHeight="1" x14ac:dyDescent="0.2">
      <c r="A73" s="1869"/>
      <c r="B73" s="1710"/>
      <c r="C73" s="6" t="str">
        <f>F!C123</f>
        <v>temporary (&lt;14 days, not necessarily consecutive); seldom shown on stream maps.</v>
      </c>
      <c r="D73" s="46">
        <f>F!D123</f>
        <v>0</v>
      </c>
      <c r="E73" s="388">
        <v>8</v>
      </c>
      <c r="F73" s="388">
        <f>D73*E73</f>
        <v>0</v>
      </c>
      <c r="G73" s="709"/>
      <c r="H73" s="1688"/>
    </row>
    <row r="74" spans="1:9" ht="27" customHeight="1" x14ac:dyDescent="0.2">
      <c r="A74" s="1869"/>
      <c r="B74" s="1710"/>
      <c r="C74" s="6" t="str">
        <f>F!C124</f>
        <v xml:space="preserve">none -- but maps show a stream or other water body that is downslope from the AA and within a distance that is less than the AA's path length (see definition, OF35).  If so, mark "1" here and SKIP TO F30. </v>
      </c>
      <c r="D74" s="46">
        <f>F!D124</f>
        <v>0</v>
      </c>
      <c r="E74" s="404">
        <v>10</v>
      </c>
      <c r="F74" s="388">
        <f>D74*E74</f>
        <v>0</v>
      </c>
      <c r="G74" s="718"/>
      <c r="H74" s="1688"/>
    </row>
    <row r="75" spans="1:9" ht="42" customHeight="1" thickBot="1" x14ac:dyDescent="0.25">
      <c r="A75" s="1870"/>
      <c r="B75" s="1711"/>
      <c r="C75" s="214" t="str">
        <f>F!C125</f>
        <v xml:space="preserve">no surface water flows out of the wetland except possibly during extreme events (less than once per 10 years). Or, water flows only into a wetland, ditch, or lake that lacks an outlet.  If so, mark "1" here and SKIP TO F30. </v>
      </c>
      <c r="D75" s="213">
        <f>F!D125</f>
        <v>0</v>
      </c>
      <c r="E75" s="405">
        <v>10</v>
      </c>
      <c r="F75" s="389">
        <f>D75*E75</f>
        <v>0</v>
      </c>
      <c r="G75" s="710"/>
      <c r="H75" s="1689"/>
    </row>
    <row r="76" spans="1:9" ht="30" customHeight="1" thickBot="1" x14ac:dyDescent="0.25">
      <c r="A76" s="1868" t="str">
        <f>F!A126</f>
        <v>F29</v>
      </c>
      <c r="B76" s="1687" t="str">
        <f>F!B126</f>
        <v>Outflow Confinement</v>
      </c>
      <c r="C76" s="231" t="str">
        <f>F!C126</f>
        <v>During major runoff events, in the places where surface water in a channel exits the AA or connected waters nearby, it:</v>
      </c>
      <c r="D76" s="635"/>
      <c r="E76" s="392"/>
      <c r="F76" s="393"/>
      <c r="G76" s="600">
        <f>IF((OutNone + OutNone1&gt;0),"",MAX(F77:F79)/MAX(E77:E79))</f>
        <v>0</v>
      </c>
      <c r="H76" s="1687" t="s">
        <v>5687</v>
      </c>
      <c r="I76" s="3" t="s">
        <v>969</v>
      </c>
    </row>
    <row r="77" spans="1:9" ht="42" customHeight="1" x14ac:dyDescent="0.2">
      <c r="A77" s="1869"/>
      <c r="B77" s="1688"/>
      <c r="C77" s="21" t="str">
        <f>F!C127</f>
        <v>mostly passes through a pipe, culvert, narrowly breached dike, berm, beaver dam, or other partial obstruction (other than natural topography) that does not appear to drain the wetland artificially during most of the growing season.</v>
      </c>
      <c r="D77" s="280">
        <f>F!D127</f>
        <v>0</v>
      </c>
      <c r="E77" s="388">
        <v>3</v>
      </c>
      <c r="F77" s="388">
        <f>D77*E77</f>
        <v>0</v>
      </c>
      <c r="G77" s="708"/>
      <c r="H77" s="1688"/>
    </row>
    <row r="78" spans="1:9" ht="15" customHeight="1" x14ac:dyDescent="0.2">
      <c r="A78" s="1869"/>
      <c r="B78" s="1688"/>
      <c r="C78" s="6" t="str">
        <f>F!C128</f>
        <v>leaves through natural exits, not mainly through artificial or temporary features.</v>
      </c>
      <c r="D78" s="46">
        <f>F!D128</f>
        <v>0</v>
      </c>
      <c r="E78" s="388">
        <v>2</v>
      </c>
      <c r="F78" s="388">
        <f>D78*E78</f>
        <v>0</v>
      </c>
      <c r="G78" s="720"/>
      <c r="H78" s="1688"/>
    </row>
    <row r="79" spans="1:9" ht="27.6" customHeight="1" thickBot="1" x14ac:dyDescent="0.25">
      <c r="A79" s="1870"/>
      <c r="B79" s="1689"/>
      <c r="C79" s="214" t="str">
        <f>F!C129</f>
        <v>exported more quickly than usual due to ditches or pipes within the AA (or connected to its outlet or within 10 m of the AA's edge) which drain the wetland artificially, or water is pumped out of the AA.</v>
      </c>
      <c r="D79" s="213">
        <f>F!D129</f>
        <v>0</v>
      </c>
      <c r="E79" s="389">
        <v>0</v>
      </c>
      <c r="F79" s="389">
        <f>D79*E79</f>
        <v>0</v>
      </c>
      <c r="G79" s="710"/>
      <c r="H79" s="1689"/>
    </row>
    <row r="80" spans="1:9" ht="21" customHeight="1" thickBot="1" x14ac:dyDescent="0.25">
      <c r="A80" s="1869" t="str">
        <f>F!A130</f>
        <v>F30</v>
      </c>
      <c r="B80" s="1688" t="str">
        <f>F!B130</f>
        <v>Groundwater: Strength of Evidence</v>
      </c>
      <c r="C80" s="385" t="str">
        <f>F!C130</f>
        <v>Select first applicable choice.  In the AA:</v>
      </c>
      <c r="D80" s="394"/>
      <c r="E80" s="387"/>
      <c r="F80" s="761"/>
      <c r="G80" s="762">
        <f>MAX(F81:F83)/MAX(E81:E83)</f>
        <v>0</v>
      </c>
      <c r="H80" s="1710" t="s">
        <v>1764</v>
      </c>
      <c r="I80" s="3" t="s">
        <v>961</v>
      </c>
    </row>
    <row r="81" spans="1:9" ht="72" customHeight="1" x14ac:dyDescent="0.2">
      <c r="A81" s="1869"/>
      <c r="B81" s="1688"/>
      <c r="C81"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81" s="380">
        <f>F!D131</f>
        <v>0</v>
      </c>
      <c r="E81" s="388">
        <v>0</v>
      </c>
      <c r="F81" s="388">
        <f>D81*E81</f>
        <v>0</v>
      </c>
      <c r="G81" s="708"/>
      <c r="H81" s="1710"/>
    </row>
    <row r="82" spans="1:9" ht="84" customHeight="1" x14ac:dyDescent="0.2">
      <c r="A82" s="1869"/>
      <c r="B82" s="1688"/>
      <c r="C82" s="470"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82" s="20">
        <f>F!D132</f>
        <v>0</v>
      </c>
      <c r="E82" s="388">
        <v>1</v>
      </c>
      <c r="F82" s="388">
        <f>D82*E82</f>
        <v>0</v>
      </c>
      <c r="G82" s="709"/>
      <c r="H82" s="1710"/>
    </row>
    <row r="83" spans="1:9" ht="27.6" customHeight="1" thickBot="1" x14ac:dyDescent="0.25">
      <c r="A83" s="1870"/>
      <c r="B83" s="1689"/>
      <c r="C83" s="214" t="str">
        <f>F!C133</f>
        <v>Neither of above is true, although some groundwater may discharge to or flow through the AA, or groundwater influx is unknown.</v>
      </c>
      <c r="D83" s="213">
        <f>F!D133</f>
        <v>0</v>
      </c>
      <c r="E83" s="389">
        <v>2</v>
      </c>
      <c r="F83" s="389">
        <f>D83*E83</f>
        <v>0</v>
      </c>
      <c r="G83" s="710"/>
      <c r="H83" s="1711"/>
    </row>
    <row r="84" spans="1:9" ht="21" customHeight="1" thickBot="1" x14ac:dyDescent="0.25">
      <c r="A84" s="1869" t="str">
        <f>F!A146</f>
        <v>F33</v>
      </c>
      <c r="B84" s="1687" t="str">
        <f>F!B146</f>
        <v>Deciduous Trees</v>
      </c>
      <c r="C84" s="231" t="str">
        <f>F!C146</f>
        <v>Within the vegetated part of the AA, just the deciduous trees that are taller than 20 ft occupy:</v>
      </c>
      <c r="D84" s="699"/>
      <c r="E84" s="407"/>
      <c r="F84" s="387"/>
      <c r="G84" s="763">
        <f>IF((NoWoodyVeg=1),"",IF((NoTrees=1),"",MAX(F85:F89)/MAX(E85:E89)))</f>
        <v>0</v>
      </c>
      <c r="H84" s="1688" t="s">
        <v>5336</v>
      </c>
      <c r="I84" s="3" t="s">
        <v>2508</v>
      </c>
    </row>
    <row r="85" spans="1:9" ht="15" customHeight="1" x14ac:dyDescent="0.2">
      <c r="A85" s="1869"/>
      <c r="B85" s="1688"/>
      <c r="C85" s="21" t="str">
        <f>F!C147</f>
        <v>&lt;1% of the vegetated AA</v>
      </c>
      <c r="D85" s="46">
        <f>F!D147</f>
        <v>0</v>
      </c>
      <c r="E85" s="388">
        <v>5</v>
      </c>
      <c r="F85" s="388">
        <f>D85*E85</f>
        <v>0</v>
      </c>
      <c r="G85" s="757"/>
      <c r="H85" s="1699"/>
    </row>
    <row r="86" spans="1:9" ht="15" customHeight="1" x14ac:dyDescent="0.2">
      <c r="A86" s="1869"/>
      <c r="B86" s="1688"/>
      <c r="C86" s="6" t="str">
        <f>F!C148</f>
        <v>1-25% of the vegetated AA</v>
      </c>
      <c r="D86" s="46">
        <f>F!D148</f>
        <v>0</v>
      </c>
      <c r="E86" s="388">
        <v>4</v>
      </c>
      <c r="F86" s="388">
        <f>D86*E86</f>
        <v>0</v>
      </c>
      <c r="G86" s="757"/>
      <c r="H86" s="1699"/>
    </row>
    <row r="87" spans="1:9" ht="15" customHeight="1" x14ac:dyDescent="0.2">
      <c r="A87" s="1869"/>
      <c r="B87" s="1688"/>
      <c r="C87" s="6" t="str">
        <f>F!C149</f>
        <v>25-50% of the vegetated AA</v>
      </c>
      <c r="D87" s="46">
        <f>F!D149</f>
        <v>0</v>
      </c>
      <c r="E87" s="388">
        <v>3</v>
      </c>
      <c r="F87" s="388">
        <f>D87*E87</f>
        <v>0</v>
      </c>
      <c r="G87" s="757"/>
      <c r="H87" s="1699"/>
    </row>
    <row r="88" spans="1:9" ht="15" customHeight="1" x14ac:dyDescent="0.2">
      <c r="A88" s="1869"/>
      <c r="B88" s="1688"/>
      <c r="C88" s="6" t="str">
        <f>F!C150</f>
        <v>50-95% of the vegetated AA</v>
      </c>
      <c r="D88" s="46">
        <f>F!D150</f>
        <v>0</v>
      </c>
      <c r="E88" s="388">
        <v>2</v>
      </c>
      <c r="F88" s="388">
        <f>D88*E88</f>
        <v>0</v>
      </c>
      <c r="G88" s="757"/>
      <c r="H88" s="1699"/>
    </row>
    <row r="89" spans="1:9" ht="15.6" customHeight="1" thickBot="1" x14ac:dyDescent="0.25">
      <c r="A89" s="1870"/>
      <c r="B89" s="1689"/>
      <c r="C89" s="214" t="str">
        <f>F!C151</f>
        <v>&gt;95% of the vegetated part of the AA</v>
      </c>
      <c r="D89" s="213">
        <f>F!D151</f>
        <v>0</v>
      </c>
      <c r="E89" s="389">
        <v>1</v>
      </c>
      <c r="F89" s="389">
        <f>D89*E89</f>
        <v>0</v>
      </c>
      <c r="G89" s="758"/>
      <c r="H89" s="1700"/>
    </row>
    <row r="90" spans="1:9" ht="36" customHeight="1" thickBot="1" x14ac:dyDescent="0.25">
      <c r="A90" s="1955" t="str">
        <f>F!A152</f>
        <v>F34</v>
      </c>
      <c r="B90" s="1710" t="str">
        <f>F!B152</f>
        <v>Woody Diameter Classes</v>
      </c>
      <c r="C90" s="385" t="str">
        <f>F!C152</f>
        <v>Mark all the classes of woody plants within the AA, but only IF they comprise more than 5% of the woody canopy within the AA.  Do not count trees that adjoin but are not within the AA.</v>
      </c>
      <c r="D90" s="394"/>
      <c r="E90" s="387"/>
      <c r="F90" s="390"/>
      <c r="G90" s="601">
        <f>IF((NoTrees=1),"",IF((NoWoodyVeg=1),"",((SUM(D91:D98)/8)+(SUM(F91:F98)/12))/2))</f>
        <v>0</v>
      </c>
      <c r="H90" s="1710" t="s">
        <v>5337</v>
      </c>
      <c r="I90" s="3" t="s">
        <v>970</v>
      </c>
    </row>
    <row r="91" spans="1:9" ht="16.149999999999999" customHeight="1" x14ac:dyDescent="0.2">
      <c r="A91" s="1955"/>
      <c r="B91" s="1710"/>
      <c r="C91" s="21" t="str">
        <f>F!C153</f>
        <v>evergreen 1-4" diameter and &gt;3 ft tall</v>
      </c>
      <c r="D91" s="280">
        <f>F!D153</f>
        <v>0</v>
      </c>
      <c r="E91" s="388">
        <v>2</v>
      </c>
      <c r="F91" s="388">
        <f>D91*E91</f>
        <v>0</v>
      </c>
      <c r="G91" s="708"/>
      <c r="H91" s="1710"/>
    </row>
    <row r="92" spans="1:9" ht="16.149999999999999" customHeight="1" x14ac:dyDescent="0.2">
      <c r="A92" s="1955"/>
      <c r="B92" s="1710"/>
      <c r="C92" s="6" t="str">
        <f>F!C154</f>
        <v>deciduous 1-4" diameter and &gt;3 ft tall</v>
      </c>
      <c r="D92" s="46">
        <f>F!D154</f>
        <v>0</v>
      </c>
      <c r="E92" s="388">
        <v>1</v>
      </c>
      <c r="F92" s="388">
        <f t="shared" ref="F92:F98" si="3">D92*E92</f>
        <v>0</v>
      </c>
      <c r="G92" s="709"/>
      <c r="H92" s="1710"/>
    </row>
    <row r="93" spans="1:9" ht="16.149999999999999" customHeight="1" x14ac:dyDescent="0.2">
      <c r="A93" s="1955"/>
      <c r="B93" s="1710"/>
      <c r="C93" s="6" t="str">
        <f>F!C155</f>
        <v>evergreen 4-9" diameter</v>
      </c>
      <c r="D93" s="46">
        <f>F!D155</f>
        <v>0</v>
      </c>
      <c r="E93" s="388">
        <v>2</v>
      </c>
      <c r="F93" s="388">
        <f t="shared" si="3"/>
        <v>0</v>
      </c>
      <c r="G93" s="709"/>
      <c r="H93" s="1710"/>
    </row>
    <row r="94" spans="1:9" ht="16.149999999999999" customHeight="1" x14ac:dyDescent="0.2">
      <c r="A94" s="1955"/>
      <c r="B94" s="1710"/>
      <c r="C94" s="6" t="str">
        <f>F!C156</f>
        <v>deciduous 4-9" diameter</v>
      </c>
      <c r="D94" s="46">
        <f>F!D156</f>
        <v>0</v>
      </c>
      <c r="E94" s="388">
        <v>1</v>
      </c>
      <c r="F94" s="388">
        <f t="shared" si="3"/>
        <v>0</v>
      </c>
      <c r="G94" s="709"/>
      <c r="H94" s="1710"/>
    </row>
    <row r="95" spans="1:9" ht="16.149999999999999" customHeight="1" x14ac:dyDescent="0.2">
      <c r="A95" s="1955"/>
      <c r="B95" s="1710"/>
      <c r="C95" s="6" t="str">
        <f>F!C157</f>
        <v>evergreen 9-21" diameter</v>
      </c>
      <c r="D95" s="46">
        <f>F!D157</f>
        <v>0</v>
      </c>
      <c r="E95" s="388">
        <v>2</v>
      </c>
      <c r="F95" s="388">
        <f t="shared" si="3"/>
        <v>0</v>
      </c>
      <c r="G95" s="709"/>
      <c r="H95" s="1710"/>
    </row>
    <row r="96" spans="1:9" ht="16.149999999999999" customHeight="1" x14ac:dyDescent="0.2">
      <c r="A96" s="1955"/>
      <c r="B96" s="1710"/>
      <c r="C96" s="6" t="str">
        <f>F!C158</f>
        <v>deciduous 9-21" diameter</v>
      </c>
      <c r="D96" s="46">
        <f>F!D158</f>
        <v>0</v>
      </c>
      <c r="E96" s="388">
        <v>1</v>
      </c>
      <c r="F96" s="388">
        <f t="shared" si="3"/>
        <v>0</v>
      </c>
      <c r="G96" s="709"/>
      <c r="H96" s="1710"/>
    </row>
    <row r="97" spans="1:9" ht="16.149999999999999" customHeight="1" x14ac:dyDescent="0.2">
      <c r="A97" s="1955"/>
      <c r="B97" s="1710"/>
      <c r="C97" s="6" t="str">
        <f>F!C159</f>
        <v>evergreen &gt;21" diameter</v>
      </c>
      <c r="D97" s="46">
        <f>F!D159</f>
        <v>0</v>
      </c>
      <c r="E97" s="388">
        <v>2</v>
      </c>
      <c r="F97" s="388">
        <f t="shared" si="3"/>
        <v>0</v>
      </c>
      <c r="G97" s="709"/>
      <c r="H97" s="1710"/>
    </row>
    <row r="98" spans="1:9" ht="16.149999999999999" customHeight="1" thickBot="1" x14ac:dyDescent="0.25">
      <c r="A98" s="1956"/>
      <c r="B98" s="1711"/>
      <c r="C98" s="214" t="str">
        <f>F!C160</f>
        <v>deciduous &gt;21" diameter</v>
      </c>
      <c r="D98" s="213">
        <f>F!D160</f>
        <v>0</v>
      </c>
      <c r="E98" s="389">
        <v>1</v>
      </c>
      <c r="F98" s="389">
        <f t="shared" si="3"/>
        <v>0</v>
      </c>
      <c r="G98" s="710"/>
      <c r="H98" s="1711"/>
    </row>
    <row r="99" spans="1:9" ht="30" customHeight="1" thickBot="1" x14ac:dyDescent="0.25">
      <c r="A99" s="1868" t="str">
        <f>F!A182</f>
        <v>F40</v>
      </c>
      <c r="B99" s="1687" t="str">
        <f>F!B182</f>
        <v>Deciduous Shrubs</v>
      </c>
      <c r="C99" s="111" t="str">
        <f>F!C182</f>
        <v>Woody vegetation in the 3 to 20 ft height class which is deciduous (e.g., blueberry, menziesia, alder) comprises:</v>
      </c>
      <c r="D99" s="635"/>
      <c r="E99" s="392"/>
      <c r="F99" s="393"/>
      <c r="G99" s="600">
        <f>IF((NoWoodyVeg=1),"",IF((NoShrub=1),"",MAX(F100:F104)/MAX(E100:E104)))</f>
        <v>0</v>
      </c>
      <c r="H99" s="1687" t="s">
        <v>5338</v>
      </c>
      <c r="I99" s="3" t="s">
        <v>1765</v>
      </c>
    </row>
    <row r="100" spans="1:9" ht="15" customHeight="1" x14ac:dyDescent="0.2">
      <c r="A100" s="1869"/>
      <c r="B100" s="1688"/>
      <c r="C100" s="384" t="str">
        <f>F!C183</f>
        <v>&lt;1% of the AA's vegetated area, or largest patch occupies less than 400 sq. ft</v>
      </c>
      <c r="D100" s="280">
        <f>F!D183</f>
        <v>0</v>
      </c>
      <c r="E100" s="388">
        <v>4</v>
      </c>
      <c r="F100" s="388">
        <f>D100*E100</f>
        <v>0</v>
      </c>
      <c r="G100" s="709"/>
      <c r="H100" s="1688"/>
    </row>
    <row r="101" spans="1:9" ht="15" customHeight="1" x14ac:dyDescent="0.2">
      <c r="A101" s="1869"/>
      <c r="B101" s="1688"/>
      <c r="C101" s="487" t="str">
        <f>F!C184</f>
        <v>1-25% of the vegetated area</v>
      </c>
      <c r="D101" s="46">
        <f>F!D184</f>
        <v>0</v>
      </c>
      <c r="E101" s="388">
        <v>3</v>
      </c>
      <c r="F101" s="388">
        <f>D101*E101</f>
        <v>0</v>
      </c>
      <c r="G101" s="709"/>
      <c r="H101" s="1688"/>
    </row>
    <row r="102" spans="1:9" ht="15" customHeight="1" x14ac:dyDescent="0.2">
      <c r="A102" s="1869"/>
      <c r="B102" s="1688"/>
      <c r="C102" s="487" t="str">
        <f>F!C185</f>
        <v>25-50% of the vegetated area</v>
      </c>
      <c r="D102" s="46">
        <f>F!D185</f>
        <v>0</v>
      </c>
      <c r="E102" s="388">
        <v>2</v>
      </c>
      <c r="F102" s="388">
        <f>D102*E102</f>
        <v>0</v>
      </c>
      <c r="G102" s="709"/>
      <c r="H102" s="1688"/>
    </row>
    <row r="103" spans="1:9" ht="15" customHeight="1" x14ac:dyDescent="0.2">
      <c r="A103" s="1869"/>
      <c r="B103" s="1688"/>
      <c r="C103" s="487" t="str">
        <f>F!C186</f>
        <v>50-75% of the vegetated area</v>
      </c>
      <c r="D103" s="46">
        <f>F!D186</f>
        <v>0</v>
      </c>
      <c r="E103" s="388">
        <v>1</v>
      </c>
      <c r="F103" s="388">
        <f>D103*E103</f>
        <v>0</v>
      </c>
      <c r="G103" s="709"/>
      <c r="H103" s="1688"/>
    </row>
    <row r="104" spans="1:9" ht="15.6" customHeight="1" thickBot="1" x14ac:dyDescent="0.25">
      <c r="A104" s="1870"/>
      <c r="B104" s="1689"/>
      <c r="C104" s="486" t="str">
        <f>F!C187</f>
        <v>&gt;75% of the vegetated area</v>
      </c>
      <c r="D104" s="213">
        <f>F!D187</f>
        <v>0</v>
      </c>
      <c r="E104" s="389">
        <v>0</v>
      </c>
      <c r="F104" s="389">
        <f>D104*E104</f>
        <v>0</v>
      </c>
      <c r="G104" s="710"/>
      <c r="H104" s="1689"/>
    </row>
    <row r="105" spans="1:9" ht="21" customHeight="1" thickBot="1" x14ac:dyDescent="0.25">
      <c r="A105" s="1869" t="str">
        <f>F!A194</f>
        <v>F42</v>
      </c>
      <c r="B105" s="1688" t="str">
        <f>F!B194</f>
        <v>Dense Moss Extent</v>
      </c>
      <c r="C105" s="385" t="str">
        <f>F!C194</f>
        <v>The cover of mosses that form a dense cushion many inches thick (i.e., Sphagnum and other peat-forming species forming &gt;3 inch thick mat), including the moss obscured by taller sedges, shrubs, and other plants rooted in it, is:</v>
      </c>
      <c r="D105" s="394"/>
      <c r="E105" s="406"/>
      <c r="F105" s="708"/>
      <c r="G105" s="601">
        <f>MAX(F106:F110)/MAX(E106:E110)</f>
        <v>0</v>
      </c>
      <c r="H105" s="1688" t="s">
        <v>5431</v>
      </c>
      <c r="I105" s="3" t="s">
        <v>967</v>
      </c>
    </row>
    <row r="106" spans="1:9" ht="15" customHeight="1" x14ac:dyDescent="0.2">
      <c r="A106" s="1869"/>
      <c r="B106" s="1688"/>
      <c r="C106" s="21" t="str">
        <f>F!C195</f>
        <v>&lt;5% of the vegetated ground cover.</v>
      </c>
      <c r="D106" s="310">
        <f>F!D195</f>
        <v>0</v>
      </c>
      <c r="E106" s="404">
        <v>1</v>
      </c>
      <c r="F106" s="388">
        <f>D106*E106</f>
        <v>0</v>
      </c>
      <c r="G106" s="708"/>
      <c r="H106" s="1688"/>
    </row>
    <row r="107" spans="1:9" ht="15" customHeight="1" x14ac:dyDescent="0.2">
      <c r="A107" s="1869"/>
      <c r="B107" s="1688"/>
      <c r="C107" s="6" t="str">
        <f>F!C196</f>
        <v>5-25% of the vegetated ground cover.</v>
      </c>
      <c r="D107" s="311">
        <f>F!D196</f>
        <v>0</v>
      </c>
      <c r="E107" s="404">
        <v>2</v>
      </c>
      <c r="F107" s="388">
        <f>D107*E107</f>
        <v>0</v>
      </c>
      <c r="G107" s="709"/>
      <c r="H107" s="1688"/>
    </row>
    <row r="108" spans="1:9" ht="15" customHeight="1" x14ac:dyDescent="0.2">
      <c r="A108" s="1869"/>
      <c r="B108" s="1688"/>
      <c r="C108" s="6" t="str">
        <f>F!C197</f>
        <v>25-50% of the vegetated ground cover.</v>
      </c>
      <c r="D108" s="311">
        <f>F!D197</f>
        <v>0</v>
      </c>
      <c r="E108" s="404">
        <v>3</v>
      </c>
      <c r="F108" s="388">
        <f>D108*E108</f>
        <v>0</v>
      </c>
      <c r="G108" s="709"/>
      <c r="H108" s="1688"/>
    </row>
    <row r="109" spans="1:9" ht="15" customHeight="1" x14ac:dyDescent="0.2">
      <c r="A109" s="1869"/>
      <c r="B109" s="1688"/>
      <c r="C109" s="6" t="str">
        <f>F!C198</f>
        <v>50-95% of the vegetated ground cover.</v>
      </c>
      <c r="D109" s="311">
        <f>F!D198</f>
        <v>0</v>
      </c>
      <c r="E109" s="404">
        <v>4</v>
      </c>
      <c r="F109" s="388">
        <f>D109*E109</f>
        <v>0</v>
      </c>
      <c r="G109" s="709"/>
      <c r="H109" s="1688"/>
    </row>
    <row r="110" spans="1:9" ht="15.6" customHeight="1" thickBot="1" x14ac:dyDescent="0.25">
      <c r="A110" s="1870"/>
      <c r="B110" s="1689"/>
      <c r="C110" s="214" t="str">
        <f>F!C199</f>
        <v>&gt;95% of the vegetated ground cover.</v>
      </c>
      <c r="D110" s="312">
        <f>F!D199</f>
        <v>0</v>
      </c>
      <c r="E110" s="405">
        <v>5</v>
      </c>
      <c r="F110" s="389">
        <f>D110*E110</f>
        <v>0</v>
      </c>
      <c r="G110" s="710"/>
      <c r="H110" s="1689"/>
    </row>
    <row r="111" spans="1:9" ht="60" customHeight="1" thickBot="1" x14ac:dyDescent="0.25">
      <c r="A111" s="1868" t="str">
        <f>F!A214</f>
        <v>F46</v>
      </c>
      <c r="B111" s="1687" t="str">
        <f>F!B214</f>
        <v>Soil Texture</v>
      </c>
      <c r="C111" s="231"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11" s="394"/>
      <c r="E111" s="392"/>
      <c r="F111" s="393"/>
      <c r="G111" s="600">
        <f>MAX(F112:F117)/MAX(E112:E117)</f>
        <v>0</v>
      </c>
      <c r="H111" s="1687" t="s">
        <v>2218</v>
      </c>
      <c r="I111" s="3" t="s">
        <v>971</v>
      </c>
    </row>
    <row r="112" spans="1:9" ht="15" customHeight="1" x14ac:dyDescent="0.2">
      <c r="A112" s="1869"/>
      <c r="B112" s="1688"/>
      <c r="C112" s="21" t="str">
        <f>F!C215</f>
        <v>Loamy: includes loam, sandy loam</v>
      </c>
      <c r="D112" s="280">
        <f>F!D215</f>
        <v>0</v>
      </c>
      <c r="E112" s="388">
        <v>2</v>
      </c>
      <c r="F112" s="388">
        <f t="shared" ref="F112:F117" si="4">D112*E112</f>
        <v>0</v>
      </c>
      <c r="G112" s="708"/>
      <c r="H112" s="1688"/>
    </row>
    <row r="113" spans="1:9" ht="15" customHeight="1" x14ac:dyDescent="0.2">
      <c r="A113" s="1869"/>
      <c r="B113" s="1688"/>
      <c r="C113" s="6" t="str">
        <f>F!C216</f>
        <v>Fines: includes silt, glacial flour, clay, clay loam, silty clay, silty clay loam, sandy clay, sandy clay loam.</v>
      </c>
      <c r="D113" s="46">
        <f>F!D216</f>
        <v>0</v>
      </c>
      <c r="E113" s="388">
        <v>0</v>
      </c>
      <c r="F113" s="388">
        <f t="shared" si="4"/>
        <v>0</v>
      </c>
      <c r="G113" s="709"/>
      <c r="H113" s="1688"/>
    </row>
    <row r="114" spans="1:9" ht="15" customHeight="1" x14ac:dyDescent="0.2">
      <c r="A114" s="1869"/>
      <c r="B114" s="1688"/>
      <c r="C114" s="6" t="str">
        <f>F!C217</f>
        <v>Organic, from surface to within 4 inches of surface only.  Exclude live roots unless from moss.</v>
      </c>
      <c r="D114" s="46">
        <f>F!D217</f>
        <v>0</v>
      </c>
      <c r="E114" s="388">
        <v>4</v>
      </c>
      <c r="F114" s="388">
        <f t="shared" si="4"/>
        <v>0</v>
      </c>
      <c r="G114" s="709"/>
      <c r="H114" s="1688"/>
    </row>
    <row r="115" spans="1:9" ht="15" customHeight="1" x14ac:dyDescent="0.2">
      <c r="A115" s="1869"/>
      <c r="B115" s="1688"/>
      <c r="C115" s="6" t="str">
        <f>F!C218</f>
        <v>Organic, from surface to within 16 inches of surface only. Exclude live roots unless from moss.</v>
      </c>
      <c r="D115" s="46">
        <f>F!D218</f>
        <v>0</v>
      </c>
      <c r="E115" s="388">
        <v>5</v>
      </c>
      <c r="F115" s="388">
        <f t="shared" si="4"/>
        <v>0</v>
      </c>
      <c r="G115" s="709"/>
      <c r="H115" s="1688"/>
    </row>
    <row r="116" spans="1:9" ht="15" customHeight="1" x14ac:dyDescent="0.2">
      <c r="A116" s="1869"/>
      <c r="B116" s="1688"/>
      <c r="C116" s="6" t="str">
        <f>F!C219</f>
        <v>Organic, from surface to greater than 16 inch depth. Exclude live roots unless from moss.</v>
      </c>
      <c r="D116" s="46">
        <f>F!D219</f>
        <v>0</v>
      </c>
      <c r="E116" s="388">
        <v>6</v>
      </c>
      <c r="F116" s="388">
        <f t="shared" si="4"/>
        <v>0</v>
      </c>
      <c r="G116" s="718"/>
      <c r="H116" s="1688"/>
    </row>
    <row r="117" spans="1:9" ht="15.6" customHeight="1" thickBot="1" x14ac:dyDescent="0.25">
      <c r="A117" s="1870"/>
      <c r="B117" s="1689"/>
      <c r="C117" s="214" t="str">
        <f>F!C220</f>
        <v>Coarse: includes sand, loamy sand, gravel, cobble, stones, boulders, fluvents, fluvaquents, riverwash.</v>
      </c>
      <c r="D117" s="213">
        <f>F!D220</f>
        <v>0</v>
      </c>
      <c r="E117" s="389">
        <v>1</v>
      </c>
      <c r="F117" s="389">
        <f t="shared" si="4"/>
        <v>0</v>
      </c>
      <c r="G117" s="710"/>
      <c r="H117" s="1689"/>
    </row>
    <row r="118" spans="1:9" ht="21" customHeight="1" thickBot="1" x14ac:dyDescent="0.25">
      <c r="A118" s="1868" t="str">
        <f>F!A245</f>
        <v>F51</v>
      </c>
      <c r="B118" s="1687" t="str">
        <f>F!B245</f>
        <v>Sedge Cover</v>
      </c>
      <c r="C118" s="231" t="str">
        <f>F!C245</f>
        <v>Sedges (Carex spp.) and/or cottongrass (Eriophorum angustifolium) occupy:</v>
      </c>
      <c r="D118" s="635"/>
      <c r="E118" s="392"/>
      <c r="F118" s="393"/>
      <c r="G118" s="600">
        <f>IF((NoHerbCov=1),"",IF((AllForbCov=1),"",MAX(F119:F122)/MAX(E119:E122)))</f>
        <v>0</v>
      </c>
      <c r="H118" s="1687" t="s">
        <v>5339</v>
      </c>
      <c r="I118" s="3" t="s">
        <v>2017</v>
      </c>
    </row>
    <row r="119" spans="1:9" ht="15" customHeight="1" x14ac:dyDescent="0.2">
      <c r="A119" s="1869"/>
      <c r="B119" s="1688"/>
      <c r="C119" s="19" t="str">
        <f>F!C246</f>
        <v>&lt;5% of the vegetated ground cover, or &lt;0.01 acre</v>
      </c>
      <c r="D119" s="380">
        <f>F!D246</f>
        <v>0</v>
      </c>
      <c r="E119" s="388">
        <v>3</v>
      </c>
      <c r="F119" s="388">
        <f>D119*E119</f>
        <v>0</v>
      </c>
      <c r="G119" s="413"/>
      <c r="H119" s="1688"/>
    </row>
    <row r="120" spans="1:9" ht="15" customHeight="1" x14ac:dyDescent="0.2">
      <c r="A120" s="1869"/>
      <c r="B120" s="1688"/>
      <c r="C120" s="470" t="str">
        <f>F!C247</f>
        <v>5-50% of the vegetated ground cover</v>
      </c>
      <c r="D120" s="20">
        <f>F!D247</f>
        <v>0</v>
      </c>
      <c r="E120" s="388">
        <v>2</v>
      </c>
      <c r="F120" s="388">
        <f>D120*E120</f>
        <v>0</v>
      </c>
      <c r="G120" s="413"/>
      <c r="H120" s="1688"/>
    </row>
    <row r="121" spans="1:9" ht="15" customHeight="1" x14ac:dyDescent="0.2">
      <c r="A121" s="1869"/>
      <c r="B121" s="1688"/>
      <c r="C121" s="470" t="str">
        <f>F!C248</f>
        <v>50-95% of the vegetated ground cover</v>
      </c>
      <c r="D121" s="20">
        <f>F!D248</f>
        <v>0</v>
      </c>
      <c r="E121" s="388">
        <v>1</v>
      </c>
      <c r="F121" s="388">
        <f>D121*E121</f>
        <v>0</v>
      </c>
      <c r="G121" s="413"/>
      <c r="H121" s="1688"/>
    </row>
    <row r="122" spans="1:9" ht="15.6" customHeight="1" thickBot="1" x14ac:dyDescent="0.25">
      <c r="A122" s="1870"/>
      <c r="B122" s="1689"/>
      <c r="C122" s="214" t="str">
        <f>F!C249</f>
        <v>&gt;95% of the vegetated ground cover</v>
      </c>
      <c r="D122" s="213">
        <f>F!D249</f>
        <v>0</v>
      </c>
      <c r="E122" s="389">
        <v>0</v>
      </c>
      <c r="F122" s="389">
        <f>D122*E122</f>
        <v>0</v>
      </c>
      <c r="G122" s="417"/>
      <c r="H122" s="1689"/>
    </row>
    <row r="123" spans="1:9" ht="60" customHeight="1" thickBot="1" x14ac:dyDescent="0.25">
      <c r="A123" s="1997" t="str">
        <f>F!A279</f>
        <v>F59</v>
      </c>
      <c r="B123" s="1987" t="str">
        <f>F!B279</f>
        <v>New Wetland</v>
      </c>
      <c r="C123" s="385" t="str">
        <f>F!C279</f>
        <v>The AA is (or is within, or contains) a "new" wetland resulting from human actions (e.g., excavation, impoundment) or debris or lava flows, sea level rise, or other factors affecting what once was upland (non-hydric) soil.</v>
      </c>
      <c r="D123" s="394"/>
      <c r="E123" s="387"/>
      <c r="F123" s="390"/>
      <c r="G123" s="601">
        <f>IF((D129=1),"",MAX(F124:F128)/MAX(E124:E128))</f>
        <v>0</v>
      </c>
      <c r="H123" s="1987" t="s">
        <v>1339</v>
      </c>
      <c r="I123" s="3" t="s">
        <v>973</v>
      </c>
    </row>
    <row r="124" spans="1:9" ht="18" customHeight="1" x14ac:dyDescent="0.2">
      <c r="A124" s="1997"/>
      <c r="B124" s="1987"/>
      <c r="C124" s="21" t="str">
        <f>F!C280</f>
        <v>No</v>
      </c>
      <c r="D124" s="280">
        <f>F!D280</f>
        <v>0</v>
      </c>
      <c r="E124" s="583">
        <v>5</v>
      </c>
      <c r="F124" s="388">
        <f>D124*E124</f>
        <v>0</v>
      </c>
      <c r="G124" s="708"/>
      <c r="H124" s="1987"/>
    </row>
    <row r="125" spans="1:9" ht="18" customHeight="1" x14ac:dyDescent="0.2">
      <c r="A125" s="1997"/>
      <c r="B125" s="1987"/>
      <c r="C125" s="6" t="str">
        <f>F!C281</f>
        <v xml:space="preserve">yes, and most recently created, deglaciated, or uplifted 20 - 100 years ago </v>
      </c>
      <c r="D125" s="46">
        <f>F!D281</f>
        <v>0</v>
      </c>
      <c r="E125" s="391">
        <v>2</v>
      </c>
      <c r="F125" s="388">
        <f>D125*E125</f>
        <v>0</v>
      </c>
      <c r="G125" s="709"/>
      <c r="H125" s="1987"/>
    </row>
    <row r="126" spans="1:9" ht="18" customHeight="1" x14ac:dyDescent="0.2">
      <c r="A126" s="1997"/>
      <c r="B126" s="1987"/>
      <c r="C126" s="6" t="str">
        <f>F!C282</f>
        <v>yes, and most recently created, deglaciated, or uplifted 3-20 years ago</v>
      </c>
      <c r="D126" s="46">
        <f>F!D282</f>
        <v>0</v>
      </c>
      <c r="E126" s="391">
        <v>1</v>
      </c>
      <c r="F126" s="388">
        <f>D126*E126</f>
        <v>0</v>
      </c>
      <c r="G126" s="709"/>
      <c r="H126" s="1987"/>
    </row>
    <row r="127" spans="1:9" ht="18" customHeight="1" x14ac:dyDescent="0.2">
      <c r="A127" s="1997"/>
      <c r="B127" s="1987"/>
      <c r="C127" s="6" t="str">
        <f>F!C283</f>
        <v>yes, and most recently created, deglaciated, or uplifted within last 3 years</v>
      </c>
      <c r="D127" s="46">
        <f>F!D283</f>
        <v>0</v>
      </c>
      <c r="E127" s="391">
        <v>0</v>
      </c>
      <c r="F127" s="388">
        <f>D127*E127</f>
        <v>0</v>
      </c>
      <c r="G127" s="709"/>
      <c r="H127" s="1987"/>
    </row>
    <row r="128" spans="1:9" ht="18" customHeight="1" x14ac:dyDescent="0.2">
      <c r="A128" s="1997"/>
      <c r="B128" s="1987"/>
      <c r="C128" s="6" t="str">
        <f>F!C284</f>
        <v>yes, but time of origin unknown</v>
      </c>
      <c r="D128" s="46">
        <f>F!D284</f>
        <v>0</v>
      </c>
      <c r="E128" s="391">
        <v>1</v>
      </c>
      <c r="F128" s="388">
        <f>D128*E128</f>
        <v>0</v>
      </c>
      <c r="G128" s="709"/>
      <c r="H128" s="1987"/>
    </row>
    <row r="129" spans="1:9" ht="18" customHeight="1" thickBot="1" x14ac:dyDescent="0.25">
      <c r="A129" s="1998"/>
      <c r="B129" s="1988"/>
      <c r="C129" s="214" t="str">
        <f>F!C285</f>
        <v>unknown if new within 20 years or not</v>
      </c>
      <c r="D129" s="213">
        <f>F!D285</f>
        <v>0</v>
      </c>
      <c r="E129" s="389"/>
      <c r="F129" s="389"/>
      <c r="G129" s="710"/>
      <c r="H129" s="1988"/>
    </row>
    <row r="130" spans="1:9" ht="60" customHeight="1" thickBot="1" x14ac:dyDescent="0.25">
      <c r="A130" s="42" t="str">
        <f>S!A2</f>
        <v>S1</v>
      </c>
      <c r="B130" s="109" t="str">
        <f>S!B2</f>
        <v>Wetter Water Regime - Internal Causes</v>
      </c>
      <c r="C130" s="747" t="s">
        <v>1923</v>
      </c>
      <c r="D130" s="764">
        <f>S!F18</f>
        <v>0</v>
      </c>
      <c r="E130" s="401"/>
      <c r="F130" s="401"/>
      <c r="G130" s="424">
        <f>1-D130</f>
        <v>1</v>
      </c>
      <c r="H130" s="109" t="s">
        <v>1921</v>
      </c>
      <c r="I130" s="3" t="s">
        <v>2014</v>
      </c>
    </row>
    <row r="131" spans="1:9" ht="99" customHeight="1" thickBot="1" x14ac:dyDescent="0.25">
      <c r="A131" s="541" t="str">
        <f>S!A124</f>
        <v>S9</v>
      </c>
      <c r="B131" s="49" t="str">
        <f>S!B124</f>
        <v>Soil or Sediment Alteration Within the Assessment Area</v>
      </c>
      <c r="C131" s="703" t="s">
        <v>1923</v>
      </c>
      <c r="D131" s="765">
        <f>S!F141</f>
        <v>0</v>
      </c>
      <c r="E131" s="400"/>
      <c r="F131" s="400"/>
      <c r="G131" s="600">
        <f>1-D131</f>
        <v>1</v>
      </c>
      <c r="H131" s="211" t="s">
        <v>1922</v>
      </c>
      <c r="I131" s="3" t="s">
        <v>2015</v>
      </c>
    </row>
    <row r="132" spans="1:9" ht="21" customHeight="1" thickBot="1" x14ac:dyDescent="0.25">
      <c r="A132" s="1889"/>
      <c r="B132" s="1889"/>
      <c r="C132" s="1889"/>
      <c r="D132" s="1889"/>
      <c r="E132" s="1889"/>
      <c r="F132" s="1889"/>
      <c r="G132" s="1889"/>
      <c r="H132" s="1972"/>
    </row>
    <row r="133" spans="1:9" ht="30" customHeight="1" x14ac:dyDescent="0.2">
      <c r="A133" s="1862"/>
      <c r="B133" s="1862"/>
      <c r="C133" s="1863"/>
      <c r="D133" s="1999" t="s">
        <v>2375</v>
      </c>
      <c r="E133" s="2000"/>
      <c r="F133" s="2001"/>
      <c r="G133" s="539">
        <f xml:space="preserve"> IF((NotNewWet=1), AVERAGE(Wettype5,MossCov5,SoilDisturb5, SoilTex5, AVERAGE(DecidPct5,DecidTree5,Warmth5,VwidthAbs5)),NewWet5)</f>
        <v>0</v>
      </c>
      <c r="H133" s="744" t="s">
        <v>2536</v>
      </c>
    </row>
    <row r="134" spans="1:9" ht="21" customHeight="1" x14ac:dyDescent="0.2">
      <c r="A134" s="1862"/>
      <c r="B134" s="1862"/>
      <c r="C134" s="1863"/>
      <c r="D134" s="1948" t="s">
        <v>2582</v>
      </c>
      <c r="E134" s="1949"/>
      <c r="F134" s="1950"/>
      <c r="G134" s="540">
        <f>AVERAGE(Depth5, AVERAGE(Freeze5,Elev5,Warmth5),MossCov5, Wettype5, Constric5)</f>
        <v>0.1</v>
      </c>
      <c r="H134" s="729" t="s">
        <v>2583</v>
      </c>
    </row>
    <row r="135" spans="1:9" ht="21" customHeight="1" x14ac:dyDescent="0.2">
      <c r="A135" s="1862"/>
      <c r="B135" s="1862"/>
      <c r="C135" s="1863"/>
      <c r="D135" s="1989" t="s">
        <v>2377</v>
      </c>
      <c r="E135" s="1990"/>
      <c r="F135" s="1991"/>
      <c r="G135" s="540">
        <f xml:space="preserve"> AVERAGE(OutDura5,Gradient5,ISOwet5)</f>
        <v>0</v>
      </c>
      <c r="H135" s="216" t="s">
        <v>1772</v>
      </c>
    </row>
    <row r="136" spans="1:9" ht="21" customHeight="1" thickBot="1" x14ac:dyDescent="0.25">
      <c r="A136" s="1862"/>
      <c r="B136" s="1862"/>
      <c r="C136" s="1863"/>
      <c r="D136" s="1992" t="s">
        <v>2376</v>
      </c>
      <c r="E136" s="1993"/>
      <c r="F136" s="1994"/>
      <c r="G136" s="535">
        <f>AVERAGE(MossCov5,Sedge5,SeasWpct5,Fluctu5,TreeForm5,SoilDisturb5,Wetter5, GroundW5,PermWpct5)</f>
        <v>0.22222222222222221</v>
      </c>
      <c r="H136" s="730" t="s">
        <v>2018</v>
      </c>
    </row>
    <row r="137" spans="1:9" ht="21" customHeight="1" thickBot="1" x14ac:dyDescent="0.25">
      <c r="A137" s="1862"/>
      <c r="B137" s="1862"/>
      <c r="C137" s="2006"/>
      <c r="D137" s="2006"/>
      <c r="E137" s="2006"/>
      <c r="F137" s="2006"/>
      <c r="G137" s="2006"/>
      <c r="H137" s="2007"/>
      <c r="I137" s="8"/>
    </row>
    <row r="138" spans="1:9" ht="30" customHeight="1" thickBot="1" x14ac:dyDescent="0.25">
      <c r="A138" s="1862"/>
      <c r="B138" s="1862"/>
      <c r="C138" s="1874" t="s">
        <v>52</v>
      </c>
      <c r="D138" s="1875"/>
      <c r="E138" s="1876"/>
      <c r="F138" s="546" t="s">
        <v>141</v>
      </c>
      <c r="G138" s="745">
        <f>10*((2*MAX(HistAccum5, PhysAccum5) + Productiv + 3*MethLimit5) /6)</f>
        <v>1.2777777777777777</v>
      </c>
      <c r="H138" s="49" t="s">
        <v>1771</v>
      </c>
      <c r="I138" s="8"/>
    </row>
    <row r="139" spans="1:9" ht="30" customHeight="1" thickBot="1" x14ac:dyDescent="0.25">
      <c r="A139" s="1862"/>
      <c r="B139" s="1862"/>
      <c r="C139" s="1874" t="s">
        <v>53</v>
      </c>
      <c r="D139" s="1875"/>
      <c r="E139" s="1876"/>
      <c r="F139" s="546" t="s">
        <v>142</v>
      </c>
      <c r="G139" s="746"/>
      <c r="H139" s="49" t="s">
        <v>1135</v>
      </c>
      <c r="I139" s="8"/>
    </row>
    <row r="140" spans="1:9" ht="21" customHeight="1" thickBot="1" x14ac:dyDescent="0.25">
      <c r="A140" s="1862"/>
      <c r="B140" s="1862"/>
      <c r="C140" s="1862"/>
      <c r="D140" s="1862"/>
      <c r="E140" s="1862"/>
      <c r="F140" s="1862"/>
      <c r="G140" s="1862"/>
      <c r="H140" s="3"/>
    </row>
    <row r="141" spans="1:9" ht="21" customHeight="1" thickBot="1" x14ac:dyDescent="0.25">
      <c r="A141" s="1862"/>
      <c r="B141" s="1862"/>
      <c r="C141" s="1862"/>
      <c r="D141" s="1862"/>
      <c r="E141" s="1862"/>
      <c r="F141" s="1862"/>
      <c r="G141" s="1862"/>
      <c r="H141" s="80" t="s">
        <v>1345</v>
      </c>
    </row>
    <row r="142" spans="1:9" ht="27" customHeight="1" x14ac:dyDescent="0.2">
      <c r="A142" s="1862"/>
      <c r="B142" s="1862"/>
      <c r="C142" s="1862"/>
      <c r="D142" s="1862"/>
      <c r="E142" s="1862"/>
      <c r="F142" s="1862"/>
      <c r="G142" s="1862"/>
      <c r="H142" s="141" t="s">
        <v>1452</v>
      </c>
    </row>
    <row r="143" spans="1:9" ht="27" customHeight="1" x14ac:dyDescent="0.2">
      <c r="A143" s="1862"/>
      <c r="B143" s="1862"/>
      <c r="C143" s="1862"/>
      <c r="D143" s="1862"/>
      <c r="E143" s="1862"/>
      <c r="F143" s="1862"/>
      <c r="G143" s="1862"/>
      <c r="H143" s="611" t="s">
        <v>5429</v>
      </c>
    </row>
    <row r="144" spans="1:9" ht="27" customHeight="1" x14ac:dyDescent="0.2">
      <c r="A144" s="1862"/>
      <c r="B144" s="1862"/>
      <c r="C144" s="1862"/>
      <c r="D144" s="1862"/>
      <c r="E144" s="1862"/>
      <c r="F144" s="1862"/>
      <c r="G144" s="1862"/>
      <c r="H144" s="118" t="s">
        <v>1453</v>
      </c>
    </row>
    <row r="145" spans="1:8" ht="42" customHeight="1" x14ac:dyDescent="0.2">
      <c r="A145" s="1862"/>
      <c r="B145" s="1862"/>
      <c r="C145" s="1862"/>
      <c r="D145" s="1862"/>
      <c r="E145" s="1862"/>
      <c r="F145" s="1862"/>
      <c r="G145" s="1862"/>
      <c r="H145" s="118" t="s">
        <v>1413</v>
      </c>
    </row>
    <row r="146" spans="1:8" ht="27" customHeight="1" x14ac:dyDescent="0.2">
      <c r="A146" s="1862"/>
      <c r="B146" s="1862"/>
      <c r="C146" s="1862"/>
      <c r="D146" s="1862"/>
      <c r="E146" s="1862"/>
      <c r="F146" s="1862"/>
      <c r="G146" s="1862"/>
      <c r="H146" s="118" t="s">
        <v>1454</v>
      </c>
    </row>
    <row r="147" spans="1:8" ht="27" customHeight="1" x14ac:dyDescent="0.2">
      <c r="A147" s="1862"/>
      <c r="B147" s="1862"/>
      <c r="C147" s="1862"/>
      <c r="D147" s="1862"/>
      <c r="E147" s="1862"/>
      <c r="F147" s="1862"/>
      <c r="G147" s="1862"/>
      <c r="H147" s="118" t="s">
        <v>1455</v>
      </c>
    </row>
    <row r="148" spans="1:8" ht="27" customHeight="1" x14ac:dyDescent="0.2">
      <c r="A148" s="1862"/>
      <c r="B148" s="1862"/>
      <c r="C148" s="1862"/>
      <c r="D148" s="1862"/>
      <c r="E148" s="1862"/>
      <c r="F148" s="1862"/>
      <c r="G148" s="1862"/>
      <c r="H148" s="118" t="s">
        <v>1456</v>
      </c>
    </row>
    <row r="149" spans="1:8" ht="27" customHeight="1" x14ac:dyDescent="0.2">
      <c r="A149" s="1862"/>
      <c r="B149" s="1862"/>
      <c r="C149" s="1862"/>
      <c r="D149" s="1862"/>
      <c r="E149" s="1862"/>
      <c r="F149" s="1862"/>
      <c r="G149" s="1862"/>
      <c r="H149" s="118" t="s">
        <v>1457</v>
      </c>
    </row>
    <row r="150" spans="1:8" ht="27" customHeight="1" x14ac:dyDescent="0.2">
      <c r="A150" s="1862"/>
      <c r="B150" s="1862"/>
      <c r="C150" s="1862"/>
      <c r="D150" s="1862"/>
      <c r="E150" s="1862"/>
      <c r="F150" s="1862"/>
      <c r="G150" s="1862"/>
      <c r="H150" s="118" t="s">
        <v>1458</v>
      </c>
    </row>
    <row r="151" spans="1:8" ht="27" customHeight="1" x14ac:dyDescent="0.2">
      <c r="A151" s="1862"/>
      <c r="B151" s="1862"/>
      <c r="C151" s="1862"/>
      <c r="D151" s="1862"/>
      <c r="E151" s="1862"/>
      <c r="F151" s="1862"/>
      <c r="G151" s="1862"/>
      <c r="H151" s="118" t="s">
        <v>1459</v>
      </c>
    </row>
    <row r="152" spans="1:8" ht="27" customHeight="1" x14ac:dyDescent="0.2">
      <c r="A152" s="1862"/>
      <c r="B152" s="1862"/>
      <c r="C152" s="1862"/>
      <c r="D152" s="1862"/>
      <c r="E152" s="1862"/>
      <c r="F152" s="1862"/>
      <c r="G152" s="1862"/>
      <c r="H152" s="118" t="s">
        <v>1460</v>
      </c>
    </row>
    <row r="153" spans="1:8" ht="42" customHeight="1" x14ac:dyDescent="0.2">
      <c r="A153" s="1862"/>
      <c r="B153" s="1862"/>
      <c r="C153" s="1862"/>
      <c r="D153" s="1862"/>
      <c r="E153" s="1862"/>
      <c r="F153" s="1862"/>
      <c r="G153" s="1862"/>
      <c r="H153" s="118" t="s">
        <v>1419</v>
      </c>
    </row>
    <row r="154" spans="1:8" ht="42" customHeight="1" x14ac:dyDescent="0.2">
      <c r="A154" s="1862"/>
      <c r="B154" s="1862"/>
      <c r="C154" s="1862"/>
      <c r="D154" s="1862"/>
      <c r="E154" s="1862"/>
      <c r="F154" s="1862"/>
      <c r="G154" s="1862"/>
      <c r="H154" s="118" t="s">
        <v>1420</v>
      </c>
    </row>
    <row r="155" spans="1:8" ht="27" customHeight="1" x14ac:dyDescent="0.2">
      <c r="A155" s="1862"/>
      <c r="B155" s="1862"/>
      <c r="C155" s="1862"/>
      <c r="D155" s="1862"/>
      <c r="E155" s="1862"/>
      <c r="F155" s="1862"/>
      <c r="G155" s="1862"/>
      <c r="H155" s="118" t="s">
        <v>1461</v>
      </c>
    </row>
    <row r="156" spans="1:8" ht="42" customHeight="1" x14ac:dyDescent="0.2">
      <c r="A156" s="1862"/>
      <c r="B156" s="1862"/>
      <c r="C156" s="1862"/>
      <c r="D156" s="1862"/>
      <c r="E156" s="1862"/>
      <c r="F156" s="1862"/>
      <c r="G156" s="1862"/>
      <c r="H156" s="118" t="s">
        <v>1462</v>
      </c>
    </row>
    <row r="157" spans="1:8" ht="27" customHeight="1" x14ac:dyDescent="0.2">
      <c r="A157" s="1862"/>
      <c r="B157" s="1862"/>
      <c r="C157" s="1862"/>
      <c r="D157" s="1862"/>
      <c r="E157" s="1862"/>
      <c r="F157" s="1862"/>
      <c r="G157" s="1862"/>
      <c r="H157" s="118" t="s">
        <v>1421</v>
      </c>
    </row>
    <row r="158" spans="1:8" ht="54" customHeight="1" x14ac:dyDescent="0.2">
      <c r="A158" s="1862"/>
      <c r="B158" s="1862"/>
      <c r="C158" s="1862"/>
      <c r="D158" s="1862"/>
      <c r="E158" s="1862"/>
      <c r="F158" s="1862"/>
      <c r="G158" s="1862"/>
      <c r="H158" s="118" t="s">
        <v>1463</v>
      </c>
    </row>
    <row r="159" spans="1:8" ht="27" customHeight="1" x14ac:dyDescent="0.2">
      <c r="A159" s="1862"/>
      <c r="B159" s="1862"/>
      <c r="C159" s="1862"/>
      <c r="D159" s="1862"/>
      <c r="E159" s="1862"/>
      <c r="F159" s="1862"/>
      <c r="G159" s="1862"/>
      <c r="H159" s="118" t="s">
        <v>1464</v>
      </c>
    </row>
    <row r="160" spans="1:8" ht="42" customHeight="1" x14ac:dyDescent="0.2">
      <c r="A160" s="1862"/>
      <c r="B160" s="1862"/>
      <c r="C160" s="1862"/>
      <c r="D160" s="1862"/>
      <c r="E160" s="1862"/>
      <c r="F160" s="1862"/>
      <c r="G160" s="1862"/>
      <c r="H160" s="118" t="s">
        <v>1465</v>
      </c>
    </row>
    <row r="161" spans="1:8" ht="27" customHeight="1" x14ac:dyDescent="0.2">
      <c r="A161" s="1862"/>
      <c r="B161" s="1862"/>
      <c r="C161" s="1862"/>
      <c r="D161" s="1862"/>
      <c r="E161" s="1862"/>
      <c r="F161" s="1862"/>
      <c r="G161" s="1862"/>
      <c r="H161" s="118" t="s">
        <v>1466</v>
      </c>
    </row>
    <row r="162" spans="1:8" ht="54" customHeight="1" x14ac:dyDescent="0.2">
      <c r="A162" s="1862"/>
      <c r="B162" s="1862"/>
      <c r="C162" s="1862"/>
      <c r="D162" s="1862"/>
      <c r="E162" s="1862"/>
      <c r="F162" s="1862"/>
      <c r="G162" s="1862"/>
      <c r="H162" s="118" t="s">
        <v>1467</v>
      </c>
    </row>
    <row r="163" spans="1:8" ht="42" customHeight="1" x14ac:dyDescent="0.2">
      <c r="A163" s="1862"/>
      <c r="B163" s="1862"/>
      <c r="C163" s="1862"/>
      <c r="D163" s="1862"/>
      <c r="E163" s="1862"/>
      <c r="F163" s="1862"/>
      <c r="G163" s="1862"/>
      <c r="H163" s="118" t="s">
        <v>1468</v>
      </c>
    </row>
    <row r="164" spans="1:8" ht="27" customHeight="1" x14ac:dyDescent="0.2">
      <c r="A164" s="1862"/>
      <c r="B164" s="1862"/>
      <c r="C164" s="1862"/>
      <c r="D164" s="1862"/>
      <c r="E164" s="1862"/>
      <c r="F164" s="1862"/>
      <c r="G164" s="1862"/>
      <c r="H164" s="118" t="s">
        <v>1469</v>
      </c>
    </row>
    <row r="165" spans="1:8" ht="27" customHeight="1" x14ac:dyDescent="0.2">
      <c r="A165" s="1862"/>
      <c r="B165" s="1862"/>
      <c r="C165" s="1862"/>
      <c r="D165" s="1862"/>
      <c r="E165" s="1862"/>
      <c r="F165" s="1862"/>
      <c r="G165" s="1862"/>
      <c r="H165" s="118" t="s">
        <v>1470</v>
      </c>
    </row>
    <row r="166" spans="1:8" ht="27" customHeight="1" x14ac:dyDescent="0.2">
      <c r="A166" s="1862"/>
      <c r="B166" s="1862"/>
      <c r="C166" s="1862"/>
      <c r="D166" s="1862"/>
      <c r="E166" s="1862"/>
      <c r="F166" s="1862"/>
      <c r="G166" s="1862"/>
      <c r="H166" s="118" t="s">
        <v>1471</v>
      </c>
    </row>
    <row r="167" spans="1:8" ht="42" customHeight="1" x14ac:dyDescent="0.2">
      <c r="A167" s="1862"/>
      <c r="B167" s="1862"/>
      <c r="C167" s="1862"/>
      <c r="D167" s="1862"/>
      <c r="E167" s="1862"/>
      <c r="F167" s="1862"/>
      <c r="G167" s="1862"/>
      <c r="H167" s="118" t="s">
        <v>1472</v>
      </c>
    </row>
    <row r="168" spans="1:8" ht="27" customHeight="1" x14ac:dyDescent="0.2">
      <c r="A168" s="1862"/>
      <c r="B168" s="1862"/>
      <c r="C168" s="1862"/>
      <c r="D168" s="1862"/>
      <c r="E168" s="1862"/>
      <c r="F168" s="1862"/>
      <c r="G168" s="1862"/>
      <c r="H168" s="118" t="s">
        <v>1473</v>
      </c>
    </row>
    <row r="169" spans="1:8" ht="27" customHeight="1" x14ac:dyDescent="0.2">
      <c r="A169" s="1862"/>
      <c r="B169" s="1862"/>
      <c r="C169" s="1862"/>
      <c r="D169" s="1862"/>
      <c r="E169" s="1862"/>
      <c r="F169" s="1862"/>
      <c r="G169" s="1862"/>
      <c r="H169" s="118" t="s">
        <v>2217</v>
      </c>
    </row>
    <row r="170" spans="1:8" ht="21" customHeight="1" x14ac:dyDescent="0.2">
      <c r="A170" s="1862"/>
      <c r="B170" s="1862"/>
      <c r="C170" s="1862"/>
      <c r="D170" s="1862"/>
      <c r="E170" s="1862"/>
      <c r="F170" s="1862"/>
      <c r="G170" s="1862"/>
      <c r="H170" s="118" t="s">
        <v>1474</v>
      </c>
    </row>
    <row r="171" spans="1:8" ht="42" customHeight="1" x14ac:dyDescent="0.2">
      <c r="A171" s="1862"/>
      <c r="B171" s="1862"/>
      <c r="C171" s="1862"/>
      <c r="D171" s="1862"/>
      <c r="E171" s="1862"/>
      <c r="F171" s="1862"/>
      <c r="G171" s="1862"/>
      <c r="H171" s="118" t="s">
        <v>1475</v>
      </c>
    </row>
    <row r="172" spans="1:8" ht="27" customHeight="1" x14ac:dyDescent="0.2">
      <c r="A172" s="1862"/>
      <c r="B172" s="1862"/>
      <c r="C172" s="1862"/>
      <c r="D172" s="1862"/>
      <c r="E172" s="1862"/>
      <c r="F172" s="1862"/>
      <c r="G172" s="1862"/>
      <c r="H172" s="118" t="s">
        <v>1476</v>
      </c>
    </row>
    <row r="173" spans="1:8" ht="27" customHeight="1" x14ac:dyDescent="0.2">
      <c r="A173" s="1862"/>
      <c r="B173" s="1862"/>
      <c r="C173" s="1862"/>
      <c r="D173" s="1862"/>
      <c r="E173" s="1862"/>
      <c r="F173" s="1862"/>
      <c r="G173" s="1862"/>
      <c r="H173" s="118" t="s">
        <v>1477</v>
      </c>
    </row>
    <row r="174" spans="1:8" ht="42" customHeight="1" x14ac:dyDescent="0.2">
      <c r="A174" s="1862"/>
      <c r="B174" s="1862"/>
      <c r="C174" s="1862"/>
      <c r="D174" s="1862"/>
      <c r="E174" s="1862"/>
      <c r="F174" s="1862"/>
      <c r="G174" s="1862"/>
      <c r="H174" s="118" t="s">
        <v>1478</v>
      </c>
    </row>
    <row r="175" spans="1:8" ht="42" customHeight="1" x14ac:dyDescent="0.2">
      <c r="A175" s="1862"/>
      <c r="B175" s="1862"/>
      <c r="C175" s="1862"/>
      <c r="D175" s="1862"/>
      <c r="E175" s="1862"/>
      <c r="F175" s="1862"/>
      <c r="G175" s="1862"/>
      <c r="H175" s="118" t="s">
        <v>1479</v>
      </c>
    </row>
    <row r="176" spans="1:8" ht="27" customHeight="1" x14ac:dyDescent="0.2">
      <c r="A176" s="1862"/>
      <c r="B176" s="1862"/>
      <c r="C176" s="1862"/>
      <c r="D176" s="1862"/>
      <c r="E176" s="1862"/>
      <c r="F176" s="1862"/>
      <c r="G176" s="1862"/>
      <c r="H176" s="118" t="s">
        <v>1480</v>
      </c>
    </row>
    <row r="177" spans="1:8" ht="27" customHeight="1" x14ac:dyDescent="0.2">
      <c r="A177" s="1862"/>
      <c r="B177" s="1862"/>
      <c r="C177" s="1862"/>
      <c r="D177" s="1862"/>
      <c r="E177" s="1862"/>
      <c r="F177" s="1862"/>
      <c r="G177" s="1862"/>
      <c r="H177" s="118" t="s">
        <v>1481</v>
      </c>
    </row>
    <row r="178" spans="1:8" ht="27" customHeight="1" x14ac:dyDescent="0.2">
      <c r="A178" s="1862"/>
      <c r="B178" s="1862"/>
      <c r="C178" s="1862"/>
      <c r="D178" s="1862"/>
      <c r="E178" s="1862"/>
      <c r="F178" s="1862"/>
      <c r="G178" s="1862"/>
      <c r="H178" s="118" t="s">
        <v>1482</v>
      </c>
    </row>
    <row r="179" spans="1:8" ht="54" customHeight="1" x14ac:dyDescent="0.2">
      <c r="A179" s="1862"/>
      <c r="B179" s="1862"/>
      <c r="C179" s="1862"/>
      <c r="D179" s="1862"/>
      <c r="E179" s="1862"/>
      <c r="F179" s="1862"/>
      <c r="G179" s="1862"/>
      <c r="H179" s="118" t="s">
        <v>1483</v>
      </c>
    </row>
    <row r="180" spans="1:8" ht="27" customHeight="1" x14ac:dyDescent="0.2">
      <c r="A180" s="1862"/>
      <c r="B180" s="1862"/>
      <c r="C180" s="1862"/>
      <c r="D180" s="1862"/>
      <c r="E180" s="1862"/>
      <c r="F180" s="1862"/>
      <c r="G180" s="1862"/>
      <c r="H180" s="118" t="s">
        <v>1484</v>
      </c>
    </row>
    <row r="181" spans="1:8" ht="27" customHeight="1" x14ac:dyDescent="0.2">
      <c r="A181" s="1862"/>
      <c r="B181" s="1862"/>
      <c r="C181" s="1862"/>
      <c r="D181" s="1862"/>
      <c r="E181" s="1862"/>
      <c r="F181" s="1862"/>
      <c r="G181" s="1862"/>
      <c r="H181" s="118" t="s">
        <v>1485</v>
      </c>
    </row>
    <row r="182" spans="1:8" ht="42" customHeight="1" x14ac:dyDescent="0.2">
      <c r="A182" s="1862"/>
      <c r="B182" s="1862"/>
      <c r="C182" s="1862"/>
      <c r="D182" s="1862"/>
      <c r="E182" s="1862"/>
      <c r="F182" s="1862"/>
      <c r="G182" s="1862"/>
      <c r="H182" s="118" t="s">
        <v>1486</v>
      </c>
    </row>
    <row r="183" spans="1:8" ht="42" customHeight="1" x14ac:dyDescent="0.2">
      <c r="A183" s="1862"/>
      <c r="B183" s="1862"/>
      <c r="C183" s="1862"/>
      <c r="D183" s="1862"/>
      <c r="E183" s="1862"/>
      <c r="F183" s="1862"/>
      <c r="G183" s="1862"/>
      <c r="H183" s="118" t="s">
        <v>1487</v>
      </c>
    </row>
    <row r="184" spans="1:8" ht="54" customHeight="1" x14ac:dyDescent="0.2">
      <c r="A184" s="1862"/>
      <c r="B184" s="1862"/>
      <c r="C184" s="1862"/>
      <c r="D184" s="1862"/>
      <c r="E184" s="1862"/>
      <c r="F184" s="1862"/>
      <c r="G184" s="1862"/>
      <c r="H184" s="118" t="s">
        <v>1488</v>
      </c>
    </row>
    <row r="185" spans="1:8" ht="27" customHeight="1" x14ac:dyDescent="0.2">
      <c r="A185" s="1862"/>
      <c r="B185" s="1862"/>
      <c r="C185" s="1862"/>
      <c r="D185" s="1862"/>
      <c r="E185" s="1862"/>
      <c r="F185" s="1862"/>
      <c r="G185" s="1862"/>
      <c r="H185" s="118" t="s">
        <v>1489</v>
      </c>
    </row>
    <row r="186" spans="1:8" ht="27" customHeight="1" x14ac:dyDescent="0.2">
      <c r="A186" s="1862"/>
      <c r="B186" s="1862"/>
      <c r="C186" s="1862"/>
      <c r="D186" s="1862"/>
      <c r="E186" s="1862"/>
      <c r="F186" s="1862"/>
      <c r="G186" s="1862"/>
      <c r="H186" s="118" t="s">
        <v>1490</v>
      </c>
    </row>
    <row r="187" spans="1:8" ht="42" customHeight="1" x14ac:dyDescent="0.2">
      <c r="A187" s="1862"/>
      <c r="B187" s="1862"/>
      <c r="C187" s="1862"/>
      <c r="D187" s="1862"/>
      <c r="E187" s="1862"/>
      <c r="F187" s="1862"/>
      <c r="G187" s="1862"/>
      <c r="H187" s="118" t="s">
        <v>1491</v>
      </c>
    </row>
    <row r="188" spans="1:8" ht="42" customHeight="1" x14ac:dyDescent="0.2">
      <c r="A188" s="1862"/>
      <c r="B188" s="1862"/>
      <c r="C188" s="1862"/>
      <c r="D188" s="1862"/>
      <c r="E188" s="1862"/>
      <c r="F188" s="1862"/>
      <c r="G188" s="1862"/>
      <c r="H188" s="118" t="s">
        <v>1386</v>
      </c>
    </row>
    <row r="189" spans="1:8" ht="27" customHeight="1" x14ac:dyDescent="0.2">
      <c r="A189" s="1862"/>
      <c r="B189" s="1862"/>
      <c r="C189" s="1862"/>
      <c r="D189" s="1862"/>
      <c r="E189" s="1862"/>
      <c r="F189" s="1862"/>
      <c r="G189" s="1862"/>
      <c r="H189" s="118" t="s">
        <v>1492</v>
      </c>
    </row>
    <row r="190" spans="1:8" ht="42" customHeight="1" x14ac:dyDescent="0.2">
      <c r="A190" s="1862"/>
      <c r="B190" s="1862"/>
      <c r="C190" s="1862"/>
      <c r="D190" s="1862"/>
      <c r="E190" s="1862"/>
      <c r="F190" s="1862"/>
      <c r="G190" s="1862"/>
      <c r="H190" s="118" t="s">
        <v>1493</v>
      </c>
    </row>
    <row r="191" spans="1:8" ht="27" customHeight="1" x14ac:dyDescent="0.2">
      <c r="A191" s="1862"/>
      <c r="B191" s="1862"/>
      <c r="C191" s="1862"/>
      <c r="D191" s="1862"/>
      <c r="E191" s="1862"/>
      <c r="F191" s="1862"/>
      <c r="G191" s="1862"/>
      <c r="H191" s="118" t="s">
        <v>1494</v>
      </c>
    </row>
    <row r="192" spans="1:8" ht="42" customHeight="1" x14ac:dyDescent="0.2">
      <c r="A192" s="1862"/>
      <c r="B192" s="1862"/>
      <c r="C192" s="1862"/>
      <c r="D192" s="1862"/>
      <c r="E192" s="1862"/>
      <c r="F192" s="1862"/>
      <c r="G192" s="1862"/>
      <c r="H192" s="118" t="s">
        <v>1495</v>
      </c>
    </row>
    <row r="193" spans="1:8" ht="84" customHeight="1" x14ac:dyDescent="0.2">
      <c r="A193" s="1862"/>
      <c r="B193" s="1862"/>
      <c r="C193" s="1862"/>
      <c r="D193" s="1862"/>
      <c r="E193" s="1862"/>
      <c r="F193" s="1862"/>
      <c r="G193" s="1862"/>
      <c r="H193" s="118" t="s">
        <v>5552</v>
      </c>
    </row>
    <row r="194" spans="1:8" ht="27" customHeight="1" x14ac:dyDescent="0.2">
      <c r="A194" s="1862"/>
      <c r="B194" s="1862"/>
      <c r="C194" s="1862"/>
      <c r="D194" s="1862"/>
      <c r="E194" s="1862"/>
      <c r="F194" s="1862"/>
      <c r="G194" s="1862"/>
      <c r="H194" s="118" t="s">
        <v>1496</v>
      </c>
    </row>
    <row r="195" spans="1:8" ht="27" customHeight="1" x14ac:dyDescent="0.2">
      <c r="A195" s="1862"/>
      <c r="B195" s="1862"/>
      <c r="C195" s="1862"/>
      <c r="D195" s="1862"/>
      <c r="E195" s="1862"/>
      <c r="F195" s="1862"/>
      <c r="G195" s="1862"/>
      <c r="H195" s="118" t="s">
        <v>1497</v>
      </c>
    </row>
    <row r="196" spans="1:8" ht="27" customHeight="1" x14ac:dyDescent="0.2">
      <c r="A196" s="1862"/>
      <c r="B196" s="1862"/>
      <c r="C196" s="1862"/>
      <c r="D196" s="1862"/>
      <c r="E196" s="1862"/>
      <c r="F196" s="1862"/>
      <c r="G196" s="1862"/>
      <c r="H196" s="118" t="s">
        <v>1773</v>
      </c>
    </row>
    <row r="197" spans="1:8" ht="27" customHeight="1" x14ac:dyDescent="0.2">
      <c r="A197" s="1862"/>
      <c r="B197" s="1862"/>
      <c r="C197" s="1862"/>
      <c r="D197" s="1862"/>
      <c r="E197" s="1862"/>
      <c r="F197" s="1862"/>
      <c r="G197" s="1862"/>
      <c r="H197" s="118" t="s">
        <v>1498</v>
      </c>
    </row>
    <row r="198" spans="1:8" ht="27" customHeight="1" x14ac:dyDescent="0.2">
      <c r="A198" s="1862"/>
      <c r="B198" s="1862"/>
      <c r="C198" s="1862"/>
      <c r="D198" s="1862"/>
      <c r="E198" s="1862"/>
      <c r="F198" s="1862"/>
      <c r="G198" s="1862"/>
      <c r="H198" s="118" t="s">
        <v>1499</v>
      </c>
    </row>
    <row r="199" spans="1:8" ht="27" customHeight="1" x14ac:dyDescent="0.2">
      <c r="A199" s="1862"/>
      <c r="B199" s="1862"/>
      <c r="C199" s="1862"/>
      <c r="D199" s="1862"/>
      <c r="E199" s="1862"/>
      <c r="F199" s="1862"/>
      <c r="G199" s="1862"/>
      <c r="H199" s="118" t="s">
        <v>1500</v>
      </c>
    </row>
    <row r="200" spans="1:8" ht="42" customHeight="1" x14ac:dyDescent="0.2">
      <c r="A200" s="1862"/>
      <c r="B200" s="1862"/>
      <c r="C200" s="1862"/>
      <c r="D200" s="1862"/>
      <c r="E200" s="1862"/>
      <c r="F200" s="1862"/>
      <c r="G200" s="1862"/>
      <c r="H200" s="118" t="s">
        <v>1501</v>
      </c>
    </row>
    <row r="201" spans="1:8" ht="27" customHeight="1" x14ac:dyDescent="0.2">
      <c r="A201" s="1862"/>
      <c r="B201" s="1862"/>
      <c r="C201" s="1862"/>
      <c r="D201" s="1862"/>
      <c r="E201" s="1862"/>
      <c r="F201" s="1862"/>
      <c r="G201" s="1862"/>
      <c r="H201" s="118" t="s">
        <v>1502</v>
      </c>
    </row>
    <row r="202" spans="1:8" ht="27" customHeight="1" x14ac:dyDescent="0.2">
      <c r="A202" s="1862"/>
      <c r="B202" s="1862"/>
      <c r="C202" s="1862"/>
      <c r="D202" s="1862"/>
      <c r="E202" s="1862"/>
      <c r="F202" s="1862"/>
      <c r="G202" s="1862"/>
      <c r="H202" s="118" t="s">
        <v>1503</v>
      </c>
    </row>
    <row r="203" spans="1:8" ht="27" customHeight="1" x14ac:dyDescent="0.2">
      <c r="A203" s="1862"/>
      <c r="B203" s="1862"/>
      <c r="C203" s="1862"/>
      <c r="D203" s="1862"/>
      <c r="E203" s="1862"/>
      <c r="F203" s="1862"/>
      <c r="G203" s="1862"/>
      <c r="H203" s="118" t="s">
        <v>1504</v>
      </c>
    </row>
    <row r="204" spans="1:8" ht="42" customHeight="1" x14ac:dyDescent="0.2">
      <c r="A204" s="1862"/>
      <c r="B204" s="1862"/>
      <c r="C204" s="1862"/>
      <c r="D204" s="1862"/>
      <c r="E204" s="1862"/>
      <c r="F204" s="1862"/>
      <c r="G204" s="1862"/>
      <c r="H204" s="118" t="s">
        <v>1505</v>
      </c>
    </row>
    <row r="205" spans="1:8" ht="84" customHeight="1" x14ac:dyDescent="0.2">
      <c r="A205" s="1862"/>
      <c r="B205" s="1862"/>
      <c r="C205" s="1862"/>
      <c r="D205" s="1862"/>
      <c r="E205" s="1862"/>
      <c r="F205" s="1862"/>
      <c r="G205" s="1862"/>
      <c r="H205" s="118" t="s">
        <v>1506</v>
      </c>
    </row>
    <row r="206" spans="1:8" ht="54" customHeight="1" x14ac:dyDescent="0.2">
      <c r="A206" s="1862"/>
      <c r="B206" s="1862"/>
      <c r="C206" s="1862"/>
      <c r="D206" s="1862"/>
      <c r="E206" s="1862"/>
      <c r="F206" s="1862"/>
      <c r="G206" s="1862"/>
      <c r="H206" s="118" t="s">
        <v>5446</v>
      </c>
    </row>
    <row r="207" spans="1:8" ht="27" customHeight="1" x14ac:dyDescent="0.2">
      <c r="A207" s="1862"/>
      <c r="B207" s="1862"/>
      <c r="C207" s="1862"/>
      <c r="D207" s="1862"/>
      <c r="E207" s="1862"/>
      <c r="F207" s="1862"/>
      <c r="G207" s="1862"/>
      <c r="H207" s="118" t="s">
        <v>1507</v>
      </c>
    </row>
    <row r="208" spans="1:8" ht="27" customHeight="1" x14ac:dyDescent="0.2">
      <c r="A208" s="1862"/>
      <c r="B208" s="1862"/>
      <c r="C208" s="1862"/>
      <c r="D208" s="1862"/>
      <c r="E208" s="1862"/>
      <c r="F208" s="1862"/>
      <c r="G208" s="1862"/>
      <c r="H208" s="118" t="s">
        <v>1508</v>
      </c>
    </row>
    <row r="209" spans="1:8" ht="27" customHeight="1" x14ac:dyDescent="0.2">
      <c r="A209" s="1862"/>
      <c r="B209" s="1862"/>
      <c r="C209" s="1862"/>
      <c r="D209" s="1862"/>
      <c r="E209" s="1862"/>
      <c r="F209" s="1862"/>
      <c r="G209" s="1862"/>
      <c r="H209" s="118" t="s">
        <v>1509</v>
      </c>
    </row>
    <row r="210" spans="1:8" ht="27" customHeight="1" x14ac:dyDescent="0.2">
      <c r="A210" s="1862"/>
      <c r="B210" s="1862"/>
      <c r="C210" s="1862"/>
      <c r="D210" s="1862"/>
      <c r="E210" s="1862"/>
      <c r="F210" s="1862"/>
      <c r="G210" s="1862"/>
      <c r="H210" s="118" t="s">
        <v>1510</v>
      </c>
    </row>
    <row r="211" spans="1:8" ht="27" customHeight="1" x14ac:dyDescent="0.2">
      <c r="A211" s="1862"/>
      <c r="B211" s="1862"/>
      <c r="C211" s="1862"/>
      <c r="D211" s="1862"/>
      <c r="E211" s="1862"/>
      <c r="F211" s="1862"/>
      <c r="G211" s="1862"/>
      <c r="H211" s="118" t="s">
        <v>1511</v>
      </c>
    </row>
    <row r="212" spans="1:8" ht="42" customHeight="1" x14ac:dyDescent="0.2">
      <c r="A212" s="1862"/>
      <c r="B212" s="1862"/>
      <c r="C212" s="1862"/>
      <c r="D212" s="1862"/>
      <c r="E212" s="1862"/>
      <c r="F212" s="1862"/>
      <c r="G212" s="1862"/>
      <c r="H212" s="118" t="s">
        <v>1512</v>
      </c>
    </row>
    <row r="213" spans="1:8" ht="27" customHeight="1" x14ac:dyDescent="0.2">
      <c r="A213" s="1862"/>
      <c r="B213" s="1862"/>
      <c r="C213" s="1862"/>
      <c r="D213" s="1862"/>
      <c r="E213" s="1862"/>
      <c r="F213" s="1862"/>
      <c r="G213" s="1862"/>
      <c r="H213" s="118" t="s">
        <v>1513</v>
      </c>
    </row>
    <row r="214" spans="1:8" ht="42" customHeight="1" x14ac:dyDescent="0.2">
      <c r="A214" s="1862"/>
      <c r="B214" s="1862"/>
      <c r="C214" s="1862"/>
      <c r="D214" s="1862"/>
      <c r="E214" s="1862"/>
      <c r="F214" s="1862"/>
      <c r="G214" s="1862"/>
      <c r="H214" s="118" t="s">
        <v>1514</v>
      </c>
    </row>
    <row r="215" spans="1:8" ht="27" customHeight="1" x14ac:dyDescent="0.2">
      <c r="A215" s="1862"/>
      <c r="B215" s="1862"/>
      <c r="C215" s="1862"/>
      <c r="D215" s="1862"/>
      <c r="E215" s="1862"/>
      <c r="F215" s="1862"/>
      <c r="G215" s="1862"/>
      <c r="H215" s="118" t="s">
        <v>1515</v>
      </c>
    </row>
    <row r="216" spans="1:8" ht="42.6" customHeight="1" thickBot="1" x14ac:dyDescent="0.25">
      <c r="A216" s="1862"/>
      <c r="B216" s="1862"/>
      <c r="C216" s="1862"/>
      <c r="D216" s="1862"/>
      <c r="E216" s="1862"/>
      <c r="F216" s="1862"/>
      <c r="G216" s="1862"/>
      <c r="H216" s="142" t="s">
        <v>1516</v>
      </c>
    </row>
  </sheetData>
  <sheetProtection algorithmName="SHA-512" hashValue="jEaZqhOJq7YsiTCCyPnvzUzzRqP710YzHmClRhlafbVq7/EFe0UNw6mzpeTXfPySvMHF7xWq2pUmBrpe5ploPw==" saltValue="5VVuwLJVSHZ/1kf0ykA2zQ==" spinCount="100000" sheet="1" formatCells="0" formatColumns="0" formatRows="0"/>
  <customSheetViews>
    <customSheetView guid="{B8E02330-2419-4DE6-AD01-7ACC7A5D18DD}" scale="75" topLeftCell="A88">
      <selection activeCell="C98" sqref="C98"/>
      <pageMargins left="0.75" right="0.75" top="1" bottom="1" header="0.5" footer="0.5"/>
      <pageSetup orientation="portrait" r:id="rId1"/>
      <headerFooter alignWithMargins="0"/>
    </customSheetView>
  </customSheetViews>
  <mergeCells count="75">
    <mergeCell ref="A140:G216"/>
    <mergeCell ref="C137:H137"/>
    <mergeCell ref="A137:B139"/>
    <mergeCell ref="A3:A9"/>
    <mergeCell ref="B10:B11"/>
    <mergeCell ref="B37:B41"/>
    <mergeCell ref="B42:B47"/>
    <mergeCell ref="A70:A75"/>
    <mergeCell ref="B17:B23"/>
    <mergeCell ref="B24:B30"/>
    <mergeCell ref="A42:A47"/>
    <mergeCell ref="B48:B53"/>
    <mergeCell ref="B31:B36"/>
    <mergeCell ref="B62:B68"/>
    <mergeCell ref="A62:A68"/>
    <mergeCell ref="A76:A79"/>
    <mergeCell ref="A80:A83"/>
    <mergeCell ref="B76:B79"/>
    <mergeCell ref="A10:A11"/>
    <mergeCell ref="B70:B75"/>
    <mergeCell ref="H80:H83"/>
    <mergeCell ref="B12:B16"/>
    <mergeCell ref="H12:H16"/>
    <mergeCell ref="H84:H89"/>
    <mergeCell ref="B54:B61"/>
    <mergeCell ref="B80:B83"/>
    <mergeCell ref="H24:H30"/>
    <mergeCell ref="H76:H79"/>
    <mergeCell ref="H70:H75"/>
    <mergeCell ref="H37:H41"/>
    <mergeCell ref="H62:H68"/>
    <mergeCell ref="H48:H53"/>
    <mergeCell ref="A1:B1"/>
    <mergeCell ref="H111:H117"/>
    <mergeCell ref="A12:A16"/>
    <mergeCell ref="A37:A41"/>
    <mergeCell ref="B3:B9"/>
    <mergeCell ref="H3:H9"/>
    <mergeCell ref="H42:H47"/>
    <mergeCell ref="A54:A61"/>
    <mergeCell ref="H31:H36"/>
    <mergeCell ref="H54:H61"/>
    <mergeCell ref="A24:A30"/>
    <mergeCell ref="A31:A36"/>
    <mergeCell ref="A48:A53"/>
    <mergeCell ref="H10:H11"/>
    <mergeCell ref="H90:H98"/>
    <mergeCell ref="H17:H23"/>
    <mergeCell ref="B123:B129"/>
    <mergeCell ref="B90:B98"/>
    <mergeCell ref="B118:B122"/>
    <mergeCell ref="B99:B104"/>
    <mergeCell ref="B84:B89"/>
    <mergeCell ref="E1:H1"/>
    <mergeCell ref="A132:H132"/>
    <mergeCell ref="A133:C136"/>
    <mergeCell ref="H99:H104"/>
    <mergeCell ref="H118:H122"/>
    <mergeCell ref="H105:H110"/>
    <mergeCell ref="A123:A129"/>
    <mergeCell ref="A90:A98"/>
    <mergeCell ref="A84:A89"/>
    <mergeCell ref="A118:A122"/>
    <mergeCell ref="A105:A110"/>
    <mergeCell ref="D133:F133"/>
    <mergeCell ref="A99:A104"/>
    <mergeCell ref="A111:A117"/>
    <mergeCell ref="B111:B117"/>
    <mergeCell ref="B105:B110"/>
    <mergeCell ref="C139:E139"/>
    <mergeCell ref="H123:H129"/>
    <mergeCell ref="D135:F135"/>
    <mergeCell ref="D136:F136"/>
    <mergeCell ref="C138:E138"/>
    <mergeCell ref="D134:F134"/>
  </mergeCells>
  <phoneticPr fontId="3" type="noConversion"/>
  <pageMargins left="0.75" right="0.75" top="1" bottom="1" header="0.5" footer="0.5"/>
  <pageSetup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I203"/>
  <sheetViews>
    <sheetView zoomScaleNormal="100" workbookViewId="0">
      <selection sqref="A1:B1"/>
    </sheetView>
  </sheetViews>
  <sheetFormatPr defaultColWidth="9.33203125" defaultRowHeight="12.75" x14ac:dyDescent="0.2"/>
  <cols>
    <col min="1" max="1" width="5.83203125" style="15" customWidth="1"/>
    <col min="2" max="2" width="18.83203125" style="3" customWidth="1"/>
    <col min="3" max="3" width="75.83203125" style="3" customWidth="1"/>
    <col min="4" max="4" width="6.83203125" style="135" customWidth="1"/>
    <col min="5" max="5" width="8.1640625" style="135" customWidth="1"/>
    <col min="6" max="6" width="8" style="135" customWidth="1"/>
    <col min="7" max="7" width="9.83203125" style="134" customWidth="1"/>
    <col min="8" max="8" width="75.83203125" style="3" customWidth="1"/>
    <col min="9" max="9" width="11" style="3" customWidth="1"/>
    <col min="10" max="16384" width="9.33203125" style="3"/>
  </cols>
  <sheetData>
    <row r="1" spans="1:9" s="91" customFormat="1" ht="60" customHeight="1" thickBot="1" x14ac:dyDescent="0.25">
      <c r="A1" s="2014" t="s">
        <v>5707</v>
      </c>
      <c r="B1" s="2015"/>
      <c r="C1" s="87" t="s">
        <v>2159</v>
      </c>
      <c r="D1" s="131" t="s">
        <v>2141</v>
      </c>
      <c r="E1" s="1921"/>
      <c r="F1" s="1922"/>
      <c r="G1" s="1922"/>
      <c r="H1" s="1922"/>
    </row>
    <row r="2" spans="1:9" ht="30" customHeight="1" thickBot="1" x14ac:dyDescent="0.25">
      <c r="A2" s="450" t="s">
        <v>290</v>
      </c>
      <c r="B2" s="450" t="s">
        <v>5553</v>
      </c>
      <c r="C2" s="484" t="s">
        <v>2606</v>
      </c>
      <c r="D2" s="450" t="s">
        <v>117</v>
      </c>
      <c r="E2" s="592" t="s">
        <v>5438</v>
      </c>
      <c r="F2" s="472" t="s">
        <v>5439</v>
      </c>
      <c r="G2" s="593" t="s">
        <v>5825</v>
      </c>
      <c r="H2" s="450" t="s">
        <v>919</v>
      </c>
    </row>
    <row r="3" spans="1:9" ht="30" customHeight="1" thickBot="1" x14ac:dyDescent="0.25">
      <c r="A3" s="1831" t="str">
        <f>OF!A105</f>
        <v>OF20</v>
      </c>
      <c r="B3" s="1918" t="str">
        <f>OF!B105</f>
        <v>Precipitation, Mean Annual</v>
      </c>
      <c r="C3" s="454" t="str">
        <f>OF!C105</f>
        <v>Refer to the Precipitation layer in the online WESPAK-SE Wetlands Module. The mean annual precipitation in the vicinity of the AA was modeled as (rounded to the nearest whole number):</v>
      </c>
      <c r="D3" s="392"/>
      <c r="E3" s="392"/>
      <c r="F3" s="392"/>
      <c r="G3" s="505">
        <f>IF((D10=1),"",MAX(F4:F9)/MAX(E4:E9))</f>
        <v>0</v>
      </c>
      <c r="H3" s="1698" t="s">
        <v>2433</v>
      </c>
      <c r="I3" s="3" t="s">
        <v>2434</v>
      </c>
    </row>
    <row r="4" spans="1:9" ht="15" customHeight="1" x14ac:dyDescent="0.2">
      <c r="A4" s="1832"/>
      <c r="B4" s="1918"/>
      <c r="C4" s="144" t="str">
        <f>OF!C106</f>
        <v>&lt;67 inches</v>
      </c>
      <c r="D4" s="286">
        <f>OF!D106</f>
        <v>0</v>
      </c>
      <c r="E4" s="396">
        <v>0</v>
      </c>
      <c r="F4" s="388">
        <f t="shared" ref="F4:F9" si="0">D4*E4</f>
        <v>0</v>
      </c>
      <c r="G4" s="757"/>
      <c r="H4" s="1970"/>
    </row>
    <row r="5" spans="1:9" ht="15" customHeight="1" x14ac:dyDescent="0.2">
      <c r="A5" s="1832"/>
      <c r="B5" s="1918"/>
      <c r="C5" s="50" t="str">
        <f>OF!C107</f>
        <v>67-87 inches</v>
      </c>
      <c r="D5" s="271">
        <f>OF!D107</f>
        <v>0</v>
      </c>
      <c r="E5" s="396">
        <v>1</v>
      </c>
      <c r="F5" s="388">
        <f t="shared" si="0"/>
        <v>0</v>
      </c>
      <c r="G5" s="757"/>
      <c r="H5" s="1970"/>
    </row>
    <row r="6" spans="1:9" ht="15" customHeight="1" x14ac:dyDescent="0.2">
      <c r="A6" s="1832"/>
      <c r="B6" s="1918"/>
      <c r="C6" s="50" t="str">
        <f>OF!C108</f>
        <v>88-112 inches</v>
      </c>
      <c r="D6" s="271">
        <f>OF!D108</f>
        <v>0</v>
      </c>
      <c r="E6" s="396">
        <v>2</v>
      </c>
      <c r="F6" s="388">
        <f t="shared" si="0"/>
        <v>0</v>
      </c>
      <c r="G6" s="757"/>
      <c r="H6" s="1970"/>
    </row>
    <row r="7" spans="1:9" ht="15" customHeight="1" x14ac:dyDescent="0.2">
      <c r="A7" s="1832"/>
      <c r="B7" s="1918"/>
      <c r="C7" s="50" t="str">
        <f>OF!C109</f>
        <v>113-139 inches</v>
      </c>
      <c r="D7" s="271">
        <f>OF!D109</f>
        <v>0</v>
      </c>
      <c r="E7" s="396">
        <v>3</v>
      </c>
      <c r="F7" s="388">
        <f t="shared" si="0"/>
        <v>0</v>
      </c>
      <c r="G7" s="757"/>
      <c r="H7" s="1970"/>
    </row>
    <row r="8" spans="1:9" ht="15" customHeight="1" x14ac:dyDescent="0.2">
      <c r="A8" s="1832"/>
      <c r="B8" s="1918"/>
      <c r="C8" s="50" t="str">
        <f>OF!C110</f>
        <v>140-165 inches</v>
      </c>
      <c r="D8" s="271">
        <f>OF!D110</f>
        <v>0</v>
      </c>
      <c r="E8" s="396">
        <v>4</v>
      </c>
      <c r="F8" s="388">
        <f t="shared" si="0"/>
        <v>0</v>
      </c>
      <c r="G8" s="757"/>
      <c r="H8" s="1970"/>
    </row>
    <row r="9" spans="1:9" ht="15" customHeight="1" x14ac:dyDescent="0.2">
      <c r="A9" s="1832"/>
      <c r="B9" s="1918"/>
      <c r="C9" s="50" t="str">
        <f>OF!C111</f>
        <v>&gt;165 inches</v>
      </c>
      <c r="D9" s="271">
        <f>OF!D111</f>
        <v>0</v>
      </c>
      <c r="E9" s="388">
        <v>5</v>
      </c>
      <c r="F9" s="388">
        <f t="shared" si="0"/>
        <v>0</v>
      </c>
      <c r="G9" s="757"/>
      <c r="H9" s="1970"/>
    </row>
    <row r="10" spans="1:9" ht="15.6" customHeight="1" thickBot="1" x14ac:dyDescent="0.25">
      <c r="A10" s="1833"/>
      <c r="B10" s="1918"/>
      <c r="C10" s="462" t="str">
        <f>OF!C112</f>
        <v>no information available</v>
      </c>
      <c r="D10" s="272">
        <f>OF!D112</f>
        <v>0</v>
      </c>
      <c r="E10" s="389"/>
      <c r="F10" s="389"/>
      <c r="G10" s="758"/>
      <c r="H10" s="1971"/>
    </row>
    <row r="11" spans="1:9" ht="30" customHeight="1" thickBot="1" x14ac:dyDescent="0.25">
      <c r="A11" s="1832" t="str">
        <f>OF!A113</f>
        <v>OF21</v>
      </c>
      <c r="B11" s="1837" t="str">
        <f>OF!B113</f>
        <v>Temperature, Mean Annual</v>
      </c>
      <c r="C11" s="615" t="str">
        <f>OF!C113</f>
        <v>Refer to the Temperature layer in the online WESPAK-SE Wetlands Module. The mean annual temperature in the vicinity of the AA was modeled as (rounded to the nearest whole number):</v>
      </c>
      <c r="D11" s="392"/>
      <c r="E11" s="394"/>
      <c r="F11" s="395"/>
      <c r="G11" s="512">
        <f>IF((D17=1),"",MAX(F12:F16)/MAX(E12:E16))</f>
        <v>0</v>
      </c>
      <c r="H11" s="1688" t="s">
        <v>2172</v>
      </c>
      <c r="I11" s="3" t="s">
        <v>2019</v>
      </c>
    </row>
    <row r="12" spans="1:9" ht="15" customHeight="1" x14ac:dyDescent="0.2">
      <c r="A12" s="1832"/>
      <c r="B12" s="1837"/>
      <c r="C12" s="144" t="str">
        <f>OF!C114</f>
        <v>&lt;38 degrees F</v>
      </c>
      <c r="D12" s="286">
        <f>OF!D114</f>
        <v>0</v>
      </c>
      <c r="E12" s="396">
        <v>0</v>
      </c>
      <c r="F12" s="397">
        <f>D12*E12</f>
        <v>0</v>
      </c>
      <c r="G12" s="521"/>
      <c r="H12" s="1688"/>
    </row>
    <row r="13" spans="1:9" ht="15" customHeight="1" x14ac:dyDescent="0.2">
      <c r="A13" s="1832"/>
      <c r="B13" s="1837"/>
      <c r="C13" s="50" t="str">
        <f>OF!C115</f>
        <v>38-40 degrees F</v>
      </c>
      <c r="D13" s="271">
        <f>OF!D115</f>
        <v>0</v>
      </c>
      <c r="E13" s="396">
        <v>1</v>
      </c>
      <c r="F13" s="397">
        <f>D13*E13</f>
        <v>0</v>
      </c>
      <c r="G13" s="521"/>
      <c r="H13" s="1688"/>
    </row>
    <row r="14" spans="1:9" ht="15" customHeight="1" x14ac:dyDescent="0.2">
      <c r="A14" s="1832"/>
      <c r="B14" s="1837"/>
      <c r="C14" s="50" t="str">
        <f>OF!C116</f>
        <v>41-42 degrees F</v>
      </c>
      <c r="D14" s="271">
        <f>OF!D116</f>
        <v>0</v>
      </c>
      <c r="E14" s="396">
        <v>2</v>
      </c>
      <c r="F14" s="397">
        <f>D14*E14</f>
        <v>0</v>
      </c>
      <c r="G14" s="521"/>
      <c r="H14" s="1688"/>
    </row>
    <row r="15" spans="1:9" ht="15" customHeight="1" x14ac:dyDescent="0.2">
      <c r="A15" s="1832"/>
      <c r="B15" s="1837"/>
      <c r="C15" s="50" t="str">
        <f>OF!C117</f>
        <v>43-44 degrees F</v>
      </c>
      <c r="D15" s="271">
        <f>OF!D117</f>
        <v>0</v>
      </c>
      <c r="E15" s="396">
        <v>3</v>
      </c>
      <c r="F15" s="397">
        <f>D15*E15</f>
        <v>0</v>
      </c>
      <c r="G15" s="521"/>
      <c r="H15" s="1688"/>
    </row>
    <row r="16" spans="1:9" ht="15" customHeight="1" x14ac:dyDescent="0.2">
      <c r="A16" s="1832"/>
      <c r="B16" s="1837"/>
      <c r="C16" s="50" t="str">
        <f>OF!C118</f>
        <v>&gt; 44 degrees F</v>
      </c>
      <c r="D16" s="271">
        <f>OF!D118</f>
        <v>0</v>
      </c>
      <c r="E16" s="396">
        <v>4</v>
      </c>
      <c r="F16" s="397">
        <f>D16*E16</f>
        <v>0</v>
      </c>
      <c r="G16" s="515"/>
      <c r="H16" s="1688"/>
    </row>
    <row r="17" spans="1:9" ht="15.6" customHeight="1" thickBot="1" x14ac:dyDescent="0.25">
      <c r="A17" s="1833"/>
      <c r="B17" s="1838"/>
      <c r="C17" s="462" t="str">
        <f>OF!C119</f>
        <v>no information available</v>
      </c>
      <c r="D17" s="272">
        <f>OF!D119</f>
        <v>0</v>
      </c>
      <c r="E17" s="637"/>
      <c r="F17" s="638"/>
      <c r="G17" s="504"/>
      <c r="H17" s="1689"/>
    </row>
    <row r="18" spans="1:9" ht="60" customHeight="1" thickBot="1" x14ac:dyDescent="0.25">
      <c r="A18" s="541" t="str">
        <f>OF!A120</f>
        <v>OF22</v>
      </c>
      <c r="B18" s="49" t="str">
        <f>OF!B120</f>
        <v>Basic pH or Karst</v>
      </c>
      <c r="C18" s="428"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18" s="314">
        <f>OF!D120</f>
        <v>0</v>
      </c>
      <c r="E18" s="259"/>
      <c r="F18" s="260"/>
      <c r="G18" s="760" t="str">
        <f>IF((D18=0),"",1)</f>
        <v/>
      </c>
      <c r="H18" s="49" t="s">
        <v>2432</v>
      </c>
      <c r="I18" s="3" t="s">
        <v>817</v>
      </c>
    </row>
    <row r="19" spans="1:9" ht="60" customHeight="1" thickBot="1" x14ac:dyDescent="0.25">
      <c r="A19" s="541" t="str">
        <f>OF!A121</f>
        <v>OF23</v>
      </c>
      <c r="B19" s="49" t="str">
        <f>OF!B121</f>
        <v>Granitic Soils</v>
      </c>
      <c r="C19" s="428" t="str">
        <f>OF!C121</f>
        <v>Refer to the map in the online WESPAK-SE Wetlands Module: Geology&gt; Granitic Geology. The AA is underlain primarily by granitic formations or glacial till that is known to be granitic, as indicated by maps or preferably from direct observation.  Enter 1= yes, 0= no.</v>
      </c>
      <c r="D19" s="314">
        <f>OF!D121</f>
        <v>0</v>
      </c>
      <c r="E19" s="259"/>
      <c r="F19" s="260"/>
      <c r="G19" s="760" t="str">
        <f>IF((D19=0),"",1-D19)</f>
        <v/>
      </c>
      <c r="H19" s="49" t="s">
        <v>1170</v>
      </c>
      <c r="I19" s="3" t="s">
        <v>815</v>
      </c>
    </row>
    <row r="20" spans="1:9" ht="21" customHeight="1" thickBot="1" x14ac:dyDescent="0.25">
      <c r="A20" s="1952" t="str">
        <f>OF!A169</f>
        <v>OF34</v>
      </c>
      <c r="B20" s="1710" t="str">
        <f>OF!B169</f>
        <v>Internal Gradient</v>
      </c>
      <c r="C20" s="385" t="str">
        <f>OF!C169</f>
        <v>The gradient along most of the flow path within the AA is:</v>
      </c>
      <c r="D20" s="387"/>
      <c r="E20" s="387"/>
      <c r="F20" s="390"/>
      <c r="G20" s="601">
        <f>MAX(F21:F24)/MAX(E21:E24)</f>
        <v>0</v>
      </c>
      <c r="H20" s="1710" t="s">
        <v>179</v>
      </c>
      <c r="I20" s="3" t="s">
        <v>300</v>
      </c>
    </row>
    <row r="21" spans="1:9" ht="15" customHeight="1" x14ac:dyDescent="0.2">
      <c r="A21" s="1952"/>
      <c r="B21" s="1710"/>
      <c r="C21" s="21" t="str">
        <f>OF!C170</f>
        <v>&lt;2%, or, no slope is ever apparent (i.e., flat).  Includes most depressional sites and ponds.</v>
      </c>
      <c r="D21" s="280">
        <f>OF!D170</f>
        <v>0</v>
      </c>
      <c r="E21" s="388">
        <v>0</v>
      </c>
      <c r="F21" s="388">
        <f>D21*E21</f>
        <v>0</v>
      </c>
      <c r="G21" s="708"/>
      <c r="H21" s="1710"/>
    </row>
    <row r="22" spans="1:9" ht="15" customHeight="1" x14ac:dyDescent="0.2">
      <c r="A22" s="1952"/>
      <c r="B22" s="1710"/>
      <c r="C22" s="6" t="str">
        <f>OF!C171</f>
        <v>2-5%</v>
      </c>
      <c r="D22" s="46">
        <f>OF!D171</f>
        <v>0</v>
      </c>
      <c r="E22" s="388">
        <v>2</v>
      </c>
      <c r="F22" s="388">
        <f>D22*E22</f>
        <v>0</v>
      </c>
      <c r="G22" s="709"/>
      <c r="H22" s="1710"/>
    </row>
    <row r="23" spans="1:9" ht="15" customHeight="1" x14ac:dyDescent="0.2">
      <c r="A23" s="1952"/>
      <c r="B23" s="1710"/>
      <c r="C23" s="6" t="str">
        <f>OF!C172</f>
        <v>6-10%</v>
      </c>
      <c r="D23" s="46">
        <f>OF!D172</f>
        <v>0</v>
      </c>
      <c r="E23" s="388">
        <v>3</v>
      </c>
      <c r="F23" s="388">
        <f>D23*E23</f>
        <v>0</v>
      </c>
      <c r="G23" s="709"/>
      <c r="H23" s="1710"/>
    </row>
    <row r="24" spans="1:9" ht="15.6" customHeight="1" thickBot="1" x14ac:dyDescent="0.25">
      <c r="A24" s="1952"/>
      <c r="B24" s="1710"/>
      <c r="C24" s="470" t="str">
        <f>OF!C173</f>
        <v>&gt;10%</v>
      </c>
      <c r="D24" s="20">
        <f>OF!D173</f>
        <v>0</v>
      </c>
      <c r="E24" s="391">
        <v>4</v>
      </c>
      <c r="F24" s="391">
        <f>D24*E24</f>
        <v>0</v>
      </c>
      <c r="G24" s="718"/>
      <c r="H24" s="1710"/>
    </row>
    <row r="25" spans="1:9" ht="45" customHeight="1" thickBot="1" x14ac:dyDescent="0.25">
      <c r="A25" s="2030" t="str">
        <f>OF!A174</f>
        <v>OF35</v>
      </c>
      <c r="B25" s="1962" t="str">
        <f>OF!B174</f>
        <v>Internal Flow Distance (Path Length)</v>
      </c>
      <c r="C25" s="586" t="str">
        <f>OF!C174</f>
        <v>From measurement of wetland polygon width or intersected stream length in the online WESPAK-SE Wetlands Module:  The straight-line horizontal distance from the wetland's inlet to outlet is:  [Note: If inlet and/or outlet are lacking, see guidance in last column]</v>
      </c>
      <c r="D25" s="392"/>
      <c r="E25" s="403"/>
      <c r="F25" s="393"/>
      <c r="G25" s="600">
        <f>MAX(F26:F31)/MAX(E26:E31)</f>
        <v>0</v>
      </c>
      <c r="H25" s="1687" t="s">
        <v>1985</v>
      </c>
      <c r="I25" s="3" t="s">
        <v>2020</v>
      </c>
    </row>
    <row r="26" spans="1:9" ht="15" customHeight="1" x14ac:dyDescent="0.2">
      <c r="A26" s="2031"/>
      <c r="B26" s="2033"/>
      <c r="C26" s="587" t="str">
        <f>OF!C175</f>
        <v>&lt;150 ft</v>
      </c>
      <c r="D26" s="283">
        <f>OF!D175</f>
        <v>0</v>
      </c>
      <c r="E26" s="404">
        <v>1</v>
      </c>
      <c r="F26" s="388">
        <f t="shared" ref="F26:F31" si="1">D26*E26</f>
        <v>0</v>
      </c>
      <c r="G26" s="709"/>
      <c r="H26" s="1688"/>
    </row>
    <row r="27" spans="1:9" ht="15" customHeight="1" x14ac:dyDescent="0.2">
      <c r="A27" s="2031"/>
      <c r="B27" s="2033"/>
      <c r="C27" s="587" t="str">
        <f>OF!C176</f>
        <v>150-300 ft</v>
      </c>
      <c r="D27" s="283">
        <f>OF!D176</f>
        <v>0</v>
      </c>
      <c r="E27" s="404">
        <v>2</v>
      </c>
      <c r="F27" s="388">
        <f t="shared" si="1"/>
        <v>0</v>
      </c>
      <c r="G27" s="709"/>
      <c r="H27" s="1688"/>
    </row>
    <row r="28" spans="1:9" ht="15" customHeight="1" x14ac:dyDescent="0.2">
      <c r="A28" s="2031"/>
      <c r="B28" s="2033"/>
      <c r="C28" s="587" t="str">
        <f>OF!C177</f>
        <v>300-800 ft</v>
      </c>
      <c r="D28" s="283">
        <f>OF!D177</f>
        <v>0</v>
      </c>
      <c r="E28" s="404">
        <v>3</v>
      </c>
      <c r="F28" s="388">
        <f t="shared" si="1"/>
        <v>0</v>
      </c>
      <c r="G28" s="709"/>
      <c r="H28" s="1688"/>
    </row>
    <row r="29" spans="1:9" ht="15" customHeight="1" x14ac:dyDescent="0.2">
      <c r="A29" s="2031"/>
      <c r="B29" s="2033"/>
      <c r="C29" s="587" t="str">
        <f>OF!C178</f>
        <v>800-2000 ft</v>
      </c>
      <c r="D29" s="283">
        <f>OF!D178</f>
        <v>0</v>
      </c>
      <c r="E29" s="404">
        <v>4</v>
      </c>
      <c r="F29" s="388">
        <f t="shared" si="1"/>
        <v>0</v>
      </c>
      <c r="G29" s="709"/>
      <c r="H29" s="1688"/>
    </row>
    <row r="30" spans="1:9" ht="15" customHeight="1" x14ac:dyDescent="0.2">
      <c r="A30" s="2031"/>
      <c r="B30" s="2033"/>
      <c r="C30" s="587" t="str">
        <f>OF!C179</f>
        <v>2000 ft - 1 mile</v>
      </c>
      <c r="D30" s="283">
        <f>OF!D179</f>
        <v>0</v>
      </c>
      <c r="E30" s="404">
        <v>5</v>
      </c>
      <c r="F30" s="388">
        <f t="shared" si="1"/>
        <v>0</v>
      </c>
      <c r="G30" s="709"/>
      <c r="H30" s="1688"/>
    </row>
    <row r="31" spans="1:9" ht="15.6" customHeight="1" thickBot="1" x14ac:dyDescent="0.25">
      <c r="A31" s="2032"/>
      <c r="B31" s="2034"/>
      <c r="C31" s="750" t="str">
        <f>OF!C180</f>
        <v>&gt;1 mile</v>
      </c>
      <c r="D31" s="315">
        <f>OF!D180</f>
        <v>0</v>
      </c>
      <c r="E31" s="405">
        <v>6</v>
      </c>
      <c r="F31" s="389">
        <f t="shared" si="1"/>
        <v>0</v>
      </c>
      <c r="G31" s="710"/>
      <c r="H31" s="1689"/>
    </row>
    <row r="32" spans="1:9" ht="21" customHeight="1" thickBot="1" x14ac:dyDescent="0.25">
      <c r="A32" s="149" t="str">
        <f>F!A4</f>
        <v>F1</v>
      </c>
      <c r="B32" s="1688" t="str">
        <f>F!B4</f>
        <v>Wetland Type</v>
      </c>
      <c r="C32" s="385" t="str">
        <f>F!C4</f>
        <v>Most of the vegetated part of the AA (wetland Assessment Area) is a (select ONE):</v>
      </c>
      <c r="D32" s="392"/>
      <c r="E32" s="387"/>
      <c r="F32" s="387"/>
      <c r="G32" s="601">
        <f>IF((D38=1),"",MAX(F33:F37)/MAX(E33:E37))</f>
        <v>0</v>
      </c>
      <c r="H32" s="1688" t="s">
        <v>5755</v>
      </c>
      <c r="I32" s="3" t="s">
        <v>2021</v>
      </c>
    </row>
    <row r="33" spans="1:9" ht="15" customHeight="1" x14ac:dyDescent="0.2">
      <c r="A33" s="10" t="str">
        <f>F!A5</f>
        <v>F1.1</v>
      </c>
      <c r="B33" s="1688"/>
      <c r="C33" s="19" t="str">
        <f>F!C5</f>
        <v>Forested Peatland</v>
      </c>
      <c r="D33" s="380">
        <f>F!D5</f>
        <v>0</v>
      </c>
      <c r="E33" s="388">
        <v>2</v>
      </c>
      <c r="F33" s="388">
        <f>D33*E33</f>
        <v>0</v>
      </c>
      <c r="G33" s="718"/>
      <c r="H33" s="1688"/>
    </row>
    <row r="34" spans="1:9" ht="15" customHeight="1" x14ac:dyDescent="0.2">
      <c r="A34" s="10" t="str">
        <f>F!A6</f>
        <v>F1.2</v>
      </c>
      <c r="B34" s="1688"/>
      <c r="C34" s="470" t="str">
        <f>F!C6</f>
        <v>Open Peatland</v>
      </c>
      <c r="D34" s="20">
        <f>F!D6</f>
        <v>0</v>
      </c>
      <c r="E34" s="388">
        <v>1</v>
      </c>
      <c r="F34" s="388">
        <f>D34*E34</f>
        <v>0</v>
      </c>
      <c r="G34" s="718"/>
      <c r="H34" s="1688"/>
    </row>
    <row r="35" spans="1:9" ht="15" customHeight="1" x14ac:dyDescent="0.2">
      <c r="A35" s="10" t="str">
        <f>F!A7</f>
        <v>F1.3</v>
      </c>
      <c r="B35" s="1688"/>
      <c r="C35" s="470" t="str">
        <f>F!C7</f>
        <v>Fen/ Marsh</v>
      </c>
      <c r="D35" s="20">
        <f>F!D7</f>
        <v>0</v>
      </c>
      <c r="E35" s="388">
        <v>5</v>
      </c>
      <c r="F35" s="388">
        <f>D35*E35</f>
        <v>0</v>
      </c>
      <c r="G35" s="718"/>
      <c r="H35" s="1688"/>
    </row>
    <row r="36" spans="1:9" ht="15" customHeight="1" x14ac:dyDescent="0.2">
      <c r="A36" s="10" t="str">
        <f>F!A8</f>
        <v>F1.4</v>
      </c>
      <c r="B36" s="1688"/>
      <c r="C36" s="470" t="str">
        <f>F!C8</f>
        <v>Floodplain Wetland</v>
      </c>
      <c r="D36" s="20">
        <f>F!D8</f>
        <v>0</v>
      </c>
      <c r="E36" s="388">
        <v>4</v>
      </c>
      <c r="F36" s="388">
        <f>D36*E36</f>
        <v>0</v>
      </c>
      <c r="G36" s="718"/>
      <c r="H36" s="1688"/>
    </row>
    <row r="37" spans="1:9" ht="15" customHeight="1" x14ac:dyDescent="0.2">
      <c r="A37" s="10" t="str">
        <f>F!A9</f>
        <v>F1.5</v>
      </c>
      <c r="B37" s="1688"/>
      <c r="C37" s="470" t="str">
        <f>F!C9</f>
        <v>Uplift Meadow</v>
      </c>
      <c r="D37" s="20">
        <f>F!D9</f>
        <v>0</v>
      </c>
      <c r="E37" s="388">
        <v>3</v>
      </c>
      <c r="F37" s="388">
        <f>D37*E37</f>
        <v>0</v>
      </c>
      <c r="G37" s="718"/>
      <c r="H37" s="1688"/>
    </row>
    <row r="38" spans="1:9" ht="15" customHeight="1" thickBot="1" x14ac:dyDescent="0.25">
      <c r="A38" s="10" t="str">
        <f>F!A10</f>
        <v>F1.6</v>
      </c>
      <c r="B38" s="1688"/>
      <c r="C38" s="470" t="str">
        <f>F!C10</f>
        <v>Tidal Marsh or Tidal Swamp.  Do not continue.  Use other spreadsheet.</v>
      </c>
      <c r="D38" s="20">
        <f>F!D10</f>
        <v>0</v>
      </c>
      <c r="E38" s="391"/>
      <c r="F38" s="391"/>
      <c r="G38" s="718"/>
      <c r="H38" s="1688"/>
    </row>
    <row r="39" spans="1:9" ht="30" customHeight="1" thickBot="1" x14ac:dyDescent="0.25">
      <c r="A39" s="1868" t="str">
        <f>F!A33</f>
        <v>F7</v>
      </c>
      <c r="B39" s="1687" t="str">
        <f>F!B33</f>
        <v>% Flooded Only Seasonally</v>
      </c>
      <c r="C39" s="231" t="str">
        <f>F!C33</f>
        <v>The percentage of the AA soil that is covered by surface water only during the wettest time of year, and for &gt;2 continuous weeks during that time, is:</v>
      </c>
      <c r="D39" s="392"/>
      <c r="E39" s="392"/>
      <c r="F39" s="393"/>
      <c r="G39" s="600">
        <f>IF((AllSat+AllSat1&gt;0),"", MAX(F40:F44)/MAX(E40:E44))</f>
        <v>0</v>
      </c>
      <c r="H39" s="2016" t="s">
        <v>5341</v>
      </c>
      <c r="I39" s="3" t="s">
        <v>978</v>
      </c>
    </row>
    <row r="40" spans="1:9" ht="15" customHeight="1" x14ac:dyDescent="0.2">
      <c r="A40" s="1869"/>
      <c r="B40" s="1688"/>
      <c r="C40" s="19" t="str">
        <f>F!C34</f>
        <v>&lt;1% or &lt;0.01 acre, whichever is less.  SKIP to F9.</v>
      </c>
      <c r="D40" s="380">
        <f>F!D34</f>
        <v>0</v>
      </c>
      <c r="E40" s="388">
        <v>0</v>
      </c>
      <c r="F40" s="388">
        <f>D40*E40</f>
        <v>0</v>
      </c>
      <c r="G40" s="708"/>
      <c r="H40" s="1961"/>
    </row>
    <row r="41" spans="1:9" ht="15" customHeight="1" x14ac:dyDescent="0.2">
      <c r="A41" s="1869"/>
      <c r="B41" s="1688"/>
      <c r="C41" s="470" t="str">
        <f>F!C35</f>
        <v xml:space="preserve">1-25% </v>
      </c>
      <c r="D41" s="20">
        <f>F!D35</f>
        <v>0</v>
      </c>
      <c r="E41" s="388">
        <v>1</v>
      </c>
      <c r="F41" s="388">
        <f>D41*E41</f>
        <v>0</v>
      </c>
      <c r="G41" s="709"/>
      <c r="H41" s="1961"/>
    </row>
    <row r="42" spans="1:9" ht="15" customHeight="1" x14ac:dyDescent="0.2">
      <c r="A42" s="1869"/>
      <c r="B42" s="1688"/>
      <c r="C42" s="470" t="str">
        <f>F!C36</f>
        <v xml:space="preserve">25-50% </v>
      </c>
      <c r="D42" s="20">
        <f>F!D36</f>
        <v>0</v>
      </c>
      <c r="E42" s="388">
        <v>2</v>
      </c>
      <c r="F42" s="388">
        <f>D42*E42</f>
        <v>0</v>
      </c>
      <c r="G42" s="709"/>
      <c r="H42" s="1961"/>
    </row>
    <row r="43" spans="1:9" ht="15" customHeight="1" x14ac:dyDescent="0.2">
      <c r="A43" s="1869"/>
      <c r="B43" s="1688"/>
      <c r="C43" s="470" t="str">
        <f>F!C37</f>
        <v xml:space="preserve">50-95% </v>
      </c>
      <c r="D43" s="20">
        <f>F!D37</f>
        <v>0</v>
      </c>
      <c r="E43" s="388">
        <v>3</v>
      </c>
      <c r="F43" s="388">
        <f>D43*E43</f>
        <v>0</v>
      </c>
      <c r="G43" s="709"/>
      <c r="H43" s="1961"/>
    </row>
    <row r="44" spans="1:9" ht="15.6" customHeight="1" thickBot="1" x14ac:dyDescent="0.25">
      <c r="A44" s="1870"/>
      <c r="B44" s="1689"/>
      <c r="C44" s="214" t="str">
        <f>F!C38</f>
        <v xml:space="preserve">&gt;95% </v>
      </c>
      <c r="D44" s="213">
        <f>F!D38</f>
        <v>0</v>
      </c>
      <c r="E44" s="389">
        <v>4</v>
      </c>
      <c r="F44" s="389">
        <f>D44*E44</f>
        <v>0</v>
      </c>
      <c r="G44" s="710"/>
      <c r="H44" s="2017"/>
    </row>
    <row r="45" spans="1:9" ht="21" customHeight="1" thickBot="1" x14ac:dyDescent="0.25">
      <c r="A45" s="1845" t="str">
        <f>F!A39</f>
        <v>F8</v>
      </c>
      <c r="B45" s="1710" t="str">
        <f>F!B39</f>
        <v>Annual Water Fluctuation Range</v>
      </c>
      <c r="C45" s="385" t="str">
        <f>F!C39</f>
        <v>The maximum annual fluctuation in surface water within the AA is:</v>
      </c>
      <c r="D45" s="392"/>
      <c r="E45" s="387"/>
      <c r="F45" s="390"/>
      <c r="G45" s="601">
        <f>IF((AllSat+AllSat1&gt;0),"", IF((NoSeasonal=1),"",MAX(F46:F49)/MAX(E46:E49)))</f>
        <v>0</v>
      </c>
      <c r="H45" s="1953" t="s">
        <v>5343</v>
      </c>
      <c r="I45" s="3" t="s">
        <v>291</v>
      </c>
    </row>
    <row r="46" spans="1:9" ht="15" customHeight="1" x14ac:dyDescent="0.2">
      <c r="A46" s="1845"/>
      <c r="B46" s="1710"/>
      <c r="C46" s="21" t="str">
        <f>F!C40</f>
        <v xml:space="preserve">&lt;0.5 ft </v>
      </c>
      <c r="D46" s="280">
        <f>F!D40</f>
        <v>0</v>
      </c>
      <c r="E46" s="388">
        <v>0</v>
      </c>
      <c r="F46" s="388">
        <f>D46*E46</f>
        <v>0</v>
      </c>
      <c r="G46" s="708"/>
      <c r="H46" s="1961"/>
    </row>
    <row r="47" spans="1:9" ht="15" customHeight="1" x14ac:dyDescent="0.2">
      <c r="A47" s="1845"/>
      <c r="B47" s="1710"/>
      <c r="C47" s="6" t="str">
        <f>F!C41</f>
        <v>0.5 - 1 ft</v>
      </c>
      <c r="D47" s="46">
        <f>F!D41</f>
        <v>0</v>
      </c>
      <c r="E47" s="388">
        <v>1</v>
      </c>
      <c r="F47" s="388">
        <f>D47*E47</f>
        <v>0</v>
      </c>
      <c r="G47" s="709"/>
      <c r="H47" s="1961"/>
    </row>
    <row r="48" spans="1:9" ht="15" customHeight="1" x14ac:dyDescent="0.2">
      <c r="A48" s="1845"/>
      <c r="B48" s="1710"/>
      <c r="C48" s="6" t="str">
        <f>F!C42</f>
        <v>1-3 ft</v>
      </c>
      <c r="D48" s="46">
        <f>F!D42</f>
        <v>0</v>
      </c>
      <c r="E48" s="388">
        <v>2</v>
      </c>
      <c r="F48" s="388">
        <f>D48*E48</f>
        <v>0</v>
      </c>
      <c r="G48" s="709"/>
      <c r="H48" s="1961"/>
    </row>
    <row r="49" spans="1:9" ht="15.6" customHeight="1" thickBot="1" x14ac:dyDescent="0.25">
      <c r="A49" s="1845"/>
      <c r="B49" s="1710"/>
      <c r="C49" s="470" t="str">
        <f>F!C43</f>
        <v xml:space="preserve">&gt; 3 ft </v>
      </c>
      <c r="D49" s="20">
        <f>F!D43</f>
        <v>0</v>
      </c>
      <c r="E49" s="391">
        <v>3</v>
      </c>
      <c r="F49" s="391">
        <f>D49*E49</f>
        <v>0</v>
      </c>
      <c r="G49" s="718"/>
      <c r="H49" s="1959"/>
    </row>
    <row r="50" spans="1:9" ht="30" customHeight="1" thickBot="1" x14ac:dyDescent="0.25">
      <c r="A50" s="1868" t="str">
        <f>F!A44</f>
        <v>F9</v>
      </c>
      <c r="B50" s="1709" t="str">
        <f>F!B44</f>
        <v>Predominant Depth Class</v>
      </c>
      <c r="C50" s="231" t="str">
        <f>F!C44</f>
        <v>During most of the growing season, surface water depth in most of the area where it is present is: [Note: This is not asking for the maximum depth.]</v>
      </c>
      <c r="D50" s="392"/>
      <c r="E50" s="392"/>
      <c r="F50" s="393"/>
      <c r="G50" s="600">
        <f>IF((AllSat+AllSat1&gt;0),"", MAX(F51:F55)/MAX(E51:E55))</f>
        <v>0</v>
      </c>
      <c r="H50" s="1709" t="s">
        <v>5342</v>
      </c>
      <c r="I50" s="3" t="s">
        <v>292</v>
      </c>
    </row>
    <row r="51" spans="1:9" ht="15" customHeight="1" x14ac:dyDescent="0.2">
      <c r="A51" s="1869"/>
      <c r="B51" s="1710"/>
      <c r="C51" s="21" t="str">
        <f>F!C45</f>
        <v>&lt;0.5 ft deep (but &gt;0)</v>
      </c>
      <c r="D51" s="280">
        <f>F!D45</f>
        <v>0</v>
      </c>
      <c r="E51" s="388">
        <v>5</v>
      </c>
      <c r="F51" s="388">
        <f>D51*E51</f>
        <v>0</v>
      </c>
      <c r="G51" s="708"/>
      <c r="H51" s="1710"/>
    </row>
    <row r="52" spans="1:9" ht="15" customHeight="1" x14ac:dyDescent="0.2">
      <c r="A52" s="1869"/>
      <c r="B52" s="1710"/>
      <c r="C52" s="6" t="str">
        <f>F!C46</f>
        <v>0.5 - 1 ft deep</v>
      </c>
      <c r="D52" s="46">
        <f>F!D46</f>
        <v>0</v>
      </c>
      <c r="E52" s="388">
        <v>4</v>
      </c>
      <c r="F52" s="388">
        <f>D52*E52</f>
        <v>0</v>
      </c>
      <c r="G52" s="709"/>
      <c r="H52" s="1710"/>
    </row>
    <row r="53" spans="1:9" ht="15" customHeight="1" x14ac:dyDescent="0.2">
      <c r="A53" s="1869"/>
      <c r="B53" s="1710"/>
      <c r="C53" s="6" t="str">
        <f>F!C47</f>
        <v>1-2 ft deep</v>
      </c>
      <c r="D53" s="46">
        <f>F!D47</f>
        <v>0</v>
      </c>
      <c r="E53" s="388">
        <v>2</v>
      </c>
      <c r="F53" s="388">
        <f>D53*E53</f>
        <v>0</v>
      </c>
      <c r="G53" s="709"/>
      <c r="H53" s="1710"/>
    </row>
    <row r="54" spans="1:9" ht="15" customHeight="1" x14ac:dyDescent="0.2">
      <c r="A54" s="1869"/>
      <c r="B54" s="1710"/>
      <c r="C54" s="6" t="str">
        <f>F!C48</f>
        <v>2-6 ft deep</v>
      </c>
      <c r="D54" s="46">
        <f>F!D48</f>
        <v>0</v>
      </c>
      <c r="E54" s="388">
        <v>1</v>
      </c>
      <c r="F54" s="388">
        <f>D54*E54</f>
        <v>0</v>
      </c>
      <c r="G54" s="709"/>
      <c r="H54" s="1710"/>
    </row>
    <row r="55" spans="1:9" ht="15.6" customHeight="1" thickBot="1" x14ac:dyDescent="0.25">
      <c r="A55" s="1870"/>
      <c r="B55" s="1711"/>
      <c r="C55" s="214" t="str">
        <f>F!C49</f>
        <v>&gt;6 ft deep.  True for many fringe wetlands.</v>
      </c>
      <c r="D55" s="213">
        <f>F!D49</f>
        <v>0</v>
      </c>
      <c r="E55" s="389">
        <v>0</v>
      </c>
      <c r="F55" s="417">
        <f>D55*E55</f>
        <v>0</v>
      </c>
      <c r="G55" s="710"/>
      <c r="H55" s="1711"/>
    </row>
    <row r="56" spans="1:9" ht="30" customHeight="1" thickBot="1" x14ac:dyDescent="0.25">
      <c r="A56" s="1899" t="str">
        <f>F!A61</f>
        <v>F13</v>
      </c>
      <c r="B56" s="1713" t="str">
        <f>F!B61</f>
        <v>Width of AA's Vegetated Zone</v>
      </c>
      <c r="C56" s="385" t="str">
        <f>F!C61</f>
        <v>At the driest time of year (or lowest water level), the width of vegetated area in the AA that separates adjoining uplands from most of the open water within or adjoining the AA is:</v>
      </c>
      <c r="D56" s="392"/>
      <c r="E56" s="387"/>
      <c r="F56" s="390"/>
      <c r="G56" s="601" t="str">
        <f>IF((AllSat+AllSat1&gt;0),"",IF((OpenW=0),"",MAX(F57:F61)/MAX(E57:E61)))</f>
        <v/>
      </c>
      <c r="H56" s="1953" t="s">
        <v>5344</v>
      </c>
      <c r="I56" s="3" t="s">
        <v>293</v>
      </c>
    </row>
    <row r="57" spans="1:9" ht="15" customHeight="1" x14ac:dyDescent="0.2">
      <c r="A57" s="1845"/>
      <c r="B57" s="1688"/>
      <c r="C57" s="21" t="str">
        <f>F!C62</f>
        <v xml:space="preserve">1-5 ft </v>
      </c>
      <c r="D57" s="280">
        <f>F!D62</f>
        <v>0</v>
      </c>
      <c r="E57" s="388">
        <v>4</v>
      </c>
      <c r="F57" s="388">
        <f>D57*E57</f>
        <v>0</v>
      </c>
      <c r="G57" s="708"/>
      <c r="H57" s="1961"/>
    </row>
    <row r="58" spans="1:9" ht="15" customHeight="1" x14ac:dyDescent="0.2">
      <c r="A58" s="1845"/>
      <c r="B58" s="1688"/>
      <c r="C58" s="6" t="str">
        <f>F!C63</f>
        <v>5-25 ft</v>
      </c>
      <c r="D58" s="46">
        <f>F!D63</f>
        <v>0</v>
      </c>
      <c r="E58" s="388">
        <v>3</v>
      </c>
      <c r="F58" s="388">
        <f>D58*E58</f>
        <v>0</v>
      </c>
      <c r="G58" s="709"/>
      <c r="H58" s="1961"/>
    </row>
    <row r="59" spans="1:9" ht="15" customHeight="1" x14ac:dyDescent="0.2">
      <c r="A59" s="1845"/>
      <c r="B59" s="1688"/>
      <c r="C59" s="6" t="str">
        <f>F!C64</f>
        <v>25-100 ft</v>
      </c>
      <c r="D59" s="46">
        <f>F!D64</f>
        <v>0</v>
      </c>
      <c r="E59" s="388">
        <v>2</v>
      </c>
      <c r="F59" s="388">
        <f>D59*E59</f>
        <v>0</v>
      </c>
      <c r="G59" s="709"/>
      <c r="H59" s="1961"/>
    </row>
    <row r="60" spans="1:9" ht="15" customHeight="1" x14ac:dyDescent="0.2">
      <c r="A60" s="1845"/>
      <c r="B60" s="1688"/>
      <c r="C60" s="6" t="str">
        <f>F!C65</f>
        <v>100-300 ft</v>
      </c>
      <c r="D60" s="46">
        <f>F!D65</f>
        <v>0</v>
      </c>
      <c r="E60" s="388">
        <v>1</v>
      </c>
      <c r="F60" s="388">
        <f>D60*E60</f>
        <v>0</v>
      </c>
      <c r="G60" s="709"/>
      <c r="H60" s="1961"/>
    </row>
    <row r="61" spans="1:9" ht="15.6" customHeight="1" thickBot="1" x14ac:dyDescent="0.25">
      <c r="A61" s="1845"/>
      <c r="B61" s="1688"/>
      <c r="C61" s="470" t="str">
        <f>F!C66</f>
        <v>&gt;300 ft</v>
      </c>
      <c r="D61" s="20">
        <f>F!D66</f>
        <v>0</v>
      </c>
      <c r="E61" s="391">
        <v>0</v>
      </c>
      <c r="F61" s="391">
        <f>D61*E61</f>
        <v>0</v>
      </c>
      <c r="G61" s="718"/>
      <c r="H61" s="1959"/>
    </row>
    <row r="62" spans="1:9" ht="45" customHeight="1" thickBot="1" x14ac:dyDescent="0.25">
      <c r="A62" s="1896" t="str">
        <f>F!A71</f>
        <v>F15</v>
      </c>
      <c r="B62" s="1692" t="str">
        <f>F!B71</f>
        <v>All Ponded Water - Extent</v>
      </c>
      <c r="C62" s="586" t="str">
        <f>F!C71</f>
        <v>During most of the growing season, the percentage of the AA that has ponded surface water (stagnant, or flows so slowly that fine sediment is not held in suspension) which is either open or shaded by emergent vegetation is:</v>
      </c>
      <c r="D62" s="392"/>
      <c r="E62" s="392"/>
      <c r="F62" s="717"/>
      <c r="G62" s="600">
        <f>IF((AllSat=1),"",MAX(F63:F69)/MAX(E63:E69))</f>
        <v>0</v>
      </c>
      <c r="H62" s="1687" t="s">
        <v>5346</v>
      </c>
      <c r="I62" s="3" t="s">
        <v>1953</v>
      </c>
    </row>
    <row r="63" spans="1:9" ht="15" customHeight="1" x14ac:dyDescent="0.2">
      <c r="A63" s="1897"/>
      <c r="B63" s="1713"/>
      <c r="C63" s="751" t="str">
        <f>F!C72</f>
        <v>&lt;1% or none, or occupies &lt;100 sq. ft cumulatively.  Enter "1" and SKIP to F19.</v>
      </c>
      <c r="D63" s="316">
        <f>F!D72</f>
        <v>0</v>
      </c>
      <c r="E63" s="388">
        <v>5</v>
      </c>
      <c r="F63" s="391">
        <f t="shared" ref="F63:F69" si="2">D63*E63</f>
        <v>0</v>
      </c>
      <c r="G63" s="709"/>
      <c r="H63" s="1688"/>
    </row>
    <row r="64" spans="1:9" ht="15" customHeight="1" x14ac:dyDescent="0.2">
      <c r="A64" s="1897"/>
      <c r="B64" s="1713"/>
      <c r="C64" s="589" t="str">
        <f>F!C73</f>
        <v>1-25% of the AA, and mainly in small fishless pools. Enter "1" and SKIP to F19.</v>
      </c>
      <c r="D64" s="285">
        <f>F!D73</f>
        <v>0</v>
      </c>
      <c r="E64" s="388">
        <v>4</v>
      </c>
      <c r="F64" s="391">
        <f t="shared" si="2"/>
        <v>0</v>
      </c>
      <c r="G64" s="709"/>
      <c r="H64" s="1688"/>
    </row>
    <row r="65" spans="1:9" ht="15" customHeight="1" x14ac:dyDescent="0.2">
      <c r="A65" s="1897"/>
      <c r="B65" s="1713"/>
      <c r="C65" s="589" t="str">
        <f>F!C74</f>
        <v>1-25% of the AA, and mainly in a single large pool or pond, with or without fish access.</v>
      </c>
      <c r="D65" s="285">
        <f>F!D74</f>
        <v>0</v>
      </c>
      <c r="E65" s="388">
        <v>4</v>
      </c>
      <c r="F65" s="391">
        <f t="shared" si="2"/>
        <v>0</v>
      </c>
      <c r="G65" s="709"/>
      <c r="H65" s="1688"/>
    </row>
    <row r="66" spans="1:9" ht="15" customHeight="1" x14ac:dyDescent="0.2">
      <c r="A66" s="1897"/>
      <c r="B66" s="1713"/>
      <c r="C66" s="589" t="str">
        <f>F!C75</f>
        <v>5-30% of the AA.</v>
      </c>
      <c r="D66" s="285">
        <f>F!D75</f>
        <v>0</v>
      </c>
      <c r="E66" s="388">
        <v>3</v>
      </c>
      <c r="F66" s="391">
        <f t="shared" si="2"/>
        <v>0</v>
      </c>
      <c r="G66" s="709"/>
      <c r="H66" s="1688"/>
    </row>
    <row r="67" spans="1:9" ht="15" customHeight="1" x14ac:dyDescent="0.2">
      <c r="A67" s="1897"/>
      <c r="B67" s="1713"/>
      <c r="C67" s="589" t="str">
        <f>F!C76</f>
        <v>30-70% of the AA.</v>
      </c>
      <c r="D67" s="285">
        <f>F!D76</f>
        <v>0</v>
      </c>
      <c r="E67" s="388">
        <v>2</v>
      </c>
      <c r="F67" s="391">
        <f t="shared" si="2"/>
        <v>0</v>
      </c>
      <c r="G67" s="709"/>
      <c r="H67" s="1688"/>
    </row>
    <row r="68" spans="1:9" ht="15" customHeight="1" x14ac:dyDescent="0.2">
      <c r="A68" s="1897"/>
      <c r="B68" s="1713"/>
      <c r="C68" s="589" t="str">
        <f>F!C77</f>
        <v>70-95% of the AA.</v>
      </c>
      <c r="D68" s="285">
        <f>F!D77</f>
        <v>0</v>
      </c>
      <c r="E68" s="388">
        <v>1</v>
      </c>
      <c r="F68" s="391">
        <f t="shared" si="2"/>
        <v>0</v>
      </c>
      <c r="G68" s="709"/>
      <c r="H68" s="1688"/>
    </row>
    <row r="69" spans="1:9" ht="15.6" customHeight="1" thickBot="1" x14ac:dyDescent="0.25">
      <c r="A69" s="1898"/>
      <c r="B69" s="1714"/>
      <c r="C69" s="748" t="str">
        <f>F!C78</f>
        <v>&gt;95% of the AA.</v>
      </c>
      <c r="D69" s="313">
        <f>F!D78</f>
        <v>0</v>
      </c>
      <c r="E69" s="389">
        <v>0</v>
      </c>
      <c r="F69" s="389">
        <f t="shared" si="2"/>
        <v>0</v>
      </c>
      <c r="G69" s="710"/>
      <c r="H69" s="1689"/>
    </row>
    <row r="70" spans="1:9" ht="30" customHeight="1" thickBot="1" x14ac:dyDescent="0.25">
      <c r="A70" s="2009" t="str">
        <f>F!A79</f>
        <v>F16</v>
      </c>
      <c r="B70" s="1896" t="str">
        <f>F!B79</f>
        <v>Open Ponded Water - Extent</v>
      </c>
      <c r="C70" s="148" t="str">
        <f>F!C79</f>
        <v>The percentage of the ponded water that is open (lacking emergent vegetation during most of the growing season, and unhidden by a forest or shrub canopy) is:</v>
      </c>
      <c r="D70" s="1592"/>
      <c r="E70" s="717"/>
      <c r="F70" s="717"/>
      <c r="G70" s="745">
        <f>IF((AllSat+AllSat1&gt;0),"",IF((OR(puddles=1,NoPonded=1)),"",MAX(F71:F76)/MAX(E71:E76)))</f>
        <v>0</v>
      </c>
      <c r="H70" s="1688" t="s">
        <v>5345</v>
      </c>
      <c r="I70" s="3" t="s">
        <v>304</v>
      </c>
    </row>
    <row r="71" spans="1:9" ht="15" customHeight="1" x14ac:dyDescent="0.2">
      <c r="A71" s="2010"/>
      <c r="B71" s="1897"/>
      <c r="C71" s="1595" t="str">
        <f>F!C80</f>
        <v>&lt;1% or none, or largest pool occupies &lt;100 sq. ft.  Enter "1" and SKIP to F19.</v>
      </c>
      <c r="D71" s="284">
        <f>F!D80</f>
        <v>0</v>
      </c>
      <c r="E71" s="388">
        <v>6</v>
      </c>
      <c r="F71" s="388">
        <f t="shared" ref="F71:F80" si="3">D71*E71</f>
        <v>0</v>
      </c>
      <c r="G71" s="864"/>
      <c r="H71" s="1688"/>
    </row>
    <row r="72" spans="1:9" ht="15" customHeight="1" x14ac:dyDescent="0.2">
      <c r="A72" s="2010"/>
      <c r="B72" s="1897"/>
      <c r="C72" s="1593" t="str">
        <f>F!C81</f>
        <v>1-5% of the ponded water.  Enter "1" and SKIP to F19.</v>
      </c>
      <c r="D72" s="284">
        <f>F!D81</f>
        <v>0</v>
      </c>
      <c r="E72" s="388">
        <v>5</v>
      </c>
      <c r="F72" s="388">
        <f t="shared" si="3"/>
        <v>0</v>
      </c>
      <c r="G72" s="864"/>
      <c r="H72" s="1688"/>
    </row>
    <row r="73" spans="1:9" ht="15" customHeight="1" x14ac:dyDescent="0.2">
      <c r="A73" s="2010"/>
      <c r="B73" s="1897"/>
      <c r="C73" s="1593" t="str">
        <f>F!C82</f>
        <v>5-30% of the ponded water.</v>
      </c>
      <c r="D73" s="284">
        <f>F!D82</f>
        <v>0</v>
      </c>
      <c r="E73" s="388">
        <v>4</v>
      </c>
      <c r="F73" s="388">
        <f t="shared" si="3"/>
        <v>0</v>
      </c>
      <c r="G73" s="864"/>
      <c r="H73" s="1688"/>
    </row>
    <row r="74" spans="1:9" ht="15" customHeight="1" x14ac:dyDescent="0.2">
      <c r="A74" s="2010"/>
      <c r="B74" s="1897"/>
      <c r="C74" s="1593" t="str">
        <f>F!C83</f>
        <v>30-70% of the ponded water.</v>
      </c>
      <c r="D74" s="284">
        <f>F!D83</f>
        <v>0</v>
      </c>
      <c r="E74" s="388">
        <v>3</v>
      </c>
      <c r="F74" s="388">
        <f t="shared" si="3"/>
        <v>0</v>
      </c>
      <c r="G74" s="864"/>
      <c r="H74" s="1688"/>
    </row>
    <row r="75" spans="1:9" ht="15" customHeight="1" x14ac:dyDescent="0.2">
      <c r="A75" s="2010"/>
      <c r="B75" s="1897"/>
      <c r="C75" s="1593" t="str">
        <f>F!C84</f>
        <v>70-99% of the ponded water.</v>
      </c>
      <c r="D75" s="284">
        <f>F!D84</f>
        <v>0</v>
      </c>
      <c r="E75" s="388">
        <v>2</v>
      </c>
      <c r="F75" s="388">
        <f t="shared" si="3"/>
        <v>0</v>
      </c>
      <c r="G75" s="864"/>
      <c r="H75" s="1688"/>
    </row>
    <row r="76" spans="1:9" ht="15.6" customHeight="1" thickBot="1" x14ac:dyDescent="0.25">
      <c r="A76" s="2011"/>
      <c r="B76" s="1898"/>
      <c r="C76" s="1594" t="str">
        <f>F!C85</f>
        <v>100% of the ponded water. SKIP to F18.</v>
      </c>
      <c r="D76" s="313">
        <f>F!D85</f>
        <v>0</v>
      </c>
      <c r="E76" s="389">
        <v>1</v>
      </c>
      <c r="F76" s="389">
        <f t="shared" si="3"/>
        <v>0</v>
      </c>
      <c r="G76" s="865"/>
      <c r="H76" s="1688"/>
    </row>
    <row r="77" spans="1:9" ht="30" customHeight="1" thickBot="1" x14ac:dyDescent="0.25">
      <c r="A77" s="1896" t="str">
        <f>F!A86</f>
        <v>F17</v>
      </c>
      <c r="B77" s="1692" t="str">
        <f>F!B86</f>
        <v>Emergent Vegetation - Distribution</v>
      </c>
      <c r="C77" s="542" t="str">
        <f>F!C86</f>
        <v>During most of the growing season, the spatial pattern of herbaceous vegetation that has surface water beneath it (emergent vegetation -- NOT floating-leaved plants) is mostly:</v>
      </c>
      <c r="D77" s="387"/>
      <c r="E77" s="387"/>
      <c r="F77" s="390"/>
      <c r="G77" s="601">
        <f>IF((AllSat+AllSat1&gt;0),"",IF((OR(puddles=1,NoPonded=1)),"",IF((NoOpenPonded+NoOpenPonded1&gt;0),"",IF((AllOpenPond=1),"",MAX(F78:F80)/MAX(E78:E80)))))</f>
        <v>0</v>
      </c>
      <c r="H77" s="1687" t="s">
        <v>5348</v>
      </c>
      <c r="I77" s="3" t="s">
        <v>2023</v>
      </c>
    </row>
    <row r="78" spans="1:9" ht="15" customHeight="1" x14ac:dyDescent="0.2">
      <c r="A78" s="1897"/>
      <c r="B78" s="1713"/>
      <c r="C78" s="543" t="str">
        <f>F!C87</f>
        <v>scattered in small clumps, islands, or patches throughout the surface water area.</v>
      </c>
      <c r="D78" s="283">
        <f>F!D87</f>
        <v>0</v>
      </c>
      <c r="E78" s="388">
        <v>2</v>
      </c>
      <c r="F78" s="391">
        <f t="shared" si="3"/>
        <v>0</v>
      </c>
      <c r="G78" s="709"/>
      <c r="H78" s="1688"/>
    </row>
    <row r="79" spans="1:9" ht="15" customHeight="1" x14ac:dyDescent="0.2">
      <c r="A79" s="1897"/>
      <c r="B79" s="1713"/>
      <c r="C79" s="543" t="str">
        <f>F!C88</f>
        <v>intermediate</v>
      </c>
      <c r="D79" s="283">
        <f>F!D88</f>
        <v>0</v>
      </c>
      <c r="E79" s="388">
        <v>1</v>
      </c>
      <c r="F79" s="391">
        <f t="shared" si="3"/>
        <v>0</v>
      </c>
      <c r="G79" s="709"/>
      <c r="H79" s="1688"/>
    </row>
    <row r="80" spans="1:9" ht="27.6" customHeight="1" thickBot="1" x14ac:dyDescent="0.25">
      <c r="A80" s="1898"/>
      <c r="B80" s="1714"/>
      <c r="C80" s="752" t="str">
        <f>F!C89</f>
        <v>clumped along the margin of the surface water area, or mostly surrounds a channel or central area of open water, or such vegetation covers &lt;100 sq ft and &lt;1% of the AA.</v>
      </c>
      <c r="D80" s="315">
        <f>F!D89</f>
        <v>0</v>
      </c>
      <c r="E80" s="389">
        <v>0</v>
      </c>
      <c r="F80" s="389">
        <f t="shared" si="3"/>
        <v>0</v>
      </c>
      <c r="G80" s="710"/>
      <c r="H80" s="1689"/>
    </row>
    <row r="81" spans="1:9" ht="60" customHeight="1" thickBot="1" x14ac:dyDescent="0.25">
      <c r="A81" s="149" t="str">
        <f>F!A91</f>
        <v>F19</v>
      </c>
      <c r="B81" s="143" t="str">
        <f>F!B91</f>
        <v>Ice Cover</v>
      </c>
      <c r="C81" s="19" t="str">
        <f>F!C91</f>
        <v>Ice (not just snow) covers nearly all of the AA's water surface for more than 4 continuous weeks during most years, potentially altering the air-water exchange.  If true, enter "1" in next column.  If untrue, enter "0".</v>
      </c>
      <c r="D81" s="380">
        <f>F!D91</f>
        <v>0</v>
      </c>
      <c r="E81" s="407"/>
      <c r="F81" s="401"/>
      <c r="G81" s="424">
        <f>IF((AllSat+AllSat1&gt;0),"",1-D81)</f>
        <v>1</v>
      </c>
      <c r="H81" s="143" t="s">
        <v>5347</v>
      </c>
      <c r="I81" s="3" t="s">
        <v>977</v>
      </c>
    </row>
    <row r="82" spans="1:9" ht="45" customHeight="1" thickBot="1" x14ac:dyDescent="0.25">
      <c r="A82" s="541" t="str">
        <f>F!A92</f>
        <v>F20</v>
      </c>
      <c r="B82" s="49" t="str">
        <f>F!B92</f>
        <v>Stained Surface Water</v>
      </c>
      <c r="C82" s="693" t="str">
        <f>F!C92</f>
        <v xml:space="preserve">Most surface water is tea-colored (from tannins, not iron bacteria), and/or its pH is usually &lt;5.5.  If surface water not observed, enter "1" if organic soil depth exceeds 6 inches and vegetation is mostly moss and/or evergreens. </v>
      </c>
      <c r="D82" s="258">
        <f>F!D92</f>
        <v>0</v>
      </c>
      <c r="E82" s="411"/>
      <c r="F82" s="400"/>
      <c r="G82" s="600" t="str">
        <f>IF((AllSat+AllSat1&gt;0),"", IF((D82=0),"",1))</f>
        <v/>
      </c>
      <c r="H82" s="5" t="s">
        <v>2027</v>
      </c>
      <c r="I82" s="3" t="s">
        <v>2028</v>
      </c>
    </row>
    <row r="83" spans="1:9" ht="21" customHeight="1" thickBot="1" x14ac:dyDescent="0.25">
      <c r="A83" s="1952" t="str">
        <f>F!A114</f>
        <v>F27</v>
      </c>
      <c r="B83" s="1710" t="str">
        <f>F!B114</f>
        <v>Throughflow Complexity</v>
      </c>
      <c r="C83" s="385" t="str">
        <f>F!C114</f>
        <v xml:space="preserve">During its travel through the AA at the time of peak annual flow, most of the flowing water [select ONE]: </v>
      </c>
      <c r="D83" s="392"/>
      <c r="E83" s="387"/>
      <c r="F83" s="390"/>
      <c r="G83" s="601" t="str">
        <f>IF((AllSat+AllSat1&gt;0),"", IF((Inflows=0),"",MAX(F84:F88)/MAX(E84:E88)))</f>
        <v/>
      </c>
      <c r="H83" s="1953" t="s">
        <v>5349</v>
      </c>
      <c r="I83" s="3" t="s">
        <v>296</v>
      </c>
    </row>
    <row r="84" spans="1:9" ht="42" customHeight="1" x14ac:dyDescent="0.2">
      <c r="A84" s="1952"/>
      <c r="B84" s="1710"/>
      <c r="C84" s="21" t="str">
        <f>F!C115</f>
        <v>Does not bump into plant stems.  Nearly all the water travels in unvegetated (often incised) channels that have little contact with wetland vegetation, or through a zone of open water such as an instream pond or lake.</v>
      </c>
      <c r="D84" s="280">
        <f>F!D115</f>
        <v>0</v>
      </c>
      <c r="E84" s="388">
        <v>0</v>
      </c>
      <c r="F84" s="388">
        <f>D84*E84</f>
        <v>0</v>
      </c>
      <c r="G84" s="708"/>
      <c r="H84" s="1961"/>
    </row>
    <row r="85" spans="1:9" ht="27" customHeight="1" x14ac:dyDescent="0.2">
      <c r="A85" s="1952"/>
      <c r="B85" s="1710"/>
      <c r="C85" s="6" t="str">
        <f>F!C116</f>
        <v>bumps into herbaceous vegetation and follows a fairly straight path from entrance to exit (branched channels few or none, meandering slight or none).</v>
      </c>
      <c r="D85" s="46">
        <f>F!D116</f>
        <v>0</v>
      </c>
      <c r="E85" s="388">
        <v>1</v>
      </c>
      <c r="F85" s="388">
        <f>D85*E85</f>
        <v>0</v>
      </c>
      <c r="G85" s="709"/>
      <c r="H85" s="1961"/>
    </row>
    <row r="86" spans="1:9" ht="27" customHeight="1" x14ac:dyDescent="0.2">
      <c r="A86" s="1952"/>
      <c r="B86" s="1710"/>
      <c r="C86" s="6" t="str">
        <f>F!C117</f>
        <v>bumps into herbaceous vegetation and follows a fairly indirect path from entrance to exit (meandering, multi-branched, or braided).</v>
      </c>
      <c r="D86" s="46">
        <f>F!D117</f>
        <v>0</v>
      </c>
      <c r="E86" s="388">
        <v>2</v>
      </c>
      <c r="F86" s="388">
        <f>D86*E86</f>
        <v>0</v>
      </c>
      <c r="G86" s="709"/>
      <c r="H86" s="1961"/>
    </row>
    <row r="87" spans="1:9" ht="27" customHeight="1" x14ac:dyDescent="0.2">
      <c r="A87" s="1952"/>
      <c r="B87" s="1710"/>
      <c r="C87" s="6" t="str">
        <f>F!C118</f>
        <v>bumps into tree trunks and/or shrub stems and follows a fairly straight path from entrance to exit (branched channels few or none, meandering slight or none).</v>
      </c>
      <c r="D87" s="46">
        <f>F!D118</f>
        <v>0</v>
      </c>
      <c r="E87" s="388">
        <v>1</v>
      </c>
      <c r="F87" s="388">
        <f>D87*E87</f>
        <v>0</v>
      </c>
      <c r="G87" s="709"/>
      <c r="H87" s="1961"/>
    </row>
    <row r="88" spans="1:9" ht="27.6" customHeight="1" thickBot="1" x14ac:dyDescent="0.25">
      <c r="A88" s="1952"/>
      <c r="B88" s="1710"/>
      <c r="C88" s="470" t="str">
        <f>F!C119</f>
        <v>bumps into tree trunks and/or shrub stems and follows a fairly indirect path from entrance to exit (meandering, multi-branched, or braided).</v>
      </c>
      <c r="D88" s="20">
        <f>F!D119</f>
        <v>0</v>
      </c>
      <c r="E88" s="391">
        <v>2</v>
      </c>
      <c r="F88" s="391">
        <f>D88*E88</f>
        <v>0</v>
      </c>
      <c r="G88" s="718"/>
      <c r="H88" s="1959"/>
    </row>
    <row r="89" spans="1:9" ht="30" customHeight="1" thickBot="1" x14ac:dyDescent="0.25">
      <c r="A89" s="1868" t="str">
        <f>F!A120</f>
        <v>F28</v>
      </c>
      <c r="B89" s="1709" t="str">
        <f>F!B120</f>
        <v>Outflow Duration</v>
      </c>
      <c r="C89" s="231" t="str">
        <f>F!C120</f>
        <v>The most persistent surface water connection (outlet channel or pipe, ditch, or overbank water exchange) between the AA and the closest off-site downslope water body is:</v>
      </c>
      <c r="D89" s="392"/>
      <c r="E89" s="392"/>
      <c r="F89" s="393"/>
      <c r="G89" s="600">
        <f>MAX(F90:F94)/MAX(E90:E94)</f>
        <v>0</v>
      </c>
      <c r="H89" s="2016" t="s">
        <v>5350</v>
      </c>
      <c r="I89" s="3" t="s">
        <v>294</v>
      </c>
    </row>
    <row r="90" spans="1:9" ht="27" customHeight="1" x14ac:dyDescent="0.2">
      <c r="A90" s="1869"/>
      <c r="B90" s="1710"/>
      <c r="C90" s="21" t="str">
        <f>F!C121</f>
        <v>persistent (&gt;9 months/year); almost always shown on stream maps, or determine from your dry-season observation.</v>
      </c>
      <c r="D90" s="280">
        <f>F!D121</f>
        <v>0</v>
      </c>
      <c r="E90" s="388">
        <v>5</v>
      </c>
      <c r="F90" s="388">
        <f>D90*E90</f>
        <v>0</v>
      </c>
      <c r="G90" s="708"/>
      <c r="H90" s="1961"/>
    </row>
    <row r="91" spans="1:9" ht="15" customHeight="1" x14ac:dyDescent="0.2">
      <c r="A91" s="1869"/>
      <c r="B91" s="1710"/>
      <c r="C91" s="6" t="str">
        <f>F!C122</f>
        <v>seasonal (14 days to 9 months/year, not necessarily consecutive); sometimes shown on stream maps.</v>
      </c>
      <c r="D91" s="46">
        <f>F!D122</f>
        <v>0</v>
      </c>
      <c r="E91" s="388">
        <v>4</v>
      </c>
      <c r="F91" s="388">
        <f>D91*E91</f>
        <v>0</v>
      </c>
      <c r="G91" s="709"/>
      <c r="H91" s="1961"/>
    </row>
    <row r="92" spans="1:9" ht="15" customHeight="1" x14ac:dyDescent="0.2">
      <c r="A92" s="1869"/>
      <c r="B92" s="1710"/>
      <c r="C92" s="6" t="str">
        <f>F!C123</f>
        <v>temporary (&lt;14 days, not necessarily consecutive); seldom shown on stream maps.</v>
      </c>
      <c r="D92" s="46">
        <f>F!D123</f>
        <v>0</v>
      </c>
      <c r="E92" s="388">
        <v>3</v>
      </c>
      <c r="F92" s="388">
        <f>D92*E92</f>
        <v>0</v>
      </c>
      <c r="G92" s="709"/>
      <c r="H92" s="1961"/>
    </row>
    <row r="93" spans="1:9" ht="27" customHeight="1" x14ac:dyDescent="0.2">
      <c r="A93" s="1869"/>
      <c r="B93" s="1710"/>
      <c r="C93" s="6" t="str">
        <f>F!C124</f>
        <v xml:space="preserve">none -- but maps show a stream or other water body that is downslope from the AA and within a distance that is less than the AA's path length (see definition, OF35).  If so, mark "1" here and SKIP TO F30. </v>
      </c>
      <c r="D93" s="46">
        <f>F!D124</f>
        <v>0</v>
      </c>
      <c r="E93" s="388">
        <v>1</v>
      </c>
      <c r="F93" s="388">
        <f>D93*E93</f>
        <v>0</v>
      </c>
      <c r="G93" s="709"/>
      <c r="H93" s="1961"/>
    </row>
    <row r="94" spans="1:9" ht="42" customHeight="1" thickBot="1" x14ac:dyDescent="0.25">
      <c r="A94" s="1870"/>
      <c r="B94" s="1711"/>
      <c r="C94" s="214" t="str">
        <f>F!C125</f>
        <v xml:space="preserve">no surface water flows out of the wetland except possibly during extreme events (less than once per 10 years). Or, water flows only into a wetland, ditch, or lake that lacks an outlet.  If so, mark "1" here and SKIP TO F30. </v>
      </c>
      <c r="D94" s="213">
        <f>F!D125</f>
        <v>0</v>
      </c>
      <c r="E94" s="405">
        <v>0</v>
      </c>
      <c r="F94" s="389">
        <f>D94*E94</f>
        <v>0</v>
      </c>
      <c r="G94" s="710"/>
      <c r="H94" s="2017"/>
    </row>
    <row r="95" spans="1:9" ht="30" customHeight="1" thickBot="1" x14ac:dyDescent="0.25">
      <c r="A95" s="1952" t="str">
        <f>F!A126</f>
        <v>F29</v>
      </c>
      <c r="B95" s="1710" t="str">
        <f>F!B126</f>
        <v>Outflow Confinement</v>
      </c>
      <c r="C95" s="385" t="str">
        <f>F!C126</f>
        <v>During major runoff events, in the places where surface water in a channel exits the AA or connected waters nearby, it:</v>
      </c>
      <c r="D95" s="392"/>
      <c r="E95" s="387"/>
      <c r="F95" s="390"/>
      <c r="G95" s="601">
        <f>IF((OutNone + OutNone1&gt;0),"",MAX(F96:F98)/MAX(E96:E98))</f>
        <v>0</v>
      </c>
      <c r="H95" s="1953" t="s">
        <v>5351</v>
      </c>
      <c r="I95" s="3" t="s">
        <v>295</v>
      </c>
    </row>
    <row r="96" spans="1:9" ht="42" customHeight="1" x14ac:dyDescent="0.2">
      <c r="A96" s="1952"/>
      <c r="B96" s="1710"/>
      <c r="C96" s="21" t="str">
        <f>F!C127</f>
        <v>mostly passes through a pipe, culvert, narrowly breached dike, berm, beaver dam, or other partial obstruction (other than natural topography) that does not appear to drain the wetland artificially during most of the growing season.</v>
      </c>
      <c r="D96" s="280">
        <f>F!D127</f>
        <v>0</v>
      </c>
      <c r="E96" s="388">
        <v>0</v>
      </c>
      <c r="F96" s="388">
        <f>D96*E96</f>
        <v>0</v>
      </c>
      <c r="G96" s="708"/>
      <c r="H96" s="1961"/>
    </row>
    <row r="97" spans="1:9" ht="15" customHeight="1" x14ac:dyDescent="0.2">
      <c r="A97" s="1952"/>
      <c r="B97" s="1710"/>
      <c r="C97" s="6" t="str">
        <f>F!C128</f>
        <v>leaves through natural exits, not mainly through artificial or temporary features.</v>
      </c>
      <c r="D97" s="46">
        <f>F!D128</f>
        <v>0</v>
      </c>
      <c r="E97" s="388">
        <v>1</v>
      </c>
      <c r="F97" s="388">
        <f>D97*E97</f>
        <v>0</v>
      </c>
      <c r="G97" s="720"/>
      <c r="H97" s="1961"/>
    </row>
    <row r="98" spans="1:9" ht="27.6" customHeight="1" thickBot="1" x14ac:dyDescent="0.25">
      <c r="A98" s="1952"/>
      <c r="B98" s="1710"/>
      <c r="C98" s="470" t="str">
        <f>F!C129</f>
        <v>exported more quickly than usual due to ditches or pipes within the AA (or connected to its outlet or within 10 m of the AA's edge) which drain the wetland artificially, or water is pumped out of the AA.</v>
      </c>
      <c r="D98" s="20">
        <f>F!D129</f>
        <v>0</v>
      </c>
      <c r="E98" s="391">
        <v>2</v>
      </c>
      <c r="F98" s="391">
        <f>D98*E98</f>
        <v>0</v>
      </c>
      <c r="G98" s="718"/>
      <c r="H98" s="1959"/>
    </row>
    <row r="99" spans="1:9" ht="21" customHeight="1" thickBot="1" x14ac:dyDescent="0.25">
      <c r="A99" s="1868" t="str">
        <f>F!A130</f>
        <v>F30</v>
      </c>
      <c r="B99" s="1687" t="str">
        <f>F!B130</f>
        <v>Groundwater: Strength of Evidence</v>
      </c>
      <c r="C99" s="231" t="str">
        <f>F!C130</f>
        <v>Select first applicable choice.  In the AA:</v>
      </c>
      <c r="D99" s="392"/>
      <c r="E99" s="392"/>
      <c r="F99" s="392"/>
      <c r="G99" s="600">
        <f>IF((D102=1),"",MAX(F100:F102)/MAX(E100:E102))</f>
        <v>0</v>
      </c>
      <c r="H99" s="1687" t="s">
        <v>5352</v>
      </c>
      <c r="I99" s="3" t="s">
        <v>800</v>
      </c>
    </row>
    <row r="100" spans="1:9" ht="72" customHeight="1" x14ac:dyDescent="0.2">
      <c r="A100" s="1869"/>
      <c r="B100" s="1688"/>
      <c r="C100" s="21"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00" s="280">
        <f>F!D131</f>
        <v>0</v>
      </c>
      <c r="E100" s="388">
        <v>2</v>
      </c>
      <c r="F100" s="388">
        <f>D100*E100</f>
        <v>0</v>
      </c>
      <c r="G100" s="709"/>
      <c r="H100" s="1688"/>
    </row>
    <row r="101" spans="1:9" ht="84" customHeight="1" x14ac:dyDescent="0.2">
      <c r="A101" s="1869"/>
      <c r="B101" s="1688"/>
      <c r="C101" s="6"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01" s="46">
        <f>F!D132</f>
        <v>0</v>
      </c>
      <c r="E101" s="388">
        <v>1</v>
      </c>
      <c r="F101" s="388">
        <f>D101*E101</f>
        <v>0</v>
      </c>
      <c r="G101" s="709"/>
      <c r="H101" s="1688"/>
    </row>
    <row r="102" spans="1:9" ht="30" customHeight="1" thickBot="1" x14ac:dyDescent="0.25">
      <c r="A102" s="1870"/>
      <c r="B102" s="1689"/>
      <c r="C102" s="214" t="str">
        <f>F!C133</f>
        <v>Neither of above is true, although some groundwater may discharge to or flow through the AA, or groundwater influx is unknown.</v>
      </c>
      <c r="D102" s="213">
        <f>F!D133</f>
        <v>0</v>
      </c>
      <c r="E102" s="389">
        <v>0</v>
      </c>
      <c r="F102" s="389">
        <f>D102*E102</f>
        <v>0</v>
      </c>
      <c r="G102" s="710"/>
      <c r="H102" s="1689"/>
    </row>
    <row r="103" spans="1:9" ht="21" customHeight="1" thickBot="1" x14ac:dyDescent="0.25">
      <c r="A103" s="1868" t="str">
        <f>F!A146</f>
        <v>F33</v>
      </c>
      <c r="B103" s="1687" t="str">
        <f>F!B146</f>
        <v>Deciduous Trees</v>
      </c>
      <c r="C103" s="231" t="str">
        <f>F!C146</f>
        <v>Within the vegetated part of the AA, just the deciduous trees that are taller than 20 ft occupy:</v>
      </c>
      <c r="D103" s="392"/>
      <c r="E103" s="392"/>
      <c r="F103" s="392"/>
      <c r="G103" s="745">
        <f>IF((NoTrees=1),"",MAX(F104:F108)/MAX(E104:E108))</f>
        <v>0</v>
      </c>
      <c r="H103" s="1698" t="s">
        <v>5353</v>
      </c>
      <c r="I103" s="3" t="s">
        <v>2511</v>
      </c>
    </row>
    <row r="104" spans="1:9" ht="15" customHeight="1" x14ac:dyDescent="0.2">
      <c r="A104" s="1869"/>
      <c r="B104" s="1688"/>
      <c r="C104" s="21" t="str">
        <f>F!C147</f>
        <v>&lt;1% of the vegetated AA</v>
      </c>
      <c r="D104" s="280">
        <f>F!D147</f>
        <v>0</v>
      </c>
      <c r="E104" s="388">
        <v>0</v>
      </c>
      <c r="F104" s="388">
        <f>D104*E104</f>
        <v>0</v>
      </c>
      <c r="G104" s="757"/>
      <c r="H104" s="1970"/>
    </row>
    <row r="105" spans="1:9" ht="15" customHeight="1" x14ac:dyDescent="0.2">
      <c r="A105" s="1869"/>
      <c r="B105" s="1688"/>
      <c r="C105" s="6" t="str">
        <f>F!C148</f>
        <v>1-25% of the vegetated AA</v>
      </c>
      <c r="D105" s="46">
        <f>F!D148</f>
        <v>0</v>
      </c>
      <c r="E105" s="388">
        <v>1</v>
      </c>
      <c r="F105" s="388">
        <f>D105*E105</f>
        <v>0</v>
      </c>
      <c r="G105" s="757"/>
      <c r="H105" s="1970"/>
    </row>
    <row r="106" spans="1:9" ht="15" customHeight="1" x14ac:dyDescent="0.2">
      <c r="A106" s="1869"/>
      <c r="B106" s="1688"/>
      <c r="C106" s="6" t="str">
        <f>F!C149</f>
        <v>25-50% of the vegetated AA</v>
      </c>
      <c r="D106" s="46">
        <f>F!D149</f>
        <v>0</v>
      </c>
      <c r="E106" s="388">
        <v>2</v>
      </c>
      <c r="F106" s="388">
        <f>D106*E106</f>
        <v>0</v>
      </c>
      <c r="G106" s="757"/>
      <c r="H106" s="1970"/>
    </row>
    <row r="107" spans="1:9" ht="15" customHeight="1" x14ac:dyDescent="0.2">
      <c r="A107" s="1869"/>
      <c r="B107" s="1688"/>
      <c r="C107" s="6" t="str">
        <f>F!C150</f>
        <v>50-95% of the vegetated AA</v>
      </c>
      <c r="D107" s="46">
        <f>F!D150</f>
        <v>0</v>
      </c>
      <c r="E107" s="388">
        <v>3</v>
      </c>
      <c r="F107" s="388">
        <f>D107*E107</f>
        <v>0</v>
      </c>
      <c r="G107" s="757"/>
      <c r="H107" s="1970"/>
    </row>
    <row r="108" spans="1:9" ht="15.6" customHeight="1" thickBot="1" x14ac:dyDescent="0.25">
      <c r="A108" s="1870"/>
      <c r="B108" s="1689"/>
      <c r="C108" s="214" t="str">
        <f>F!C151</f>
        <v>&gt;95% of the vegetated part of the AA</v>
      </c>
      <c r="D108" s="213">
        <f>F!D151</f>
        <v>0</v>
      </c>
      <c r="E108" s="389">
        <v>4</v>
      </c>
      <c r="F108" s="389">
        <f>D108*E108</f>
        <v>0</v>
      </c>
      <c r="G108" s="758"/>
      <c r="H108" s="1971"/>
    </row>
    <row r="109" spans="1:9" ht="30" customHeight="1" thickBot="1" x14ac:dyDescent="0.25">
      <c r="A109" s="1869" t="str">
        <f>F!A182</f>
        <v>F40</v>
      </c>
      <c r="B109" s="1688" t="str">
        <f>F!B182</f>
        <v>Deciduous Shrubs</v>
      </c>
      <c r="C109" s="5" t="str">
        <f>F!C182</f>
        <v>Woody vegetation in the 3 to 20 ft height class which is deciduous (e.g., blueberry, menziesia, alder) comprises:</v>
      </c>
      <c r="D109" s="310">
        <f>F!D182</f>
        <v>0</v>
      </c>
      <c r="E109" s="387"/>
      <c r="F109" s="390"/>
      <c r="G109" s="601">
        <f>MAX(F110:F114)/MAX(E110:E114)</f>
        <v>0</v>
      </c>
      <c r="H109" s="1688" t="s">
        <v>287</v>
      </c>
      <c r="I109" s="3" t="s">
        <v>2022</v>
      </c>
    </row>
    <row r="110" spans="1:9" ht="15" customHeight="1" x14ac:dyDescent="0.2">
      <c r="A110" s="1869"/>
      <c r="B110" s="1688"/>
      <c r="C110" s="21" t="str">
        <f>F!C183</f>
        <v>&lt;1% of the AA's vegetated area, or largest patch occupies less than 400 sq. ft</v>
      </c>
      <c r="D110" s="46">
        <f>F!D183</f>
        <v>0</v>
      </c>
      <c r="E110" s="388">
        <v>0</v>
      </c>
      <c r="F110" s="388">
        <f>D110*E110</f>
        <v>0</v>
      </c>
      <c r="G110" s="709"/>
      <c r="H110" s="1688"/>
    </row>
    <row r="111" spans="1:9" ht="15" customHeight="1" x14ac:dyDescent="0.2">
      <c r="A111" s="1869"/>
      <c r="B111" s="1688"/>
      <c r="C111" s="6" t="str">
        <f>F!C184</f>
        <v>1-25% of the vegetated area</v>
      </c>
      <c r="D111" s="46">
        <f>F!D184</f>
        <v>0</v>
      </c>
      <c r="E111" s="388">
        <v>1</v>
      </c>
      <c r="F111" s="388">
        <f>D111*E111</f>
        <v>0</v>
      </c>
      <c r="G111" s="709"/>
      <c r="H111" s="1688"/>
    </row>
    <row r="112" spans="1:9" ht="15" customHeight="1" x14ac:dyDescent="0.2">
      <c r="A112" s="1869"/>
      <c r="B112" s="1688"/>
      <c r="C112" s="6" t="str">
        <f>F!C185</f>
        <v>25-50% of the vegetated area</v>
      </c>
      <c r="D112" s="46">
        <f>F!D185</f>
        <v>0</v>
      </c>
      <c r="E112" s="388">
        <v>2</v>
      </c>
      <c r="F112" s="388">
        <f>D112*E112</f>
        <v>0</v>
      </c>
      <c r="G112" s="709"/>
      <c r="H112" s="1688"/>
    </row>
    <row r="113" spans="1:9" ht="15" customHeight="1" x14ac:dyDescent="0.2">
      <c r="A113" s="1869"/>
      <c r="B113" s="1688"/>
      <c r="C113" s="6" t="str">
        <f>F!C186</f>
        <v>50-75% of the vegetated area</v>
      </c>
      <c r="D113" s="46">
        <f>F!D186</f>
        <v>0</v>
      </c>
      <c r="E113" s="388">
        <v>3</v>
      </c>
      <c r="F113" s="388">
        <f>D113*E113</f>
        <v>0</v>
      </c>
      <c r="G113" s="709"/>
      <c r="H113" s="1688"/>
    </row>
    <row r="114" spans="1:9" ht="15.6" customHeight="1" thickBot="1" x14ac:dyDescent="0.25">
      <c r="A114" s="1870"/>
      <c r="B114" s="1689"/>
      <c r="C114" s="214" t="str">
        <f>F!C187</f>
        <v>&gt;75% of the vegetated area</v>
      </c>
      <c r="D114" s="213">
        <f>F!D187</f>
        <v>0</v>
      </c>
      <c r="E114" s="389">
        <v>4</v>
      </c>
      <c r="F114" s="389">
        <f>D114*E114</f>
        <v>0</v>
      </c>
      <c r="G114" s="710"/>
      <c r="H114" s="1689"/>
    </row>
    <row r="115" spans="1:9" ht="30" customHeight="1" thickBot="1" x14ac:dyDescent="0.25">
      <c r="A115" s="1952" t="str">
        <f>F!A188</f>
        <v>F41</v>
      </c>
      <c r="B115" s="1710" t="str">
        <f>F!B188</f>
        <v>N Fixers</v>
      </c>
      <c r="C115" s="385" t="str">
        <f>F!C188</f>
        <v>The percent of the AA's vegetated cover that is nitrogen-fixing  plants -- e.g., alder, sweet clover (Meliolotus), sweetgale (Myrica gale), buffaloberry, clover, lupine, other legumes -- is:</v>
      </c>
      <c r="D115" s="392"/>
      <c r="E115" s="387"/>
      <c r="F115" s="390"/>
      <c r="G115" s="601">
        <f>MAX(F116:F120)/MAX(E116:E120)</f>
        <v>0</v>
      </c>
      <c r="H115" s="1953" t="s">
        <v>1138</v>
      </c>
      <c r="I115" s="3" t="s">
        <v>297</v>
      </c>
    </row>
    <row r="116" spans="1:9" ht="15" customHeight="1" x14ac:dyDescent="0.2">
      <c r="A116" s="1952"/>
      <c r="B116" s="1710"/>
      <c r="C116" s="21" t="str">
        <f>F!C189</f>
        <v>&lt;1% or none</v>
      </c>
      <c r="D116" s="280">
        <f>F!D189</f>
        <v>0</v>
      </c>
      <c r="E116" s="388">
        <v>0</v>
      </c>
      <c r="F116" s="388">
        <f>D116*E116</f>
        <v>0</v>
      </c>
      <c r="G116" s="708"/>
      <c r="H116" s="1961"/>
    </row>
    <row r="117" spans="1:9" ht="15" customHeight="1" x14ac:dyDescent="0.2">
      <c r="A117" s="1952"/>
      <c r="B117" s="1710"/>
      <c r="C117" s="21" t="str">
        <f>F!C190</f>
        <v>1-25% of the shrub plus ground cover, in the AA or along its water edge (whichever has more).</v>
      </c>
      <c r="D117" s="280">
        <f>F!D190</f>
        <v>0</v>
      </c>
      <c r="E117" s="388">
        <v>1</v>
      </c>
      <c r="F117" s="388">
        <f>D117*E117</f>
        <v>0</v>
      </c>
      <c r="G117" s="709"/>
      <c r="H117" s="1961"/>
    </row>
    <row r="118" spans="1:9" ht="15" customHeight="1" x14ac:dyDescent="0.2">
      <c r="A118" s="1952"/>
      <c r="B118" s="1710"/>
      <c r="C118" s="21" t="str">
        <f>F!C191</f>
        <v>25-50% of the shrub plus ground cover, in the AA or along its water edge (whichever has more).</v>
      </c>
      <c r="D118" s="280">
        <f>F!D191</f>
        <v>0</v>
      </c>
      <c r="E118" s="388">
        <v>2</v>
      </c>
      <c r="F118" s="388">
        <f>D118*E118</f>
        <v>0</v>
      </c>
      <c r="G118" s="709"/>
      <c r="H118" s="1961"/>
    </row>
    <row r="119" spans="1:9" ht="15" customHeight="1" x14ac:dyDescent="0.2">
      <c r="A119" s="1952"/>
      <c r="B119" s="1710"/>
      <c r="C119" s="21" t="str">
        <f>F!C192</f>
        <v>50-75% of the shrub plus ground cover, in the AA or along its water edge (whichever has more).</v>
      </c>
      <c r="D119" s="280">
        <f>F!D192</f>
        <v>0</v>
      </c>
      <c r="E119" s="388">
        <v>3</v>
      </c>
      <c r="F119" s="388">
        <f>D119*E119</f>
        <v>0</v>
      </c>
      <c r="G119" s="709"/>
      <c r="H119" s="1961"/>
    </row>
    <row r="120" spans="1:9" ht="15.6" customHeight="1" thickBot="1" x14ac:dyDescent="0.25">
      <c r="A120" s="1952"/>
      <c r="B120" s="1710"/>
      <c r="C120" s="21" t="str">
        <f>F!C193</f>
        <v>&gt;75% of the shrub plus ground cover, in the AA or along its water edge (whichever has more).</v>
      </c>
      <c r="D120" s="280">
        <f>F!D193</f>
        <v>0</v>
      </c>
      <c r="E120" s="391">
        <v>4</v>
      </c>
      <c r="F120" s="391">
        <f>D120*E120</f>
        <v>0</v>
      </c>
      <c r="G120" s="718"/>
      <c r="H120" s="1959"/>
    </row>
    <row r="121" spans="1:9" ht="60" customHeight="1" thickBot="1" x14ac:dyDescent="0.25">
      <c r="A121" s="1954" t="str">
        <f>F!A200</f>
        <v>F43</v>
      </c>
      <c r="B121" s="1709" t="str">
        <f>F!B200</f>
        <v>Bare Ground &amp; Accumulated Plant Litter</v>
      </c>
      <c r="C121" s="231" t="str">
        <f>F!C200</f>
        <v>As viewed from above at mid-summer, the extent of bare ground (unvegetated mineral or organic soil or rock) within the AA, excluding parts not visible because under water, snow, or dense thatch) is:</v>
      </c>
      <c r="D121" s="392"/>
      <c r="E121" s="392"/>
      <c r="F121" s="393"/>
      <c r="G121" s="600">
        <f>MAX(F122:F125)/MAX(E122:E125)</f>
        <v>0</v>
      </c>
      <c r="H121" s="2016" t="s">
        <v>1139</v>
      </c>
      <c r="I121" s="3" t="s">
        <v>298</v>
      </c>
    </row>
    <row r="122" spans="1:9" ht="42" customHeight="1" x14ac:dyDescent="0.2">
      <c r="A122" s="1955"/>
      <c r="B122" s="1710"/>
      <c r="C122" s="21" t="str">
        <f>F!C201</f>
        <v xml:space="preserve">little or no (&lt;5%) bare ground is visible between erect stems or under canopy and ground surface is extensively blanketed by moss, lichens, graminoids with great stem densities, or plants with ground-hugging foliage.  </v>
      </c>
      <c r="D122" s="280">
        <f>F!D201</f>
        <v>0</v>
      </c>
      <c r="E122" s="388">
        <v>3</v>
      </c>
      <c r="F122" s="388">
        <f>D122*E122</f>
        <v>0</v>
      </c>
      <c r="G122" s="708"/>
      <c r="H122" s="1961"/>
    </row>
    <row r="123" spans="1:9" ht="27" customHeight="1" x14ac:dyDescent="0.2">
      <c r="A123" s="1955"/>
      <c r="B123" s="1710"/>
      <c r="C123" s="6" t="str">
        <f>F!C202</f>
        <v>Slightly bare ground (5-20% bare between plants) is visible in places, but those areas comprise less than 5% of the unflooded parts of the AA.</v>
      </c>
      <c r="D123" s="46">
        <f>F!D202</f>
        <v>0</v>
      </c>
      <c r="E123" s="388">
        <v>2</v>
      </c>
      <c r="F123" s="388">
        <f>D123*E123</f>
        <v>0</v>
      </c>
      <c r="G123" s="709"/>
      <c r="H123" s="1961"/>
    </row>
    <row r="124" spans="1:9" ht="27" customHeight="1" x14ac:dyDescent="0.2">
      <c r="A124" s="1955"/>
      <c r="B124" s="1710"/>
      <c r="C124" s="6" t="str">
        <f>F!C203</f>
        <v>Much bare ground (20-50% bare between plants) is visible in places, and those areas comprise more than 5% of the unflooded parts of the AA. </v>
      </c>
      <c r="D124" s="46">
        <f>F!D203</f>
        <v>0</v>
      </c>
      <c r="E124" s="388">
        <v>1</v>
      </c>
      <c r="F124" s="388">
        <f>D124*E124</f>
        <v>0</v>
      </c>
      <c r="G124" s="709"/>
      <c r="H124" s="1961"/>
    </row>
    <row r="125" spans="1:9" ht="15.6" customHeight="1" thickBot="1" x14ac:dyDescent="0.25">
      <c r="A125" s="1956"/>
      <c r="B125" s="1711"/>
      <c r="C125" s="214" t="str">
        <f>F!C204</f>
        <v>mostly (&gt;50%) bare ground or ground covered only with thatch.</v>
      </c>
      <c r="D125" s="213">
        <f>F!D204</f>
        <v>0</v>
      </c>
      <c r="E125" s="389">
        <v>0</v>
      </c>
      <c r="F125" s="389">
        <f>D125*E125</f>
        <v>0</v>
      </c>
      <c r="G125" s="710"/>
      <c r="H125" s="2017"/>
    </row>
    <row r="126" spans="1:9" ht="60" customHeight="1" thickBot="1" x14ac:dyDescent="0.25">
      <c r="A126" s="1845" t="str">
        <f>F!A214</f>
        <v>F46</v>
      </c>
      <c r="B126" s="1688" t="str">
        <f>F!B214</f>
        <v>Soil Texture</v>
      </c>
      <c r="C126" s="385"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26" s="392"/>
      <c r="E126" s="387"/>
      <c r="F126" s="390"/>
      <c r="G126" s="601">
        <f>MAX(F127:F132)/MAX(E127:E132)</f>
        <v>0</v>
      </c>
      <c r="H126" s="1953" t="s">
        <v>1774</v>
      </c>
      <c r="I126" s="3" t="s">
        <v>299</v>
      </c>
    </row>
    <row r="127" spans="1:9" ht="15" customHeight="1" x14ac:dyDescent="0.2">
      <c r="A127" s="1845"/>
      <c r="B127" s="1688"/>
      <c r="C127" s="21" t="str">
        <f>F!C215</f>
        <v>Loamy: includes loam, sandy loam</v>
      </c>
      <c r="D127" s="280">
        <f>F!D215</f>
        <v>0</v>
      </c>
      <c r="E127" s="388">
        <v>1</v>
      </c>
      <c r="F127" s="388">
        <f t="shared" ref="F127:F132" si="4">D127*E127</f>
        <v>0</v>
      </c>
      <c r="G127" s="708"/>
      <c r="H127" s="1961"/>
    </row>
    <row r="128" spans="1:9" ht="15" customHeight="1" x14ac:dyDescent="0.2">
      <c r="A128" s="1845"/>
      <c r="B128" s="1688"/>
      <c r="C128" s="6" t="str">
        <f>F!C216</f>
        <v>Fines: includes silt, glacial flour, clay, clay loam, silty clay, silty clay loam, sandy clay, sandy clay loam.</v>
      </c>
      <c r="D128" s="46">
        <f>F!D216</f>
        <v>0</v>
      </c>
      <c r="E128" s="388">
        <v>0</v>
      </c>
      <c r="F128" s="388">
        <f t="shared" si="4"/>
        <v>0</v>
      </c>
      <c r="G128" s="709"/>
      <c r="H128" s="1961"/>
    </row>
    <row r="129" spans="1:9" ht="15" customHeight="1" x14ac:dyDescent="0.2">
      <c r="A129" s="1845"/>
      <c r="B129" s="1688"/>
      <c r="C129" s="6" t="str">
        <f>F!C217</f>
        <v>Organic, from surface to within 4 inches of surface only.  Exclude live roots unless from moss.</v>
      </c>
      <c r="D129" s="46">
        <f>F!D217</f>
        <v>0</v>
      </c>
      <c r="E129" s="388">
        <v>5</v>
      </c>
      <c r="F129" s="388">
        <f t="shared" si="4"/>
        <v>0</v>
      </c>
      <c r="G129" s="709"/>
      <c r="H129" s="1961"/>
    </row>
    <row r="130" spans="1:9" ht="15" customHeight="1" x14ac:dyDescent="0.2">
      <c r="A130" s="1845"/>
      <c r="B130" s="1688"/>
      <c r="C130" s="6" t="str">
        <f>F!C218</f>
        <v>Organic, from surface to within 16 inches of surface only. Exclude live roots unless from moss.</v>
      </c>
      <c r="D130" s="46">
        <f>F!D218</f>
        <v>0</v>
      </c>
      <c r="E130" s="388">
        <v>4</v>
      </c>
      <c r="F130" s="388">
        <f t="shared" si="4"/>
        <v>0</v>
      </c>
      <c r="G130" s="718"/>
      <c r="H130" s="1961"/>
    </row>
    <row r="131" spans="1:9" ht="15" customHeight="1" x14ac:dyDescent="0.2">
      <c r="A131" s="1845"/>
      <c r="B131" s="1688"/>
      <c r="C131" s="6" t="str">
        <f>F!C219</f>
        <v>Organic, from surface to greater than 16 inch depth. Exclude live roots unless from moss.</v>
      </c>
      <c r="D131" s="46">
        <f>F!D219</f>
        <v>0</v>
      </c>
      <c r="E131" s="388">
        <v>2</v>
      </c>
      <c r="F131" s="388">
        <f t="shared" si="4"/>
        <v>0</v>
      </c>
      <c r="G131" s="718"/>
      <c r="H131" s="1961"/>
    </row>
    <row r="132" spans="1:9" ht="15.6" customHeight="1" thickBot="1" x14ac:dyDescent="0.25">
      <c r="A132" s="1845"/>
      <c r="B132" s="1688"/>
      <c r="C132" s="470" t="str">
        <f>F!C220</f>
        <v>Coarse: includes sand, loamy sand, gravel, cobble, stones, boulders, fluvents, fluvaquents, riverwash.</v>
      </c>
      <c r="D132" s="20">
        <f>F!D220</f>
        <v>0</v>
      </c>
      <c r="E132" s="391">
        <v>1</v>
      </c>
      <c r="F132" s="391">
        <f t="shared" si="4"/>
        <v>0</v>
      </c>
      <c r="G132" s="718"/>
      <c r="H132" s="1959"/>
    </row>
    <row r="133" spans="1:9" ht="45" customHeight="1" thickBot="1" x14ac:dyDescent="0.25">
      <c r="A133" s="1963" t="str">
        <f>F!A279</f>
        <v>F59</v>
      </c>
      <c r="B133" s="1966" t="str">
        <f>F!B279</f>
        <v>New Wetland</v>
      </c>
      <c r="C133" s="703" t="str">
        <f>F!C279</f>
        <v>The AA is (or is within, or contains) a "new" wetland resulting from human actions (e.g., excavation, impoundment) or debris or lava flows, sea level rise, or other factors affecting what once was upland (non-hydric) soil.</v>
      </c>
      <c r="D133" s="392"/>
      <c r="E133" s="392"/>
      <c r="F133" s="393"/>
      <c r="G133" s="600">
        <f>IF((D139=1),"",MAX(F134:F138)/MAX(E134:E138))</f>
        <v>0</v>
      </c>
      <c r="H133" s="1687" t="s">
        <v>2219</v>
      </c>
      <c r="I133" s="3" t="s">
        <v>302</v>
      </c>
    </row>
    <row r="134" spans="1:9" ht="15" customHeight="1" x14ac:dyDescent="0.2">
      <c r="A134" s="1964"/>
      <c r="B134" s="1967"/>
      <c r="C134" s="704" t="str">
        <f>F!C280</f>
        <v>No</v>
      </c>
      <c r="D134" s="307">
        <f>F!D280</f>
        <v>0</v>
      </c>
      <c r="E134" s="391">
        <v>5</v>
      </c>
      <c r="F134" s="388">
        <f>D134*E134</f>
        <v>0</v>
      </c>
      <c r="G134" s="708"/>
      <c r="H134" s="1688"/>
    </row>
    <row r="135" spans="1:9" ht="15" customHeight="1" x14ac:dyDescent="0.2">
      <c r="A135" s="1964"/>
      <c r="B135" s="1967"/>
      <c r="C135" s="705" t="str">
        <f>F!C281</f>
        <v xml:space="preserve">yes, and most recently created, deglaciated, or uplifted 20 - 100 years ago </v>
      </c>
      <c r="D135" s="308">
        <f>F!D281</f>
        <v>0</v>
      </c>
      <c r="E135" s="391">
        <v>2</v>
      </c>
      <c r="F135" s="388">
        <f>D135*E135</f>
        <v>0</v>
      </c>
      <c r="G135" s="709"/>
      <c r="H135" s="1688"/>
    </row>
    <row r="136" spans="1:9" ht="15" customHeight="1" x14ac:dyDescent="0.2">
      <c r="A136" s="1964"/>
      <c r="B136" s="1967"/>
      <c r="C136" s="705" t="str">
        <f>F!C282</f>
        <v>yes, and most recently created, deglaciated, or uplifted 3-20 years ago</v>
      </c>
      <c r="D136" s="308">
        <f>F!D282</f>
        <v>0</v>
      </c>
      <c r="E136" s="391">
        <v>1</v>
      </c>
      <c r="F136" s="388">
        <f>D136*E136</f>
        <v>0</v>
      </c>
      <c r="G136" s="709"/>
      <c r="H136" s="1688"/>
    </row>
    <row r="137" spans="1:9" ht="15" customHeight="1" x14ac:dyDescent="0.2">
      <c r="A137" s="1964"/>
      <c r="B137" s="1967"/>
      <c r="C137" s="705" t="str">
        <f>F!C283</f>
        <v>yes, and most recently created, deglaciated, or uplifted within last 3 years</v>
      </c>
      <c r="D137" s="308">
        <f>F!D283</f>
        <v>0</v>
      </c>
      <c r="E137" s="391">
        <v>0</v>
      </c>
      <c r="F137" s="388">
        <f>D137*E137</f>
        <v>0</v>
      </c>
      <c r="G137" s="709"/>
      <c r="H137" s="1688"/>
    </row>
    <row r="138" spans="1:9" ht="15" customHeight="1" x14ac:dyDescent="0.2">
      <c r="A138" s="1964"/>
      <c r="B138" s="1967"/>
      <c r="C138" s="705" t="str">
        <f>F!C284</f>
        <v>yes, but time of origin unknown</v>
      </c>
      <c r="D138" s="308">
        <f>F!D284</f>
        <v>0</v>
      </c>
      <c r="E138" s="391">
        <v>1</v>
      </c>
      <c r="F138" s="388">
        <f>D138*E138</f>
        <v>0</v>
      </c>
      <c r="G138" s="709"/>
      <c r="H138" s="1688"/>
    </row>
    <row r="139" spans="1:9" ht="15.6" customHeight="1" thickBot="1" x14ac:dyDescent="0.25">
      <c r="A139" s="1965"/>
      <c r="B139" s="1968"/>
      <c r="C139" s="706" t="str">
        <f>F!C285</f>
        <v>unknown if new within 20 years or not</v>
      </c>
      <c r="D139" s="309">
        <f>F!D285</f>
        <v>0</v>
      </c>
      <c r="E139" s="389"/>
      <c r="F139" s="417"/>
      <c r="G139" s="710"/>
      <c r="H139" s="1689"/>
    </row>
    <row r="140" spans="1:9" ht="30" customHeight="1" thickBot="1" x14ac:dyDescent="0.25">
      <c r="A140" s="483" t="s">
        <v>290</v>
      </c>
      <c r="B140" s="488" t="s">
        <v>2614</v>
      </c>
      <c r="C140" s="475" t="s">
        <v>2606</v>
      </c>
      <c r="D140" s="474" t="s">
        <v>117</v>
      </c>
      <c r="E140" s="626" t="s">
        <v>5438</v>
      </c>
      <c r="F140" s="627" t="s">
        <v>5439</v>
      </c>
      <c r="G140" s="628" t="s">
        <v>5825</v>
      </c>
      <c r="H140" s="488" t="s">
        <v>919</v>
      </c>
    </row>
    <row r="141" spans="1:9" ht="21" customHeight="1" thickBot="1" x14ac:dyDescent="0.25">
      <c r="A141" s="2018" t="str">
        <f>OF!A80</f>
        <v>OF13</v>
      </c>
      <c r="B141" s="2035" t="str">
        <f>OF!B80</f>
        <v>Tidal Proximity</v>
      </c>
      <c r="C141" s="586" t="str">
        <f>OF!C80</f>
        <v>The distance from the AA edge to the closest tidal water body is:</v>
      </c>
      <c r="D141" s="392"/>
      <c r="E141" s="392"/>
      <c r="F141" s="393"/>
      <c r="G141" s="1356">
        <f>MAX(F142:F146)/MAX(E142:E146)</f>
        <v>0</v>
      </c>
      <c r="H141" s="1687" t="s">
        <v>1140</v>
      </c>
      <c r="I141" s="3" t="s">
        <v>301</v>
      </c>
    </row>
    <row r="142" spans="1:9" ht="15" customHeight="1" x14ac:dyDescent="0.2">
      <c r="A142" s="2019"/>
      <c r="B142" s="2036"/>
      <c r="C142" s="587" t="str">
        <f>OF!C81</f>
        <v>&lt;300 ft</v>
      </c>
      <c r="D142" s="283">
        <f>OF!D81</f>
        <v>0</v>
      </c>
      <c r="E142" s="388">
        <v>6</v>
      </c>
      <c r="F142" s="388">
        <f>D142*E142</f>
        <v>0</v>
      </c>
      <c r="G142" s="708"/>
      <c r="H142" s="1688"/>
    </row>
    <row r="143" spans="1:9" ht="15" customHeight="1" x14ac:dyDescent="0.2">
      <c r="A143" s="2019"/>
      <c r="B143" s="2036"/>
      <c r="C143" s="588" t="str">
        <f>OF!C82</f>
        <v>300-1000 ft</v>
      </c>
      <c r="D143" s="284">
        <f>OF!D82</f>
        <v>0</v>
      </c>
      <c r="E143" s="388">
        <v>4</v>
      </c>
      <c r="F143" s="388">
        <f>D143*E143</f>
        <v>0</v>
      </c>
      <c r="G143" s="709"/>
      <c r="H143" s="1688"/>
    </row>
    <row r="144" spans="1:9" ht="15" customHeight="1" x14ac:dyDescent="0.2">
      <c r="A144" s="2019"/>
      <c r="B144" s="2036"/>
      <c r="C144" s="588" t="str">
        <f>OF!C83</f>
        <v>1000 ft - 1 mile</v>
      </c>
      <c r="D144" s="284">
        <f>OF!D83</f>
        <v>0</v>
      </c>
      <c r="E144" s="388">
        <v>3</v>
      </c>
      <c r="F144" s="388">
        <f>D144*E144</f>
        <v>0</v>
      </c>
      <c r="G144" s="709"/>
      <c r="H144" s="1688"/>
    </row>
    <row r="145" spans="1:9" ht="15" customHeight="1" x14ac:dyDescent="0.2">
      <c r="A145" s="2019"/>
      <c r="B145" s="2036"/>
      <c r="C145" s="588" t="str">
        <f>OF!C84</f>
        <v>1-5 miles</v>
      </c>
      <c r="D145" s="284">
        <f>OF!D84</f>
        <v>0</v>
      </c>
      <c r="E145" s="388">
        <v>2</v>
      </c>
      <c r="F145" s="388">
        <f>D145*E145</f>
        <v>0</v>
      </c>
      <c r="G145" s="709"/>
      <c r="H145" s="1688"/>
    </row>
    <row r="146" spans="1:9" ht="15.6" customHeight="1" thickBot="1" x14ac:dyDescent="0.25">
      <c r="A146" s="2020"/>
      <c r="B146" s="2037"/>
      <c r="C146" s="748" t="str">
        <f>OF!C85</f>
        <v>&gt;5 miles</v>
      </c>
      <c r="D146" s="313">
        <f>OF!D85</f>
        <v>0</v>
      </c>
      <c r="E146" s="389">
        <v>0</v>
      </c>
      <c r="F146" s="389">
        <f>D146*E146</f>
        <v>0</v>
      </c>
      <c r="G146" s="710"/>
      <c r="H146" s="1689"/>
    </row>
    <row r="147" spans="1:9" ht="19.5" customHeight="1" thickBot="1" x14ac:dyDescent="0.25">
      <c r="A147" s="1899" t="str">
        <f>OF!A93</f>
        <v>OF16</v>
      </c>
      <c r="B147" s="1713" t="str">
        <f>OF!B93</f>
        <v>Glacier Fed</v>
      </c>
      <c r="C147" s="542" t="str">
        <f>OF!C93</f>
        <v>Refer to the Glaciers map in the online WESPAK-SE Wetlands Module.  Select the first applicable choice:</v>
      </c>
      <c r="D147" s="392"/>
      <c r="E147" s="387"/>
      <c r="F147" s="390"/>
      <c r="G147" s="974" t="str">
        <f>IF((Inflows=0),"",IF((D148=1),"",0))</f>
        <v/>
      </c>
      <c r="H147" s="1873" t="s">
        <v>5430</v>
      </c>
      <c r="I147" s="3" t="s">
        <v>799</v>
      </c>
    </row>
    <row r="148" spans="1:9" ht="15" customHeight="1" x14ac:dyDescent="0.2">
      <c r="A148" s="1899"/>
      <c r="B148" s="1713"/>
      <c r="C148" s="543" t="str">
        <f>OF!C94</f>
        <v>No upstream glacier feeds surface water to the AA, not even seasonally.</v>
      </c>
      <c r="D148" s="283">
        <f>OF!D94</f>
        <v>0</v>
      </c>
      <c r="E148" s="388">
        <v>1</v>
      </c>
      <c r="F148" s="388">
        <f>D148*E148</f>
        <v>0</v>
      </c>
      <c r="G148" s="708"/>
      <c r="H148" s="1702"/>
    </row>
    <row r="149" spans="1:9" ht="42" customHeight="1" x14ac:dyDescent="0.2">
      <c r="A149" s="1899"/>
      <c r="B149" s="1713"/>
      <c r="C149" s="544"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49" s="284">
        <f>OF!D95</f>
        <v>0</v>
      </c>
      <c r="E149" s="388">
        <v>0</v>
      </c>
      <c r="F149" s="388">
        <f>D149*E149</f>
        <v>0</v>
      </c>
      <c r="G149" s="709"/>
      <c r="H149" s="1702"/>
    </row>
    <row r="150" spans="1:9" ht="27.6" customHeight="1" thickBot="1" x14ac:dyDescent="0.25">
      <c r="A150" s="1899"/>
      <c r="B150" s="1713"/>
      <c r="C150" s="545" t="str">
        <f>OF!C96</f>
        <v>A glacier feeds streamflow or other surface water to the AA, but there is little or no resultant reduction in water clarity.</v>
      </c>
      <c r="D150" s="285">
        <f>OF!D96</f>
        <v>0</v>
      </c>
      <c r="E150" s="391">
        <v>0</v>
      </c>
      <c r="F150" s="391">
        <f>D150*E150</f>
        <v>0</v>
      </c>
      <c r="G150" s="718"/>
      <c r="H150" s="1703"/>
    </row>
    <row r="151" spans="1:9" ht="81" customHeight="1" thickBot="1" x14ac:dyDescent="0.25">
      <c r="A151" s="1896" t="str">
        <f>OF!A147</f>
        <v>OF28</v>
      </c>
      <c r="B151" s="1962" t="str">
        <f>OF!B147</f>
        <v>Elevation in Multi-scale Watersheds</v>
      </c>
      <c r="C151" s="749"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51" s="392"/>
      <c r="E151" s="392"/>
      <c r="F151" s="393"/>
      <c r="G151" s="1356" t="str">
        <f>IF((D152=0),"", 1-((3*D152+2*D153+D154)/18))</f>
        <v/>
      </c>
      <c r="H151" s="1687" t="s">
        <v>5354</v>
      </c>
      <c r="I151" s="3" t="s">
        <v>303</v>
      </c>
    </row>
    <row r="152" spans="1:9" ht="27" customHeight="1" x14ac:dyDescent="0.2">
      <c r="A152" s="1897"/>
      <c r="B152" s="2033"/>
      <c r="C152" s="543" t="str">
        <f>OF!C148</f>
        <v>In its HUC8 (the watershed with a 12-digit code), the AA's elevation puts it in (enter one of the following): 3= upper one-third, 2= middle one-third, 1= lower one-third, 0= no data.</v>
      </c>
      <c r="D152" s="283">
        <f>OF!D148</f>
        <v>0</v>
      </c>
      <c r="E152" s="653">
        <f>4-D152</f>
        <v>4</v>
      </c>
      <c r="F152" s="388"/>
      <c r="G152" s="708"/>
      <c r="H152" s="1688"/>
    </row>
    <row r="153" spans="1:9" ht="42" customHeight="1" x14ac:dyDescent="0.2">
      <c r="A153" s="1897"/>
      <c r="B153" s="2033"/>
      <c r="C153" s="544" t="str">
        <f>OF!C149</f>
        <v>In its HUC7 (the 10-digit* watershed), the AA's elevation puts it in (enter one of the following): 3= upper one-third, 2= middle one-third, 1= lower one-third, 0= no data.  [The 10-digit HUC is obtained by deleting the last 2 digits of the 12-digit HUC code]</v>
      </c>
      <c r="D153" s="284">
        <f>OF!D149</f>
        <v>0</v>
      </c>
      <c r="E153" s="653">
        <f>4-D153</f>
        <v>4</v>
      </c>
      <c r="F153" s="388"/>
      <c r="G153" s="709"/>
      <c r="H153" s="1688"/>
    </row>
    <row r="154" spans="1:9" ht="42" customHeight="1" thickBot="1" x14ac:dyDescent="0.25">
      <c r="A154" s="1897"/>
      <c r="B154" s="1906"/>
      <c r="C154" s="545" t="str">
        <f>OF!C150</f>
        <v>In its HUC6 (the 8-digit* watershed) the AA's elevation puts it in (enter one of the following): 3= upper one-third, 2= middle one-third, 1= lower one-third, 0= no data.  [The 8-digit HUC is obtained by deleting the last 4 digits of the 12-digit HUC code]</v>
      </c>
      <c r="D154" s="285">
        <f>OF!D150</f>
        <v>0</v>
      </c>
      <c r="E154" s="1267">
        <f>4-D154</f>
        <v>4</v>
      </c>
      <c r="F154" s="391"/>
      <c r="G154" s="718"/>
      <c r="H154" s="1688"/>
    </row>
    <row r="155" spans="1:9" ht="45" customHeight="1" thickBot="1" x14ac:dyDescent="0.25">
      <c r="A155" s="1268" t="str">
        <f>OF!A181</f>
        <v>OF36</v>
      </c>
      <c r="B155" s="1269" t="str">
        <f>OF!B181</f>
        <v>Relative Hydrologic Distance to Anadromous Stream</v>
      </c>
      <c r="C155" s="1269" t="str">
        <f>OF!C181</f>
        <v xml:space="preserve">Determine the AA's Wetland_ID using the Identify tool in the online WESPAK-SE Wetlands Module (see Manual).  From column B of the HydroDist worksheet (tab below), enter its score in the next column.  If Wetland_ID or HydroDist is lacking, use the value from the closest non-tidal wetland. </v>
      </c>
      <c r="D155" s="765">
        <f>OF!D181</f>
        <v>0</v>
      </c>
      <c r="E155" s="411"/>
      <c r="F155" s="400"/>
      <c r="G155" s="1356">
        <f>D155</f>
        <v>0</v>
      </c>
      <c r="H155" s="111" t="s">
        <v>5340</v>
      </c>
      <c r="I155" s="3" t="s">
        <v>2632</v>
      </c>
    </row>
    <row r="156" spans="1:9" ht="21" customHeight="1" thickBot="1" x14ac:dyDescent="0.25">
      <c r="A156" s="2012"/>
      <c r="B156" s="2012"/>
      <c r="C156" s="2012"/>
      <c r="D156" s="2012"/>
      <c r="E156" s="2012"/>
      <c r="F156" s="2012"/>
      <c r="G156" s="2012"/>
      <c r="H156" s="2013"/>
    </row>
    <row r="157" spans="1:9" ht="21" customHeight="1" x14ac:dyDescent="0.2">
      <c r="A157" s="2029"/>
      <c r="B157" s="2029"/>
      <c r="C157" s="2029"/>
      <c r="D157" s="2021" t="s">
        <v>2412</v>
      </c>
      <c r="E157" s="2022"/>
      <c r="F157" s="2022"/>
      <c r="G157" s="753">
        <f>IF((NewWetNot6=1),AVERAGE(SoilTex6,Stained6),NewWet6)</f>
        <v>0</v>
      </c>
      <c r="H157" s="756" t="s">
        <v>2417</v>
      </c>
      <c r="I157" s="86"/>
    </row>
    <row r="158" spans="1:9" ht="18" customHeight="1" x14ac:dyDescent="0.2">
      <c r="A158" s="2029"/>
      <c r="B158" s="2029"/>
      <c r="C158" s="2029"/>
      <c r="D158" s="2023" t="s">
        <v>2413</v>
      </c>
      <c r="E158" s="2024"/>
      <c r="F158" s="2024"/>
      <c r="G158" s="754">
        <f>AVERAGE(FrozDur6,PlantCov6,NutrAvail6)</f>
        <v>8.3333333333333329E-2</v>
      </c>
      <c r="H158" s="729" t="s">
        <v>2416</v>
      </c>
    </row>
    <row r="159" spans="1:9" ht="21" customHeight="1" x14ac:dyDescent="0.2">
      <c r="A159" s="2029"/>
      <c r="B159" s="2029"/>
      <c r="C159" s="2029"/>
      <c r="D159" s="2025" t="s">
        <v>2378</v>
      </c>
      <c r="E159" s="2026"/>
      <c r="F159" s="2026"/>
      <c r="G159" s="754">
        <f>AVERAGE(Freeze6,Warmth6,TidalProx6,Groundw6)</f>
        <v>0.25</v>
      </c>
      <c r="H159" s="729" t="s">
        <v>2414</v>
      </c>
    </row>
    <row r="160" spans="1:9" ht="21" customHeight="1" x14ac:dyDescent="0.2">
      <c r="A160" s="2029"/>
      <c r="B160" s="2029"/>
      <c r="C160" s="2029"/>
      <c r="D160" s="2025" t="s">
        <v>2513</v>
      </c>
      <c r="E160" s="2026"/>
      <c r="F160" s="2026"/>
      <c r="G160" s="754">
        <f>AVERAGE(AqPlantCov6,Decid6,DecidTree6,Gcover6, Depth6)</f>
        <v>0</v>
      </c>
      <c r="H160" s="216" t="s">
        <v>2512</v>
      </c>
    </row>
    <row r="161" spans="1:9" ht="21" customHeight="1" x14ac:dyDescent="0.2">
      <c r="A161" s="2029"/>
      <c r="B161" s="2029"/>
      <c r="C161" s="2029"/>
      <c r="D161" s="2025" t="s">
        <v>2379</v>
      </c>
      <c r="E161" s="2026"/>
      <c r="F161" s="2026"/>
      <c r="G161" s="754">
        <f>AVERAGE(Wettype6,SeasWpct6, Fluctu6, Karst6a,Granite6,Nfixer6)</f>
        <v>0</v>
      </c>
      <c r="H161" s="216" t="s">
        <v>2415</v>
      </c>
    </row>
    <row r="162" spans="1:9" ht="30" customHeight="1" thickBot="1" x14ac:dyDescent="0.25">
      <c r="A162" s="2029"/>
      <c r="B162" s="2029"/>
      <c r="C162" s="2029"/>
      <c r="D162" s="2027" t="s">
        <v>2380</v>
      </c>
      <c r="E162" s="2028"/>
      <c r="F162" s="2028"/>
      <c r="G162" s="755">
        <f>AVERAGE(OutDura6, Gradient6, FloDist6,Precip6, AVERAGE(Constric6, ThruFlo6, Interspers6,VwidthAbs6, Glacier6,Elev6,PondedPct6))</f>
        <v>0</v>
      </c>
      <c r="H162" s="229" t="s">
        <v>2435</v>
      </c>
    </row>
    <row r="163" spans="1:9" ht="21" customHeight="1" thickBot="1" x14ac:dyDescent="0.25">
      <c r="A163" s="1862"/>
      <c r="B163" s="1862"/>
      <c r="C163" s="2006"/>
      <c r="D163" s="2006"/>
      <c r="E163" s="2006"/>
      <c r="F163" s="2006"/>
      <c r="G163" s="2006"/>
      <c r="H163" s="2007"/>
      <c r="I163" s="8"/>
    </row>
    <row r="164" spans="1:9" ht="30" customHeight="1" thickBot="1" x14ac:dyDescent="0.25">
      <c r="A164" s="1862"/>
      <c r="B164" s="1862"/>
      <c r="C164" s="1874" t="s">
        <v>2630</v>
      </c>
      <c r="D164" s="1875"/>
      <c r="E164" s="1876"/>
      <c r="F164" s="546" t="s">
        <v>141</v>
      </c>
      <c r="G164" s="745">
        <f>10*(IF((NoOutlet6=1),0,(3*ExportPot6 + 2*Productiv6 + HistAccum6)))/6</f>
        <v>0.27777777777777773</v>
      </c>
      <c r="H164" s="5" t="s">
        <v>2441</v>
      </c>
      <c r="I164" s="8"/>
    </row>
    <row r="165" spans="1:9" ht="30" customHeight="1" thickBot="1" x14ac:dyDescent="0.25">
      <c r="A165" s="1862"/>
      <c r="B165" s="1862"/>
      <c r="C165" s="1874" t="s">
        <v>2631</v>
      </c>
      <c r="D165" s="1875"/>
      <c r="E165" s="1876"/>
      <c r="F165" s="546" t="s">
        <v>142</v>
      </c>
      <c r="G165" s="1270">
        <f>10*MAX(DistAnad,AVERAGE(TidalProx6,Elev6,Glacier6))</f>
        <v>0</v>
      </c>
      <c r="H165" s="5" t="s">
        <v>2633</v>
      </c>
    </row>
    <row r="166" spans="1:9" ht="21" customHeight="1" thickBot="1" x14ac:dyDescent="0.25">
      <c r="A166" s="3"/>
      <c r="D166" s="3"/>
      <c r="E166" s="3"/>
      <c r="F166" s="3"/>
      <c r="G166" s="3"/>
    </row>
    <row r="167" spans="1:9" ht="21" customHeight="1" thickBot="1" x14ac:dyDescent="0.25">
      <c r="A167" s="3"/>
      <c r="D167" s="3"/>
      <c r="E167" s="3"/>
      <c r="F167" s="3"/>
      <c r="G167" s="3"/>
      <c r="H167" s="203" t="s">
        <v>1345</v>
      </c>
    </row>
    <row r="168" spans="1:9" ht="42" customHeight="1" x14ac:dyDescent="0.2">
      <c r="A168" s="3"/>
      <c r="D168" s="3"/>
      <c r="E168" s="3"/>
      <c r="F168" s="3"/>
      <c r="G168" s="3"/>
      <c r="H168" s="141" t="s">
        <v>1517</v>
      </c>
    </row>
    <row r="169" spans="1:9" ht="42" customHeight="1" x14ac:dyDescent="0.2">
      <c r="A169" s="3"/>
      <c r="D169" s="3"/>
      <c r="E169" s="3"/>
      <c r="F169" s="3"/>
      <c r="G169" s="3"/>
      <c r="H169" s="118" t="s">
        <v>1413</v>
      </c>
    </row>
    <row r="170" spans="1:9" ht="27" customHeight="1" x14ac:dyDescent="0.2">
      <c r="A170" s="3"/>
      <c r="D170" s="3"/>
      <c r="E170" s="3"/>
      <c r="F170" s="3"/>
      <c r="G170" s="3"/>
      <c r="H170" s="118" t="s">
        <v>1414</v>
      </c>
    </row>
    <row r="171" spans="1:9" ht="42" customHeight="1" x14ac:dyDescent="0.2">
      <c r="A171" s="3"/>
      <c r="D171" s="3"/>
      <c r="E171" s="3"/>
      <c r="F171" s="3"/>
      <c r="G171" s="3"/>
      <c r="H171" s="118" t="s">
        <v>5753</v>
      </c>
    </row>
    <row r="172" spans="1:9" ht="42" customHeight="1" x14ac:dyDescent="0.2">
      <c r="A172" s="3"/>
      <c r="D172" s="3"/>
      <c r="E172" s="3"/>
      <c r="F172" s="3"/>
      <c r="G172" s="3"/>
      <c r="H172" s="118" t="s">
        <v>5751</v>
      </c>
    </row>
    <row r="173" spans="1:9" ht="31.5" customHeight="1" x14ac:dyDescent="0.2">
      <c r="A173" s="3"/>
      <c r="D173" s="3"/>
      <c r="E173" s="3"/>
      <c r="F173" s="3"/>
      <c r="G173" s="3"/>
      <c r="H173" s="118" t="s">
        <v>5752</v>
      </c>
    </row>
    <row r="174" spans="1:9" ht="27" customHeight="1" x14ac:dyDescent="0.2">
      <c r="A174" s="3"/>
      <c r="D174" s="3"/>
      <c r="E174" s="3"/>
      <c r="F174" s="3"/>
      <c r="G174" s="3"/>
      <c r="H174" s="118" t="s">
        <v>5754</v>
      </c>
    </row>
    <row r="175" spans="1:9" ht="42" customHeight="1" x14ac:dyDescent="0.2">
      <c r="A175" s="3"/>
      <c r="D175" s="3"/>
      <c r="E175" s="3"/>
      <c r="F175" s="3"/>
      <c r="G175" s="3"/>
      <c r="H175" s="118" t="s">
        <v>1519</v>
      </c>
    </row>
    <row r="176" spans="1:9" ht="39.75" customHeight="1" x14ac:dyDescent="0.2">
      <c r="A176" s="3"/>
      <c r="D176" s="3"/>
      <c r="E176" s="3"/>
      <c r="F176" s="3"/>
      <c r="G176" s="3"/>
      <c r="H176" s="118" t="s">
        <v>2173</v>
      </c>
    </row>
    <row r="177" spans="1:8" ht="27" customHeight="1" x14ac:dyDescent="0.2">
      <c r="A177" s="3"/>
      <c r="D177" s="3"/>
      <c r="E177" s="3"/>
      <c r="F177" s="3"/>
      <c r="G177" s="3"/>
      <c r="H177" s="118" t="s">
        <v>1520</v>
      </c>
    </row>
    <row r="178" spans="1:8" ht="27" customHeight="1" x14ac:dyDescent="0.2">
      <c r="A178" s="3"/>
      <c r="D178" s="3"/>
      <c r="E178" s="3"/>
      <c r="F178" s="3"/>
      <c r="G178" s="3"/>
      <c r="H178" s="118" t="s">
        <v>2174</v>
      </c>
    </row>
    <row r="179" spans="1:8" ht="42" customHeight="1" x14ac:dyDescent="0.2">
      <c r="A179" s="3"/>
      <c r="D179" s="3"/>
      <c r="E179" s="3"/>
      <c r="F179" s="3"/>
      <c r="G179" s="3"/>
      <c r="H179" s="118" t="s">
        <v>1472</v>
      </c>
    </row>
    <row r="180" spans="1:8" ht="21" customHeight="1" x14ac:dyDescent="0.2">
      <c r="A180" s="3"/>
      <c r="D180" s="3"/>
      <c r="E180" s="3"/>
      <c r="F180" s="3"/>
      <c r="G180" s="3"/>
      <c r="H180" s="118" t="s">
        <v>1474</v>
      </c>
    </row>
    <row r="181" spans="1:8" ht="27" customHeight="1" x14ac:dyDescent="0.2">
      <c r="A181" s="3"/>
      <c r="D181" s="3"/>
      <c r="E181" s="3"/>
      <c r="F181" s="3"/>
      <c r="G181" s="3"/>
      <c r="H181" s="118" t="s">
        <v>1480</v>
      </c>
    </row>
    <row r="182" spans="1:8" ht="42" customHeight="1" x14ac:dyDescent="0.2">
      <c r="A182" s="3"/>
      <c r="D182" s="3"/>
      <c r="E182" s="3"/>
      <c r="F182" s="3"/>
      <c r="G182" s="3"/>
      <c r="H182" s="118" t="s">
        <v>1521</v>
      </c>
    </row>
    <row r="183" spans="1:8" ht="27" customHeight="1" x14ac:dyDescent="0.2">
      <c r="A183" s="3"/>
      <c r="D183" s="3"/>
      <c r="E183" s="3"/>
      <c r="F183" s="3"/>
      <c r="G183" s="3"/>
      <c r="H183" s="118" t="s">
        <v>1522</v>
      </c>
    </row>
    <row r="184" spans="1:8" ht="57" customHeight="1" x14ac:dyDescent="0.2">
      <c r="A184" s="3"/>
      <c r="D184" s="3"/>
      <c r="E184" s="3"/>
      <c r="F184" s="3"/>
      <c r="G184" s="3"/>
      <c r="H184" s="118" t="s">
        <v>1488</v>
      </c>
    </row>
    <row r="185" spans="1:8" ht="42" customHeight="1" thickBot="1" x14ac:dyDescent="0.25">
      <c r="A185" s="3"/>
      <c r="D185" s="3"/>
      <c r="E185" s="3"/>
      <c r="F185" s="3"/>
      <c r="G185" s="3"/>
      <c r="H185" s="142" t="s">
        <v>2175</v>
      </c>
    </row>
    <row r="202" spans="1:1" ht="13.5" thickBot="1" x14ac:dyDescent="0.25"/>
    <row r="203" spans="1:1" ht="13.5" thickBot="1" x14ac:dyDescent="0.25">
      <c r="A203" s="49"/>
    </row>
  </sheetData>
  <sheetProtection algorithmName="SHA-512" hashValue="qCIW5qRItGgUSRYk7wGmI9j4N/o6mnX0C07LHHxFrsuqvmcfLZMar7i0ZOshu759F3Q8y6wwZbfHEBU+B2gbTA==" saltValue="EgYugEaYKRc+3rq/2Kq65A==" spinCount="100000" sheet="1" formatCells="0" formatColumns="0" formatRows="0"/>
  <customSheetViews>
    <customSheetView guid="{B8E02330-2419-4DE6-AD01-7ACC7A5D18DD}" scale="75">
      <selection activeCell="H127" sqref="A2:H127"/>
      <pageMargins left="0.75" right="0.75" top="1" bottom="1" header="0.5" footer="0.5"/>
      <pageSetup orientation="portrait" r:id="rId1"/>
      <headerFooter alignWithMargins="0"/>
    </customSheetView>
  </customSheetViews>
  <mergeCells count="88">
    <mergeCell ref="B56:B61"/>
    <mergeCell ref="B103:B108"/>
    <mergeCell ref="B109:B114"/>
    <mergeCell ref="B45:B49"/>
    <mergeCell ref="C163:H163"/>
    <mergeCell ref="A163:B165"/>
    <mergeCell ref="H121:H125"/>
    <mergeCell ref="H147:H150"/>
    <mergeCell ref="B151:B154"/>
    <mergeCell ref="B141:B146"/>
    <mergeCell ref="B147:B150"/>
    <mergeCell ref="H126:H132"/>
    <mergeCell ref="H62:H69"/>
    <mergeCell ref="H109:H114"/>
    <mergeCell ref="A133:A139"/>
    <mergeCell ref="H70:H76"/>
    <mergeCell ref="A115:A120"/>
    <mergeCell ref="H103:H108"/>
    <mergeCell ref="H115:H120"/>
    <mergeCell ref="H141:H146"/>
    <mergeCell ref="A126:A132"/>
    <mergeCell ref="B121:B125"/>
    <mergeCell ref="B115:B120"/>
    <mergeCell ref="A103:A108"/>
    <mergeCell ref="B126:B132"/>
    <mergeCell ref="H99:H102"/>
    <mergeCell ref="H89:H94"/>
    <mergeCell ref="H95:H98"/>
    <mergeCell ref="B99:B102"/>
    <mergeCell ref="B83:B88"/>
    <mergeCell ref="B95:B98"/>
    <mergeCell ref="B11:B17"/>
    <mergeCell ref="B3:B10"/>
    <mergeCell ref="H3:H10"/>
    <mergeCell ref="H32:H38"/>
    <mergeCell ref="B32:B38"/>
    <mergeCell ref="H20:H24"/>
    <mergeCell ref="B20:B24"/>
    <mergeCell ref="B25:B31"/>
    <mergeCell ref="A3:A10"/>
    <mergeCell ref="A56:A61"/>
    <mergeCell ref="A50:A55"/>
    <mergeCell ref="A45:A49"/>
    <mergeCell ref="A39:A44"/>
    <mergeCell ref="A11:A17"/>
    <mergeCell ref="A25:A31"/>
    <mergeCell ref="A20:A24"/>
    <mergeCell ref="C165:E165"/>
    <mergeCell ref="D157:F157"/>
    <mergeCell ref="D158:F158"/>
    <mergeCell ref="D159:F159"/>
    <mergeCell ref="D160:F160"/>
    <mergeCell ref="D161:F161"/>
    <mergeCell ref="C164:E164"/>
    <mergeCell ref="D162:F162"/>
    <mergeCell ref="A157:C162"/>
    <mergeCell ref="H151:H154"/>
    <mergeCell ref="H83:H88"/>
    <mergeCell ref="A62:A69"/>
    <mergeCell ref="B62:B69"/>
    <mergeCell ref="H25:H31"/>
    <mergeCell ref="A99:A102"/>
    <mergeCell ref="A83:A88"/>
    <mergeCell ref="B39:B44"/>
    <mergeCell ref="H39:H44"/>
    <mergeCell ref="H45:H49"/>
    <mergeCell ref="A121:A125"/>
    <mergeCell ref="B133:B139"/>
    <mergeCell ref="A141:A146"/>
    <mergeCell ref="H56:H61"/>
    <mergeCell ref="H50:H55"/>
    <mergeCell ref="H77:H80"/>
    <mergeCell ref="E1:H1"/>
    <mergeCell ref="A70:A76"/>
    <mergeCell ref="B70:B76"/>
    <mergeCell ref="A156:H156"/>
    <mergeCell ref="H133:H139"/>
    <mergeCell ref="A77:A80"/>
    <mergeCell ref="A109:A114"/>
    <mergeCell ref="B50:B55"/>
    <mergeCell ref="B77:B80"/>
    <mergeCell ref="B89:B94"/>
    <mergeCell ref="A95:A98"/>
    <mergeCell ref="A151:A154"/>
    <mergeCell ref="A147:A150"/>
    <mergeCell ref="H11:H17"/>
    <mergeCell ref="A1:B1"/>
    <mergeCell ref="A89:A94"/>
  </mergeCells>
  <phoneticPr fontId="3" type="noConversion"/>
  <pageMargins left="0.75" right="0.75" top="1" bottom="1" header="0.5" footer="0.5"/>
  <pageSetup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I365"/>
  <sheetViews>
    <sheetView zoomScaleNormal="100" workbookViewId="0">
      <selection sqref="A1:B1"/>
    </sheetView>
  </sheetViews>
  <sheetFormatPr defaultColWidth="9.33203125" defaultRowHeight="12.75" x14ac:dyDescent="0.2"/>
  <cols>
    <col min="1" max="1" width="5.83203125" style="32" customWidth="1"/>
    <col min="2" max="2" width="18.83203125" style="4" customWidth="1"/>
    <col min="3" max="3" width="75.83203125" style="3" customWidth="1"/>
    <col min="4" max="4" width="6.83203125" style="187" customWidth="1"/>
    <col min="5" max="5" width="8" style="187" customWidth="1"/>
    <col min="6" max="6" width="8.5" style="187" customWidth="1"/>
    <col min="7" max="7" width="9.83203125" style="186" customWidth="1"/>
    <col min="8" max="8" width="75.83203125" style="15" customWidth="1"/>
    <col min="9" max="9" width="15.5" style="4" customWidth="1"/>
    <col min="10" max="16384" width="9.33203125" style="4"/>
  </cols>
  <sheetData>
    <row r="1" spans="1:9" s="92" customFormat="1" ht="60" customHeight="1" thickBot="1" x14ac:dyDescent="0.25">
      <c r="A1" s="1866" t="s">
        <v>5450</v>
      </c>
      <c r="B1" s="1867"/>
      <c r="C1" s="88" t="s">
        <v>2275</v>
      </c>
      <c r="D1" s="128" t="s">
        <v>2142</v>
      </c>
      <c r="E1" s="1902"/>
      <c r="F1" s="1903"/>
      <c r="G1" s="1903"/>
      <c r="H1" s="1903"/>
    </row>
    <row r="2" spans="1:9" s="3" customFormat="1" ht="30" customHeight="1" thickBot="1" x14ac:dyDescent="0.25">
      <c r="A2" s="766" t="s">
        <v>290</v>
      </c>
      <c r="B2" s="772" t="s">
        <v>5437</v>
      </c>
      <c r="C2" s="484" t="s">
        <v>2606</v>
      </c>
      <c r="D2" s="450" t="s">
        <v>117</v>
      </c>
      <c r="E2" s="775" t="s">
        <v>5438</v>
      </c>
      <c r="F2" s="472" t="s">
        <v>5439</v>
      </c>
      <c r="G2" s="776" t="s">
        <v>5825</v>
      </c>
      <c r="H2" s="450" t="s">
        <v>919</v>
      </c>
    </row>
    <row r="3" spans="1:9" s="3" customFormat="1" ht="21" customHeight="1" thickBot="1" x14ac:dyDescent="0.25">
      <c r="A3" s="1868" t="str">
        <f>OF!A80</f>
        <v>OF13</v>
      </c>
      <c r="B3" s="2043" t="str">
        <f>OF!B80</f>
        <v>Tidal Proximity</v>
      </c>
      <c r="C3" s="111" t="str">
        <f>OF!C80</f>
        <v>The distance from the AA edge to the closest tidal water body is:</v>
      </c>
      <c r="D3" s="392"/>
      <c r="E3" s="392"/>
      <c r="F3" s="392"/>
      <c r="G3" s="550">
        <f>MAX(F4:F8)/MAX(E4:E8)</f>
        <v>0</v>
      </c>
      <c r="H3" s="1687" t="s">
        <v>1109</v>
      </c>
      <c r="I3" s="3" t="s">
        <v>344</v>
      </c>
    </row>
    <row r="4" spans="1:9" s="3" customFormat="1" ht="15" customHeight="1" x14ac:dyDescent="0.2">
      <c r="A4" s="1869"/>
      <c r="B4" s="2044"/>
      <c r="C4" s="384" t="str">
        <f>OF!C81</f>
        <v>&lt;300 ft</v>
      </c>
      <c r="D4" s="280">
        <f>OF!D81</f>
        <v>0</v>
      </c>
      <c r="E4" s="388">
        <v>4</v>
      </c>
      <c r="F4" s="388">
        <f>D4*E4</f>
        <v>0</v>
      </c>
      <c r="G4" s="709"/>
      <c r="H4" s="1688"/>
    </row>
    <row r="5" spans="1:9" s="3" customFormat="1" ht="15" customHeight="1" x14ac:dyDescent="0.2">
      <c r="A5" s="1869"/>
      <c r="B5" s="2044"/>
      <c r="C5" s="487" t="str">
        <f>OF!C82</f>
        <v>300-1000 ft</v>
      </c>
      <c r="D5" s="46">
        <f>OF!D82</f>
        <v>0</v>
      </c>
      <c r="E5" s="388">
        <v>4</v>
      </c>
      <c r="F5" s="388">
        <f>D5*E5</f>
        <v>0</v>
      </c>
      <c r="G5" s="709"/>
      <c r="H5" s="1688"/>
    </row>
    <row r="6" spans="1:9" s="3" customFormat="1" ht="15" customHeight="1" x14ac:dyDescent="0.2">
      <c r="A6" s="1869"/>
      <c r="B6" s="2044"/>
      <c r="C6" s="487" t="str">
        <f>OF!C83</f>
        <v>1000 ft - 1 mile</v>
      </c>
      <c r="D6" s="46">
        <f>OF!D83</f>
        <v>0</v>
      </c>
      <c r="E6" s="388">
        <v>3</v>
      </c>
      <c r="F6" s="388">
        <f>D6*E6</f>
        <v>0</v>
      </c>
      <c r="G6" s="709"/>
      <c r="H6" s="1688"/>
    </row>
    <row r="7" spans="1:9" s="3" customFormat="1" ht="15" customHeight="1" x14ac:dyDescent="0.2">
      <c r="A7" s="1869"/>
      <c r="B7" s="2044"/>
      <c r="C7" s="487" t="str">
        <f>OF!C84</f>
        <v>1-5 miles</v>
      </c>
      <c r="D7" s="46">
        <f>OF!D84</f>
        <v>0</v>
      </c>
      <c r="E7" s="388">
        <v>2</v>
      </c>
      <c r="F7" s="388">
        <f>D7*E7</f>
        <v>0</v>
      </c>
      <c r="G7" s="709"/>
      <c r="H7" s="1688"/>
    </row>
    <row r="8" spans="1:9" s="3" customFormat="1" ht="15.6" customHeight="1" thickBot="1" x14ac:dyDescent="0.25">
      <c r="A8" s="1870"/>
      <c r="B8" s="2045"/>
      <c r="C8" s="486" t="str">
        <f>OF!C85</f>
        <v>&gt;5 miles</v>
      </c>
      <c r="D8" s="213">
        <f>OF!D85</f>
        <v>0</v>
      </c>
      <c r="E8" s="389">
        <v>0</v>
      </c>
      <c r="F8" s="389">
        <f>D8*E8</f>
        <v>0</v>
      </c>
      <c r="G8" s="710"/>
      <c r="H8" s="1689"/>
    </row>
    <row r="9" spans="1:9" s="3" customFormat="1" ht="29.25" customHeight="1" thickBot="1" x14ac:dyDescent="0.25">
      <c r="A9" s="1872" t="str">
        <f>OF!A93</f>
        <v>OF16</v>
      </c>
      <c r="B9" s="1873" t="str">
        <f>OF!B93</f>
        <v>Glacier Fed</v>
      </c>
      <c r="C9" s="385" t="str">
        <f>OF!C93</f>
        <v>Refer to the Glaciers map in the online WESPAK-SE Wetlands Module.  Select the first applicable choice:</v>
      </c>
      <c r="D9" s="392"/>
      <c r="E9" s="387"/>
      <c r="F9" s="390"/>
      <c r="G9" s="601" t="str">
        <f>IF((Inflows=0),"",IF((D10=1),"",0))</f>
        <v/>
      </c>
      <c r="H9" s="1873" t="s">
        <v>1110</v>
      </c>
      <c r="I9" s="3" t="s">
        <v>354</v>
      </c>
    </row>
    <row r="10" spans="1:9" s="3" customFormat="1" ht="15" customHeight="1" x14ac:dyDescent="0.2">
      <c r="A10" s="1872"/>
      <c r="B10" s="1702"/>
      <c r="C10" s="21" t="str">
        <f>OF!C94</f>
        <v>No upstream glacier feeds surface water to the AA, not even seasonally.</v>
      </c>
      <c r="D10" s="280">
        <f>OF!D94</f>
        <v>0</v>
      </c>
      <c r="E10" s="388">
        <v>2</v>
      </c>
      <c r="F10" s="388">
        <f>D10*E10</f>
        <v>0</v>
      </c>
      <c r="G10" s="708"/>
      <c r="H10" s="1702"/>
    </row>
    <row r="11" spans="1:9" s="3" customFormat="1" ht="42" customHeight="1" x14ac:dyDescent="0.2">
      <c r="A11" s="1872"/>
      <c r="B11" s="1702"/>
      <c r="C11" s="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 s="46">
        <f>OF!D95</f>
        <v>0</v>
      </c>
      <c r="E11" s="388">
        <v>0</v>
      </c>
      <c r="F11" s="388">
        <f>D11*E11</f>
        <v>0</v>
      </c>
      <c r="G11" s="709"/>
      <c r="H11" s="1702"/>
    </row>
    <row r="12" spans="1:9" s="3" customFormat="1" ht="27.6" customHeight="1" thickBot="1" x14ac:dyDescent="0.25">
      <c r="A12" s="1872"/>
      <c r="B12" s="1703"/>
      <c r="C12" s="470" t="str">
        <f>OF!C96</f>
        <v>A glacier feeds streamflow or other surface water to the AA, but there is little or no resultant reduction in water clarity.</v>
      </c>
      <c r="D12" s="20">
        <f>OF!D96</f>
        <v>0</v>
      </c>
      <c r="E12" s="391">
        <v>1</v>
      </c>
      <c r="F12" s="391">
        <f>D12*E12</f>
        <v>0</v>
      </c>
      <c r="G12" s="718"/>
      <c r="H12" s="1703"/>
    </row>
    <row r="13" spans="1:9" s="12" customFormat="1" ht="41.25" customHeight="1" thickBot="1" x14ac:dyDescent="0.25">
      <c r="A13" s="1868" t="str">
        <f>OF!A97</f>
        <v>OF17</v>
      </c>
      <c r="B13" s="1687" t="str">
        <f>OF!B97</f>
        <v>Fish Access or Use</v>
      </c>
      <c r="C13" s="231" t="str">
        <f>OF!C97</f>
        <v>Refer to the map in the online WESPAK-SE Wetlands Module: Habitat Layers &gt; Anadromous Waters Catalog, and preferably verify by contacting a local ADFG biologist.  Mark just the first choice that is true.  The AA:</v>
      </c>
      <c r="D13" s="392"/>
      <c r="E13" s="392"/>
      <c r="F13" s="723"/>
      <c r="G13" s="600">
        <f>IF((D16=1),0,IF((D17=1),0,IF((D18=1),"",MAX(F14:F17)/MAX(E14:E17))))</f>
        <v>0</v>
      </c>
      <c r="H13" s="1687" t="s">
        <v>56</v>
      </c>
      <c r="I13" s="3" t="s">
        <v>345</v>
      </c>
    </row>
    <row r="14" spans="1:9" s="12" customFormat="1" ht="15" customHeight="1" x14ac:dyDescent="0.2">
      <c r="A14" s="1869"/>
      <c r="B14" s="1688"/>
      <c r="C14" s="21" t="str">
        <f>OF!C98</f>
        <v>a) is known to support anadromous fish feeding and/or spawning (some ADFG Class 1 streams).</v>
      </c>
      <c r="D14" s="280">
        <f>OF!D98</f>
        <v>0</v>
      </c>
      <c r="E14" s="404">
        <v>5</v>
      </c>
      <c r="F14" s="388">
        <f>D14*E14</f>
        <v>0</v>
      </c>
      <c r="G14" s="390"/>
      <c r="H14" s="1688"/>
      <c r="I14" s="3"/>
    </row>
    <row r="15" spans="1:9" s="12" customFormat="1" ht="27" customHeight="1" x14ac:dyDescent="0.2">
      <c r="A15" s="1869"/>
      <c r="B15" s="1688"/>
      <c r="C15" s="6" t="str">
        <f>OF!C99</f>
        <v>b) is probably accessible to anadromous and other fish (at least seasonally, at least for feeding, partially or entirely), but anadromous fish have not been documented (some Class 1 streams).</v>
      </c>
      <c r="D15" s="46">
        <f>OF!D99</f>
        <v>0</v>
      </c>
      <c r="E15" s="404">
        <v>2</v>
      </c>
      <c r="F15" s="388">
        <f>D15*E15</f>
        <v>0</v>
      </c>
      <c r="G15" s="413"/>
      <c r="H15" s="1688"/>
      <c r="I15" s="3"/>
    </row>
    <row r="16" spans="1:9" s="12" customFormat="1" ht="27" customHeight="1" x14ac:dyDescent="0.2">
      <c r="A16" s="1869"/>
      <c r="B16" s="1688"/>
      <c r="C16" s="6" t="str">
        <f>OF!C100</f>
        <v>c) is not accessible to anadromous fish, but other resident fish are known (or can be assumed) present (Class 2).</v>
      </c>
      <c r="D16" s="46">
        <f>OF!D100</f>
        <v>0</v>
      </c>
      <c r="E16" s="404">
        <v>0</v>
      </c>
      <c r="F16" s="388">
        <f>D16*E16</f>
        <v>0</v>
      </c>
      <c r="G16" s="413"/>
      <c r="H16" s="1688"/>
      <c r="I16" s="3"/>
    </row>
    <row r="17" spans="1:9" s="12" customFormat="1" ht="27" customHeight="1" x14ac:dyDescent="0.2">
      <c r="A17" s="1869"/>
      <c r="B17" s="1688"/>
      <c r="C17" s="6" t="str">
        <f>OF!C101</f>
        <v>d) is fishless (i.e., not accessible to anadromous fish and is known or can be assumed to have no resident fish).  (Class 3, 4)</v>
      </c>
      <c r="D17" s="46">
        <f>OF!D101</f>
        <v>0</v>
      </c>
      <c r="E17" s="404">
        <v>0</v>
      </c>
      <c r="F17" s="388">
        <f>D17*E17</f>
        <v>0</v>
      </c>
      <c r="G17" s="413"/>
      <c r="H17" s="1688"/>
      <c r="I17" s="3"/>
    </row>
    <row r="18" spans="1:9" s="12" customFormat="1" ht="15.6" customHeight="1" thickBot="1" x14ac:dyDescent="0.25">
      <c r="A18" s="1870"/>
      <c r="B18" s="1689"/>
      <c r="C18" s="214" t="str">
        <f>OF!C102</f>
        <v>e) fish presence and potential fish access are unknown and undeterminable.</v>
      </c>
      <c r="D18" s="213">
        <f>OF!D102</f>
        <v>0</v>
      </c>
      <c r="E18" s="405"/>
      <c r="F18" s="389"/>
      <c r="G18" s="417"/>
      <c r="H18" s="1689"/>
      <c r="I18" s="3"/>
    </row>
    <row r="19" spans="1:9" ht="60" customHeight="1" thickBot="1" x14ac:dyDescent="0.25">
      <c r="A19" s="149" t="str">
        <f>OF!A120</f>
        <v>OF22</v>
      </c>
      <c r="B19" s="143" t="str">
        <f>OF!B120</f>
        <v>Basic pH or Karst</v>
      </c>
      <c r="C19" s="19"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19" s="380">
        <f>OF!D120</f>
        <v>0</v>
      </c>
      <c r="E19" s="420"/>
      <c r="F19" s="401"/>
      <c r="G19" s="777" t="str">
        <f>IF((D19=0),"",1)</f>
        <v/>
      </c>
      <c r="H19" s="143" t="s">
        <v>1073</v>
      </c>
      <c r="I19" s="4" t="s">
        <v>803</v>
      </c>
    </row>
    <row r="20" spans="1:9" s="3" customFormat="1" ht="66.75" customHeight="1" thickBot="1" x14ac:dyDescent="0.25">
      <c r="A20" s="1945" t="str">
        <f>OF!A127</f>
        <v>OF25</v>
      </c>
      <c r="B20" s="1687" t="str">
        <f>OF!B127</f>
        <v xml:space="preserve">Toxicity Documented Upstream </v>
      </c>
      <c r="C20" s="111"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20" s="392"/>
      <c r="E20" s="392"/>
      <c r="F20" s="393"/>
      <c r="G20" s="600">
        <f>IF((D24=1),"", IF((D23=1),1, IF((D22=1),0.2, 0)))</f>
        <v>0</v>
      </c>
      <c r="H20" s="1687" t="s">
        <v>2261</v>
      </c>
      <c r="I20" s="3" t="s">
        <v>804</v>
      </c>
    </row>
    <row r="21" spans="1:9" s="3" customFormat="1" ht="15" customHeight="1" x14ac:dyDescent="0.2">
      <c r="A21" s="1946"/>
      <c r="B21" s="1688"/>
      <c r="C21" s="384" t="str">
        <f>OF!C128</f>
        <v>within the AA</v>
      </c>
      <c r="D21" s="280">
        <f>OF!D128</f>
        <v>0</v>
      </c>
      <c r="E21" s="387"/>
      <c r="F21" s="388"/>
      <c r="G21" s="708"/>
      <c r="H21" s="1688"/>
    </row>
    <row r="22" spans="1:9" s="3" customFormat="1" ht="15" customHeight="1" x14ac:dyDescent="0.2">
      <c r="A22" s="1946"/>
      <c r="B22" s="1688"/>
      <c r="C22" s="384" t="str">
        <f>OF!C129</f>
        <v>in waters within 1 mile that flow into the AA.</v>
      </c>
      <c r="D22" s="280">
        <f>OF!D129</f>
        <v>0</v>
      </c>
      <c r="E22" s="387"/>
      <c r="F22" s="388"/>
      <c r="G22" s="709"/>
      <c r="H22" s="1688"/>
    </row>
    <row r="23" spans="1:9" s="3" customFormat="1" ht="15" customHeight="1" x14ac:dyDescent="0.2">
      <c r="A23" s="1946"/>
      <c r="B23" s="1688"/>
      <c r="C23" s="384" t="str">
        <f>OF!C130</f>
        <v>Sampling (not just absence of map symbols) indicates no problems.</v>
      </c>
      <c r="D23" s="280">
        <f>OF!D130</f>
        <v>0</v>
      </c>
      <c r="E23" s="387"/>
      <c r="F23" s="388"/>
      <c r="G23" s="709"/>
      <c r="H23" s="1688"/>
    </row>
    <row r="24" spans="1:9" s="3" customFormat="1" ht="15.6" customHeight="1" thickBot="1" x14ac:dyDescent="0.25">
      <c r="A24" s="1947"/>
      <c r="B24" s="1689"/>
      <c r="C24" s="768" t="str">
        <f>OF!C131</f>
        <v>insufficient data (no map symbols &amp; no sampling, or &gt;1 mile upstream).</v>
      </c>
      <c r="D24" s="317">
        <f>OF!D131</f>
        <v>0</v>
      </c>
      <c r="E24" s="402"/>
      <c r="F24" s="389"/>
      <c r="G24" s="710"/>
      <c r="H24" s="1689"/>
    </row>
    <row r="25" spans="1:9" ht="77.25" customHeight="1" thickBot="1" x14ac:dyDescent="0.25">
      <c r="A25" s="2008" t="str">
        <f>OF!A147</f>
        <v>OF28</v>
      </c>
      <c r="B25" s="2044" t="str">
        <f>OF!B147</f>
        <v>Elevation in Multi-scale Watersheds</v>
      </c>
      <c r="C25" s="38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25" s="392"/>
      <c r="E25" s="387"/>
      <c r="F25" s="390"/>
      <c r="G25" s="556" t="str">
        <f>IF((D26=0),"",1-(D26/3))</f>
        <v/>
      </c>
      <c r="H25" s="1688" t="s">
        <v>1704</v>
      </c>
      <c r="I25" s="4" t="s">
        <v>347</v>
      </c>
    </row>
    <row r="26" spans="1:9" ht="42" customHeight="1" thickBot="1" x14ac:dyDescent="0.25">
      <c r="A26" s="1971"/>
      <c r="B26" s="2044"/>
      <c r="C26" s="19" t="str">
        <f>OF!C150</f>
        <v>In its HUC6 (the 8-digit* watershed) the AA's elevation puts it in (enter one of the following): 3= upper one-third, 2= middle one-third, 1= lower one-third, 0= no data.  [The 8-digit HUC is obtained by deleting the last 4 digits of the 12-digit HUC code]</v>
      </c>
      <c r="D26" s="380">
        <f>OF!D150</f>
        <v>0</v>
      </c>
      <c r="E26" s="391"/>
      <c r="F26" s="391"/>
      <c r="G26" s="415"/>
      <c r="H26" s="1688"/>
    </row>
    <row r="27" spans="1:9" s="3" customFormat="1" ht="45" customHeight="1" thickBot="1" x14ac:dyDescent="0.25">
      <c r="A27" s="1868" t="str">
        <f>OF!A157</f>
        <v>OF31</v>
      </c>
      <c r="B27" s="1687" t="str">
        <f>OF!B157</f>
        <v>Unvegetated Surface in the Contributing Area</v>
      </c>
      <c r="C27" s="231" t="str">
        <f>OF!C157</f>
        <v>The proportion of the AA's contributing area (measured to no more than 1000 ft upslope) that is comprised of buildings, roads, parking lots, other pavement, exposed bedrock, debris flows, and other mostly-bare (but unfrozen) surface is about :</v>
      </c>
      <c r="D27" s="392"/>
      <c r="E27" s="392"/>
      <c r="F27" s="392"/>
      <c r="G27" s="550">
        <f>MAX(F28:F30)/MAX(E28:E30)</f>
        <v>0</v>
      </c>
      <c r="H27" s="1687" t="s">
        <v>1318</v>
      </c>
      <c r="I27" s="3" t="s">
        <v>348</v>
      </c>
    </row>
    <row r="28" spans="1:9" s="3" customFormat="1" ht="15" customHeight="1" x14ac:dyDescent="0.2">
      <c r="A28" s="1869"/>
      <c r="B28" s="1688"/>
      <c r="C28" s="21" t="str">
        <f>OF!C158</f>
        <v>&lt;10%</v>
      </c>
      <c r="D28" s="280">
        <f>OF!D158</f>
        <v>0</v>
      </c>
      <c r="E28" s="388">
        <v>2</v>
      </c>
      <c r="F28" s="388">
        <f>D28*E28</f>
        <v>0</v>
      </c>
      <c r="G28" s="709"/>
      <c r="H28" s="1688"/>
    </row>
    <row r="29" spans="1:9" s="3" customFormat="1" ht="15" customHeight="1" x14ac:dyDescent="0.2">
      <c r="A29" s="1869"/>
      <c r="B29" s="1688"/>
      <c r="C29" s="6" t="str">
        <f>OF!C159</f>
        <v>10 to 25%</v>
      </c>
      <c r="D29" s="46">
        <f>OF!D159</f>
        <v>0</v>
      </c>
      <c r="E29" s="388">
        <v>1</v>
      </c>
      <c r="F29" s="388">
        <f>D29*E29</f>
        <v>0</v>
      </c>
      <c r="G29" s="709"/>
      <c r="H29" s="1688"/>
    </row>
    <row r="30" spans="1:9" s="3" customFormat="1" ht="15.6" customHeight="1" thickBot="1" x14ac:dyDescent="0.25">
      <c r="A30" s="1870"/>
      <c r="B30" s="1689"/>
      <c r="C30" s="214" t="str">
        <f>OF!C160</f>
        <v>&gt;25%</v>
      </c>
      <c r="D30" s="213">
        <f>OF!D160</f>
        <v>0</v>
      </c>
      <c r="E30" s="389">
        <v>0</v>
      </c>
      <c r="F30" s="389">
        <f>D30*E30</f>
        <v>0</v>
      </c>
      <c r="G30" s="710"/>
      <c r="H30" s="1689"/>
    </row>
    <row r="31" spans="1:9" s="3" customFormat="1" ht="21" customHeight="1" thickBot="1" x14ac:dyDescent="0.25">
      <c r="A31" s="41" t="str">
        <f>F!A4</f>
        <v>F1</v>
      </c>
      <c r="B31" s="1688" t="str">
        <f>F!B4</f>
        <v>Wetland Type</v>
      </c>
      <c r="C31" s="381" t="str">
        <f>F!C4</f>
        <v>Most of the vegetated part of the AA (wetland Assessment Area) is a (select ONE):</v>
      </c>
      <c r="D31" s="392"/>
      <c r="E31" s="406"/>
      <c r="F31" s="778"/>
      <c r="G31" s="601">
        <f>IF((D37=1),"",MAX(F32:F36)/MAX(E32:E36))</f>
        <v>0</v>
      </c>
      <c r="H31" s="1688" t="s">
        <v>1210</v>
      </c>
      <c r="I31" s="3" t="s">
        <v>375</v>
      </c>
    </row>
    <row r="32" spans="1:9" s="3" customFormat="1" ht="15" customHeight="1" x14ac:dyDescent="0.2">
      <c r="A32" s="38" t="str">
        <f>F!A5</f>
        <v>F1.1</v>
      </c>
      <c r="B32" s="1688"/>
      <c r="C32" s="81" t="str">
        <f>F!C5</f>
        <v>Forested Peatland</v>
      </c>
      <c r="D32" s="46">
        <f>F!D5</f>
        <v>0</v>
      </c>
      <c r="E32" s="404">
        <v>1</v>
      </c>
      <c r="F32" s="388">
        <f>D32*E32</f>
        <v>0</v>
      </c>
      <c r="G32" s="778"/>
      <c r="H32" s="1688"/>
    </row>
    <row r="33" spans="1:9" s="3" customFormat="1" ht="15" customHeight="1" x14ac:dyDescent="0.2">
      <c r="A33" s="38" t="str">
        <f>F!A6</f>
        <v>F1.2</v>
      </c>
      <c r="B33" s="1688"/>
      <c r="C33" s="431" t="str">
        <f>F!C6</f>
        <v>Open Peatland</v>
      </c>
      <c r="D33" s="46">
        <f>F!D6</f>
        <v>0</v>
      </c>
      <c r="E33" s="404">
        <v>0</v>
      </c>
      <c r="F33" s="388">
        <f>D33*E33</f>
        <v>0</v>
      </c>
      <c r="G33" s="779"/>
      <c r="H33" s="1688"/>
    </row>
    <row r="34" spans="1:9" s="3" customFormat="1" ht="15" customHeight="1" x14ac:dyDescent="0.2">
      <c r="A34" s="38" t="str">
        <f>F!A7</f>
        <v>F1.3</v>
      </c>
      <c r="B34" s="1688"/>
      <c r="C34" s="431" t="str">
        <f>F!C7</f>
        <v>Fen/ Marsh</v>
      </c>
      <c r="D34" s="46">
        <f>F!D7</f>
        <v>0</v>
      </c>
      <c r="E34" s="404">
        <v>4</v>
      </c>
      <c r="F34" s="388">
        <f>D34*E34</f>
        <v>0</v>
      </c>
      <c r="G34" s="779"/>
      <c r="H34" s="1688"/>
    </row>
    <row r="35" spans="1:9" s="3" customFormat="1" ht="15" customHeight="1" x14ac:dyDescent="0.2">
      <c r="A35" s="38" t="str">
        <f>F!A8</f>
        <v>F1.4</v>
      </c>
      <c r="B35" s="1688"/>
      <c r="C35" s="431" t="str">
        <f>F!C8</f>
        <v>Floodplain Wetland</v>
      </c>
      <c r="D35" s="46">
        <f>F!D8</f>
        <v>0</v>
      </c>
      <c r="E35" s="404">
        <v>6</v>
      </c>
      <c r="F35" s="388">
        <f>D35*E35</f>
        <v>0</v>
      </c>
      <c r="G35" s="779"/>
      <c r="H35" s="1688"/>
    </row>
    <row r="36" spans="1:9" s="3" customFormat="1" ht="15" customHeight="1" x14ac:dyDescent="0.2">
      <c r="A36" s="38" t="str">
        <f>F!A9</f>
        <v>F1.5</v>
      </c>
      <c r="B36" s="1688"/>
      <c r="C36" s="431" t="str">
        <f>F!C9</f>
        <v>Uplift Meadow</v>
      </c>
      <c r="D36" s="46">
        <f>F!D9</f>
        <v>0</v>
      </c>
      <c r="E36" s="404">
        <v>3</v>
      </c>
      <c r="F36" s="388">
        <f>D36*E36</f>
        <v>0</v>
      </c>
      <c r="G36" s="779"/>
      <c r="H36" s="1688"/>
    </row>
    <row r="37" spans="1:9" s="3" customFormat="1" ht="15.6" customHeight="1" thickBot="1" x14ac:dyDescent="0.25">
      <c r="A37" s="147" t="str">
        <f>F!A10</f>
        <v>F1.6</v>
      </c>
      <c r="B37" s="1688"/>
      <c r="C37" s="432" t="str">
        <f>F!C10</f>
        <v>Tidal Marsh or Tidal Swamp.  Do not continue.  Use other spreadsheet.</v>
      </c>
      <c r="D37" s="213">
        <f>F!D10</f>
        <v>0</v>
      </c>
      <c r="E37" s="583"/>
      <c r="F37" s="391"/>
      <c r="G37" s="780"/>
      <c r="H37" s="1688"/>
    </row>
    <row r="38" spans="1:9" s="12" customFormat="1" ht="30" customHeight="1" thickBot="1" x14ac:dyDescent="0.25">
      <c r="A38" s="1868" t="str">
        <f>F!A11</f>
        <v>F2</v>
      </c>
      <c r="B38" s="1687" t="str">
        <f>F!B11</f>
        <v>% Saturated Only</v>
      </c>
      <c r="C38" s="231" t="str">
        <f>F!C11</f>
        <v>The percentage of the AA that lacks surface water during an average year (that is, except perhaps for a few hours after snowmelt or rainstorms), but which is still a wetland, is:</v>
      </c>
      <c r="D38" s="392"/>
      <c r="E38" s="392"/>
      <c r="F38" s="392"/>
      <c r="G38" s="550">
        <f>MAX(F39:F44)/MAX(E39:E44)</f>
        <v>0</v>
      </c>
      <c r="H38" s="1687" t="s">
        <v>1323</v>
      </c>
      <c r="I38" s="3" t="s">
        <v>1324</v>
      </c>
    </row>
    <row r="39" spans="1:9" s="12" customFormat="1" ht="27" customHeight="1" x14ac:dyDescent="0.2">
      <c r="A39" s="1869"/>
      <c r="B39" s="1688"/>
      <c r="C39" s="700" t="str">
        <f>F!C12</f>
        <v>less than 1%, or &lt;0.01 acre (about 20 ft on a side) never has surface water.  In other words, all or nearly all of the AA is inundated permanently or at least seasonally.</v>
      </c>
      <c r="D39" s="304">
        <f>F!D12</f>
        <v>0</v>
      </c>
      <c r="E39" s="388">
        <v>5</v>
      </c>
      <c r="F39" s="388">
        <f t="shared" ref="F39:F44" si="0">D39*E39</f>
        <v>0</v>
      </c>
      <c r="G39" s="709"/>
      <c r="H39" s="1688"/>
      <c r="I39" s="3"/>
    </row>
    <row r="40" spans="1:9" s="12" customFormat="1" ht="15" customHeight="1" x14ac:dyDescent="0.2">
      <c r="A40" s="1869"/>
      <c r="B40" s="1688"/>
      <c r="C40" s="434" t="str">
        <f>F!C13</f>
        <v xml:space="preserve">1-25% of the AA never contains surface water.  </v>
      </c>
      <c r="D40" s="305">
        <f>F!D13</f>
        <v>0</v>
      </c>
      <c r="E40" s="388">
        <v>4</v>
      </c>
      <c r="F40" s="388">
        <f t="shared" si="0"/>
        <v>0</v>
      </c>
      <c r="G40" s="709"/>
      <c r="H40" s="1688"/>
      <c r="I40" s="3"/>
    </row>
    <row r="41" spans="1:9" s="12" customFormat="1" ht="15" customHeight="1" x14ac:dyDescent="0.2">
      <c r="A41" s="1869"/>
      <c r="B41" s="1688"/>
      <c r="C41" s="434" t="str">
        <f>F!C14</f>
        <v>25-50% of the AA never contains surface water.</v>
      </c>
      <c r="D41" s="305">
        <f>F!D14</f>
        <v>0</v>
      </c>
      <c r="E41" s="388">
        <v>3</v>
      </c>
      <c r="F41" s="388">
        <f t="shared" si="0"/>
        <v>0</v>
      </c>
      <c r="G41" s="709"/>
      <c r="H41" s="1688"/>
      <c r="I41" s="3"/>
    </row>
    <row r="42" spans="1:9" s="12" customFormat="1" ht="15" customHeight="1" x14ac:dyDescent="0.2">
      <c r="A42" s="1869"/>
      <c r="B42" s="1688"/>
      <c r="C42" s="434" t="str">
        <f>F!C15</f>
        <v>50-99% of the AA never contains surface water.</v>
      </c>
      <c r="D42" s="305">
        <f>F!D15</f>
        <v>0</v>
      </c>
      <c r="E42" s="388">
        <v>2</v>
      </c>
      <c r="F42" s="388">
        <f t="shared" si="0"/>
        <v>0</v>
      </c>
      <c r="G42" s="709"/>
      <c r="H42" s="1688"/>
      <c r="I42" s="3"/>
    </row>
    <row r="43" spans="1:9" s="12" customFormat="1" ht="27" customHeight="1" x14ac:dyDescent="0.2">
      <c r="A43" s="1869"/>
      <c r="B43" s="1688"/>
      <c r="C43" s="434" t="str">
        <f>F!C16</f>
        <v>&gt;99% of the AA never contains surface water, except for water flowing in channels and/or in pools that occupy &lt;1% of the AA. SKIP to F30.</v>
      </c>
      <c r="D43" s="305">
        <f>F!D16</f>
        <v>0</v>
      </c>
      <c r="E43" s="388">
        <v>1</v>
      </c>
      <c r="F43" s="388">
        <f t="shared" si="0"/>
        <v>0</v>
      </c>
      <c r="G43" s="709"/>
      <c r="H43" s="1688"/>
      <c r="I43" s="3"/>
    </row>
    <row r="44" spans="1:9" s="12" customFormat="1" ht="27.6" customHeight="1" thickBot="1" x14ac:dyDescent="0.25">
      <c r="A44" s="1870"/>
      <c r="B44" s="1689"/>
      <c r="C44" s="769" t="str">
        <f>F!C17</f>
        <v>&gt;99% of the AA never contains surface water, and AA is not intersected by channels that have flow, not even for a few days per year. SKIP to F28.</v>
      </c>
      <c r="D44" s="318">
        <f>F!D17</f>
        <v>0</v>
      </c>
      <c r="E44" s="389">
        <v>0</v>
      </c>
      <c r="F44" s="389">
        <f t="shared" si="0"/>
        <v>0</v>
      </c>
      <c r="G44" s="710"/>
      <c r="H44" s="1689"/>
      <c r="I44" s="3"/>
    </row>
    <row r="45" spans="1:9" ht="30" customHeight="1" thickBot="1" x14ac:dyDescent="0.25">
      <c r="A45" s="1899" t="str">
        <f>F!A18</f>
        <v>F3</v>
      </c>
      <c r="B45" s="1713" t="str">
        <f>F!B18</f>
        <v>% with Persistent Surface Water</v>
      </c>
      <c r="C45" s="770" t="str">
        <f>F!C18</f>
        <v>The percentage of the AA that has surface water (either ponded or flowing, either open or obscured by vegetation) during all of the growing season during most years is:</v>
      </c>
      <c r="D45" s="392"/>
      <c r="E45" s="387"/>
      <c r="F45" s="390"/>
      <c r="G45" s="556">
        <f>IF((AllSat+AllSat1&gt;0),"",MAX(F46:F51)/MAX(E46:E51))</f>
        <v>0</v>
      </c>
      <c r="H45" s="1688" t="s">
        <v>5355</v>
      </c>
      <c r="I45" s="4" t="s">
        <v>374</v>
      </c>
    </row>
    <row r="46" spans="1:9" ht="15" customHeight="1" x14ac:dyDescent="0.2">
      <c r="A46" s="1899"/>
      <c r="B46" s="1713"/>
      <c r="C46" s="587" t="str">
        <f>F!C19</f>
        <v>less than 1%, or &lt;0.01 acre (whichever is less).  SKIP to F7.</v>
      </c>
      <c r="D46" s="283">
        <f>F!D19</f>
        <v>0</v>
      </c>
      <c r="E46" s="388">
        <v>1</v>
      </c>
      <c r="F46" s="388">
        <f t="shared" ref="F46:F51" si="1">D46*E46</f>
        <v>0</v>
      </c>
      <c r="G46" s="552"/>
      <c r="H46" s="1688"/>
    </row>
    <row r="47" spans="1:9" ht="15" customHeight="1" x14ac:dyDescent="0.2">
      <c r="A47" s="1899"/>
      <c r="B47" s="1713"/>
      <c r="C47" s="588" t="str">
        <f>F!C20</f>
        <v>1-25% of the AA, and mostly in narrow channels and/or small scattered pools.</v>
      </c>
      <c r="D47" s="284">
        <f>F!D20</f>
        <v>0</v>
      </c>
      <c r="E47" s="388">
        <v>3</v>
      </c>
      <c r="F47" s="388">
        <f t="shared" si="1"/>
        <v>0</v>
      </c>
      <c r="G47" s="551"/>
      <c r="H47" s="1688"/>
    </row>
    <row r="48" spans="1:9" ht="15" customHeight="1" x14ac:dyDescent="0.2">
      <c r="A48" s="1899"/>
      <c r="B48" s="1713"/>
      <c r="C48" s="588" t="str">
        <f>F!C21</f>
        <v>1-25% of the AA, and mostly in a single large pool, pond, and/or channel.</v>
      </c>
      <c r="D48" s="284">
        <f>F!D21</f>
        <v>0</v>
      </c>
      <c r="E48" s="388">
        <v>3</v>
      </c>
      <c r="F48" s="388">
        <f t="shared" si="1"/>
        <v>0</v>
      </c>
      <c r="G48" s="551"/>
      <c r="H48" s="1688"/>
    </row>
    <row r="49" spans="1:9" ht="15" customHeight="1" x14ac:dyDescent="0.2">
      <c r="A49" s="1899"/>
      <c r="B49" s="1713"/>
      <c r="C49" s="588" t="str">
        <f>F!C22</f>
        <v>25-50% of the AA</v>
      </c>
      <c r="D49" s="284">
        <f>F!D22</f>
        <v>0</v>
      </c>
      <c r="E49" s="388">
        <v>4</v>
      </c>
      <c r="F49" s="388">
        <f t="shared" si="1"/>
        <v>0</v>
      </c>
      <c r="G49" s="552"/>
      <c r="H49" s="1688"/>
    </row>
    <row r="50" spans="1:9" ht="15" customHeight="1" x14ac:dyDescent="0.2">
      <c r="A50" s="1899"/>
      <c r="B50" s="1713"/>
      <c r="C50" s="588" t="str">
        <f>F!C23</f>
        <v>50-95% of the AA</v>
      </c>
      <c r="D50" s="284">
        <f>F!D23</f>
        <v>0</v>
      </c>
      <c r="E50" s="388">
        <v>3</v>
      </c>
      <c r="F50" s="388">
        <f t="shared" si="1"/>
        <v>0</v>
      </c>
      <c r="G50" s="552"/>
      <c r="H50" s="1688"/>
    </row>
    <row r="51" spans="1:9" ht="15.6" customHeight="1" thickBot="1" x14ac:dyDescent="0.25">
      <c r="A51" s="1899"/>
      <c r="B51" s="1713"/>
      <c r="C51" s="589" t="str">
        <f>F!C24</f>
        <v>&gt;95% of the AA</v>
      </c>
      <c r="D51" s="285">
        <f>F!D24</f>
        <v>0</v>
      </c>
      <c r="E51" s="391">
        <v>2</v>
      </c>
      <c r="F51" s="391">
        <f t="shared" si="1"/>
        <v>0</v>
      </c>
      <c r="G51" s="563"/>
      <c r="H51" s="1688"/>
    </row>
    <row r="52" spans="1:9" ht="48" customHeight="1" thickBot="1" x14ac:dyDescent="0.25">
      <c r="A52" s="1868" t="str">
        <f>F!A25</f>
        <v>F4</v>
      </c>
      <c r="B52" s="1709" t="str">
        <f>F!B25</f>
        <v>Summertime Shading of Water</v>
      </c>
      <c r="C52" s="231" t="str">
        <f>F!C25</f>
        <v>At mid-day during the warmest time when surface water is present, the area of water within the AA that is shaded by vegetation, incised channels, streambanks, or other features also present within the AA is:</v>
      </c>
      <c r="D52" s="392"/>
      <c r="E52" s="392"/>
      <c r="F52" s="410"/>
      <c r="G52" s="550">
        <f>IF((AllSat+AllSat1&gt;0),"",IF((NoPersis=1),"",MAX(F53:F57)/MAX(E53:E57)))</f>
        <v>0</v>
      </c>
      <c r="H52" s="1687" t="s">
        <v>5356</v>
      </c>
      <c r="I52" s="4" t="s">
        <v>334</v>
      </c>
    </row>
    <row r="53" spans="1:9" ht="27" customHeight="1" x14ac:dyDescent="0.2">
      <c r="A53" s="1869"/>
      <c r="B53" s="1710"/>
      <c r="C53" s="21" t="str">
        <f>F!C26</f>
        <v>&lt;5% of the water is shaded</v>
      </c>
      <c r="D53" s="280">
        <f>F!D26</f>
        <v>0</v>
      </c>
      <c r="E53" s="388">
        <v>1</v>
      </c>
      <c r="F53" s="388">
        <f>D53*E53</f>
        <v>0</v>
      </c>
      <c r="G53" s="551"/>
      <c r="H53" s="1688"/>
    </row>
    <row r="54" spans="1:9" ht="27" customHeight="1" x14ac:dyDescent="0.2">
      <c r="A54" s="1869"/>
      <c r="B54" s="1710"/>
      <c r="C54" s="6" t="str">
        <f>F!C27</f>
        <v>5-25% of the water is shaded</v>
      </c>
      <c r="D54" s="46">
        <f>F!D27</f>
        <v>0</v>
      </c>
      <c r="E54" s="388">
        <v>2</v>
      </c>
      <c r="F54" s="388">
        <f>D54*E54</f>
        <v>0</v>
      </c>
      <c r="G54" s="552"/>
      <c r="H54" s="1688"/>
    </row>
    <row r="55" spans="1:9" ht="27" customHeight="1" x14ac:dyDescent="0.2">
      <c r="A55" s="1869"/>
      <c r="B55" s="1710"/>
      <c r="C55" s="6" t="str">
        <f>F!C28</f>
        <v>25-50% of the water is shaded</v>
      </c>
      <c r="D55" s="46">
        <f>F!D28</f>
        <v>0</v>
      </c>
      <c r="E55" s="388">
        <v>3</v>
      </c>
      <c r="F55" s="388">
        <f>D55*E55</f>
        <v>0</v>
      </c>
      <c r="G55" s="552"/>
      <c r="H55" s="1688"/>
    </row>
    <row r="56" spans="1:9" ht="27" customHeight="1" x14ac:dyDescent="0.2">
      <c r="A56" s="1869"/>
      <c r="B56" s="1710"/>
      <c r="C56" s="6" t="str">
        <f>F!C29</f>
        <v>50-75% of the water is shaded</v>
      </c>
      <c r="D56" s="46">
        <f>F!D29</f>
        <v>0</v>
      </c>
      <c r="E56" s="388">
        <v>5</v>
      </c>
      <c r="F56" s="388">
        <f>D56*E56</f>
        <v>0</v>
      </c>
      <c r="G56" s="552"/>
      <c r="H56" s="1688"/>
    </row>
    <row r="57" spans="1:9" ht="27" customHeight="1" thickBot="1" x14ac:dyDescent="0.25">
      <c r="A57" s="1870"/>
      <c r="B57" s="1711"/>
      <c r="C57" s="214" t="str">
        <f>F!C30</f>
        <v>&gt;75% of the water is shaded</v>
      </c>
      <c r="D57" s="213">
        <f>F!D30</f>
        <v>0</v>
      </c>
      <c r="E57" s="389">
        <v>4</v>
      </c>
      <c r="F57" s="389">
        <f>D57*E57</f>
        <v>0</v>
      </c>
      <c r="G57" s="553"/>
      <c r="H57" s="1689"/>
    </row>
    <row r="58" spans="1:9" s="12" customFormat="1" ht="60" customHeight="1" thickBot="1" x14ac:dyDescent="0.25">
      <c r="A58" s="146" t="str">
        <f>F!A32</f>
        <v>F6</v>
      </c>
      <c r="B58" s="610" t="str">
        <f>F!B32</f>
        <v>Lacustrine Wetland</v>
      </c>
      <c r="C58" s="37" t="str">
        <f>F!C32</f>
        <v>The AA borders a body of ponded open water whose size (not counting the AA's wetland) exceeds 20 acres during most of the growing season.  Enter "1" if true, "0" if false.</v>
      </c>
      <c r="D58" s="269">
        <f>F!D32</f>
        <v>0</v>
      </c>
      <c r="E58" s="781"/>
      <c r="F58" s="401"/>
      <c r="G58" s="424" t="str">
        <f>IF((AllSat+AllSat1&gt;0),"",IF((NoPersis=1),"",IF((D58=0),"",1)))</f>
        <v/>
      </c>
      <c r="H58" s="109" t="s">
        <v>5357</v>
      </c>
      <c r="I58" s="3" t="s">
        <v>2258</v>
      </c>
    </row>
    <row r="59" spans="1:9" ht="30" customHeight="1" thickBot="1" x14ac:dyDescent="0.25">
      <c r="A59" s="1868" t="str">
        <f>F!A33</f>
        <v>F7</v>
      </c>
      <c r="B59" s="1709" t="str">
        <f>F!B33</f>
        <v>% Flooded Only Seasonally</v>
      </c>
      <c r="C59" s="231" t="str">
        <f>F!C33</f>
        <v>The percentage of the AA soil that is covered by surface water only during the wettest time of year, and for &gt;2 continuous weeks during that time, is:</v>
      </c>
      <c r="D59" s="392"/>
      <c r="E59" s="392"/>
      <c r="F59" s="410"/>
      <c r="G59" s="550">
        <f>IF((AllSat+AllSat1&gt;0),"",MAX(F60:F64)/MAX(E60:E64))</f>
        <v>0</v>
      </c>
      <c r="H59" s="1687" t="s">
        <v>5358</v>
      </c>
      <c r="I59" s="4" t="s">
        <v>333</v>
      </c>
    </row>
    <row r="60" spans="1:9" ht="17.100000000000001" customHeight="1" x14ac:dyDescent="0.2">
      <c r="A60" s="1869"/>
      <c r="B60" s="1710"/>
      <c r="C60" s="21" t="str">
        <f>F!C34</f>
        <v>&lt;1% or &lt;0.01 acre, whichever is less.  SKIP to F9.</v>
      </c>
      <c r="D60" s="280">
        <f>F!D34</f>
        <v>0</v>
      </c>
      <c r="E60" s="388">
        <v>3</v>
      </c>
      <c r="F60" s="388">
        <f>D60*E60</f>
        <v>0</v>
      </c>
      <c r="G60" s="551"/>
      <c r="H60" s="1688"/>
    </row>
    <row r="61" spans="1:9" ht="15" customHeight="1" x14ac:dyDescent="0.2">
      <c r="A61" s="1869"/>
      <c r="B61" s="1710"/>
      <c r="C61" s="6" t="str">
        <f>F!C35</f>
        <v xml:space="preserve">1-25% </v>
      </c>
      <c r="D61" s="46">
        <f>F!D35</f>
        <v>0</v>
      </c>
      <c r="E61" s="388">
        <v>4</v>
      </c>
      <c r="F61" s="388">
        <f>D61*E61</f>
        <v>0</v>
      </c>
      <c r="G61" s="552"/>
      <c r="H61" s="1688"/>
    </row>
    <row r="62" spans="1:9" ht="15" customHeight="1" x14ac:dyDescent="0.2">
      <c r="A62" s="1869"/>
      <c r="B62" s="1710"/>
      <c r="C62" s="6" t="str">
        <f>F!C36</f>
        <v xml:space="preserve">25-50% </v>
      </c>
      <c r="D62" s="46">
        <f>F!D36</f>
        <v>0</v>
      </c>
      <c r="E62" s="388">
        <v>3</v>
      </c>
      <c r="F62" s="388">
        <f>D62*E62</f>
        <v>0</v>
      </c>
      <c r="G62" s="552"/>
      <c r="H62" s="1688"/>
    </row>
    <row r="63" spans="1:9" ht="15" customHeight="1" x14ac:dyDescent="0.2">
      <c r="A63" s="1869"/>
      <c r="B63" s="1710"/>
      <c r="C63" s="6" t="str">
        <f>F!C37</f>
        <v xml:space="preserve">50-95% </v>
      </c>
      <c r="D63" s="46">
        <f>F!D37</f>
        <v>0</v>
      </c>
      <c r="E63" s="388">
        <v>2</v>
      </c>
      <c r="F63" s="388">
        <f>D63*E63</f>
        <v>0</v>
      </c>
      <c r="G63" s="552"/>
      <c r="H63" s="1688"/>
    </row>
    <row r="64" spans="1:9" ht="15.6" customHeight="1" thickBot="1" x14ac:dyDescent="0.25">
      <c r="A64" s="1870"/>
      <c r="B64" s="1711"/>
      <c r="C64" s="214" t="str">
        <f>F!C38</f>
        <v xml:space="preserve">&gt;95% </v>
      </c>
      <c r="D64" s="213">
        <f>F!D38</f>
        <v>0</v>
      </c>
      <c r="E64" s="389">
        <v>1</v>
      </c>
      <c r="F64" s="389">
        <f>D64*E64</f>
        <v>0</v>
      </c>
      <c r="G64" s="553"/>
      <c r="H64" s="1689"/>
    </row>
    <row r="65" spans="1:9" ht="30" customHeight="1" thickBot="1" x14ac:dyDescent="0.25">
      <c r="A65" s="1845" t="str">
        <f>F!A44</f>
        <v>F9</v>
      </c>
      <c r="B65" s="1710" t="str">
        <f>F!B44</f>
        <v>Predominant Depth Class</v>
      </c>
      <c r="C65" s="385" t="str">
        <f>F!C44</f>
        <v>During most of the growing season, surface water depth in most of the area where it is present is: [Note: This is not asking for the maximum depth.]</v>
      </c>
      <c r="D65" s="392"/>
      <c r="E65" s="387"/>
      <c r="F65" s="390"/>
      <c r="G65" s="556">
        <f>IF((AllSat+AllSat1&gt;0),"",MAX(F66:F70)/MAX(E66:E70))</f>
        <v>0</v>
      </c>
      <c r="H65" s="1688" t="s">
        <v>5359</v>
      </c>
      <c r="I65" s="4" t="s">
        <v>338</v>
      </c>
    </row>
    <row r="66" spans="1:9" ht="15" customHeight="1" x14ac:dyDescent="0.2">
      <c r="A66" s="1845"/>
      <c r="B66" s="1710"/>
      <c r="C66" s="21" t="str">
        <f>F!C45</f>
        <v>&lt;0.5 ft deep (but &gt;0)</v>
      </c>
      <c r="D66" s="280">
        <f>F!D45</f>
        <v>0</v>
      </c>
      <c r="E66" s="388">
        <v>2</v>
      </c>
      <c r="F66" s="388">
        <f>D66*E66</f>
        <v>0</v>
      </c>
      <c r="G66" s="551"/>
      <c r="H66" s="1688"/>
    </row>
    <row r="67" spans="1:9" ht="15" customHeight="1" x14ac:dyDescent="0.2">
      <c r="A67" s="1845"/>
      <c r="B67" s="1710"/>
      <c r="C67" s="6" t="str">
        <f>F!C46</f>
        <v>0.5 - 1 ft deep</v>
      </c>
      <c r="D67" s="46">
        <f>F!D46</f>
        <v>0</v>
      </c>
      <c r="E67" s="388">
        <v>3</v>
      </c>
      <c r="F67" s="388">
        <f>D67*E67</f>
        <v>0</v>
      </c>
      <c r="G67" s="552"/>
      <c r="H67" s="1688"/>
    </row>
    <row r="68" spans="1:9" ht="15" customHeight="1" x14ac:dyDescent="0.2">
      <c r="A68" s="1845"/>
      <c r="B68" s="1710"/>
      <c r="C68" s="6" t="str">
        <f>F!C47</f>
        <v>1-2 ft deep</v>
      </c>
      <c r="D68" s="46">
        <f>F!D47</f>
        <v>0</v>
      </c>
      <c r="E68" s="388">
        <v>4</v>
      </c>
      <c r="F68" s="388">
        <f>D68*E68</f>
        <v>0</v>
      </c>
      <c r="G68" s="552"/>
      <c r="H68" s="1688"/>
    </row>
    <row r="69" spans="1:9" ht="15" customHeight="1" x14ac:dyDescent="0.2">
      <c r="A69" s="1845"/>
      <c r="B69" s="1710"/>
      <c r="C69" s="6" t="str">
        <f>F!C48</f>
        <v>2-6 ft deep</v>
      </c>
      <c r="D69" s="46">
        <f>F!D48</f>
        <v>0</v>
      </c>
      <c r="E69" s="388">
        <v>2</v>
      </c>
      <c r="F69" s="388">
        <f>D69*E69</f>
        <v>0</v>
      </c>
      <c r="G69" s="552"/>
      <c r="H69" s="1688"/>
    </row>
    <row r="70" spans="1:9" ht="15.6" customHeight="1" thickBot="1" x14ac:dyDescent="0.25">
      <c r="A70" s="1845"/>
      <c r="B70" s="1710"/>
      <c r="C70" s="470" t="str">
        <f>F!C49</f>
        <v>&gt;6 ft deep.  True for many fringe wetlands.</v>
      </c>
      <c r="D70" s="20">
        <f>F!D49</f>
        <v>0</v>
      </c>
      <c r="E70" s="391">
        <v>1</v>
      </c>
      <c r="F70" s="391">
        <f>D70*E70</f>
        <v>0</v>
      </c>
      <c r="G70" s="563"/>
      <c r="H70" s="1688"/>
    </row>
    <row r="71" spans="1:9" ht="54" customHeight="1" thickBot="1" x14ac:dyDescent="0.25">
      <c r="A71" s="1868" t="str">
        <f>F!A67</f>
        <v>F14</v>
      </c>
      <c r="B71" s="1709" t="str">
        <f>F!B67</f>
        <v>Non-vegetated Aquatic Cover</v>
      </c>
      <c r="C71" s="231" t="str">
        <f>F!C67</f>
        <v>The cover for fish, aquatic invertebrates, and/or amphibians that is provided by horizontally incised banks, water deeper than 2 ft, and/or partly-submerged accumulations of wood thicker than 4 inches (NOT by living vegetation) is:</v>
      </c>
      <c r="D71" s="392"/>
      <c r="E71" s="392"/>
      <c r="F71" s="393"/>
      <c r="G71" s="600" t="str">
        <f>IF((AllSat+AllSat1&gt;0),"",IF((OpenW=0),"",MAX(F72:F74)/MAX(E72:E74)))</f>
        <v/>
      </c>
      <c r="H71" s="1687" t="s">
        <v>5360</v>
      </c>
      <c r="I71" s="4" t="s">
        <v>335</v>
      </c>
    </row>
    <row r="72" spans="1:9" ht="27" customHeight="1" x14ac:dyDescent="0.2">
      <c r="A72" s="1869"/>
      <c r="B72" s="1710"/>
      <c r="C72" s="21" t="str">
        <f>F!C68</f>
        <v>Little or none, or all water is shallower than 2 ft most of the year.</v>
      </c>
      <c r="D72" s="280">
        <f>F!D68</f>
        <v>0</v>
      </c>
      <c r="E72" s="388">
        <v>0</v>
      </c>
      <c r="F72" s="388">
        <f>D72*E72</f>
        <v>0</v>
      </c>
      <c r="G72" s="551"/>
      <c r="H72" s="1688"/>
    </row>
    <row r="73" spans="1:9" ht="27" customHeight="1" x14ac:dyDescent="0.2">
      <c r="A73" s="1869"/>
      <c r="B73" s="1710"/>
      <c r="C73" s="6" t="str">
        <f>F!C69</f>
        <v>Intermediate, e.g., 500 - 2500 cu. ft of instream wood per 1000 ft of channel.</v>
      </c>
      <c r="D73" s="46">
        <f>F!D69</f>
        <v>0</v>
      </c>
      <c r="E73" s="388">
        <v>1</v>
      </c>
      <c r="F73" s="388">
        <f>D73*E73</f>
        <v>0</v>
      </c>
      <c r="G73" s="782"/>
      <c r="H73" s="1688"/>
    </row>
    <row r="74" spans="1:9" ht="45.75" customHeight="1" thickBot="1" x14ac:dyDescent="0.25">
      <c r="A74" s="1870"/>
      <c r="B74" s="1711"/>
      <c r="C74" s="214" t="str">
        <f>F!C70</f>
        <v>Extensive:  &gt;8 pieces of wood per stream reach (reach= 10x channel width), or &gt;2700 cu.ft of instream wood per 1000 ft of channel, or &gt;10% of bank length is incised.</v>
      </c>
      <c r="D74" s="213">
        <f>F!D70</f>
        <v>0</v>
      </c>
      <c r="E74" s="389">
        <v>2</v>
      </c>
      <c r="F74" s="389">
        <f>D74*E74</f>
        <v>0</v>
      </c>
      <c r="G74" s="553"/>
      <c r="H74" s="1689"/>
    </row>
    <row r="75" spans="1:9" s="12" customFormat="1" ht="45" customHeight="1" thickBot="1" x14ac:dyDescent="0.25">
      <c r="A75" s="1896" t="str">
        <f>F!A71</f>
        <v>F15</v>
      </c>
      <c r="B75" s="1709" t="str">
        <f>F!B71</f>
        <v>All Ponded Water - Extent</v>
      </c>
      <c r="C75" s="231" t="str">
        <f>F!C71</f>
        <v>During most of the growing season, the percentage of the AA that has ponded surface water (stagnant, or flows so slowly that fine sediment is not held in suspension) which is either open or shaded by emergent vegetation is:</v>
      </c>
      <c r="D75" s="392"/>
      <c r="E75" s="392"/>
      <c r="F75" s="393"/>
      <c r="G75" s="600">
        <f>IF((AllSat=1),"",MAX(F76:F82)/MAX((E76:E82)))</f>
        <v>0</v>
      </c>
      <c r="H75" s="1687" t="s">
        <v>5362</v>
      </c>
      <c r="I75" s="3" t="s">
        <v>337</v>
      </c>
    </row>
    <row r="76" spans="1:9" s="12" customFormat="1" ht="15" customHeight="1" x14ac:dyDescent="0.2">
      <c r="A76" s="1869"/>
      <c r="B76" s="1710"/>
      <c r="C76" s="21" t="str">
        <f>F!C72</f>
        <v>&lt;1% or none, or occupies &lt;100 sq. ft cumulatively.  Enter "1" and SKIP to F19.</v>
      </c>
      <c r="D76" s="280">
        <f>F!D72</f>
        <v>0</v>
      </c>
      <c r="E76" s="388">
        <v>1</v>
      </c>
      <c r="F76" s="388">
        <f t="shared" ref="F76:F82" si="2">D76*E76</f>
        <v>0</v>
      </c>
      <c r="G76" s="709"/>
      <c r="H76" s="1688"/>
      <c r="I76" s="3"/>
    </row>
    <row r="77" spans="1:9" s="12" customFormat="1" ht="15" customHeight="1" x14ac:dyDescent="0.2">
      <c r="A77" s="1869"/>
      <c r="B77" s="1710"/>
      <c r="C77" s="6" t="str">
        <f>F!C73</f>
        <v>1-25% of the AA, and mainly in small fishless pools. Enter "1" and SKIP to F19.</v>
      </c>
      <c r="D77" s="46">
        <f>F!D73</f>
        <v>0</v>
      </c>
      <c r="E77" s="388">
        <v>2</v>
      </c>
      <c r="F77" s="388">
        <f t="shared" si="2"/>
        <v>0</v>
      </c>
      <c r="G77" s="709"/>
      <c r="H77" s="1688"/>
      <c r="I77" s="3"/>
    </row>
    <row r="78" spans="1:9" s="12" customFormat="1" ht="15" customHeight="1" x14ac:dyDescent="0.2">
      <c r="A78" s="1869"/>
      <c r="B78" s="1710"/>
      <c r="C78" s="6" t="str">
        <f>F!C74</f>
        <v>1-25% of the AA, and mainly in a single large pool or pond, with or without fish access.</v>
      </c>
      <c r="D78" s="46">
        <f>F!D74</f>
        <v>0</v>
      </c>
      <c r="E78" s="388">
        <v>2</v>
      </c>
      <c r="F78" s="388">
        <f t="shared" si="2"/>
        <v>0</v>
      </c>
      <c r="G78" s="709"/>
      <c r="H78" s="1688"/>
      <c r="I78" s="3"/>
    </row>
    <row r="79" spans="1:9" s="12" customFormat="1" ht="15" customHeight="1" x14ac:dyDescent="0.2">
      <c r="A79" s="1869"/>
      <c r="B79" s="1710"/>
      <c r="C79" s="6" t="str">
        <f>F!C75</f>
        <v>5-30% of the AA.</v>
      </c>
      <c r="D79" s="46">
        <f>F!D75</f>
        <v>0</v>
      </c>
      <c r="E79" s="388">
        <v>3</v>
      </c>
      <c r="F79" s="388">
        <f t="shared" si="2"/>
        <v>0</v>
      </c>
      <c r="G79" s="709"/>
      <c r="H79" s="1688"/>
      <c r="I79" s="3"/>
    </row>
    <row r="80" spans="1:9" s="12" customFormat="1" ht="15" customHeight="1" x14ac:dyDescent="0.2">
      <c r="A80" s="1869"/>
      <c r="B80" s="1710"/>
      <c r="C80" s="6" t="str">
        <f>F!C76</f>
        <v>30-70% of the AA.</v>
      </c>
      <c r="D80" s="46">
        <f>F!D76</f>
        <v>0</v>
      </c>
      <c r="E80" s="388">
        <v>4</v>
      </c>
      <c r="F80" s="388">
        <f t="shared" si="2"/>
        <v>0</v>
      </c>
      <c r="G80" s="718"/>
      <c r="H80" s="1688"/>
      <c r="I80" s="3"/>
    </row>
    <row r="81" spans="1:9" s="12" customFormat="1" ht="15" customHeight="1" x14ac:dyDescent="0.2">
      <c r="A81" s="1869"/>
      <c r="B81" s="1710"/>
      <c r="C81" s="6" t="str">
        <f>F!C77</f>
        <v>70-95% of the AA.</v>
      </c>
      <c r="D81" s="46">
        <f>F!D77</f>
        <v>0</v>
      </c>
      <c r="E81" s="388">
        <v>3</v>
      </c>
      <c r="F81" s="388">
        <f t="shared" si="2"/>
        <v>0</v>
      </c>
      <c r="G81" s="718"/>
      <c r="H81" s="1688"/>
      <c r="I81" s="3"/>
    </row>
    <row r="82" spans="1:9" s="12" customFormat="1" ht="15.6" customHeight="1" thickBot="1" x14ac:dyDescent="0.25">
      <c r="A82" s="1870"/>
      <c r="B82" s="1711"/>
      <c r="C82" s="214" t="str">
        <f>F!C78</f>
        <v>&gt;95% of the AA.</v>
      </c>
      <c r="D82" s="213">
        <f>F!D78</f>
        <v>0</v>
      </c>
      <c r="E82" s="389">
        <v>1</v>
      </c>
      <c r="F82" s="389">
        <f t="shared" si="2"/>
        <v>0</v>
      </c>
      <c r="G82" s="710"/>
      <c r="H82" s="1689"/>
      <c r="I82" s="3"/>
    </row>
    <row r="83" spans="1:9" ht="30" customHeight="1" thickBot="1" x14ac:dyDescent="0.25">
      <c r="A83" s="1687" t="str">
        <f>F!A79</f>
        <v>F16</v>
      </c>
      <c r="B83" s="1687" t="str">
        <f>F!B79</f>
        <v>Open Ponded Water - Extent</v>
      </c>
      <c r="C83" s="5" t="str">
        <f>F!C79</f>
        <v>The percentage of the ponded water that is open (lacking emergent vegetation during most of the growing season, and unhidden by a forest or shrub canopy) is:</v>
      </c>
      <c r="D83" s="403"/>
      <c r="E83" s="392"/>
      <c r="F83" s="410"/>
      <c r="G83" s="550">
        <f>IF((AllSat+AllSat1&gt;0),"",IF((OR(puddles=1,NoPonded=1)),"",MAX(F84:F89)/MAX(E84:E89)))</f>
        <v>0</v>
      </c>
      <c r="H83" s="1687" t="s">
        <v>5361</v>
      </c>
      <c r="I83" s="4" t="s">
        <v>336</v>
      </c>
    </row>
    <row r="84" spans="1:9" ht="15" customHeight="1" x14ac:dyDescent="0.2">
      <c r="A84" s="1688"/>
      <c r="B84" s="1688"/>
      <c r="C84" s="19" t="str">
        <f>F!C80</f>
        <v>&lt;1% or none, or largest pool occupies &lt;100 sq. ft.  Enter "1" and SKIP to F19.</v>
      </c>
      <c r="D84" s="20">
        <f>F!D80</f>
        <v>0</v>
      </c>
      <c r="E84" s="388">
        <v>0</v>
      </c>
      <c r="F84" s="388">
        <f t="shared" ref="F84:F89" si="3">D84*E84</f>
        <v>0</v>
      </c>
      <c r="G84" s="551"/>
      <c r="H84" s="1688"/>
    </row>
    <row r="85" spans="1:9" ht="15" customHeight="1" x14ac:dyDescent="0.2">
      <c r="A85" s="1688"/>
      <c r="B85" s="1688"/>
      <c r="C85" s="470" t="str">
        <f>F!C81</f>
        <v>1-5% of the ponded water.  Enter "1" and SKIP to F19.</v>
      </c>
      <c r="D85" s="20">
        <f>F!D81</f>
        <v>0</v>
      </c>
      <c r="E85" s="388">
        <v>3</v>
      </c>
      <c r="F85" s="388">
        <f t="shared" si="3"/>
        <v>0</v>
      </c>
      <c r="G85" s="552"/>
      <c r="H85" s="1688"/>
    </row>
    <row r="86" spans="1:9" ht="15" customHeight="1" x14ac:dyDescent="0.2">
      <c r="A86" s="1688"/>
      <c r="B86" s="1688"/>
      <c r="C86" s="470" t="str">
        <f>F!C82</f>
        <v>5-30% of the ponded water.</v>
      </c>
      <c r="D86" s="20">
        <f>F!D82</f>
        <v>0</v>
      </c>
      <c r="E86" s="388">
        <v>4</v>
      </c>
      <c r="F86" s="388">
        <f t="shared" si="3"/>
        <v>0</v>
      </c>
      <c r="G86" s="552"/>
      <c r="H86" s="1688"/>
    </row>
    <row r="87" spans="1:9" ht="15" customHeight="1" x14ac:dyDescent="0.2">
      <c r="A87" s="1688"/>
      <c r="B87" s="1688"/>
      <c r="C87" s="470" t="str">
        <f>F!C83</f>
        <v>30-70% of the ponded water.</v>
      </c>
      <c r="D87" s="20">
        <f>F!D83</f>
        <v>0</v>
      </c>
      <c r="E87" s="388">
        <v>2</v>
      </c>
      <c r="F87" s="388">
        <f t="shared" si="3"/>
        <v>0</v>
      </c>
      <c r="G87" s="552"/>
      <c r="H87" s="1688"/>
    </row>
    <row r="88" spans="1:9" ht="15" customHeight="1" x14ac:dyDescent="0.2">
      <c r="A88" s="1688"/>
      <c r="B88" s="1688"/>
      <c r="C88" s="470" t="str">
        <f>F!C84</f>
        <v>70-99% of the ponded water.</v>
      </c>
      <c r="D88" s="20">
        <f>F!D84</f>
        <v>0</v>
      </c>
      <c r="E88" s="388">
        <v>1</v>
      </c>
      <c r="F88" s="388">
        <f t="shared" si="3"/>
        <v>0</v>
      </c>
      <c r="G88" s="563"/>
      <c r="H88" s="1688"/>
    </row>
    <row r="89" spans="1:9" ht="15.6" customHeight="1" thickBot="1" x14ac:dyDescent="0.25">
      <c r="A89" s="1689"/>
      <c r="B89" s="1689"/>
      <c r="C89" s="214" t="str">
        <f>F!C85</f>
        <v>100% of the ponded water. SKIP to F18.</v>
      </c>
      <c r="D89" s="213">
        <f>F!D85</f>
        <v>0</v>
      </c>
      <c r="E89" s="389">
        <v>1</v>
      </c>
      <c r="F89" s="389">
        <f t="shared" si="3"/>
        <v>0</v>
      </c>
      <c r="G89" s="553"/>
      <c r="H89" s="1689"/>
    </row>
    <row r="90" spans="1:9" ht="30" customHeight="1" thickBot="1" x14ac:dyDescent="0.25">
      <c r="A90" s="1901" t="str">
        <f>F!A86</f>
        <v>F17</v>
      </c>
      <c r="B90" s="1688" t="str">
        <f>F!B86</f>
        <v>Emergent Vegetation - Distribution</v>
      </c>
      <c r="C90" s="381" t="str">
        <f>F!C86</f>
        <v>During most of the growing season, the spatial pattern of herbaceous vegetation that has surface water beneath it (emergent vegetation -- NOT floating-leaved plants) is mostly:</v>
      </c>
      <c r="D90" s="387"/>
      <c r="E90" s="387"/>
      <c r="F90" s="390"/>
      <c r="G90" s="556">
        <f>IF((AllSat+AllSat1&gt;0),"",IF((OR(puddles=1,AllOpenPond=1)),"",IF((NoOpenPonded+NoOpenPonded1&gt;0),"",IF((AllOpenPond=1),"",MAX(F91:F93)/MAX(E91:E93)))))</f>
        <v>0</v>
      </c>
      <c r="H90" s="1688" t="s">
        <v>5363</v>
      </c>
      <c r="I90" s="4" t="s">
        <v>339</v>
      </c>
    </row>
    <row r="91" spans="1:9" ht="15" customHeight="1" x14ac:dyDescent="0.2">
      <c r="A91" s="1986"/>
      <c r="B91" s="1688"/>
      <c r="C91" s="384" t="str">
        <f>F!C87</f>
        <v>scattered in small clumps, islands, or patches throughout the surface water area.</v>
      </c>
      <c r="D91" s="280">
        <f>F!D87</f>
        <v>0</v>
      </c>
      <c r="E91" s="388">
        <v>3</v>
      </c>
      <c r="F91" s="388">
        <f>D91*E91</f>
        <v>0</v>
      </c>
      <c r="G91" s="413"/>
      <c r="H91" s="1688"/>
    </row>
    <row r="92" spans="1:9" ht="15" customHeight="1" x14ac:dyDescent="0.2">
      <c r="A92" s="1986"/>
      <c r="B92" s="1688"/>
      <c r="C92" s="487" t="str">
        <f>F!C88</f>
        <v>intermediate</v>
      </c>
      <c r="D92" s="46">
        <f>F!D88</f>
        <v>0</v>
      </c>
      <c r="E92" s="388">
        <v>2</v>
      </c>
      <c r="F92" s="388">
        <f>D92*E92</f>
        <v>0</v>
      </c>
      <c r="G92" s="413"/>
      <c r="H92" s="1688"/>
    </row>
    <row r="93" spans="1:9" ht="27.6" customHeight="1" thickBot="1" x14ac:dyDescent="0.25">
      <c r="A93" s="1960"/>
      <c r="B93" s="1688"/>
      <c r="C93" s="379" t="str">
        <f>F!C89</f>
        <v>clumped along the margin of the surface water area, or mostly surrounds a channel or central area of open water, or such vegetation covers &lt;100 sq ft and &lt;1% of the AA.</v>
      </c>
      <c r="D93" s="20">
        <f>F!D89</f>
        <v>0</v>
      </c>
      <c r="E93" s="391">
        <v>1</v>
      </c>
      <c r="F93" s="391">
        <f>D93*E93</f>
        <v>0</v>
      </c>
      <c r="G93" s="415"/>
      <c r="H93" s="1688"/>
    </row>
    <row r="94" spans="1:9" ht="21" customHeight="1" thickBot="1" x14ac:dyDescent="0.25">
      <c r="A94" s="1896" t="str">
        <f>F!A94</f>
        <v>F22</v>
      </c>
      <c r="B94" s="1692" t="str">
        <f>F!B94</f>
        <v>Beaver</v>
      </c>
      <c r="C94" s="586" t="str">
        <f>F!C94</f>
        <v>Use of the AA by beaver during the past 5 years is (select most applicable ONE):</v>
      </c>
      <c r="D94" s="392"/>
      <c r="E94" s="392"/>
      <c r="F94" s="393"/>
      <c r="G94" s="550">
        <f>IF((AllSat+AllSat1&gt;0),"",MAX(F95:F98)/MAX(E95:E98))</f>
        <v>0</v>
      </c>
      <c r="H94" s="1687" t="s">
        <v>5364</v>
      </c>
      <c r="I94" s="4" t="s">
        <v>2025</v>
      </c>
    </row>
    <row r="95" spans="1:9" ht="27" customHeight="1" x14ac:dyDescent="0.2">
      <c r="A95" s="1897"/>
      <c r="B95" s="1713"/>
      <c r="C95" s="587" t="str">
        <f>F!C95</f>
        <v>evident from direct observation or presence of gnawed limbs, dams, tracks, dens, lodges, or extensive stands of water-killed trees (snags).</v>
      </c>
      <c r="D95" s="283">
        <f>F!D95</f>
        <v>0</v>
      </c>
      <c r="E95" s="388">
        <v>4</v>
      </c>
      <c r="F95" s="388">
        <f>D95*E95</f>
        <v>0</v>
      </c>
      <c r="G95" s="551"/>
      <c r="H95" s="1688"/>
    </row>
    <row r="96" spans="1:9" ht="42" customHeight="1" x14ac:dyDescent="0.2">
      <c r="A96" s="1897"/>
      <c r="B96" s="1713"/>
      <c r="C96" s="588"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96" s="284">
        <f>F!D96</f>
        <v>0</v>
      </c>
      <c r="E96" s="388">
        <v>2</v>
      </c>
      <c r="F96" s="388">
        <f>D96*E96</f>
        <v>0</v>
      </c>
      <c r="G96" s="552"/>
      <c r="H96" s="1688"/>
    </row>
    <row r="97" spans="1:9" ht="27" customHeight="1" x14ac:dyDescent="0.2">
      <c r="A97" s="1897"/>
      <c r="B97" s="1713"/>
      <c r="C97" s="588" t="str">
        <f>F!C97</f>
        <v>unlikely because site characteristics above are deficient, and/or this is a settled area or other area where beaver are routinely removed.  But beaver occur in the region (i.e., within 10 miles, or on same island).</v>
      </c>
      <c r="D97" s="284">
        <f>F!D97</f>
        <v>0</v>
      </c>
      <c r="E97" s="388">
        <v>1</v>
      </c>
      <c r="F97" s="388">
        <f>D97*E97</f>
        <v>0</v>
      </c>
      <c r="G97" s="552"/>
      <c r="H97" s="1688"/>
    </row>
    <row r="98" spans="1:9" ht="15.6" customHeight="1" thickBot="1" x14ac:dyDescent="0.25">
      <c r="A98" s="1898"/>
      <c r="B98" s="1714"/>
      <c r="C98" s="748" t="str">
        <f>F!C98</f>
        <v>none.  Beaver are absent from the region and/or the island.</v>
      </c>
      <c r="D98" s="313">
        <f>F!D98</f>
        <v>0</v>
      </c>
      <c r="E98" s="389">
        <v>0</v>
      </c>
      <c r="F98" s="389">
        <f>D98*E98</f>
        <v>0</v>
      </c>
      <c r="G98" s="553"/>
      <c r="H98" s="1689"/>
    </row>
    <row r="99" spans="1:9" ht="21" customHeight="1" thickBot="1" x14ac:dyDescent="0.25">
      <c r="A99" s="1868" t="str">
        <f>F!A114</f>
        <v>F27</v>
      </c>
      <c r="B99" s="1709" t="str">
        <f>F!B114</f>
        <v>Throughflow Complexity</v>
      </c>
      <c r="C99" s="231" t="str">
        <f>F!C114</f>
        <v xml:space="preserve">During its travel through the AA at the time of peak annual flow, most of the flowing water [select ONE]: </v>
      </c>
      <c r="D99" s="392"/>
      <c r="E99" s="392"/>
      <c r="F99" s="410"/>
      <c r="G99" s="600" t="str">
        <f>IF((AllSat=1),"", IF((Inflows=0),"",MAX(F100:F104)/MAX(E100:E104)))</f>
        <v/>
      </c>
      <c r="H99" s="1687" t="s">
        <v>5365</v>
      </c>
      <c r="I99" s="4" t="s">
        <v>342</v>
      </c>
    </row>
    <row r="100" spans="1:9" ht="42" customHeight="1" x14ac:dyDescent="0.2">
      <c r="A100" s="1869"/>
      <c r="B100" s="1710"/>
      <c r="C100" s="21" t="str">
        <f>F!C115</f>
        <v>Does not bump into plant stems.  Nearly all the water travels in unvegetated (often incised) channels that have little contact with wetland vegetation, or through a zone of open water such as an instream pond or lake.</v>
      </c>
      <c r="D100" s="280">
        <f>F!D115</f>
        <v>0</v>
      </c>
      <c r="E100" s="388">
        <v>0</v>
      </c>
      <c r="F100" s="388">
        <f>D100*E100</f>
        <v>0</v>
      </c>
      <c r="G100" s="708"/>
      <c r="H100" s="1688"/>
    </row>
    <row r="101" spans="1:9" ht="27" customHeight="1" x14ac:dyDescent="0.2">
      <c r="A101" s="1869"/>
      <c r="B101" s="1710"/>
      <c r="C101" s="6" t="str">
        <f>F!C116</f>
        <v>bumps into herbaceous vegetation and follows a fairly straight path from entrance to exit (branched channels few or none, meandering slight or none).</v>
      </c>
      <c r="D101" s="46">
        <f>F!D116</f>
        <v>0</v>
      </c>
      <c r="E101" s="388">
        <v>1</v>
      </c>
      <c r="F101" s="388">
        <f>D101*E101</f>
        <v>0</v>
      </c>
      <c r="G101" s="552"/>
      <c r="H101" s="1688"/>
    </row>
    <row r="102" spans="1:9" ht="27" customHeight="1" x14ac:dyDescent="0.2">
      <c r="A102" s="1869"/>
      <c r="B102" s="1710"/>
      <c r="C102" s="6" t="str">
        <f>F!C117</f>
        <v>bumps into herbaceous vegetation and follows a fairly indirect path from entrance to exit (meandering, multi-branched, or braided).</v>
      </c>
      <c r="D102" s="46">
        <f>F!D117</f>
        <v>0</v>
      </c>
      <c r="E102" s="388">
        <v>3</v>
      </c>
      <c r="F102" s="388">
        <f>D102*E102</f>
        <v>0</v>
      </c>
      <c r="G102" s="552"/>
      <c r="H102" s="1688"/>
    </row>
    <row r="103" spans="1:9" ht="27" customHeight="1" x14ac:dyDescent="0.2">
      <c r="A103" s="1869"/>
      <c r="B103" s="1710"/>
      <c r="C103" s="6" t="str">
        <f>F!C118</f>
        <v>bumps into tree trunks and/or shrub stems and follows a fairly straight path from entrance to exit (branched channels few or none, meandering slight or none).</v>
      </c>
      <c r="D103" s="46">
        <f>F!D118</f>
        <v>0</v>
      </c>
      <c r="E103" s="388">
        <v>2</v>
      </c>
      <c r="F103" s="388">
        <f>D103*E103</f>
        <v>0</v>
      </c>
      <c r="G103" s="552"/>
      <c r="H103" s="1688"/>
    </row>
    <row r="104" spans="1:9" ht="27.6" customHeight="1" thickBot="1" x14ac:dyDescent="0.25">
      <c r="A104" s="1870"/>
      <c r="B104" s="1711"/>
      <c r="C104" s="214" t="str">
        <f>F!C119</f>
        <v>bumps into tree trunks and/or shrub stems and follows a fairly indirect path from entrance to exit (meandering, multi-branched, or braided).</v>
      </c>
      <c r="D104" s="213">
        <f>F!D119</f>
        <v>0</v>
      </c>
      <c r="E104" s="389">
        <v>3</v>
      </c>
      <c r="F104" s="389">
        <f>D104*E104</f>
        <v>0</v>
      </c>
      <c r="G104" s="553"/>
      <c r="H104" s="1689"/>
    </row>
    <row r="105" spans="1:9" ht="30" customHeight="1" thickBot="1" x14ac:dyDescent="0.25">
      <c r="A105" s="1845" t="str">
        <f>F!A120</f>
        <v>F28</v>
      </c>
      <c r="B105" s="1710" t="str">
        <f>F!B120</f>
        <v>Outflow Duration</v>
      </c>
      <c r="C105" s="385" t="str">
        <f>F!C120</f>
        <v>The most persistent surface water connection (outlet channel or pipe, ditch, or overbank water exchange) between the AA and the closest off-site downslope water body is:</v>
      </c>
      <c r="D105" s="392"/>
      <c r="E105" s="387"/>
      <c r="F105" s="409"/>
      <c r="G105" s="556">
        <f>MAX(F106:F110)/MAX(E106:E110)</f>
        <v>0</v>
      </c>
      <c r="H105" s="1688" t="s">
        <v>5366</v>
      </c>
      <c r="I105" s="4" t="s">
        <v>341</v>
      </c>
    </row>
    <row r="106" spans="1:9" ht="27" customHeight="1" x14ac:dyDescent="0.2">
      <c r="A106" s="1845"/>
      <c r="B106" s="1710"/>
      <c r="C106" s="21" t="str">
        <f>F!C121</f>
        <v>persistent (&gt;9 months/year); almost always shown on stream maps, or determine from your dry-season observation.</v>
      </c>
      <c r="D106" s="280">
        <f>F!D121</f>
        <v>0</v>
      </c>
      <c r="E106" s="388">
        <v>3</v>
      </c>
      <c r="F106" s="388">
        <f>D106*E106</f>
        <v>0</v>
      </c>
      <c r="G106" s="551"/>
      <c r="H106" s="1688"/>
    </row>
    <row r="107" spans="1:9" ht="15" customHeight="1" x14ac:dyDescent="0.2">
      <c r="A107" s="1845"/>
      <c r="B107" s="1710"/>
      <c r="C107" s="6" t="str">
        <f>F!C122</f>
        <v>seasonal (14 days to 9 months/year, not necessarily consecutive); sometimes shown on stream maps.</v>
      </c>
      <c r="D107" s="46">
        <f>F!D122</f>
        <v>0</v>
      </c>
      <c r="E107" s="388">
        <v>2</v>
      </c>
      <c r="F107" s="388">
        <f>D107*E107</f>
        <v>0</v>
      </c>
      <c r="G107" s="552"/>
      <c r="H107" s="1688"/>
    </row>
    <row r="108" spans="1:9" ht="15" customHeight="1" x14ac:dyDescent="0.2">
      <c r="A108" s="1845"/>
      <c r="B108" s="1710"/>
      <c r="C108" s="6" t="str">
        <f>F!C123</f>
        <v>temporary (&lt;14 days, not necessarily consecutive); seldom shown on stream maps.</v>
      </c>
      <c r="D108" s="46">
        <f>F!D123</f>
        <v>0</v>
      </c>
      <c r="E108" s="388">
        <v>1</v>
      </c>
      <c r="F108" s="388">
        <f>D108*E108</f>
        <v>0</v>
      </c>
      <c r="G108" s="552"/>
      <c r="H108" s="1688"/>
    </row>
    <row r="109" spans="1:9" ht="27" customHeight="1" x14ac:dyDescent="0.2">
      <c r="A109" s="1845"/>
      <c r="B109" s="1710"/>
      <c r="C109" s="6" t="str">
        <f>F!C124</f>
        <v xml:space="preserve">none -- but maps show a stream or other water body that is downslope from the AA and within a distance that is less than the AA's path length (see definition, OF35).  If so, mark "1" here and SKIP TO F30. </v>
      </c>
      <c r="D109" s="46">
        <f>F!D124</f>
        <v>0</v>
      </c>
      <c r="E109" s="404">
        <v>0</v>
      </c>
      <c r="F109" s="388">
        <f>D109*E109</f>
        <v>0</v>
      </c>
      <c r="G109" s="563"/>
      <c r="H109" s="1688"/>
    </row>
    <row r="110" spans="1:9" ht="42.6" customHeight="1" thickBot="1" x14ac:dyDescent="0.25">
      <c r="A110" s="1845"/>
      <c r="B110" s="1710"/>
      <c r="C110" s="470" t="str">
        <f>F!C125</f>
        <v xml:space="preserve">no surface water flows out of the wetland except possibly during extreme events (less than once per 10 years). Or, water flows only into a wetland, ditch, or lake that lacks an outlet.  If so, mark "1" here and SKIP TO F30. </v>
      </c>
      <c r="D110" s="20">
        <f>F!D125</f>
        <v>0</v>
      </c>
      <c r="E110" s="583">
        <v>0</v>
      </c>
      <c r="F110" s="391">
        <f>D110*E110</f>
        <v>0</v>
      </c>
      <c r="G110" s="563"/>
      <c r="H110" s="1688"/>
    </row>
    <row r="111" spans="1:9" ht="21" customHeight="1" thickBot="1" x14ac:dyDescent="0.25">
      <c r="A111" s="1868" t="str">
        <f>F!A130</f>
        <v>F30</v>
      </c>
      <c r="B111" s="1687" t="str">
        <f>F!B130</f>
        <v>Groundwater: Strength of Evidence</v>
      </c>
      <c r="C111" s="111" t="str">
        <f>F!C130</f>
        <v>Select first applicable choice.  In the AA:</v>
      </c>
      <c r="D111" s="392"/>
      <c r="E111" s="392"/>
      <c r="F111" s="393"/>
      <c r="G111" s="600">
        <f>MAX(F112:F114)/MAX(E112:E114)</f>
        <v>0</v>
      </c>
      <c r="H111" s="1687" t="s">
        <v>2299</v>
      </c>
      <c r="I111" s="4" t="s">
        <v>340</v>
      </c>
    </row>
    <row r="112" spans="1:9" ht="72" customHeight="1" x14ac:dyDescent="0.2">
      <c r="A112" s="1869"/>
      <c r="B112" s="1688"/>
      <c r="C112" s="383"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12" s="380">
        <f>F!D131</f>
        <v>0</v>
      </c>
      <c r="E112" s="388">
        <v>3</v>
      </c>
      <c r="F112" s="388">
        <f>D112*E112</f>
        <v>0</v>
      </c>
      <c r="G112" s="708"/>
      <c r="H112" s="1688"/>
    </row>
    <row r="113" spans="1:9" ht="84" customHeight="1" x14ac:dyDescent="0.2">
      <c r="A113" s="1869"/>
      <c r="B113" s="1688"/>
      <c r="C113" s="379"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13" s="20">
        <f>F!D132</f>
        <v>0</v>
      </c>
      <c r="E113" s="388">
        <v>2</v>
      </c>
      <c r="F113" s="388">
        <f>D113*E113</f>
        <v>0</v>
      </c>
      <c r="G113" s="709"/>
      <c r="H113" s="1688"/>
    </row>
    <row r="114" spans="1:9" ht="27.6" customHeight="1" thickBot="1" x14ac:dyDescent="0.25">
      <c r="A114" s="1870"/>
      <c r="B114" s="1689"/>
      <c r="C114" s="486" t="str">
        <f>F!C133</f>
        <v>Neither of above is true, although some groundwater may discharge to or flow through the AA, or groundwater influx is unknown.</v>
      </c>
      <c r="D114" s="213">
        <f>F!D133</f>
        <v>0</v>
      </c>
      <c r="E114" s="389">
        <v>0</v>
      </c>
      <c r="F114" s="389">
        <f>D114*E114</f>
        <v>0</v>
      </c>
      <c r="G114" s="553"/>
      <c r="H114" s="1689"/>
    </row>
    <row r="115" spans="1:9" ht="30" customHeight="1" thickBot="1" x14ac:dyDescent="0.25">
      <c r="A115" s="1868" t="str">
        <f>F!A188</f>
        <v>F41</v>
      </c>
      <c r="B115" s="1687" t="str">
        <f>F!B188</f>
        <v>N Fixers</v>
      </c>
      <c r="C115" s="231" t="str">
        <f>F!C188</f>
        <v>The percent of the AA's vegetated cover that is nitrogen-fixing  plants -- e.g., alder, sweet clover (Meliolotus), sweetgale (Myrica gale), buffaloberry, clover, lupine, other legumes -- is:</v>
      </c>
      <c r="D115" s="392"/>
      <c r="E115" s="392"/>
      <c r="F115" s="393"/>
      <c r="G115" s="550">
        <f>MAX(F116:F120)/MAX(E116:E120)</f>
        <v>0</v>
      </c>
      <c r="H115" s="1687" t="s">
        <v>1340</v>
      </c>
      <c r="I115" s="4" t="s">
        <v>802</v>
      </c>
    </row>
    <row r="116" spans="1:9" ht="15" customHeight="1" x14ac:dyDescent="0.2">
      <c r="A116" s="1869"/>
      <c r="B116" s="1688"/>
      <c r="C116" s="19" t="str">
        <f>F!C189</f>
        <v>&lt;1% or none</v>
      </c>
      <c r="D116" s="380">
        <f>F!D189</f>
        <v>0</v>
      </c>
      <c r="E116" s="388">
        <v>0</v>
      </c>
      <c r="F116" s="388">
        <f>D116*E116</f>
        <v>0</v>
      </c>
      <c r="G116" s="551"/>
      <c r="H116" s="1688"/>
    </row>
    <row r="117" spans="1:9" ht="15" customHeight="1" x14ac:dyDescent="0.2">
      <c r="A117" s="1869"/>
      <c r="B117" s="1688"/>
      <c r="C117" s="470" t="str">
        <f>F!C190</f>
        <v>1-25% of the shrub plus ground cover, in the AA or along its water edge (whichever has more).</v>
      </c>
      <c r="D117" s="20">
        <f>F!D190</f>
        <v>0</v>
      </c>
      <c r="E117" s="388">
        <v>1</v>
      </c>
      <c r="F117" s="388">
        <f>D117*E117</f>
        <v>0</v>
      </c>
      <c r="G117" s="552"/>
      <c r="H117" s="1688"/>
    </row>
    <row r="118" spans="1:9" ht="15" customHeight="1" x14ac:dyDescent="0.2">
      <c r="A118" s="1869"/>
      <c r="B118" s="1688"/>
      <c r="C118" s="470" t="str">
        <f>F!C191</f>
        <v>25-50% of the shrub plus ground cover, in the AA or along its water edge (whichever has more).</v>
      </c>
      <c r="D118" s="20">
        <f>F!D191</f>
        <v>0</v>
      </c>
      <c r="E118" s="388">
        <v>2</v>
      </c>
      <c r="F118" s="388">
        <f>D118*E118</f>
        <v>0</v>
      </c>
      <c r="G118" s="552"/>
      <c r="H118" s="1688"/>
    </row>
    <row r="119" spans="1:9" ht="15" customHeight="1" x14ac:dyDescent="0.2">
      <c r="A119" s="1869"/>
      <c r="B119" s="1688"/>
      <c r="C119" s="470" t="str">
        <f>F!C192</f>
        <v>50-75% of the shrub plus ground cover, in the AA or along its water edge (whichever has more).</v>
      </c>
      <c r="D119" s="20">
        <f>F!D192</f>
        <v>0</v>
      </c>
      <c r="E119" s="388">
        <v>3</v>
      </c>
      <c r="F119" s="388">
        <f>D119*E119</f>
        <v>0</v>
      </c>
      <c r="G119" s="552"/>
      <c r="H119" s="1688"/>
    </row>
    <row r="120" spans="1:9" ht="15.6" customHeight="1" thickBot="1" x14ac:dyDescent="0.25">
      <c r="A120" s="1870"/>
      <c r="B120" s="1689"/>
      <c r="C120" s="214" t="str">
        <f>F!C193</f>
        <v>&gt;75% of the shrub plus ground cover, in the AA or along its water edge (whichever has more).</v>
      </c>
      <c r="D120" s="213">
        <f>F!D193</f>
        <v>0</v>
      </c>
      <c r="E120" s="389">
        <v>4</v>
      </c>
      <c r="F120" s="389">
        <f>D120*E120</f>
        <v>0</v>
      </c>
      <c r="G120" s="553"/>
      <c r="H120" s="1689"/>
    </row>
    <row r="121" spans="1:9" ht="36" customHeight="1" thickBot="1" x14ac:dyDescent="0.25">
      <c r="A121" s="1952" t="str">
        <f>F!A264</f>
        <v>F55</v>
      </c>
      <c r="B121" s="1710" t="str">
        <f>F!B264</f>
        <v>Natural Cover in Buffer</v>
      </c>
      <c r="C121" s="385" t="str">
        <f>F!C264</f>
        <v>Along the wetland-upland edge and extending 100 ft upslope, the percentage of the upland that contains natural (not necessarily native -- see column E) land cover taller than 6 inches is:</v>
      </c>
      <c r="D121" s="392"/>
      <c r="E121" s="387"/>
      <c r="F121" s="409"/>
      <c r="G121" s="556">
        <f>MAX(F122:F126)/MAX(E122:E126)</f>
        <v>0</v>
      </c>
      <c r="H121" s="1710" t="s">
        <v>1209</v>
      </c>
      <c r="I121" s="4" t="s">
        <v>376</v>
      </c>
    </row>
    <row r="122" spans="1:9" ht="18" customHeight="1" x14ac:dyDescent="0.2">
      <c r="A122" s="1952"/>
      <c r="B122" s="1710"/>
      <c r="C122" s="21" t="str">
        <f>F!C265</f>
        <v xml:space="preserve">&lt;5% </v>
      </c>
      <c r="D122" s="280">
        <f>F!D265</f>
        <v>0</v>
      </c>
      <c r="E122" s="388">
        <v>0</v>
      </c>
      <c r="F122" s="388">
        <f>D122*E122</f>
        <v>0</v>
      </c>
      <c r="G122" s="551"/>
      <c r="H122" s="1710"/>
    </row>
    <row r="123" spans="1:9" ht="18" customHeight="1" x14ac:dyDescent="0.2">
      <c r="A123" s="1952"/>
      <c r="B123" s="1710"/>
      <c r="C123" s="6" t="str">
        <f>F!C266</f>
        <v>5 to 30%</v>
      </c>
      <c r="D123" s="46">
        <f>F!D266</f>
        <v>0</v>
      </c>
      <c r="E123" s="388">
        <v>2</v>
      </c>
      <c r="F123" s="388">
        <f>D123*E123</f>
        <v>0</v>
      </c>
      <c r="G123" s="552"/>
      <c r="H123" s="1710"/>
    </row>
    <row r="124" spans="1:9" ht="18" customHeight="1" x14ac:dyDescent="0.2">
      <c r="A124" s="1952"/>
      <c r="B124" s="1710"/>
      <c r="C124" s="6" t="str">
        <f>F!C267</f>
        <v>30 to 60%</v>
      </c>
      <c r="D124" s="46">
        <f>F!D267</f>
        <v>0</v>
      </c>
      <c r="E124" s="388">
        <v>3</v>
      </c>
      <c r="F124" s="388">
        <f>D124*E124</f>
        <v>0</v>
      </c>
      <c r="G124" s="552"/>
      <c r="H124" s="1710"/>
    </row>
    <row r="125" spans="1:9" ht="18" customHeight="1" x14ac:dyDescent="0.2">
      <c r="A125" s="1952"/>
      <c r="B125" s="1710"/>
      <c r="C125" s="6" t="str">
        <f>F!C268</f>
        <v>60 to 90%</v>
      </c>
      <c r="D125" s="46">
        <f>F!D268</f>
        <v>0</v>
      </c>
      <c r="E125" s="388">
        <v>4</v>
      </c>
      <c r="F125" s="388">
        <f>D125*E125</f>
        <v>0</v>
      </c>
      <c r="G125" s="552"/>
      <c r="H125" s="1710"/>
    </row>
    <row r="126" spans="1:9" ht="18" customHeight="1" thickBot="1" x14ac:dyDescent="0.25">
      <c r="A126" s="1952"/>
      <c r="B126" s="1710"/>
      <c r="C126" s="470" t="str">
        <f>F!C269</f>
        <v>&gt;90%.  SKIP to F58.</v>
      </c>
      <c r="D126" s="20">
        <f>F!D269</f>
        <v>0</v>
      </c>
      <c r="E126" s="391">
        <v>6</v>
      </c>
      <c r="F126" s="391">
        <f>D126*E126</f>
        <v>0</v>
      </c>
      <c r="G126" s="563"/>
      <c r="H126" s="1710"/>
    </row>
    <row r="127" spans="1:9" ht="81" customHeight="1" thickBot="1" x14ac:dyDescent="0.25">
      <c r="A127" s="1954" t="str">
        <f>F!A270</f>
        <v>F56</v>
      </c>
      <c r="B127" s="1709" t="str">
        <f>F!B270</f>
        <v>Type of Cover in Buffer</v>
      </c>
      <c r="C127" s="231" t="str">
        <f>F!C270</f>
        <v>Within 100 ft upslope of the wetland-upland edge closest to the AA, the upland land cover that is NOT unmanaged vegetation or water is mostly (mark ONE):</v>
      </c>
      <c r="D127" s="392"/>
      <c r="E127" s="392"/>
      <c r="F127" s="410"/>
      <c r="G127" s="550">
        <f>IF((BuffAllNat=1),"",MAX(F128:F129)/MAX(E128:E129))</f>
        <v>0</v>
      </c>
      <c r="H127" s="1701" t="s">
        <v>5367</v>
      </c>
      <c r="I127" s="4" t="s">
        <v>343</v>
      </c>
    </row>
    <row r="128" spans="1:9" s="3" customFormat="1" ht="57" customHeight="1" x14ac:dyDescent="0.2">
      <c r="A128" s="1955"/>
      <c r="B128" s="1710"/>
      <c r="C128" s="21" t="str">
        <f>F!C271</f>
        <v>impervious surface, e.g., paved road, parking lot, building, exposed rock.</v>
      </c>
      <c r="D128" s="280">
        <f>F!D271</f>
        <v>0</v>
      </c>
      <c r="E128" s="388">
        <v>0</v>
      </c>
      <c r="F128" s="388">
        <f>D128*E128</f>
        <v>0</v>
      </c>
      <c r="G128" s="708"/>
      <c r="H128" s="1702"/>
    </row>
    <row r="129" spans="1:9" s="3" customFormat="1" ht="57" customHeight="1" thickBot="1" x14ac:dyDescent="0.25">
      <c r="A129" s="1956"/>
      <c r="B129" s="1711"/>
      <c r="C129" s="214" t="str">
        <f>F!C272</f>
        <v>bare or nearly bare pervious surface or managed vegetation, e.g., lawn, mostly-unvegetated clearcut, landslide, unpaved road, dike.</v>
      </c>
      <c r="D129" s="213">
        <f>F!D272</f>
        <v>0</v>
      </c>
      <c r="E129" s="389">
        <v>1</v>
      </c>
      <c r="F129" s="389">
        <f>D129*E129</f>
        <v>0</v>
      </c>
      <c r="G129" s="710"/>
      <c r="H129" s="1712"/>
    </row>
    <row r="130" spans="1:9" ht="60" customHeight="1" thickBot="1" x14ac:dyDescent="0.25">
      <c r="A130" s="146" t="str">
        <f>S!A65</f>
        <v>S5</v>
      </c>
      <c r="B130" s="773" t="str">
        <f>S!B65</f>
        <v>Altered Timing of Water Inputs</v>
      </c>
      <c r="C130" s="771" t="str">
        <f>S!E79</f>
        <v>Final Score=</v>
      </c>
      <c r="D130" s="764">
        <f>S!F79</f>
        <v>0</v>
      </c>
      <c r="E130" s="783"/>
      <c r="F130" s="401"/>
      <c r="G130" s="777" t="str">
        <f>IF((Inflows=0),"", 1-D130)</f>
        <v/>
      </c>
      <c r="H130" s="143" t="s">
        <v>5368</v>
      </c>
      <c r="I130" s="4" t="s">
        <v>349</v>
      </c>
    </row>
    <row r="131" spans="1:9" ht="45" customHeight="1" thickBot="1" x14ac:dyDescent="0.25">
      <c r="A131" s="541" t="str">
        <f>S!A80</f>
        <v>S6</v>
      </c>
      <c r="B131" s="5" t="str">
        <f>S!B80</f>
        <v>Accelerated Inputs of Contaminants and/or Salts</v>
      </c>
      <c r="C131" s="205" t="str">
        <f>S!E92</f>
        <v>Final Score=</v>
      </c>
      <c r="D131" s="765">
        <f>S!F92</f>
        <v>0</v>
      </c>
      <c r="E131" s="422"/>
      <c r="F131" s="400"/>
      <c r="G131" s="550">
        <f>1-D131</f>
        <v>1</v>
      </c>
      <c r="H131" s="49" t="s">
        <v>140</v>
      </c>
      <c r="I131" s="4" t="s">
        <v>350</v>
      </c>
    </row>
    <row r="132" spans="1:9" ht="45" customHeight="1" thickBot="1" x14ac:dyDescent="0.25">
      <c r="A132" s="41" t="str">
        <f>S!A106</f>
        <v>S8</v>
      </c>
      <c r="B132" s="611" t="str">
        <f>S!B106</f>
        <v>Excessive Sediment Loading from Contributing Area</v>
      </c>
      <c r="C132" s="21" t="str">
        <f>S!E123</f>
        <v>Final Score=</v>
      </c>
      <c r="D132" s="1277">
        <f>S!F123</f>
        <v>0</v>
      </c>
      <c r="E132" s="418"/>
      <c r="F132" s="390"/>
      <c r="G132" s="556">
        <f>1-D132</f>
        <v>1</v>
      </c>
      <c r="H132" s="110" t="s">
        <v>1702</v>
      </c>
      <c r="I132" s="4" t="s">
        <v>351</v>
      </c>
    </row>
    <row r="133" spans="1:9" ht="30" customHeight="1" thickBot="1" x14ac:dyDescent="0.25">
      <c r="A133" s="767" t="s">
        <v>290</v>
      </c>
      <c r="B133" s="774" t="s">
        <v>5449</v>
      </c>
      <c r="C133" s="475" t="s">
        <v>2606</v>
      </c>
      <c r="D133" s="474" t="s">
        <v>117</v>
      </c>
      <c r="E133" s="793" t="s">
        <v>5438</v>
      </c>
      <c r="F133" s="627" t="s">
        <v>5439</v>
      </c>
      <c r="G133" s="794" t="s">
        <v>5825</v>
      </c>
      <c r="H133" s="488" t="s">
        <v>919</v>
      </c>
    </row>
    <row r="134" spans="1:9" ht="30" customHeight="1" thickBot="1" x14ac:dyDescent="0.25">
      <c r="A134" s="1687" t="str">
        <f>OF!A4</f>
        <v>OF1</v>
      </c>
      <c r="B134" s="1687" t="str">
        <f>OF!B4</f>
        <v>Distance by Road to Nearest Population Center</v>
      </c>
      <c r="C134" s="111" t="str">
        <f>OF!C4</f>
        <v>Measured along the maintained road or boat landing that is nearest the AA, the distance to the nearest population center is:</v>
      </c>
      <c r="D134" s="392"/>
      <c r="E134" s="784"/>
      <c r="F134" s="784"/>
      <c r="G134" s="572">
        <f>MAX(F135:F139)/MAX(E135:E139)</f>
        <v>0</v>
      </c>
      <c r="H134" s="1687" t="s">
        <v>2220</v>
      </c>
    </row>
    <row r="135" spans="1:9" ht="15" customHeight="1" x14ac:dyDescent="0.2">
      <c r="A135" s="1688"/>
      <c r="B135" s="1688"/>
      <c r="C135" s="81" t="str">
        <f>OF!C5</f>
        <v>&lt;0.5 mile</v>
      </c>
      <c r="D135" s="304">
        <f>OF!D5</f>
        <v>0</v>
      </c>
      <c r="E135" s="412">
        <v>4</v>
      </c>
      <c r="F135" s="388">
        <f>D135*E135</f>
        <v>0</v>
      </c>
      <c r="G135" s="552"/>
      <c r="H135" s="1688"/>
    </row>
    <row r="136" spans="1:9" ht="15" customHeight="1" x14ac:dyDescent="0.2">
      <c r="A136" s="1688"/>
      <c r="B136" s="1688"/>
      <c r="C136" s="431" t="str">
        <f>OF!C6</f>
        <v>0.5 - 2 miles</v>
      </c>
      <c r="D136" s="305">
        <f>OF!D6</f>
        <v>0</v>
      </c>
      <c r="E136" s="412">
        <v>3</v>
      </c>
      <c r="F136" s="388">
        <f>D136*E136</f>
        <v>0</v>
      </c>
      <c r="G136" s="552"/>
      <c r="H136" s="1688"/>
    </row>
    <row r="137" spans="1:9" ht="15" customHeight="1" x14ac:dyDescent="0.2">
      <c r="A137" s="1688"/>
      <c r="B137" s="1688"/>
      <c r="C137" s="431" t="str">
        <f>OF!C7</f>
        <v>2-5 miles</v>
      </c>
      <c r="D137" s="305">
        <f>OF!D7</f>
        <v>0</v>
      </c>
      <c r="E137" s="412">
        <v>2</v>
      </c>
      <c r="F137" s="388">
        <f>D137*E137</f>
        <v>0</v>
      </c>
      <c r="G137" s="552"/>
      <c r="H137" s="1688"/>
    </row>
    <row r="138" spans="1:9" ht="15" customHeight="1" x14ac:dyDescent="0.2">
      <c r="A138" s="1688"/>
      <c r="B138" s="1688"/>
      <c r="C138" s="431" t="str">
        <f>OF!C8</f>
        <v>5-10 miles</v>
      </c>
      <c r="D138" s="305">
        <f>OF!D8</f>
        <v>0</v>
      </c>
      <c r="E138" s="412">
        <v>1</v>
      </c>
      <c r="F138" s="388">
        <f>D138*E138</f>
        <v>0</v>
      </c>
      <c r="G138" s="552"/>
      <c r="H138" s="1688"/>
    </row>
    <row r="139" spans="1:9" ht="15.6" customHeight="1" thickBot="1" x14ac:dyDescent="0.25">
      <c r="A139" s="1689"/>
      <c r="B139" s="1689"/>
      <c r="C139" s="433" t="str">
        <f>OF!C9</f>
        <v>&gt;10 miles</v>
      </c>
      <c r="D139" s="318">
        <f>OF!D9</f>
        <v>0</v>
      </c>
      <c r="E139" s="416">
        <v>0</v>
      </c>
      <c r="F139" s="389">
        <f>D139*E139</f>
        <v>0</v>
      </c>
      <c r="G139" s="553"/>
      <c r="H139" s="1689"/>
    </row>
    <row r="140" spans="1:9" ht="21" customHeight="1" thickBot="1" x14ac:dyDescent="0.25">
      <c r="A140" s="1845" t="str">
        <f>OF!A11</f>
        <v>OF3</v>
      </c>
      <c r="B140" s="1688" t="str">
        <f>OF!B11</f>
        <v>Distance to Nearest Maintained Road</v>
      </c>
      <c r="C140" s="111" t="str">
        <f>OF!C11</f>
        <v>From the center of the AA, the distance to the nearest maintained public road (dirt or paved) is:</v>
      </c>
      <c r="D140" s="392"/>
      <c r="E140" s="418"/>
      <c r="F140" s="785"/>
      <c r="G140" s="566">
        <f>MAX(F141:F146)/MAX(E141:E146)</f>
        <v>0</v>
      </c>
      <c r="H140" s="1688" t="s">
        <v>2221</v>
      </c>
    </row>
    <row r="141" spans="1:9" ht="15" customHeight="1" x14ac:dyDescent="0.2">
      <c r="A141" s="1845"/>
      <c r="B141" s="1688"/>
      <c r="C141" s="81" t="str">
        <f>OF!C12</f>
        <v>&lt;100 ft</v>
      </c>
      <c r="D141" s="304">
        <f>OF!D12</f>
        <v>0</v>
      </c>
      <c r="E141" s="412">
        <v>5</v>
      </c>
      <c r="F141" s="388">
        <f t="shared" ref="F141:F146" si="4">D141*E141</f>
        <v>0</v>
      </c>
      <c r="G141" s="552"/>
      <c r="H141" s="1688"/>
    </row>
    <row r="142" spans="1:9" ht="15" customHeight="1" x14ac:dyDescent="0.2">
      <c r="A142" s="1845"/>
      <c r="B142" s="1688"/>
      <c r="C142" s="431" t="str">
        <f>OF!C13</f>
        <v>100-500 ft</v>
      </c>
      <c r="D142" s="305">
        <f>OF!D13</f>
        <v>0</v>
      </c>
      <c r="E142" s="412">
        <v>4</v>
      </c>
      <c r="F142" s="388">
        <f t="shared" si="4"/>
        <v>0</v>
      </c>
      <c r="G142" s="552"/>
      <c r="H142" s="1688"/>
    </row>
    <row r="143" spans="1:9" ht="15" customHeight="1" x14ac:dyDescent="0.2">
      <c r="A143" s="1845"/>
      <c r="B143" s="1688"/>
      <c r="C143" s="431" t="str">
        <f>OF!C14</f>
        <v>500-1000 ft</v>
      </c>
      <c r="D143" s="305">
        <f>OF!D14</f>
        <v>0</v>
      </c>
      <c r="E143" s="412">
        <v>3</v>
      </c>
      <c r="F143" s="388">
        <f t="shared" si="4"/>
        <v>0</v>
      </c>
      <c r="G143" s="552"/>
      <c r="H143" s="1688"/>
    </row>
    <row r="144" spans="1:9" ht="15" customHeight="1" x14ac:dyDescent="0.2">
      <c r="A144" s="1845"/>
      <c r="B144" s="1688"/>
      <c r="C144" s="431" t="str">
        <f>OF!C15</f>
        <v>1000 ft - 0.5 mile</v>
      </c>
      <c r="D144" s="305">
        <f>OF!D15</f>
        <v>0</v>
      </c>
      <c r="E144" s="412">
        <v>2</v>
      </c>
      <c r="F144" s="388">
        <f t="shared" si="4"/>
        <v>0</v>
      </c>
      <c r="G144" s="552"/>
      <c r="H144" s="1688"/>
    </row>
    <row r="145" spans="1:9" ht="15" customHeight="1" x14ac:dyDescent="0.2">
      <c r="A145" s="1845"/>
      <c r="B145" s="1688"/>
      <c r="C145" s="431" t="str">
        <f>OF!C16</f>
        <v>0.5- 1 mile</v>
      </c>
      <c r="D145" s="305">
        <f>OF!D16</f>
        <v>0</v>
      </c>
      <c r="E145" s="412">
        <v>1</v>
      </c>
      <c r="F145" s="388">
        <f t="shared" si="4"/>
        <v>0</v>
      </c>
      <c r="G145" s="552"/>
      <c r="H145" s="1688"/>
    </row>
    <row r="146" spans="1:9" ht="15.6" customHeight="1" thickBot="1" x14ac:dyDescent="0.25">
      <c r="A146" s="1845"/>
      <c r="B146" s="1688"/>
      <c r="C146" s="432" t="str">
        <f>OF!C17</f>
        <v>&gt;1 mile</v>
      </c>
      <c r="D146" s="306">
        <f>OF!D17</f>
        <v>0</v>
      </c>
      <c r="E146" s="414">
        <v>0</v>
      </c>
      <c r="F146" s="391">
        <f t="shared" si="4"/>
        <v>0</v>
      </c>
      <c r="G146" s="563"/>
      <c r="H146" s="1688"/>
    </row>
    <row r="147" spans="1:9" ht="57" customHeight="1" thickBot="1" x14ac:dyDescent="0.25">
      <c r="A147" s="217" t="str">
        <f>OF!A182</f>
        <v>OF37</v>
      </c>
      <c r="B147" s="5" t="str">
        <f>OF!B182</f>
        <v>Salmonid Watershed</v>
      </c>
      <c r="C147" s="222" t="str">
        <f>OF!C182</f>
        <v xml:space="preserve">Refer to map in the Manual (Appendix A, Fig. A-1). This AA's watershed is rated:  3=Very High (100%), 2= High (50-99%), 1= Moderate (10-49%), 0= all other. </v>
      </c>
      <c r="D147" s="314">
        <f>OF!D182</f>
        <v>0</v>
      </c>
      <c r="E147" s="422"/>
      <c r="F147" s="411"/>
      <c r="G147" s="548">
        <f>D147/3</f>
        <v>0</v>
      </c>
      <c r="H147" s="5" t="s">
        <v>1178</v>
      </c>
      <c r="I147" s="4" t="s">
        <v>346</v>
      </c>
    </row>
    <row r="148" spans="1:9" ht="21" customHeight="1" thickBot="1" x14ac:dyDescent="0.25">
      <c r="A148" s="1845" t="str">
        <f>OF!A183</f>
        <v>OF38</v>
      </c>
      <c r="B148" s="1688" t="str">
        <f>OF!B183</f>
        <v>Subsistence Focal Areas</v>
      </c>
      <c r="C148" s="231" t="str">
        <f>OF!C183</f>
        <v>The AA or waters that directly adjoin it:</v>
      </c>
      <c r="D148" s="392"/>
      <c r="E148" s="418"/>
      <c r="F148" s="387"/>
      <c r="G148" s="566">
        <f>MAX(F149:F151)/MAX(E149:E151)</f>
        <v>0</v>
      </c>
      <c r="H148" s="1688" t="s">
        <v>110</v>
      </c>
      <c r="I148" s="4" t="s">
        <v>2030</v>
      </c>
    </row>
    <row r="149" spans="1:9" ht="27" customHeight="1" x14ac:dyDescent="0.2">
      <c r="A149" s="1845"/>
      <c r="B149" s="1688"/>
      <c r="C149" s="3" t="str">
        <f>OF!C184</f>
        <v>is in Juneau or Ketchikan, and thus is a designated Non-subsistence Use Area (see WESPAK-SE Wetlands Module&gt; ADFG Nonsubsistence Use Areas for exact boundaries)</v>
      </c>
      <c r="D149" s="282">
        <f>OF!D184</f>
        <v>0</v>
      </c>
      <c r="E149" s="412">
        <v>0</v>
      </c>
      <c r="F149" s="388">
        <f>D149*E149</f>
        <v>0</v>
      </c>
      <c r="G149" s="552"/>
      <c r="H149" s="1688"/>
    </row>
    <row r="150" spans="1:9" ht="27" customHeight="1" x14ac:dyDescent="0.2">
      <c r="A150" s="1845"/>
      <c r="B150" s="1688"/>
      <c r="C150" s="701" t="str">
        <f>OF!C185</f>
        <v>is accessible to salmon AND is a major salmon subsistence harvest area according to (a) Table B-6 of the manual, OR (b) Figures A2a-c of the manual (shown as a point on the maps)</v>
      </c>
      <c r="D150" s="306">
        <f>OF!D185</f>
        <v>0</v>
      </c>
      <c r="E150" s="412">
        <v>1</v>
      </c>
      <c r="F150" s="388">
        <f>D150*E150</f>
        <v>0</v>
      </c>
      <c r="G150" s="552"/>
      <c r="H150" s="1688"/>
    </row>
    <row r="151" spans="1:9" ht="15.6" customHeight="1" thickBot="1" x14ac:dyDescent="0.25">
      <c r="A151" s="1845"/>
      <c r="B151" s="1688"/>
      <c r="C151" s="701" t="str">
        <f>OF!C186</f>
        <v>neither of the above</v>
      </c>
      <c r="D151" s="306">
        <f>OF!D186</f>
        <v>0</v>
      </c>
      <c r="E151" s="414">
        <v>0</v>
      </c>
      <c r="F151" s="391">
        <f>D151*E151</f>
        <v>0</v>
      </c>
      <c r="G151" s="563"/>
      <c r="H151" s="1688"/>
    </row>
    <row r="152" spans="1:9" ht="60" customHeight="1" thickBot="1" x14ac:dyDescent="0.25">
      <c r="A152" s="1868" t="str">
        <f>F!A300</f>
        <v>F63</v>
      </c>
      <c r="B152" s="1687" t="str">
        <f>F!B300</f>
        <v>Core Area 1</v>
      </c>
      <c r="C152" s="231"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52" s="392"/>
      <c r="E152" s="419"/>
      <c r="F152" s="392"/>
      <c r="G152" s="572">
        <f>MAX(F153:F158)/MAX(E153:E158)</f>
        <v>0</v>
      </c>
      <c r="H152" s="1687" t="s">
        <v>2222</v>
      </c>
      <c r="I152" s="4" t="s">
        <v>2031</v>
      </c>
    </row>
    <row r="153" spans="1:9" ht="15" customHeight="1" x14ac:dyDescent="0.2">
      <c r="A153" s="1869"/>
      <c r="B153" s="1688"/>
      <c r="C153" s="700" t="str">
        <f>F!C301</f>
        <v>&lt;5% and no inhabited building is within 300 ft of the AA</v>
      </c>
      <c r="D153" s="304">
        <f>F!D301</f>
        <v>0</v>
      </c>
      <c r="E153" s="412">
        <v>3</v>
      </c>
      <c r="F153" s="388">
        <f t="shared" ref="F153:F158" si="5">D153*E153</f>
        <v>0</v>
      </c>
      <c r="G153" s="552"/>
      <c r="H153" s="1688"/>
    </row>
    <row r="154" spans="1:9" ht="15" customHeight="1" x14ac:dyDescent="0.2">
      <c r="A154" s="1869"/>
      <c r="B154" s="1688"/>
      <c r="C154" s="434" t="str">
        <f>F!C302</f>
        <v>&lt;5% and inhabited building is within 300 ft of the AA</v>
      </c>
      <c r="D154" s="305">
        <f>F!D302</f>
        <v>0</v>
      </c>
      <c r="E154" s="412">
        <v>3</v>
      </c>
      <c r="F154" s="388">
        <f t="shared" si="5"/>
        <v>0</v>
      </c>
      <c r="G154" s="552"/>
      <c r="H154" s="1688"/>
    </row>
    <row r="155" spans="1:9" ht="15" customHeight="1" x14ac:dyDescent="0.2">
      <c r="A155" s="1869"/>
      <c r="B155" s="1688"/>
      <c r="C155" s="434" t="str">
        <f>F!C303</f>
        <v>5-50% and no inhabited building is within 300 ft of the AA</v>
      </c>
      <c r="D155" s="305">
        <f>F!D303</f>
        <v>0</v>
      </c>
      <c r="E155" s="412">
        <v>2</v>
      </c>
      <c r="F155" s="388">
        <f t="shared" si="5"/>
        <v>0</v>
      </c>
      <c r="G155" s="552"/>
      <c r="H155" s="1688"/>
    </row>
    <row r="156" spans="1:9" ht="15" customHeight="1" x14ac:dyDescent="0.2">
      <c r="A156" s="1869"/>
      <c r="B156" s="1688"/>
      <c r="C156" s="434" t="str">
        <f>F!C304</f>
        <v>5-50% and inhabited building is within 300 ft of the AA</v>
      </c>
      <c r="D156" s="305">
        <f>F!D304</f>
        <v>0</v>
      </c>
      <c r="E156" s="412">
        <v>2</v>
      </c>
      <c r="F156" s="388">
        <f t="shared" si="5"/>
        <v>0</v>
      </c>
      <c r="G156" s="552"/>
      <c r="H156" s="1688"/>
    </row>
    <row r="157" spans="1:9" ht="15" customHeight="1" x14ac:dyDescent="0.2">
      <c r="A157" s="1869"/>
      <c r="B157" s="1688"/>
      <c r="C157" s="434" t="str">
        <f>F!C305</f>
        <v>50-95%</v>
      </c>
      <c r="D157" s="305">
        <f>F!D305</f>
        <v>0</v>
      </c>
      <c r="E157" s="412">
        <v>1</v>
      </c>
      <c r="F157" s="388">
        <f t="shared" si="5"/>
        <v>0</v>
      </c>
      <c r="G157" s="552"/>
      <c r="H157" s="1688"/>
    </row>
    <row r="158" spans="1:9" ht="15.6" customHeight="1" thickBot="1" x14ac:dyDescent="0.25">
      <c r="A158" s="1870"/>
      <c r="B158" s="1689"/>
      <c r="C158" s="769" t="str">
        <f>F!C306</f>
        <v>&gt;95% of the AA</v>
      </c>
      <c r="D158" s="318">
        <f>F!D306</f>
        <v>0</v>
      </c>
      <c r="E158" s="416">
        <v>0</v>
      </c>
      <c r="F158" s="389">
        <f t="shared" si="5"/>
        <v>0</v>
      </c>
      <c r="G158" s="553"/>
      <c r="H158" s="1689"/>
    </row>
    <row r="159" spans="1:9" ht="30" customHeight="1" thickBot="1" x14ac:dyDescent="0.25">
      <c r="A159" s="42" t="str">
        <f>F!A314</f>
        <v>F67</v>
      </c>
      <c r="B159" s="109" t="str">
        <f>F!B314</f>
        <v>Consumptive Uses (Provisioning Services)</v>
      </c>
      <c r="C159" s="3" t="str">
        <f>F!C319</f>
        <v>Fishing</v>
      </c>
      <c r="D159" s="258">
        <f>F!D319</f>
        <v>0</v>
      </c>
      <c r="E159" s="420"/>
      <c r="F159" s="783"/>
      <c r="G159" s="787"/>
      <c r="H159" s="143" t="s">
        <v>108</v>
      </c>
      <c r="I159" s="4" t="s">
        <v>352</v>
      </c>
    </row>
    <row r="160" spans="1:9" ht="40.5" customHeight="1" thickBot="1" x14ac:dyDescent="0.25">
      <c r="A160" s="541"/>
      <c r="B160" s="591" t="str">
        <f>WBF!C193</f>
        <v>Function Score for Feeding Waterbird Habitat</v>
      </c>
      <c r="C160" s="205"/>
      <c r="D160" s="422"/>
      <c r="E160" s="422"/>
      <c r="F160" s="788"/>
      <c r="G160" s="789">
        <f>WBF!G193/10</f>
        <v>0</v>
      </c>
      <c r="H160" s="49" t="s">
        <v>1097</v>
      </c>
      <c r="I160" s="4" t="s">
        <v>353</v>
      </c>
    </row>
    <row r="161" spans="1:8" ht="21" customHeight="1" thickBot="1" x14ac:dyDescent="0.25">
      <c r="A161" s="1889"/>
      <c r="B161" s="1889"/>
      <c r="C161" s="1889"/>
      <c r="D161" s="1889"/>
      <c r="E161" s="1889"/>
      <c r="F161" s="1889"/>
      <c r="G161" s="1889"/>
      <c r="H161" s="1889"/>
    </row>
    <row r="162" spans="1:8" ht="21" customHeight="1" x14ac:dyDescent="0.2">
      <c r="A162" s="1892"/>
      <c r="B162" s="1892"/>
      <c r="C162" s="1904"/>
      <c r="D162" s="2021" t="s">
        <v>1249</v>
      </c>
      <c r="E162" s="2022"/>
      <c r="F162" s="2022"/>
      <c r="G162" s="790">
        <f>AVERAGE(SatPct9, Depth9,MAX(SeasWpct9, PermWpct9), Lake9,Interspers9,ThruFlo9)</f>
        <v>0</v>
      </c>
      <c r="H162" s="228" t="s">
        <v>2026</v>
      </c>
    </row>
    <row r="163" spans="1:8" ht="21" customHeight="1" x14ac:dyDescent="0.2">
      <c r="A163" s="1892"/>
      <c r="B163" s="1892"/>
      <c r="C163" s="1904"/>
      <c r="D163" s="2038" t="s">
        <v>330</v>
      </c>
      <c r="E163" s="2039"/>
      <c r="F163" s="2039"/>
      <c r="G163" s="791">
        <f>IF((AllSat=1),"", AVERAGE(Beaver9,AVERAGE(Wettype9,WoodAbove9, AqPlantCov9, Shade9, ISOwet9)))</f>
        <v>0</v>
      </c>
      <c r="H163" s="216" t="s">
        <v>2290</v>
      </c>
    </row>
    <row r="164" spans="1:8" ht="21" customHeight="1" x14ac:dyDescent="0.2">
      <c r="A164" s="1892"/>
      <c r="B164" s="1892"/>
      <c r="C164" s="1904"/>
      <c r="D164" s="2038" t="s">
        <v>372</v>
      </c>
      <c r="E164" s="2039"/>
      <c r="F164" s="2039"/>
      <c r="G164" s="791">
        <f>AVERAGE(GroundW9, TidalProx9, Elev9,Wettype9,Nfix9,Karst9a)</f>
        <v>0</v>
      </c>
      <c r="H164" s="216" t="s">
        <v>2024</v>
      </c>
    </row>
    <row r="165" spans="1:8" ht="21" customHeight="1" x14ac:dyDescent="0.2">
      <c r="A165" s="1892"/>
      <c r="B165" s="1892"/>
      <c r="C165" s="1904"/>
      <c r="D165" s="2038" t="s">
        <v>327</v>
      </c>
      <c r="E165" s="2039"/>
      <c r="F165" s="2039"/>
      <c r="G165" s="791">
        <f>AVERAGE(BuffPctNat9,BuffLU9, ImpervCA9)</f>
        <v>0</v>
      </c>
      <c r="H165" s="216" t="s">
        <v>1107</v>
      </c>
    </row>
    <row r="166" spans="1:8" ht="21" customHeight="1" thickBot="1" x14ac:dyDescent="0.25">
      <c r="A166" s="1892"/>
      <c r="B166" s="1892"/>
      <c r="C166" s="1904"/>
      <c r="D166" s="2040" t="s">
        <v>873</v>
      </c>
      <c r="E166" s="2041"/>
      <c r="F166" s="2041"/>
      <c r="G166" s="792">
        <f>AVERAGE(NutrIn9,SedIn9,AltTime9,Glacier9,ToxData9)</f>
        <v>0.66666666666666663</v>
      </c>
      <c r="H166" s="229" t="s">
        <v>1082</v>
      </c>
    </row>
    <row r="167" spans="1:8" ht="21" customHeight="1" thickBot="1" x14ac:dyDescent="0.25">
      <c r="A167" s="1892"/>
      <c r="B167" s="1892"/>
      <c r="C167" s="2042"/>
      <c r="D167" s="2042"/>
      <c r="E167" s="2042"/>
      <c r="F167" s="2042"/>
      <c r="G167" s="2042"/>
      <c r="H167" s="2042"/>
    </row>
    <row r="168" spans="1:8" ht="45" customHeight="1" thickBot="1" x14ac:dyDescent="0.25">
      <c r="A168" s="1892"/>
      <c r="B168" s="1892"/>
      <c r="C168" s="1874" t="s">
        <v>278</v>
      </c>
      <c r="D168" s="1875"/>
      <c r="E168" s="1876"/>
      <c r="F168" s="546" t="s">
        <v>141</v>
      </c>
      <c r="G168" s="745">
        <f>IF((Access9=0),0, IF((AllSat+AllSat1&gt;0),0, 10*AVERAGE(Access9,OutDura9)*AVERAGE(Hydropd9,Struc9,Produc9,Lscape9,Stress9)))</f>
        <v>0</v>
      </c>
      <c r="H168" s="49" t="s">
        <v>2611</v>
      </c>
    </row>
    <row r="169" spans="1:8" ht="30" customHeight="1" thickBot="1" x14ac:dyDescent="0.25">
      <c r="A169" s="1892"/>
      <c r="B169" s="1892"/>
      <c r="C169" s="1874" t="s">
        <v>279</v>
      </c>
      <c r="D169" s="1875"/>
      <c r="E169" s="1876"/>
      <c r="F169" s="546" t="s">
        <v>142</v>
      </c>
      <c r="G169" s="548">
        <f>10*(MAX(Salmoshed9v,WbirdFeed,AVERAGE(Fishing9, Core9, PopCtr9, DistRd9), Subsist9))</f>
        <v>0</v>
      </c>
      <c r="H169" s="49" t="s">
        <v>2029</v>
      </c>
    </row>
    <row r="170" spans="1:8" ht="21" customHeight="1" thickBot="1" x14ac:dyDescent="0.25">
      <c r="A170" s="1862"/>
      <c r="B170" s="1862"/>
      <c r="C170" s="1862"/>
      <c r="D170" s="1862"/>
      <c r="E170" s="1862"/>
      <c r="F170" s="1862"/>
      <c r="G170" s="1862"/>
      <c r="H170" s="3"/>
    </row>
    <row r="171" spans="1:8" ht="21" customHeight="1" thickBot="1" x14ac:dyDescent="0.25">
      <c r="A171" s="1862"/>
      <c r="B171" s="1862"/>
      <c r="C171" s="1862"/>
      <c r="D171" s="1862"/>
      <c r="E171" s="1862"/>
      <c r="F171" s="1862"/>
      <c r="G171" s="1862"/>
      <c r="H171" s="80" t="s">
        <v>1345</v>
      </c>
    </row>
    <row r="172" spans="1:8" ht="42" customHeight="1" x14ac:dyDescent="0.2">
      <c r="A172" s="1862"/>
      <c r="B172" s="1862"/>
      <c r="C172" s="1862"/>
      <c r="D172" s="1862"/>
      <c r="E172" s="1862"/>
      <c r="F172" s="1862"/>
      <c r="G172" s="1862"/>
      <c r="H172" s="145" t="s">
        <v>1373</v>
      </c>
    </row>
    <row r="173" spans="1:8" ht="27" customHeight="1" x14ac:dyDescent="0.2">
      <c r="A173" s="1862"/>
      <c r="B173" s="1862"/>
      <c r="C173" s="1862"/>
      <c r="D173" s="1862"/>
      <c r="E173" s="1862"/>
      <c r="F173" s="1862"/>
      <c r="G173" s="1862"/>
      <c r="H173" s="116" t="s">
        <v>1523</v>
      </c>
    </row>
    <row r="174" spans="1:8" ht="42" customHeight="1" x14ac:dyDescent="0.2">
      <c r="A174" s="1862"/>
      <c r="B174" s="1862"/>
      <c r="C174" s="1862"/>
      <c r="D174" s="1862"/>
      <c r="E174" s="1862"/>
      <c r="F174" s="1862"/>
      <c r="G174" s="1862"/>
      <c r="H174" s="116" t="s">
        <v>1524</v>
      </c>
    </row>
    <row r="175" spans="1:8" ht="27" customHeight="1" x14ac:dyDescent="0.2">
      <c r="A175" s="1862"/>
      <c r="B175" s="1862"/>
      <c r="C175" s="1862"/>
      <c r="D175" s="1862"/>
      <c r="E175" s="1862"/>
      <c r="F175" s="1862"/>
      <c r="G175" s="1862"/>
      <c r="H175" s="116" t="s">
        <v>1525</v>
      </c>
    </row>
    <row r="176" spans="1:8" ht="42" customHeight="1" x14ac:dyDescent="0.2">
      <c r="A176" s="1862"/>
      <c r="B176" s="1862"/>
      <c r="C176" s="1862"/>
      <c r="D176" s="1862"/>
      <c r="E176" s="1862"/>
      <c r="F176" s="1862"/>
      <c r="G176" s="1862"/>
      <c r="H176" s="116" t="s">
        <v>1526</v>
      </c>
    </row>
    <row r="177" spans="1:8" ht="27" customHeight="1" x14ac:dyDescent="0.2">
      <c r="A177" s="1862"/>
      <c r="B177" s="1862"/>
      <c r="C177" s="1862"/>
      <c r="D177" s="1862"/>
      <c r="E177" s="1862"/>
      <c r="F177" s="1862"/>
      <c r="G177" s="1862"/>
      <c r="H177" s="116" t="s">
        <v>1569</v>
      </c>
    </row>
    <row r="178" spans="1:8" ht="42" customHeight="1" x14ac:dyDescent="0.2">
      <c r="A178" s="1862"/>
      <c r="B178" s="1862"/>
      <c r="C178" s="1862"/>
      <c r="D178" s="1862"/>
      <c r="E178" s="1862"/>
      <c r="F178" s="1862"/>
      <c r="G178" s="1862"/>
      <c r="H178" s="116" t="s">
        <v>1528</v>
      </c>
    </row>
    <row r="179" spans="1:8" ht="84" customHeight="1" x14ac:dyDescent="0.2">
      <c r="A179" s="1862"/>
      <c r="B179" s="1862"/>
      <c r="C179" s="1862"/>
      <c r="D179" s="1862"/>
      <c r="E179" s="1862"/>
      <c r="F179" s="1862"/>
      <c r="G179" s="1862"/>
      <c r="H179" s="116" t="s">
        <v>5453</v>
      </c>
    </row>
    <row r="180" spans="1:8" ht="42" customHeight="1" x14ac:dyDescent="0.2">
      <c r="A180" s="1862"/>
      <c r="B180" s="1862"/>
      <c r="C180" s="1862"/>
      <c r="D180" s="1862"/>
      <c r="E180" s="1862"/>
      <c r="F180" s="1862"/>
      <c r="G180" s="1862"/>
      <c r="H180" s="116" t="s">
        <v>1529</v>
      </c>
    </row>
    <row r="181" spans="1:8" ht="27" customHeight="1" x14ac:dyDescent="0.2">
      <c r="A181" s="1862"/>
      <c r="B181" s="1862"/>
      <c r="C181" s="1862"/>
      <c r="D181" s="1862"/>
      <c r="E181" s="1862"/>
      <c r="F181" s="1862"/>
      <c r="G181" s="1862"/>
      <c r="H181" s="116" t="s">
        <v>1530</v>
      </c>
    </row>
    <row r="182" spans="1:8" ht="27" customHeight="1" x14ac:dyDescent="0.2">
      <c r="A182" s="1862"/>
      <c r="B182" s="1862"/>
      <c r="C182" s="1862"/>
      <c r="D182" s="1862"/>
      <c r="E182" s="1862"/>
      <c r="F182" s="1862"/>
      <c r="G182" s="1862"/>
      <c r="H182" s="116" t="s">
        <v>1531</v>
      </c>
    </row>
    <row r="183" spans="1:8" ht="42" customHeight="1" x14ac:dyDescent="0.2">
      <c r="A183" s="1862"/>
      <c r="B183" s="1862"/>
      <c r="C183" s="1862"/>
      <c r="D183" s="1862"/>
      <c r="E183" s="1862"/>
      <c r="F183" s="1862"/>
      <c r="G183" s="1862"/>
      <c r="H183" s="116" t="s">
        <v>1532</v>
      </c>
    </row>
    <row r="184" spans="1:8" ht="42" customHeight="1" x14ac:dyDescent="0.2">
      <c r="A184" s="1862"/>
      <c r="B184" s="1862"/>
      <c r="C184" s="1862"/>
      <c r="D184" s="1862"/>
      <c r="E184" s="1862"/>
      <c r="F184" s="1862"/>
      <c r="G184" s="1862"/>
      <c r="H184" s="116" t="s">
        <v>1533</v>
      </c>
    </row>
    <row r="185" spans="1:8" ht="42" customHeight="1" x14ac:dyDescent="0.2">
      <c r="A185" s="1862"/>
      <c r="B185" s="1862"/>
      <c r="C185" s="1862"/>
      <c r="D185" s="1862"/>
      <c r="E185" s="1862"/>
      <c r="F185" s="1862"/>
      <c r="G185" s="1862"/>
      <c r="H185" s="116" t="s">
        <v>1534</v>
      </c>
    </row>
    <row r="186" spans="1:8" ht="27" customHeight="1" x14ac:dyDescent="0.2">
      <c r="A186" s="1862"/>
      <c r="B186" s="1862"/>
      <c r="C186" s="1862"/>
      <c r="D186" s="1862"/>
      <c r="E186" s="1862"/>
      <c r="F186" s="1862"/>
      <c r="G186" s="1862"/>
      <c r="H186" s="116" t="s">
        <v>5452</v>
      </c>
    </row>
    <row r="187" spans="1:8" ht="27" customHeight="1" x14ac:dyDescent="0.2">
      <c r="A187" s="1862"/>
      <c r="B187" s="1862"/>
      <c r="C187" s="1862"/>
      <c r="D187" s="1862"/>
      <c r="E187" s="1862"/>
      <c r="F187" s="1862"/>
      <c r="G187" s="1862"/>
      <c r="H187" s="116" t="s">
        <v>1535</v>
      </c>
    </row>
    <row r="188" spans="1:8" ht="42" customHeight="1" x14ac:dyDescent="0.2">
      <c r="A188" s="1862"/>
      <c r="B188" s="1862"/>
      <c r="C188" s="1862"/>
      <c r="D188" s="1862"/>
      <c r="E188" s="1862"/>
      <c r="F188" s="1862"/>
      <c r="G188" s="1862"/>
      <c r="H188" s="116" t="s">
        <v>1536</v>
      </c>
    </row>
    <row r="189" spans="1:8" ht="42" customHeight="1" x14ac:dyDescent="0.2">
      <c r="A189" s="1862"/>
      <c r="B189" s="1862"/>
      <c r="C189" s="1862"/>
      <c r="D189" s="1862"/>
      <c r="E189" s="1862"/>
      <c r="F189" s="1862"/>
      <c r="G189" s="1862"/>
      <c r="H189" s="116" t="s">
        <v>1537</v>
      </c>
    </row>
    <row r="190" spans="1:8" ht="27" customHeight="1" x14ac:dyDescent="0.2">
      <c r="A190" s="1862"/>
      <c r="B190" s="1862"/>
      <c r="C190" s="1862"/>
      <c r="D190" s="1862"/>
      <c r="E190" s="1862"/>
      <c r="F190" s="1862"/>
      <c r="G190" s="1862"/>
      <c r="H190" s="116" t="s">
        <v>1538</v>
      </c>
    </row>
    <row r="191" spans="1:8" ht="42" customHeight="1" x14ac:dyDescent="0.2">
      <c r="A191" s="1862"/>
      <c r="B191" s="1862"/>
      <c r="C191" s="1862"/>
      <c r="D191" s="1862"/>
      <c r="E191" s="1862"/>
      <c r="F191" s="1862"/>
      <c r="G191" s="1862"/>
      <c r="H191" s="116" t="s">
        <v>1539</v>
      </c>
    </row>
    <row r="192" spans="1:8" ht="42" customHeight="1" x14ac:dyDescent="0.2">
      <c r="A192" s="1862"/>
      <c r="B192" s="1862"/>
      <c r="C192" s="1862"/>
      <c r="D192" s="1862"/>
      <c r="E192" s="1862"/>
      <c r="F192" s="1862"/>
      <c r="G192" s="1862"/>
      <c r="H192" s="116" t="s">
        <v>1540</v>
      </c>
    </row>
    <row r="193" spans="1:8" ht="27" customHeight="1" x14ac:dyDescent="0.2">
      <c r="A193" s="1862"/>
      <c r="B193" s="1862"/>
      <c r="C193" s="1862"/>
      <c r="D193" s="1862"/>
      <c r="E193" s="1862"/>
      <c r="F193" s="1862"/>
      <c r="G193" s="1862"/>
      <c r="H193" s="116" t="s">
        <v>1541</v>
      </c>
    </row>
    <row r="194" spans="1:8" ht="27" customHeight="1" x14ac:dyDescent="0.2">
      <c r="A194" s="1862"/>
      <c r="B194" s="1862"/>
      <c r="C194" s="1862"/>
      <c r="D194" s="1862"/>
      <c r="E194" s="1862"/>
      <c r="F194" s="1862"/>
      <c r="G194" s="1862"/>
      <c r="H194" s="116" t="s">
        <v>1542</v>
      </c>
    </row>
    <row r="195" spans="1:8" ht="27" customHeight="1" x14ac:dyDescent="0.2">
      <c r="A195" s="1862"/>
      <c r="B195" s="1862"/>
      <c r="C195" s="1862"/>
      <c r="D195" s="1862"/>
      <c r="E195" s="1862"/>
      <c r="F195" s="1862"/>
      <c r="G195" s="1862"/>
      <c r="H195" s="116" t="s">
        <v>1543</v>
      </c>
    </row>
    <row r="196" spans="1:8" ht="42" customHeight="1" x14ac:dyDescent="0.2">
      <c r="A196" s="1862"/>
      <c r="B196" s="1862"/>
      <c r="C196" s="1862"/>
      <c r="D196" s="1862"/>
      <c r="E196" s="1862"/>
      <c r="F196" s="1862"/>
      <c r="G196" s="1862"/>
      <c r="H196" s="116" t="s">
        <v>1544</v>
      </c>
    </row>
    <row r="197" spans="1:8" ht="42" customHeight="1" x14ac:dyDescent="0.2">
      <c r="A197" s="1862"/>
      <c r="B197" s="1862"/>
      <c r="C197" s="1862"/>
      <c r="D197" s="1862"/>
      <c r="E197" s="1862"/>
      <c r="F197" s="1862"/>
      <c r="G197" s="1862"/>
      <c r="H197" s="116" t="s">
        <v>1545</v>
      </c>
    </row>
    <row r="198" spans="1:8" ht="27" customHeight="1" x14ac:dyDescent="0.2">
      <c r="A198" s="1862"/>
      <c r="B198" s="1862"/>
      <c r="C198" s="1862"/>
      <c r="D198" s="1862"/>
      <c r="E198" s="1862"/>
      <c r="F198" s="1862"/>
      <c r="G198" s="1862"/>
      <c r="H198" s="116" t="s">
        <v>1406</v>
      </c>
    </row>
    <row r="199" spans="1:8" ht="42" customHeight="1" x14ac:dyDescent="0.2">
      <c r="A199" s="1862"/>
      <c r="B199" s="1862"/>
      <c r="C199" s="1862"/>
      <c r="D199" s="1862"/>
      <c r="E199" s="1862"/>
      <c r="F199" s="1862"/>
      <c r="G199" s="1862"/>
      <c r="H199" s="116" t="s">
        <v>1546</v>
      </c>
    </row>
    <row r="200" spans="1:8" ht="27" customHeight="1" x14ac:dyDescent="0.2">
      <c r="A200" s="1862"/>
      <c r="B200" s="1862"/>
      <c r="C200" s="1862"/>
      <c r="D200" s="1862"/>
      <c r="E200" s="1862"/>
      <c r="F200" s="1862"/>
      <c r="G200" s="1862"/>
      <c r="H200" s="116" t="s">
        <v>1547</v>
      </c>
    </row>
    <row r="201" spans="1:8" ht="42" customHeight="1" x14ac:dyDescent="0.2">
      <c r="A201" s="1862"/>
      <c r="B201" s="1862"/>
      <c r="C201" s="1862"/>
      <c r="D201" s="1862"/>
      <c r="E201" s="1862"/>
      <c r="F201" s="1862"/>
      <c r="G201" s="1862"/>
      <c r="H201" s="116" t="s">
        <v>1548</v>
      </c>
    </row>
    <row r="202" spans="1:8" ht="27" customHeight="1" x14ac:dyDescent="0.2">
      <c r="A202" s="1862"/>
      <c r="B202" s="1862"/>
      <c r="C202" s="1862"/>
      <c r="D202" s="1862"/>
      <c r="E202" s="1862"/>
      <c r="F202" s="1862"/>
      <c r="G202" s="1862"/>
      <c r="H202" s="116" t="s">
        <v>1549</v>
      </c>
    </row>
    <row r="203" spans="1:8" ht="42" customHeight="1" x14ac:dyDescent="0.2">
      <c r="A203" s="1862"/>
      <c r="B203" s="1862"/>
      <c r="C203" s="1862"/>
      <c r="D203" s="1862"/>
      <c r="E203" s="1862"/>
      <c r="F203" s="1862"/>
      <c r="G203" s="1862"/>
      <c r="H203" s="116" t="s">
        <v>1550</v>
      </c>
    </row>
    <row r="204" spans="1:8" ht="27" customHeight="1" x14ac:dyDescent="0.2">
      <c r="A204" s="1862"/>
      <c r="B204" s="1862"/>
      <c r="C204" s="1862"/>
      <c r="D204" s="1862"/>
      <c r="E204" s="1862"/>
      <c r="F204" s="1862"/>
      <c r="G204" s="1862"/>
      <c r="H204" s="116" t="s">
        <v>1385</v>
      </c>
    </row>
    <row r="205" spans="1:8" ht="42" customHeight="1" x14ac:dyDescent="0.2">
      <c r="A205" s="1862"/>
      <c r="B205" s="1862"/>
      <c r="C205" s="1862"/>
      <c r="D205" s="1862"/>
      <c r="E205" s="1862"/>
      <c r="F205" s="1862"/>
      <c r="G205" s="1862"/>
      <c r="H205" s="116" t="s">
        <v>1551</v>
      </c>
    </row>
    <row r="206" spans="1:8" ht="42" customHeight="1" x14ac:dyDescent="0.2">
      <c r="A206" s="1862"/>
      <c r="B206" s="1862"/>
      <c r="C206" s="1862"/>
      <c r="D206" s="1862"/>
      <c r="E206" s="1862"/>
      <c r="F206" s="1862"/>
      <c r="G206" s="1862"/>
      <c r="H206" s="116" t="s">
        <v>1552</v>
      </c>
    </row>
    <row r="207" spans="1:8" ht="27" customHeight="1" x14ac:dyDescent="0.2">
      <c r="A207" s="1862"/>
      <c r="B207" s="1862"/>
      <c r="C207" s="1862"/>
      <c r="D207" s="1862"/>
      <c r="E207" s="1862"/>
      <c r="F207" s="1862"/>
      <c r="G207" s="1862"/>
      <c r="H207" s="116" t="s">
        <v>1553</v>
      </c>
    </row>
    <row r="208" spans="1:8" ht="27" customHeight="1" x14ac:dyDescent="0.2">
      <c r="A208" s="1862"/>
      <c r="B208" s="1862"/>
      <c r="C208" s="1862"/>
      <c r="D208" s="1862"/>
      <c r="E208" s="1862"/>
      <c r="F208" s="1862"/>
      <c r="G208" s="1862"/>
      <c r="H208" s="116" t="s">
        <v>1554</v>
      </c>
    </row>
    <row r="209" spans="1:8" ht="27" customHeight="1" x14ac:dyDescent="0.2">
      <c r="A209" s="1862"/>
      <c r="B209" s="1862"/>
      <c r="C209" s="1862"/>
      <c r="D209" s="1862"/>
      <c r="E209" s="1862"/>
      <c r="F209" s="1862"/>
      <c r="G209" s="1862"/>
      <c r="H209" s="116" t="s">
        <v>1555</v>
      </c>
    </row>
    <row r="210" spans="1:8" ht="42" customHeight="1" x14ac:dyDescent="0.2">
      <c r="A210" s="1862"/>
      <c r="B210" s="1862"/>
      <c r="C210" s="1862"/>
      <c r="D210" s="1862"/>
      <c r="E210" s="1862"/>
      <c r="F210" s="1862"/>
      <c r="G210" s="1862"/>
      <c r="H210" s="116" t="s">
        <v>1556</v>
      </c>
    </row>
    <row r="211" spans="1:8" ht="42" customHeight="1" x14ac:dyDescent="0.2">
      <c r="A211" s="1862"/>
      <c r="B211" s="1862"/>
      <c r="C211" s="1862"/>
      <c r="D211" s="1862"/>
      <c r="E211" s="1862"/>
      <c r="F211" s="1862"/>
      <c r="G211" s="1862"/>
      <c r="H211" s="116" t="s">
        <v>1557</v>
      </c>
    </row>
    <row r="212" spans="1:8" ht="42" customHeight="1" x14ac:dyDescent="0.2">
      <c r="A212" s="1862"/>
      <c r="B212" s="1862"/>
      <c r="C212" s="1862"/>
      <c r="D212" s="1862"/>
      <c r="E212" s="1862"/>
      <c r="F212" s="1862"/>
      <c r="G212" s="1862"/>
      <c r="H212" s="116" t="s">
        <v>5451</v>
      </c>
    </row>
    <row r="213" spans="1:8" ht="27" customHeight="1" x14ac:dyDescent="0.2">
      <c r="A213" s="1862"/>
      <c r="B213" s="1862"/>
      <c r="C213" s="1862"/>
      <c r="D213" s="1862"/>
      <c r="E213" s="1862"/>
      <c r="F213" s="1862"/>
      <c r="G213" s="1862"/>
      <c r="H213" s="116" t="s">
        <v>1558</v>
      </c>
    </row>
    <row r="214" spans="1:8" ht="27" customHeight="1" x14ac:dyDescent="0.2">
      <c r="A214" s="1862"/>
      <c r="B214" s="1862"/>
      <c r="C214" s="1862"/>
      <c r="D214" s="1862"/>
      <c r="E214" s="1862"/>
      <c r="F214" s="1862"/>
      <c r="G214" s="1862"/>
      <c r="H214" s="116" t="s">
        <v>2262</v>
      </c>
    </row>
    <row r="215" spans="1:8" ht="27" customHeight="1" x14ac:dyDescent="0.2">
      <c r="A215" s="1862"/>
      <c r="B215" s="1862"/>
      <c r="C215" s="1862"/>
      <c r="D215" s="1862"/>
      <c r="E215" s="1862"/>
      <c r="F215" s="1862"/>
      <c r="G215" s="1862"/>
      <c r="H215" s="116" t="s">
        <v>1559</v>
      </c>
    </row>
    <row r="216" spans="1:8" ht="42" customHeight="1" x14ac:dyDescent="0.2">
      <c r="A216" s="1862"/>
      <c r="B216" s="1862"/>
      <c r="C216" s="1862"/>
      <c r="D216" s="1862"/>
      <c r="E216" s="1862"/>
      <c r="F216" s="1862"/>
      <c r="G216" s="1862"/>
      <c r="H216" s="116" t="s">
        <v>1560</v>
      </c>
    </row>
    <row r="217" spans="1:8" ht="42" customHeight="1" x14ac:dyDescent="0.2">
      <c r="A217" s="1862"/>
      <c r="B217" s="1862"/>
      <c r="C217" s="1862"/>
      <c r="D217" s="1862"/>
      <c r="E217" s="1862"/>
      <c r="F217" s="1862"/>
      <c r="G217" s="1862"/>
      <c r="H217" s="116" t="s">
        <v>1561</v>
      </c>
    </row>
    <row r="218" spans="1:8" ht="69" customHeight="1" x14ac:dyDescent="0.2">
      <c r="A218" s="1862"/>
      <c r="B218" s="1862"/>
      <c r="C218" s="1862"/>
      <c r="D218" s="1862"/>
      <c r="E218" s="1862"/>
      <c r="F218" s="1862"/>
      <c r="G218" s="1862"/>
      <c r="H218" s="116" t="s">
        <v>1562</v>
      </c>
    </row>
    <row r="219" spans="1:8" ht="27" customHeight="1" x14ac:dyDescent="0.2">
      <c r="A219" s="1862"/>
      <c r="B219" s="1862"/>
      <c r="C219" s="1862"/>
      <c r="D219" s="1862"/>
      <c r="E219" s="1862"/>
      <c r="F219" s="1862"/>
      <c r="G219" s="1862"/>
      <c r="H219" s="116" t="s">
        <v>1371</v>
      </c>
    </row>
    <row r="220" spans="1:8" ht="27" customHeight="1" x14ac:dyDescent="0.2">
      <c r="A220" s="1862"/>
      <c r="B220" s="1862"/>
      <c r="C220" s="1862"/>
      <c r="D220" s="1862"/>
      <c r="E220" s="1862"/>
      <c r="F220" s="1862"/>
      <c r="G220" s="1862"/>
      <c r="H220" s="116" t="s">
        <v>1563</v>
      </c>
    </row>
    <row r="221" spans="1:8" ht="27" customHeight="1" x14ac:dyDescent="0.2">
      <c r="A221" s="1862"/>
      <c r="B221" s="1862"/>
      <c r="C221" s="1862"/>
      <c r="D221" s="1862"/>
      <c r="E221" s="1862"/>
      <c r="F221" s="1862"/>
      <c r="G221" s="1862"/>
      <c r="H221" s="116" t="s">
        <v>1564</v>
      </c>
    </row>
    <row r="222" spans="1:8" ht="42" customHeight="1" x14ac:dyDescent="0.2">
      <c r="A222" s="1862"/>
      <c r="B222" s="1862"/>
      <c r="C222" s="1862"/>
      <c r="D222" s="1862"/>
      <c r="E222" s="1862"/>
      <c r="F222" s="1862"/>
      <c r="G222" s="1862"/>
      <c r="H222" s="116" t="s">
        <v>1565</v>
      </c>
    </row>
    <row r="223" spans="1:8" ht="27" customHeight="1" x14ac:dyDescent="0.2">
      <c r="A223" s="1862"/>
      <c r="B223" s="1862"/>
      <c r="C223" s="1862"/>
      <c r="D223" s="1862"/>
      <c r="E223" s="1862"/>
      <c r="F223" s="1862"/>
      <c r="G223" s="1862"/>
      <c r="H223" s="116" t="s">
        <v>1566</v>
      </c>
    </row>
    <row r="224" spans="1:8" ht="42" customHeight="1" x14ac:dyDescent="0.2">
      <c r="A224" s="1862"/>
      <c r="B224" s="1862"/>
      <c r="C224" s="1862"/>
      <c r="D224" s="1862"/>
      <c r="E224" s="1862"/>
      <c r="F224" s="1862"/>
      <c r="G224" s="1862"/>
      <c r="H224" s="116" t="s">
        <v>1567</v>
      </c>
    </row>
    <row r="225" spans="1:8" ht="42.6" customHeight="1" thickBot="1" x14ac:dyDescent="0.25">
      <c r="A225" s="1862"/>
      <c r="B225" s="1862"/>
      <c r="C225" s="1862"/>
      <c r="D225" s="1862"/>
      <c r="E225" s="1862"/>
      <c r="F225" s="1862"/>
      <c r="G225" s="1862"/>
      <c r="H225" s="119" t="s">
        <v>1568</v>
      </c>
    </row>
    <row r="226" spans="1:8" x14ac:dyDescent="0.2">
      <c r="A226" s="15"/>
      <c r="B226" s="3"/>
      <c r="C226" s="11"/>
      <c r="D226" s="135"/>
      <c r="E226" s="135"/>
    </row>
    <row r="227" spans="1:8" x14ac:dyDescent="0.2">
      <c r="A227" s="15"/>
      <c r="B227" s="3"/>
      <c r="C227" s="11"/>
      <c r="D227" s="135"/>
      <c r="E227" s="135"/>
    </row>
    <row r="228" spans="1:8" x14ac:dyDescent="0.2">
      <c r="A228" s="15"/>
      <c r="B228" s="3"/>
      <c r="C228" s="11"/>
      <c r="D228" s="135"/>
      <c r="E228" s="135"/>
      <c r="H228" s="4"/>
    </row>
    <row r="229" spans="1:8" x14ac:dyDescent="0.2">
      <c r="A229" s="15"/>
      <c r="B229" s="3"/>
      <c r="C229" s="11"/>
      <c r="D229" s="135"/>
      <c r="E229" s="135"/>
    </row>
    <row r="230" spans="1:8" x14ac:dyDescent="0.2">
      <c r="A230" s="15"/>
      <c r="B230" s="3"/>
      <c r="C230" s="11"/>
      <c r="D230" s="135"/>
      <c r="E230" s="135"/>
    </row>
    <row r="231" spans="1:8" x14ac:dyDescent="0.2">
      <c r="A231" s="15"/>
      <c r="B231" s="3"/>
      <c r="C231" s="11"/>
      <c r="D231" s="135"/>
      <c r="E231" s="135"/>
    </row>
    <row r="232" spans="1:8" x14ac:dyDescent="0.2">
      <c r="A232" s="15"/>
      <c r="B232" s="3"/>
      <c r="C232" s="11"/>
      <c r="D232" s="135"/>
      <c r="E232" s="135"/>
    </row>
    <row r="233" spans="1:8" x14ac:dyDescent="0.2">
      <c r="A233" s="15"/>
      <c r="B233" s="3"/>
      <c r="C233" s="11"/>
      <c r="D233" s="135"/>
      <c r="E233" s="135"/>
    </row>
    <row r="234" spans="1:8" x14ac:dyDescent="0.2">
      <c r="A234" s="15"/>
      <c r="B234" s="3"/>
      <c r="C234" s="11"/>
      <c r="D234" s="135"/>
      <c r="E234" s="135"/>
    </row>
    <row r="235" spans="1:8" x14ac:dyDescent="0.2">
      <c r="A235" s="15"/>
      <c r="B235" s="3"/>
      <c r="C235" s="11"/>
      <c r="D235" s="135"/>
      <c r="E235" s="135"/>
    </row>
    <row r="236" spans="1:8" x14ac:dyDescent="0.2">
      <c r="A236" s="15"/>
      <c r="B236" s="3"/>
      <c r="C236" s="11"/>
      <c r="D236" s="135"/>
      <c r="E236" s="135"/>
    </row>
    <row r="237" spans="1:8" x14ac:dyDescent="0.2">
      <c r="A237" s="15"/>
      <c r="B237" s="3"/>
      <c r="C237" s="11"/>
      <c r="D237" s="135"/>
      <c r="E237" s="135"/>
    </row>
    <row r="238" spans="1:8" x14ac:dyDescent="0.2">
      <c r="A238" s="15"/>
      <c r="B238" s="3"/>
      <c r="C238" s="11"/>
      <c r="D238" s="135"/>
      <c r="E238" s="135"/>
    </row>
    <row r="239" spans="1:8" x14ac:dyDescent="0.2">
      <c r="A239" s="15"/>
      <c r="B239" s="3"/>
      <c r="C239" s="11"/>
      <c r="D239" s="135"/>
      <c r="E239" s="135"/>
    </row>
    <row r="240" spans="1:8" x14ac:dyDescent="0.2">
      <c r="A240" s="15"/>
      <c r="B240" s="3"/>
      <c r="C240" s="11"/>
      <c r="D240" s="135"/>
      <c r="E240" s="135"/>
    </row>
    <row r="241" spans="1:5" x14ac:dyDescent="0.2">
      <c r="A241" s="15"/>
      <c r="B241" s="3"/>
      <c r="C241" s="11"/>
      <c r="D241" s="135"/>
      <c r="E241" s="135"/>
    </row>
    <row r="242" spans="1:5" x14ac:dyDescent="0.2">
      <c r="A242" s="15"/>
      <c r="B242" s="3"/>
      <c r="C242" s="11"/>
      <c r="D242" s="135"/>
      <c r="E242" s="135"/>
    </row>
    <row r="243" spans="1:5" x14ac:dyDescent="0.2">
      <c r="A243" s="15"/>
      <c r="B243" s="3"/>
      <c r="C243" s="11"/>
      <c r="D243" s="135"/>
      <c r="E243" s="135"/>
    </row>
    <row r="244" spans="1:5" x14ac:dyDescent="0.2">
      <c r="A244" s="15"/>
      <c r="B244" s="3"/>
      <c r="C244" s="11"/>
      <c r="D244" s="135"/>
      <c r="E244" s="135"/>
    </row>
    <row r="245" spans="1:5" x14ac:dyDescent="0.2">
      <c r="A245" s="15"/>
      <c r="B245" s="3"/>
      <c r="C245" s="11"/>
      <c r="D245" s="135"/>
      <c r="E245" s="135"/>
    </row>
    <row r="246" spans="1:5" x14ac:dyDescent="0.2">
      <c r="A246" s="15"/>
      <c r="B246" s="3"/>
      <c r="C246" s="11"/>
      <c r="D246" s="135"/>
      <c r="E246" s="135"/>
    </row>
    <row r="247" spans="1:5" x14ac:dyDescent="0.2">
      <c r="A247" s="15"/>
      <c r="B247" s="3"/>
      <c r="C247" s="11"/>
      <c r="D247" s="135"/>
      <c r="E247" s="135"/>
    </row>
    <row r="248" spans="1:5" x14ac:dyDescent="0.2">
      <c r="A248" s="15"/>
      <c r="B248" s="3"/>
      <c r="C248" s="11"/>
      <c r="D248" s="135"/>
      <c r="E248" s="135"/>
    </row>
    <row r="249" spans="1:5" x14ac:dyDescent="0.2">
      <c r="A249" s="15"/>
      <c r="B249" s="3"/>
      <c r="C249" s="11"/>
      <c r="D249" s="135"/>
      <c r="E249" s="135"/>
    </row>
    <row r="250" spans="1:5" x14ac:dyDescent="0.2">
      <c r="A250" s="15"/>
      <c r="B250" s="3"/>
      <c r="C250" s="11"/>
      <c r="D250" s="135"/>
      <c r="E250" s="135"/>
    </row>
    <row r="251" spans="1:5" x14ac:dyDescent="0.2">
      <c r="A251" s="15"/>
      <c r="B251" s="3"/>
      <c r="C251" s="11"/>
      <c r="D251" s="135"/>
      <c r="E251" s="135"/>
    </row>
    <row r="252" spans="1:5" x14ac:dyDescent="0.2">
      <c r="A252" s="15"/>
      <c r="B252" s="3"/>
      <c r="C252" s="11"/>
      <c r="D252" s="135"/>
      <c r="E252" s="135"/>
    </row>
    <row r="253" spans="1:5" x14ac:dyDescent="0.2">
      <c r="A253" s="15"/>
      <c r="B253" s="3"/>
      <c r="C253" s="11"/>
      <c r="D253" s="135"/>
      <c r="E253" s="135"/>
    </row>
    <row r="254" spans="1:5" x14ac:dyDescent="0.2">
      <c r="A254" s="15"/>
      <c r="B254" s="3"/>
      <c r="C254" s="11"/>
      <c r="D254" s="135"/>
      <c r="E254" s="135"/>
    </row>
    <row r="255" spans="1:5" x14ac:dyDescent="0.2">
      <c r="A255" s="15"/>
      <c r="B255" s="3"/>
      <c r="C255" s="11"/>
      <c r="D255" s="135"/>
      <c r="E255" s="135"/>
    </row>
    <row r="256" spans="1:5" x14ac:dyDescent="0.2">
      <c r="A256" s="15"/>
      <c r="B256" s="3"/>
      <c r="C256" s="11"/>
      <c r="D256" s="135"/>
      <c r="E256" s="135"/>
    </row>
    <row r="257" spans="1:5" x14ac:dyDescent="0.2">
      <c r="A257" s="15"/>
      <c r="B257" s="3"/>
      <c r="C257" s="11"/>
      <c r="D257" s="135"/>
      <c r="E257" s="135"/>
    </row>
    <row r="258" spans="1:5" x14ac:dyDescent="0.2">
      <c r="A258" s="15"/>
      <c r="B258" s="3"/>
      <c r="C258" s="11"/>
      <c r="D258" s="135"/>
      <c r="E258" s="135"/>
    </row>
    <row r="259" spans="1:5" x14ac:dyDescent="0.2">
      <c r="A259" s="15"/>
      <c r="B259" s="3"/>
      <c r="C259" s="11"/>
      <c r="D259" s="135"/>
      <c r="E259" s="135"/>
    </row>
    <row r="260" spans="1:5" x14ac:dyDescent="0.2">
      <c r="A260" s="15"/>
      <c r="B260" s="3"/>
      <c r="C260" s="11"/>
      <c r="D260" s="135"/>
      <c r="E260" s="135"/>
    </row>
    <row r="261" spans="1:5" x14ac:dyDescent="0.2">
      <c r="A261" s="15"/>
      <c r="B261" s="3"/>
      <c r="C261" s="11"/>
      <c r="D261" s="135"/>
      <c r="E261" s="135"/>
    </row>
    <row r="262" spans="1:5" x14ac:dyDescent="0.2">
      <c r="A262" s="15"/>
      <c r="B262" s="3"/>
      <c r="C262" s="11"/>
      <c r="D262" s="135"/>
      <c r="E262" s="135"/>
    </row>
    <row r="263" spans="1:5" x14ac:dyDescent="0.2">
      <c r="A263" s="15"/>
      <c r="B263" s="3"/>
      <c r="C263" s="11"/>
      <c r="D263" s="135"/>
      <c r="E263" s="135"/>
    </row>
    <row r="264" spans="1:5" x14ac:dyDescent="0.2">
      <c r="A264" s="15"/>
      <c r="B264" s="3"/>
      <c r="C264" s="11"/>
      <c r="D264" s="135"/>
      <c r="E264" s="135"/>
    </row>
    <row r="265" spans="1:5" x14ac:dyDescent="0.2">
      <c r="A265" s="15"/>
      <c r="B265" s="3"/>
      <c r="C265" s="11"/>
      <c r="D265" s="135"/>
      <c r="E265" s="135"/>
    </row>
    <row r="266" spans="1:5" x14ac:dyDescent="0.2">
      <c r="A266" s="15"/>
      <c r="B266" s="3"/>
      <c r="C266" s="11"/>
      <c r="D266" s="135"/>
      <c r="E266" s="135"/>
    </row>
    <row r="267" spans="1:5" x14ac:dyDescent="0.2">
      <c r="A267" s="15"/>
      <c r="B267" s="3"/>
      <c r="C267" s="11"/>
      <c r="D267" s="135"/>
      <c r="E267" s="135"/>
    </row>
    <row r="268" spans="1:5" x14ac:dyDescent="0.2">
      <c r="A268" s="15"/>
      <c r="B268" s="3"/>
      <c r="C268" s="11"/>
      <c r="D268" s="135"/>
      <c r="E268" s="135"/>
    </row>
    <row r="269" spans="1:5" x14ac:dyDescent="0.2">
      <c r="A269" s="15"/>
      <c r="B269" s="3"/>
      <c r="C269" s="11"/>
      <c r="D269" s="135"/>
      <c r="E269" s="135"/>
    </row>
    <row r="270" spans="1:5" x14ac:dyDescent="0.2">
      <c r="A270" s="15"/>
      <c r="B270" s="3"/>
      <c r="C270" s="11"/>
      <c r="D270" s="135"/>
      <c r="E270" s="135"/>
    </row>
    <row r="271" spans="1:5" x14ac:dyDescent="0.2">
      <c r="A271" s="15"/>
      <c r="B271" s="3"/>
      <c r="C271" s="11"/>
      <c r="D271" s="135"/>
      <c r="E271" s="135"/>
    </row>
    <row r="272" spans="1:5" x14ac:dyDescent="0.2">
      <c r="A272" s="15"/>
      <c r="B272" s="3"/>
      <c r="C272" s="11"/>
      <c r="D272" s="135"/>
      <c r="E272" s="135"/>
    </row>
    <row r="273" spans="1:5" x14ac:dyDescent="0.2">
      <c r="A273" s="15"/>
      <c r="B273" s="3"/>
      <c r="C273" s="11"/>
      <c r="D273" s="135"/>
      <c r="E273" s="135"/>
    </row>
    <row r="274" spans="1:5" x14ac:dyDescent="0.2">
      <c r="A274" s="15"/>
      <c r="B274" s="3"/>
      <c r="C274" s="11"/>
      <c r="D274" s="135"/>
      <c r="E274" s="135"/>
    </row>
    <row r="275" spans="1:5" x14ac:dyDescent="0.2">
      <c r="A275" s="15"/>
      <c r="B275" s="3"/>
      <c r="C275" s="11"/>
      <c r="D275" s="135"/>
      <c r="E275" s="135"/>
    </row>
    <row r="276" spans="1:5" x14ac:dyDescent="0.2">
      <c r="A276" s="15"/>
      <c r="B276" s="3"/>
      <c r="C276" s="11"/>
      <c r="D276" s="135"/>
      <c r="E276" s="135"/>
    </row>
    <row r="277" spans="1:5" x14ac:dyDescent="0.2">
      <c r="A277" s="15"/>
      <c r="B277" s="3"/>
      <c r="C277" s="11"/>
      <c r="D277" s="135"/>
      <c r="E277" s="135"/>
    </row>
    <row r="278" spans="1:5" x14ac:dyDescent="0.2">
      <c r="A278" s="15"/>
      <c r="B278" s="3"/>
      <c r="C278" s="11"/>
      <c r="D278" s="135"/>
      <c r="E278" s="135"/>
    </row>
    <row r="279" spans="1:5" x14ac:dyDescent="0.2">
      <c r="A279" s="15"/>
      <c r="B279" s="3"/>
      <c r="C279" s="11"/>
      <c r="D279" s="135"/>
      <c r="E279" s="135"/>
    </row>
    <row r="280" spans="1:5" x14ac:dyDescent="0.2">
      <c r="A280" s="15"/>
      <c r="B280" s="3"/>
      <c r="C280" s="11"/>
      <c r="D280" s="135"/>
      <c r="E280" s="135"/>
    </row>
    <row r="281" spans="1:5" x14ac:dyDescent="0.2">
      <c r="A281" s="15"/>
      <c r="B281" s="3"/>
      <c r="C281" s="11"/>
      <c r="D281" s="135"/>
      <c r="E281" s="135"/>
    </row>
    <row r="282" spans="1:5" x14ac:dyDescent="0.2">
      <c r="A282" s="15"/>
      <c r="B282" s="3"/>
      <c r="C282" s="11"/>
      <c r="D282" s="135"/>
      <c r="E282" s="135"/>
    </row>
    <row r="283" spans="1:5" x14ac:dyDescent="0.2">
      <c r="A283" s="15"/>
      <c r="B283" s="3"/>
      <c r="C283" s="11"/>
      <c r="D283" s="135"/>
      <c r="E283" s="135"/>
    </row>
    <row r="284" spans="1:5" x14ac:dyDescent="0.2">
      <c r="A284" s="15"/>
      <c r="B284" s="3"/>
      <c r="C284" s="11"/>
      <c r="D284" s="135"/>
      <c r="E284" s="135"/>
    </row>
    <row r="285" spans="1:5" x14ac:dyDescent="0.2">
      <c r="A285" s="15"/>
      <c r="B285" s="3"/>
      <c r="C285" s="11"/>
      <c r="D285" s="135"/>
      <c r="E285" s="135"/>
    </row>
    <row r="286" spans="1:5" x14ac:dyDescent="0.2">
      <c r="A286" s="15"/>
      <c r="B286" s="3"/>
      <c r="C286" s="11"/>
      <c r="D286" s="135"/>
      <c r="E286" s="135"/>
    </row>
    <row r="287" spans="1:5" x14ac:dyDescent="0.2">
      <c r="A287" s="15"/>
      <c r="B287" s="3"/>
      <c r="C287" s="11"/>
      <c r="D287" s="135"/>
      <c r="E287" s="135"/>
    </row>
    <row r="288" spans="1:5" x14ac:dyDescent="0.2">
      <c r="A288" s="15"/>
      <c r="B288" s="3"/>
      <c r="C288" s="11"/>
      <c r="D288" s="135"/>
      <c r="E288" s="135"/>
    </row>
    <row r="289" spans="1:5" x14ac:dyDescent="0.2">
      <c r="A289" s="15"/>
      <c r="B289" s="3"/>
      <c r="C289" s="11"/>
      <c r="D289" s="135"/>
      <c r="E289" s="135"/>
    </row>
    <row r="290" spans="1:5" x14ac:dyDescent="0.2">
      <c r="A290" s="15"/>
      <c r="B290" s="3"/>
      <c r="C290" s="11"/>
      <c r="D290" s="135"/>
      <c r="E290" s="135"/>
    </row>
    <row r="291" spans="1:5" x14ac:dyDescent="0.2">
      <c r="A291" s="15"/>
      <c r="B291" s="3"/>
      <c r="C291" s="11"/>
      <c r="D291" s="135"/>
      <c r="E291" s="135"/>
    </row>
    <row r="292" spans="1:5" x14ac:dyDescent="0.2">
      <c r="A292" s="15"/>
      <c r="B292" s="3"/>
      <c r="C292" s="11"/>
      <c r="D292" s="135"/>
      <c r="E292" s="135"/>
    </row>
    <row r="293" spans="1:5" x14ac:dyDescent="0.2">
      <c r="A293" s="15"/>
      <c r="B293" s="3"/>
      <c r="C293" s="11"/>
      <c r="D293" s="135"/>
      <c r="E293" s="135"/>
    </row>
    <row r="294" spans="1:5" x14ac:dyDescent="0.2">
      <c r="A294" s="15"/>
      <c r="B294" s="3"/>
      <c r="C294" s="11"/>
      <c r="D294" s="135"/>
      <c r="E294" s="135"/>
    </row>
    <row r="295" spans="1:5" x14ac:dyDescent="0.2">
      <c r="A295" s="15"/>
      <c r="B295" s="3"/>
      <c r="C295" s="11"/>
      <c r="D295" s="135"/>
      <c r="E295" s="135"/>
    </row>
    <row r="296" spans="1:5" x14ac:dyDescent="0.2">
      <c r="A296" s="15"/>
      <c r="B296" s="3"/>
      <c r="C296" s="11"/>
      <c r="D296" s="135"/>
      <c r="E296" s="135"/>
    </row>
    <row r="297" spans="1:5" x14ac:dyDescent="0.2">
      <c r="A297" s="15"/>
      <c r="B297" s="3"/>
      <c r="C297" s="11"/>
      <c r="D297" s="135"/>
      <c r="E297" s="135"/>
    </row>
    <row r="298" spans="1:5" x14ac:dyDescent="0.2">
      <c r="A298" s="15"/>
      <c r="B298" s="3"/>
      <c r="C298" s="11"/>
      <c r="D298" s="135"/>
      <c r="E298" s="135"/>
    </row>
    <row r="299" spans="1:5" x14ac:dyDescent="0.2">
      <c r="A299" s="15"/>
      <c r="B299" s="3"/>
      <c r="C299" s="11"/>
      <c r="D299" s="135"/>
      <c r="E299" s="135"/>
    </row>
    <row r="300" spans="1:5" x14ac:dyDescent="0.2">
      <c r="A300" s="15"/>
      <c r="B300" s="3"/>
      <c r="C300" s="11"/>
      <c r="D300" s="135"/>
      <c r="E300" s="135"/>
    </row>
    <row r="301" spans="1:5" x14ac:dyDescent="0.2">
      <c r="A301" s="15"/>
      <c r="B301" s="3"/>
      <c r="C301" s="11"/>
      <c r="D301" s="135"/>
      <c r="E301" s="135"/>
    </row>
    <row r="302" spans="1:5" x14ac:dyDescent="0.2">
      <c r="A302" s="15"/>
      <c r="B302" s="3"/>
      <c r="C302" s="11"/>
      <c r="D302" s="135"/>
      <c r="E302" s="135"/>
    </row>
    <row r="303" spans="1:5" x14ac:dyDescent="0.2">
      <c r="A303" s="15"/>
      <c r="B303" s="3"/>
      <c r="C303" s="11"/>
      <c r="D303" s="135"/>
      <c r="E303" s="135"/>
    </row>
    <row r="304" spans="1:5" x14ac:dyDescent="0.2">
      <c r="A304" s="15"/>
      <c r="B304" s="3"/>
      <c r="C304" s="11"/>
      <c r="D304" s="135"/>
      <c r="E304" s="135"/>
    </row>
    <row r="305" spans="1:5" x14ac:dyDescent="0.2">
      <c r="A305" s="15"/>
      <c r="B305" s="3"/>
      <c r="C305" s="11"/>
      <c r="D305" s="135"/>
      <c r="E305" s="135"/>
    </row>
    <row r="306" spans="1:5" x14ac:dyDescent="0.2">
      <c r="A306" s="15"/>
      <c r="B306" s="3"/>
      <c r="C306" s="11"/>
      <c r="D306" s="135"/>
      <c r="E306" s="135"/>
    </row>
    <row r="307" spans="1:5" x14ac:dyDescent="0.2">
      <c r="A307" s="15"/>
      <c r="B307" s="3"/>
      <c r="C307" s="11"/>
      <c r="D307" s="135"/>
      <c r="E307" s="135"/>
    </row>
    <row r="308" spans="1:5" x14ac:dyDescent="0.2">
      <c r="A308" s="15"/>
      <c r="B308" s="3"/>
      <c r="C308" s="11"/>
      <c r="D308" s="135"/>
      <c r="E308" s="135"/>
    </row>
    <row r="309" spans="1:5" x14ac:dyDescent="0.2">
      <c r="A309" s="15"/>
      <c r="B309" s="3"/>
      <c r="C309" s="11"/>
      <c r="D309" s="135"/>
      <c r="E309" s="135"/>
    </row>
    <row r="310" spans="1:5" x14ac:dyDescent="0.2">
      <c r="A310" s="15"/>
      <c r="B310" s="3"/>
      <c r="C310" s="11"/>
      <c r="D310" s="135"/>
      <c r="E310" s="135"/>
    </row>
    <row r="311" spans="1:5" x14ac:dyDescent="0.2">
      <c r="A311" s="15"/>
      <c r="B311" s="3"/>
      <c r="C311" s="11"/>
      <c r="D311" s="135"/>
      <c r="E311" s="135"/>
    </row>
    <row r="312" spans="1:5" x14ac:dyDescent="0.2">
      <c r="A312" s="15"/>
      <c r="B312" s="3"/>
      <c r="C312" s="11"/>
      <c r="D312" s="135"/>
      <c r="E312" s="135"/>
    </row>
    <row r="313" spans="1:5" x14ac:dyDescent="0.2">
      <c r="A313" s="15"/>
      <c r="B313" s="3"/>
      <c r="C313" s="11"/>
      <c r="D313" s="135"/>
      <c r="E313" s="135"/>
    </row>
    <row r="314" spans="1:5" x14ac:dyDescent="0.2">
      <c r="A314" s="15"/>
      <c r="B314" s="3"/>
      <c r="C314" s="11"/>
      <c r="D314" s="135"/>
      <c r="E314" s="135"/>
    </row>
    <row r="315" spans="1:5" x14ac:dyDescent="0.2">
      <c r="A315" s="15"/>
      <c r="B315" s="3"/>
      <c r="C315" s="11"/>
      <c r="D315" s="135"/>
      <c r="E315" s="135"/>
    </row>
    <row r="316" spans="1:5" x14ac:dyDescent="0.2">
      <c r="A316" s="15"/>
      <c r="B316" s="3"/>
      <c r="C316" s="11"/>
      <c r="D316" s="135"/>
      <c r="E316" s="135"/>
    </row>
    <row r="317" spans="1:5" x14ac:dyDescent="0.2">
      <c r="A317" s="15"/>
      <c r="B317" s="3"/>
      <c r="C317" s="11"/>
      <c r="D317" s="135"/>
      <c r="E317" s="135"/>
    </row>
    <row r="318" spans="1:5" x14ac:dyDescent="0.2">
      <c r="A318" s="15"/>
      <c r="B318" s="3"/>
      <c r="C318" s="11"/>
      <c r="D318" s="135"/>
      <c r="E318" s="135"/>
    </row>
    <row r="319" spans="1:5" x14ac:dyDescent="0.2">
      <c r="A319" s="15"/>
      <c r="B319" s="3"/>
      <c r="C319" s="11"/>
      <c r="D319" s="135"/>
      <c r="E319" s="135"/>
    </row>
    <row r="320" spans="1:5" x14ac:dyDescent="0.2">
      <c r="A320" s="15"/>
      <c r="B320" s="3"/>
      <c r="C320" s="11"/>
      <c r="D320" s="135"/>
      <c r="E320" s="135"/>
    </row>
    <row r="321" spans="1:5" x14ac:dyDescent="0.2">
      <c r="A321" s="15"/>
      <c r="B321" s="3"/>
      <c r="C321" s="11"/>
      <c r="D321" s="135"/>
      <c r="E321" s="135"/>
    </row>
    <row r="322" spans="1:5" x14ac:dyDescent="0.2">
      <c r="A322" s="15"/>
      <c r="B322" s="3"/>
      <c r="C322" s="11"/>
      <c r="D322" s="135"/>
      <c r="E322" s="135"/>
    </row>
    <row r="323" spans="1:5" x14ac:dyDescent="0.2">
      <c r="A323" s="15"/>
      <c r="B323" s="3"/>
      <c r="C323" s="11"/>
      <c r="D323" s="135"/>
      <c r="E323" s="135"/>
    </row>
    <row r="324" spans="1:5" x14ac:dyDescent="0.2">
      <c r="A324" s="15"/>
      <c r="B324" s="3"/>
      <c r="C324" s="11"/>
      <c r="D324" s="135"/>
      <c r="E324" s="135"/>
    </row>
    <row r="325" spans="1:5" x14ac:dyDescent="0.2">
      <c r="A325" s="15"/>
      <c r="B325" s="3"/>
      <c r="C325" s="11"/>
      <c r="D325" s="135"/>
      <c r="E325" s="135"/>
    </row>
    <row r="326" spans="1:5" x14ac:dyDescent="0.2">
      <c r="A326" s="15"/>
      <c r="B326" s="3"/>
      <c r="C326" s="11"/>
      <c r="D326" s="135"/>
      <c r="E326" s="135"/>
    </row>
    <row r="327" spans="1:5" x14ac:dyDescent="0.2">
      <c r="A327" s="15"/>
      <c r="B327" s="3"/>
      <c r="C327" s="11"/>
      <c r="D327" s="135"/>
      <c r="E327" s="135"/>
    </row>
    <row r="328" spans="1:5" x14ac:dyDescent="0.2">
      <c r="A328" s="15"/>
      <c r="B328" s="3"/>
      <c r="C328" s="11"/>
      <c r="D328" s="135"/>
      <c r="E328" s="135"/>
    </row>
    <row r="329" spans="1:5" x14ac:dyDescent="0.2">
      <c r="A329" s="15"/>
      <c r="B329" s="3"/>
      <c r="C329" s="11"/>
      <c r="D329" s="135"/>
      <c r="E329" s="135"/>
    </row>
    <row r="330" spans="1:5" x14ac:dyDescent="0.2">
      <c r="A330" s="15"/>
      <c r="B330" s="3"/>
      <c r="C330" s="11"/>
      <c r="D330" s="135"/>
      <c r="E330" s="135"/>
    </row>
    <row r="331" spans="1:5" x14ac:dyDescent="0.2">
      <c r="A331" s="15"/>
      <c r="B331" s="3"/>
      <c r="C331" s="11"/>
      <c r="D331" s="135"/>
      <c r="E331" s="135"/>
    </row>
    <row r="332" spans="1:5" x14ac:dyDescent="0.2">
      <c r="A332" s="15"/>
      <c r="B332" s="3"/>
      <c r="C332" s="11"/>
      <c r="D332" s="135"/>
      <c r="E332" s="135"/>
    </row>
    <row r="333" spans="1:5" x14ac:dyDescent="0.2">
      <c r="A333" s="15"/>
      <c r="B333" s="3"/>
      <c r="C333" s="11"/>
      <c r="D333" s="135"/>
      <c r="E333" s="135"/>
    </row>
    <row r="334" spans="1:5" x14ac:dyDescent="0.2">
      <c r="A334" s="15"/>
      <c r="B334" s="3"/>
      <c r="C334" s="11"/>
      <c r="D334" s="135"/>
      <c r="E334" s="135"/>
    </row>
    <row r="335" spans="1:5" x14ac:dyDescent="0.2">
      <c r="A335" s="15"/>
      <c r="B335" s="3"/>
      <c r="C335" s="11"/>
      <c r="D335" s="135"/>
      <c r="E335" s="135"/>
    </row>
    <row r="336" spans="1:5" x14ac:dyDescent="0.2">
      <c r="A336" s="15"/>
      <c r="B336" s="3"/>
      <c r="C336" s="11"/>
      <c r="D336" s="135"/>
      <c r="E336" s="135"/>
    </row>
    <row r="337" spans="1:5" x14ac:dyDescent="0.2">
      <c r="A337" s="15"/>
      <c r="B337" s="3"/>
      <c r="C337" s="11"/>
      <c r="D337" s="135"/>
      <c r="E337" s="135"/>
    </row>
    <row r="338" spans="1:5" x14ac:dyDescent="0.2">
      <c r="A338" s="15"/>
      <c r="B338" s="3"/>
      <c r="C338" s="11"/>
      <c r="D338" s="135"/>
      <c r="E338" s="135"/>
    </row>
    <row r="339" spans="1:5" x14ac:dyDescent="0.2">
      <c r="A339" s="15"/>
      <c r="B339" s="3"/>
      <c r="C339" s="11"/>
      <c r="D339" s="135"/>
      <c r="E339" s="135"/>
    </row>
    <row r="340" spans="1:5" x14ac:dyDescent="0.2">
      <c r="A340" s="15"/>
      <c r="B340" s="3"/>
      <c r="C340" s="11"/>
      <c r="D340" s="135"/>
      <c r="E340" s="135"/>
    </row>
    <row r="341" spans="1:5" x14ac:dyDescent="0.2">
      <c r="A341" s="15"/>
      <c r="B341" s="3"/>
      <c r="C341" s="11"/>
      <c r="D341" s="135"/>
      <c r="E341" s="135"/>
    </row>
    <row r="342" spans="1:5" x14ac:dyDescent="0.2">
      <c r="A342" s="15"/>
      <c r="B342" s="3"/>
      <c r="C342" s="11"/>
      <c r="D342" s="135"/>
      <c r="E342" s="135"/>
    </row>
    <row r="343" spans="1:5" x14ac:dyDescent="0.2">
      <c r="A343" s="15"/>
      <c r="B343" s="3"/>
      <c r="C343" s="11"/>
      <c r="D343" s="135"/>
      <c r="E343" s="135"/>
    </row>
    <row r="344" spans="1:5" x14ac:dyDescent="0.2">
      <c r="A344" s="15"/>
      <c r="B344" s="3"/>
      <c r="C344" s="11"/>
      <c r="D344" s="135"/>
      <c r="E344" s="135"/>
    </row>
    <row r="345" spans="1:5" x14ac:dyDescent="0.2">
      <c r="A345" s="15"/>
      <c r="B345" s="3"/>
      <c r="C345" s="11"/>
      <c r="D345" s="135"/>
      <c r="E345" s="135"/>
    </row>
    <row r="346" spans="1:5" x14ac:dyDescent="0.2">
      <c r="A346" s="15"/>
      <c r="B346" s="3"/>
      <c r="C346" s="11"/>
      <c r="D346" s="135"/>
      <c r="E346" s="135"/>
    </row>
    <row r="347" spans="1:5" x14ac:dyDescent="0.2">
      <c r="A347" s="15"/>
      <c r="B347" s="3"/>
      <c r="C347" s="11"/>
      <c r="D347" s="135"/>
      <c r="E347" s="135"/>
    </row>
    <row r="348" spans="1:5" x14ac:dyDescent="0.2">
      <c r="A348" s="15"/>
      <c r="B348" s="3"/>
      <c r="C348" s="11"/>
      <c r="D348" s="135"/>
      <c r="E348" s="135"/>
    </row>
    <row r="349" spans="1:5" x14ac:dyDescent="0.2">
      <c r="A349" s="15"/>
      <c r="B349" s="3"/>
      <c r="C349" s="11"/>
      <c r="D349" s="135"/>
      <c r="E349" s="135"/>
    </row>
    <row r="350" spans="1:5" x14ac:dyDescent="0.2">
      <c r="A350" s="15"/>
      <c r="B350" s="3"/>
      <c r="C350" s="11"/>
      <c r="D350" s="135"/>
      <c r="E350" s="135"/>
    </row>
    <row r="351" spans="1:5" x14ac:dyDescent="0.2">
      <c r="A351" s="15"/>
      <c r="B351" s="3"/>
      <c r="C351" s="11"/>
      <c r="D351" s="135"/>
      <c r="E351" s="135"/>
    </row>
    <row r="352" spans="1:5" x14ac:dyDescent="0.2">
      <c r="A352" s="15"/>
      <c r="B352" s="3"/>
      <c r="C352" s="11"/>
      <c r="D352" s="135"/>
      <c r="E352" s="135"/>
    </row>
    <row r="353" spans="1:5" x14ac:dyDescent="0.2">
      <c r="A353" s="15"/>
      <c r="B353" s="3"/>
      <c r="C353" s="11"/>
      <c r="D353" s="135"/>
      <c r="E353" s="135"/>
    </row>
    <row r="354" spans="1:5" x14ac:dyDescent="0.2">
      <c r="A354" s="15"/>
      <c r="B354" s="3"/>
      <c r="C354" s="11"/>
      <c r="D354" s="135"/>
      <c r="E354" s="135"/>
    </row>
    <row r="355" spans="1:5" x14ac:dyDescent="0.2">
      <c r="A355" s="15"/>
      <c r="B355" s="3"/>
      <c r="C355" s="11"/>
      <c r="D355" s="135"/>
      <c r="E355" s="135"/>
    </row>
    <row r="356" spans="1:5" x14ac:dyDescent="0.2">
      <c r="A356" s="15"/>
      <c r="B356" s="3"/>
      <c r="C356" s="11"/>
      <c r="D356" s="135"/>
      <c r="E356" s="135"/>
    </row>
    <row r="357" spans="1:5" x14ac:dyDescent="0.2">
      <c r="A357" s="15"/>
      <c r="B357" s="3"/>
      <c r="C357" s="11"/>
      <c r="D357" s="135"/>
      <c r="E357" s="135"/>
    </row>
    <row r="358" spans="1:5" x14ac:dyDescent="0.2">
      <c r="A358" s="15"/>
      <c r="B358" s="3"/>
      <c r="C358" s="11"/>
      <c r="D358" s="135"/>
      <c r="E358" s="135"/>
    </row>
    <row r="359" spans="1:5" x14ac:dyDescent="0.2">
      <c r="A359" s="15"/>
      <c r="B359" s="3"/>
      <c r="C359" s="11"/>
      <c r="D359" s="135"/>
      <c r="E359" s="135"/>
    </row>
    <row r="360" spans="1:5" x14ac:dyDescent="0.2">
      <c r="A360" s="15"/>
      <c r="B360" s="3"/>
      <c r="C360" s="11"/>
      <c r="D360" s="135"/>
      <c r="E360" s="135"/>
    </row>
    <row r="361" spans="1:5" x14ac:dyDescent="0.2">
      <c r="A361" s="15"/>
      <c r="B361" s="3"/>
      <c r="C361" s="11"/>
      <c r="D361" s="135"/>
      <c r="E361" s="135"/>
    </row>
    <row r="362" spans="1:5" x14ac:dyDescent="0.2">
      <c r="A362" s="15"/>
      <c r="B362" s="3"/>
      <c r="C362" s="11"/>
      <c r="D362" s="135"/>
      <c r="E362" s="135"/>
    </row>
    <row r="363" spans="1:5" x14ac:dyDescent="0.2">
      <c r="A363" s="15"/>
      <c r="B363" s="3"/>
      <c r="C363" s="11"/>
      <c r="D363" s="135"/>
      <c r="E363" s="135"/>
    </row>
    <row r="364" spans="1:5" x14ac:dyDescent="0.2">
      <c r="A364" s="15"/>
      <c r="B364" s="3"/>
      <c r="C364" s="11"/>
      <c r="D364" s="135"/>
      <c r="E364" s="135"/>
    </row>
    <row r="365" spans="1:5" x14ac:dyDescent="0.2">
      <c r="A365" s="15"/>
      <c r="B365" s="3"/>
    </row>
  </sheetData>
  <sheetProtection algorithmName="SHA-512" hashValue="dfw4v3W8CwNTHOKO3ukjxnW2Ycb/FVsZCqkpHTSx2AgYOGRUDiLGU15mAU43BL7HXzn3UcVW7wfYj5wMl+ajdw==" saltValue="33LZlXqf8QWNwzUy4VMJbg==" spinCount="100000" sheet="1" formatCells="0" formatColumns="0" formatRows="0"/>
  <customSheetViews>
    <customSheetView guid="{B8E02330-2419-4DE6-AD01-7ACC7A5D18DD}" scale="75" topLeftCell="A117">
      <selection activeCell="A2" sqref="A2:H135"/>
      <pageMargins left="0.75" right="0.75" top="1" bottom="1" header="0.5" footer="0.5"/>
      <pageSetup orientation="portrait" r:id="rId1"/>
      <headerFooter alignWithMargins="0"/>
    </customSheetView>
  </customSheetViews>
  <mergeCells count="94">
    <mergeCell ref="H152:H158"/>
    <mergeCell ref="A152:A158"/>
    <mergeCell ref="B152:B158"/>
    <mergeCell ref="B148:B151"/>
    <mergeCell ref="H148:H151"/>
    <mergeCell ref="A148:A151"/>
    <mergeCell ref="H127:H129"/>
    <mergeCell ref="B127:B129"/>
    <mergeCell ref="H99:H104"/>
    <mergeCell ref="H121:H126"/>
    <mergeCell ref="H90:H93"/>
    <mergeCell ref="H115:H120"/>
    <mergeCell ref="H111:H114"/>
    <mergeCell ref="H94:H98"/>
    <mergeCell ref="H140:H146"/>
    <mergeCell ref="A140:A146"/>
    <mergeCell ref="B140:B146"/>
    <mergeCell ref="H134:H139"/>
    <mergeCell ref="A134:A139"/>
    <mergeCell ref="B134:B139"/>
    <mergeCell ref="B71:B74"/>
    <mergeCell ref="A71:A74"/>
    <mergeCell ref="B115:B120"/>
    <mergeCell ref="A94:A98"/>
    <mergeCell ref="A127:A129"/>
    <mergeCell ref="A75:A82"/>
    <mergeCell ref="A111:A114"/>
    <mergeCell ref="A90:A93"/>
    <mergeCell ref="B111:B114"/>
    <mergeCell ref="B105:B110"/>
    <mergeCell ref="B90:B93"/>
    <mergeCell ref="B99:B104"/>
    <mergeCell ref="B75:B82"/>
    <mergeCell ref="B94:B98"/>
    <mergeCell ref="H71:H74"/>
    <mergeCell ref="H45:H51"/>
    <mergeCell ref="H83:H89"/>
    <mergeCell ref="H105:H110"/>
    <mergeCell ref="H75:H82"/>
    <mergeCell ref="B9:B12"/>
    <mergeCell ref="A27:A30"/>
    <mergeCell ref="H65:H70"/>
    <mergeCell ref="B31:B37"/>
    <mergeCell ref="H31:H37"/>
    <mergeCell ref="B20:B24"/>
    <mergeCell ref="B25:B26"/>
    <mergeCell ref="A52:A57"/>
    <mergeCell ref="A65:A70"/>
    <mergeCell ref="B52:B57"/>
    <mergeCell ref="B27:B30"/>
    <mergeCell ref="A59:A64"/>
    <mergeCell ref="B65:B70"/>
    <mergeCell ref="E1:H1"/>
    <mergeCell ref="A83:A89"/>
    <mergeCell ref="B83:B89"/>
    <mergeCell ref="A25:A26"/>
    <mergeCell ref="A1:B1"/>
    <mergeCell ref="B3:B8"/>
    <mergeCell ref="H3:H8"/>
    <mergeCell ref="B13:B18"/>
    <mergeCell ref="H52:H57"/>
    <mergeCell ref="A3:A8"/>
    <mergeCell ref="A9:A12"/>
    <mergeCell ref="A45:A51"/>
    <mergeCell ref="B38:B44"/>
    <mergeCell ref="H38:H44"/>
    <mergeCell ref="B45:B51"/>
    <mergeCell ref="H9:H12"/>
    <mergeCell ref="A170:G225"/>
    <mergeCell ref="A161:H161"/>
    <mergeCell ref="A13:A18"/>
    <mergeCell ref="A38:A44"/>
    <mergeCell ref="B59:B64"/>
    <mergeCell ref="B121:B126"/>
    <mergeCell ref="A121:A126"/>
    <mergeCell ref="A105:A110"/>
    <mergeCell ref="A115:A120"/>
    <mergeCell ref="A99:A104"/>
    <mergeCell ref="A20:A24"/>
    <mergeCell ref="H59:H64"/>
    <mergeCell ref="H25:H26"/>
    <mergeCell ref="H27:H30"/>
    <mergeCell ref="H20:H24"/>
    <mergeCell ref="H13:H18"/>
    <mergeCell ref="A162:C166"/>
    <mergeCell ref="C169:E169"/>
    <mergeCell ref="D162:F162"/>
    <mergeCell ref="D163:F163"/>
    <mergeCell ref="D164:F164"/>
    <mergeCell ref="D165:F165"/>
    <mergeCell ref="D166:F166"/>
    <mergeCell ref="C168:E168"/>
    <mergeCell ref="C167:H167"/>
    <mergeCell ref="A167:B169"/>
  </mergeCells>
  <phoneticPr fontId="3" type="noConversion"/>
  <pageMargins left="0.75" right="0.75" top="1" bottom="1" header="0.5" footer="0.5"/>
  <pageSetup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179"/>
  <sheetViews>
    <sheetView zoomScaleNormal="100" workbookViewId="0">
      <selection activeCell="Q2" sqref="Q2"/>
    </sheetView>
  </sheetViews>
  <sheetFormatPr defaultColWidth="9.33203125" defaultRowHeight="12.75" x14ac:dyDescent="0.2"/>
  <cols>
    <col min="1" max="1" width="5.83203125" style="4" customWidth="1"/>
    <col min="2" max="2" width="18.83203125" style="32" customWidth="1"/>
    <col min="3" max="3" width="75.83203125" style="3" customWidth="1"/>
    <col min="4" max="4" width="6.83203125" style="386" customWidth="1"/>
    <col min="5" max="5" width="8.33203125" style="386" customWidth="1"/>
    <col min="6" max="6" width="7.83203125" style="386" customWidth="1"/>
    <col min="7" max="7" width="9.83203125" style="169" customWidth="1"/>
    <col min="8" max="8" width="75.83203125" style="3" customWidth="1"/>
    <col min="9" max="9" width="13.5" style="4" customWidth="1"/>
    <col min="10" max="16384" width="9.33203125" style="4"/>
  </cols>
  <sheetData>
    <row r="1" spans="1:9" ht="60" customHeight="1" thickBot="1" x14ac:dyDescent="0.25">
      <c r="A1" s="1933" t="s">
        <v>5454</v>
      </c>
      <c r="B1" s="2048"/>
      <c r="C1" s="88" t="s">
        <v>2276</v>
      </c>
      <c r="D1" s="128" t="s">
        <v>2142</v>
      </c>
      <c r="E1" s="2046"/>
      <c r="F1" s="2047"/>
      <c r="G1" s="2047"/>
      <c r="H1" s="2047"/>
    </row>
    <row r="2" spans="1:9" s="3" customFormat="1" ht="30" customHeight="1" thickBot="1" x14ac:dyDescent="0.25">
      <c r="A2" s="451" t="s">
        <v>290</v>
      </c>
      <c r="B2" s="450" t="s">
        <v>5456</v>
      </c>
      <c r="C2" s="484" t="s">
        <v>2606</v>
      </c>
      <c r="D2" s="802" t="s">
        <v>117</v>
      </c>
      <c r="E2" s="493" t="s">
        <v>5438</v>
      </c>
      <c r="F2" s="803" t="s">
        <v>5439</v>
      </c>
      <c r="G2" s="482" t="s">
        <v>5825</v>
      </c>
      <c r="H2" s="473" t="s">
        <v>919</v>
      </c>
    </row>
    <row r="3" spans="1:9" s="3" customFormat="1" ht="21" customHeight="1" thickBot="1" x14ac:dyDescent="0.25">
      <c r="A3" s="1955" t="str">
        <f>OF!A80</f>
        <v>OF13</v>
      </c>
      <c r="B3" s="1688" t="str">
        <f>OF!B80</f>
        <v>Tidal Proximity</v>
      </c>
      <c r="C3" s="381" t="str">
        <f>OF!C80</f>
        <v>The distance from the AA edge to the closest tidal water body is:</v>
      </c>
      <c r="D3" s="387"/>
      <c r="E3" s="387"/>
      <c r="F3" s="387"/>
      <c r="G3" s="556">
        <f>MAX(F4:F8)/MAX(E4:E8)</f>
        <v>0</v>
      </c>
      <c r="H3" s="1688" t="s">
        <v>1188</v>
      </c>
      <c r="I3" s="3" t="s">
        <v>366</v>
      </c>
    </row>
    <row r="4" spans="1:9" s="3" customFormat="1" ht="15" customHeight="1" x14ac:dyDescent="0.2">
      <c r="A4" s="1955"/>
      <c r="B4" s="1688"/>
      <c r="C4" s="384" t="str">
        <f>OF!C81</f>
        <v>&lt;300 ft</v>
      </c>
      <c r="D4" s="280">
        <f>OF!D81</f>
        <v>0</v>
      </c>
      <c r="E4" s="388">
        <v>4</v>
      </c>
      <c r="F4" s="388">
        <f>D4*E4</f>
        <v>0</v>
      </c>
      <c r="G4" s="709"/>
      <c r="H4" s="1688"/>
    </row>
    <row r="5" spans="1:9" s="3" customFormat="1" ht="15" customHeight="1" x14ac:dyDescent="0.2">
      <c r="A5" s="1955"/>
      <c r="B5" s="1688"/>
      <c r="C5" s="487" t="str">
        <f>OF!C82</f>
        <v>300-1000 ft</v>
      </c>
      <c r="D5" s="46">
        <f>OF!D82</f>
        <v>0</v>
      </c>
      <c r="E5" s="388">
        <v>4</v>
      </c>
      <c r="F5" s="388">
        <f>D5*E5</f>
        <v>0</v>
      </c>
      <c r="G5" s="709"/>
      <c r="H5" s="1688"/>
    </row>
    <row r="6" spans="1:9" s="3" customFormat="1" ht="15" customHeight="1" x14ac:dyDescent="0.2">
      <c r="A6" s="1955"/>
      <c r="B6" s="1688"/>
      <c r="C6" s="487" t="str">
        <f>OF!C83</f>
        <v>1000 ft - 1 mile</v>
      </c>
      <c r="D6" s="46">
        <f>OF!D83</f>
        <v>0</v>
      </c>
      <c r="E6" s="388">
        <v>3</v>
      </c>
      <c r="F6" s="388">
        <f>D6*E6</f>
        <v>0</v>
      </c>
      <c r="G6" s="709"/>
      <c r="H6" s="1688"/>
    </row>
    <row r="7" spans="1:9" s="3" customFormat="1" ht="15" customHeight="1" x14ac:dyDescent="0.2">
      <c r="A7" s="1955"/>
      <c r="B7" s="1688"/>
      <c r="C7" s="487" t="str">
        <f>OF!C84</f>
        <v>1-5 miles</v>
      </c>
      <c r="D7" s="46">
        <f>OF!D84</f>
        <v>0</v>
      </c>
      <c r="E7" s="388">
        <v>2</v>
      </c>
      <c r="F7" s="388">
        <f>D7*E7</f>
        <v>0</v>
      </c>
      <c r="G7" s="709"/>
      <c r="H7" s="1688"/>
    </row>
    <row r="8" spans="1:9" s="3" customFormat="1" ht="15.6" customHeight="1" thickBot="1" x14ac:dyDescent="0.25">
      <c r="A8" s="1956"/>
      <c r="B8" s="1689"/>
      <c r="C8" s="486" t="str">
        <f>OF!C85</f>
        <v>&gt;5 miles</v>
      </c>
      <c r="D8" s="213">
        <f>OF!D85</f>
        <v>0</v>
      </c>
      <c r="E8" s="389">
        <v>0</v>
      </c>
      <c r="F8" s="389">
        <f>D8*E8</f>
        <v>0</v>
      </c>
      <c r="G8" s="710"/>
      <c r="H8" s="1689"/>
    </row>
    <row r="9" spans="1:9" ht="27.75" customHeight="1" thickBot="1" x14ac:dyDescent="0.25">
      <c r="A9" s="1954" t="str">
        <f>OF!A93</f>
        <v>OF16</v>
      </c>
      <c r="B9" s="1687" t="str">
        <f>OF!B93</f>
        <v>Glacier Fed</v>
      </c>
      <c r="C9" s="111" t="str">
        <f>OF!C93</f>
        <v>Refer to the Glaciers map in the online WESPAK-SE Wetlands Module.  Select the first applicable choice:</v>
      </c>
      <c r="D9" s="392"/>
      <c r="E9" s="253"/>
      <c r="F9" s="393"/>
      <c r="G9" s="600" t="str">
        <f>IF((Inflows=0),"",IF((D10=1),"",0))</f>
        <v/>
      </c>
      <c r="H9" s="1687" t="s">
        <v>1706</v>
      </c>
      <c r="I9" s="4" t="s">
        <v>382</v>
      </c>
    </row>
    <row r="10" spans="1:9" ht="15" customHeight="1" x14ac:dyDescent="0.2">
      <c r="A10" s="1955"/>
      <c r="B10" s="1688"/>
      <c r="C10" s="384" t="str">
        <f>OF!C94</f>
        <v>No upstream glacier feeds surface water to the AA, not even seasonally.</v>
      </c>
      <c r="D10" s="280">
        <f>OF!D94</f>
        <v>0</v>
      </c>
      <c r="E10" s="48"/>
      <c r="F10" s="391"/>
      <c r="G10" s="708"/>
      <c r="H10" s="1688"/>
    </row>
    <row r="11" spans="1:9" ht="42" customHeight="1" x14ac:dyDescent="0.2">
      <c r="A11" s="1955"/>
      <c r="B11" s="1688"/>
      <c r="C11" s="487"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 s="46">
        <f>OF!D95</f>
        <v>0</v>
      </c>
      <c r="E11" s="48">
        <v>0</v>
      </c>
      <c r="F11" s="391">
        <f>D11*E11</f>
        <v>0</v>
      </c>
      <c r="G11" s="709"/>
      <c r="H11" s="1688"/>
    </row>
    <row r="12" spans="1:9" ht="27.6" customHeight="1" thickBot="1" x14ac:dyDescent="0.25">
      <c r="A12" s="1956"/>
      <c r="B12" s="1689"/>
      <c r="C12" s="486" t="str">
        <f>OF!C96</f>
        <v>A glacier feeds streamflow or other surface water to the AA, but there is little or no resultant reduction in water clarity.</v>
      </c>
      <c r="D12" s="213">
        <f>OF!D96</f>
        <v>0</v>
      </c>
      <c r="E12" s="255">
        <v>0</v>
      </c>
      <c r="F12" s="389">
        <f>D12*E12</f>
        <v>0</v>
      </c>
      <c r="G12" s="710"/>
      <c r="H12" s="1689"/>
    </row>
    <row r="13" spans="1:9" s="3" customFormat="1" ht="40.5" customHeight="1" thickBot="1" x14ac:dyDescent="0.25">
      <c r="A13" s="1955" t="str">
        <f>OF!A97</f>
        <v>OF17</v>
      </c>
      <c r="B13" s="1688" t="str">
        <f>OF!B97</f>
        <v>Fish Access or Use</v>
      </c>
      <c r="C13" s="385" t="str">
        <f>OF!C97</f>
        <v>Refer to the map in the online WESPAK-SE Wetlands Module: Habitat Layers &gt; Anadromous Waters Catalog, and preferably verify by contacting a local ADFG biologist.  Mark just the first choice that is true.  The AA:</v>
      </c>
      <c r="D13" s="387"/>
      <c r="E13" s="387"/>
      <c r="F13" s="390"/>
      <c r="G13" s="601">
        <f>IF((D18=1),"",MAX(F14:F17)/MAX(E14:E17))</f>
        <v>0</v>
      </c>
      <c r="H13" s="1688" t="s">
        <v>2501</v>
      </c>
      <c r="I13" s="3" t="s">
        <v>367</v>
      </c>
    </row>
    <row r="14" spans="1:9" s="3" customFormat="1" ht="24.75" customHeight="1" x14ac:dyDescent="0.2">
      <c r="A14" s="1955"/>
      <c r="B14" s="1688"/>
      <c r="C14" s="19" t="str">
        <f>OF!C98</f>
        <v>a) is known to support anadromous fish feeding and/or spawning (some ADFG Class 1 streams).</v>
      </c>
      <c r="D14" s="380">
        <f>OF!D98</f>
        <v>0</v>
      </c>
      <c r="E14" s="388">
        <v>1</v>
      </c>
      <c r="F14" s="388">
        <f>D14*E14</f>
        <v>0</v>
      </c>
      <c r="G14" s="708"/>
      <c r="H14" s="1688"/>
    </row>
    <row r="15" spans="1:9" s="3" customFormat="1" ht="27" customHeight="1" x14ac:dyDescent="0.2">
      <c r="A15" s="1955"/>
      <c r="B15" s="1688"/>
      <c r="C15" s="470" t="str">
        <f>OF!C99</f>
        <v>b) is probably accessible to anadromous and other fish (at least seasonally, at least for feeding, partially or entirely), but anadromous fish have not been documented (some Class 1 streams).</v>
      </c>
      <c r="D15" s="20">
        <f>OF!D99</f>
        <v>0</v>
      </c>
      <c r="E15" s="388">
        <v>1</v>
      </c>
      <c r="F15" s="388">
        <f>D15*E15</f>
        <v>0</v>
      </c>
      <c r="G15" s="709"/>
      <c r="H15" s="1688"/>
    </row>
    <row r="16" spans="1:9" s="3" customFormat="1" ht="27" customHeight="1" x14ac:dyDescent="0.2">
      <c r="A16" s="1955"/>
      <c r="B16" s="1688"/>
      <c r="C16" s="470" t="str">
        <f>OF!C100</f>
        <v>c) is not accessible to anadromous fish, but other resident fish are known (or can be assumed) present (Class 2).</v>
      </c>
      <c r="D16" s="20">
        <f>OF!D100</f>
        <v>0</v>
      </c>
      <c r="E16" s="388">
        <v>2</v>
      </c>
      <c r="F16" s="388">
        <f>D16*E16</f>
        <v>0</v>
      </c>
      <c r="G16" s="709"/>
      <c r="H16" s="1688"/>
    </row>
    <row r="17" spans="1:9" s="3" customFormat="1" ht="27" customHeight="1" x14ac:dyDescent="0.2">
      <c r="A17" s="1955"/>
      <c r="B17" s="1688"/>
      <c r="C17" s="470" t="str">
        <f>OF!C101</f>
        <v>d) is fishless (i.e., not accessible to anadromous fish and is known or can be assumed to have no resident fish).  (Class 3, 4)</v>
      </c>
      <c r="D17" s="20">
        <f>OF!D101</f>
        <v>0</v>
      </c>
      <c r="E17" s="388">
        <v>0</v>
      </c>
      <c r="F17" s="388">
        <f>D17*E17</f>
        <v>0</v>
      </c>
      <c r="G17" s="709"/>
      <c r="H17" s="1688"/>
    </row>
    <row r="18" spans="1:9" s="3" customFormat="1" ht="15.6" customHeight="1" thickBot="1" x14ac:dyDescent="0.25">
      <c r="A18" s="1956"/>
      <c r="B18" s="1689"/>
      <c r="C18" s="214" t="str">
        <f>OF!C102</f>
        <v>e) fish presence and potential fish access are unknown and undeterminable.</v>
      </c>
      <c r="D18" s="213">
        <f>OF!D102</f>
        <v>0</v>
      </c>
      <c r="E18" s="389"/>
      <c r="F18" s="389"/>
      <c r="G18" s="710"/>
      <c r="H18" s="1689"/>
    </row>
    <row r="19" spans="1:9" s="3" customFormat="1" ht="30" customHeight="1" thickBot="1" x14ac:dyDescent="0.25">
      <c r="A19" s="1839" t="str">
        <f>OF!A113</f>
        <v>OF21</v>
      </c>
      <c r="B19" s="1837" t="str">
        <f>OF!B113</f>
        <v>Temperature, Mean Annual</v>
      </c>
      <c r="C19" s="615" t="str">
        <f>OF!C113</f>
        <v>Refer to the Temperature layer in the online WESPAK-SE Wetlands Module. The mean annual temperature in the vicinity of the AA was modeled as (rounded to the nearest whole number):</v>
      </c>
      <c r="D19" s="387"/>
      <c r="E19" s="394"/>
      <c r="F19" s="395"/>
      <c r="G19" s="512">
        <f>IF((D25=1),"",MAX(F20:F24)/MAX(E20:E24))</f>
        <v>0</v>
      </c>
      <c r="H19" s="1688" t="s">
        <v>1896</v>
      </c>
      <c r="I19" s="3" t="s">
        <v>1897</v>
      </c>
    </row>
    <row r="20" spans="1:9" s="3" customFormat="1" ht="15" customHeight="1" x14ac:dyDescent="0.2">
      <c r="A20" s="1839"/>
      <c r="B20" s="1837"/>
      <c r="C20" s="144" t="str">
        <f>OF!C114</f>
        <v>&lt;38 degrees F</v>
      </c>
      <c r="D20" s="286">
        <f>OF!D114</f>
        <v>0</v>
      </c>
      <c r="E20" s="396">
        <v>0</v>
      </c>
      <c r="F20" s="397">
        <f>D20*E20</f>
        <v>0</v>
      </c>
      <c r="G20" s="521"/>
      <c r="H20" s="1688"/>
    </row>
    <row r="21" spans="1:9" s="3" customFormat="1" ht="15" customHeight="1" x14ac:dyDescent="0.2">
      <c r="A21" s="1839"/>
      <c r="B21" s="1837"/>
      <c r="C21" s="50" t="str">
        <f>OF!C115</f>
        <v>38-40 degrees F</v>
      </c>
      <c r="D21" s="271">
        <f>OF!D115</f>
        <v>0</v>
      </c>
      <c r="E21" s="396">
        <v>1</v>
      </c>
      <c r="F21" s="397">
        <f>D21*E21</f>
        <v>0</v>
      </c>
      <c r="G21" s="521"/>
      <c r="H21" s="1688"/>
    </row>
    <row r="22" spans="1:9" s="3" customFormat="1" ht="15" customHeight="1" x14ac:dyDescent="0.2">
      <c r="A22" s="1839"/>
      <c r="B22" s="1837"/>
      <c r="C22" s="50" t="str">
        <f>OF!C116</f>
        <v>41-42 degrees F</v>
      </c>
      <c r="D22" s="271">
        <f>OF!D116</f>
        <v>0</v>
      </c>
      <c r="E22" s="396">
        <v>2</v>
      </c>
      <c r="F22" s="397">
        <f>D22*E22</f>
        <v>0</v>
      </c>
      <c r="G22" s="521"/>
      <c r="H22" s="1688"/>
    </row>
    <row r="23" spans="1:9" s="3" customFormat="1" ht="15" customHeight="1" x14ac:dyDescent="0.2">
      <c r="A23" s="1839"/>
      <c r="B23" s="1837"/>
      <c r="C23" s="50" t="str">
        <f>OF!C117</f>
        <v>43-44 degrees F</v>
      </c>
      <c r="D23" s="271">
        <f>OF!D117</f>
        <v>0</v>
      </c>
      <c r="E23" s="396">
        <v>3</v>
      </c>
      <c r="F23" s="397">
        <f>D23*E23</f>
        <v>0</v>
      </c>
      <c r="G23" s="521"/>
      <c r="H23" s="1688"/>
    </row>
    <row r="24" spans="1:9" s="3" customFormat="1" ht="15" customHeight="1" x14ac:dyDescent="0.2">
      <c r="A24" s="1839"/>
      <c r="B24" s="1837"/>
      <c r="C24" s="50" t="str">
        <f>OF!C118</f>
        <v>&gt; 44 degrees F</v>
      </c>
      <c r="D24" s="271">
        <f>OF!D118</f>
        <v>0</v>
      </c>
      <c r="E24" s="396">
        <v>4</v>
      </c>
      <c r="F24" s="397">
        <f>D24*E24</f>
        <v>0</v>
      </c>
      <c r="G24" s="515"/>
      <c r="H24" s="1688"/>
    </row>
    <row r="25" spans="1:9" s="3" customFormat="1" ht="15.6" customHeight="1" thickBot="1" x14ac:dyDescent="0.25">
      <c r="A25" s="1839"/>
      <c r="B25" s="1837"/>
      <c r="C25" s="204" t="str">
        <f>OF!C119</f>
        <v>no information available</v>
      </c>
      <c r="D25" s="288">
        <f>OF!D119</f>
        <v>0</v>
      </c>
      <c r="E25" s="398"/>
      <c r="F25" s="399"/>
      <c r="G25" s="500"/>
      <c r="H25" s="1688"/>
    </row>
    <row r="26" spans="1:9" ht="60" customHeight="1" thickBot="1" x14ac:dyDescent="0.25">
      <c r="A26" s="217" t="str">
        <f>OF!A120</f>
        <v>OF22</v>
      </c>
      <c r="B26" s="49" t="str">
        <f>OF!B120</f>
        <v>Basic pH or Karst</v>
      </c>
      <c r="C26" s="428"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26" s="314">
        <f>OF!D120</f>
        <v>0</v>
      </c>
      <c r="E26" s="259"/>
      <c r="F26" s="400"/>
      <c r="G26" s="600" t="str">
        <f>IF((D26=0),"",1)</f>
        <v/>
      </c>
      <c r="H26" s="49" t="s">
        <v>1098</v>
      </c>
      <c r="I26" s="4" t="s">
        <v>383</v>
      </c>
    </row>
    <row r="27" spans="1:9" ht="45" customHeight="1" thickBot="1" x14ac:dyDescent="0.25">
      <c r="A27" s="217" t="str">
        <f>OF!A121</f>
        <v>OF23</v>
      </c>
      <c r="B27" s="49" t="str">
        <f>OF!B121</f>
        <v>Granitic Soils</v>
      </c>
      <c r="C27" s="428" t="str">
        <f>OF!C121</f>
        <v>Refer to the map in the online WESPAK-SE Wetlands Module: Geology&gt; Granitic Geology. The AA is underlain primarily by granitic formations or glacial till that is known to be granitic, as indicated by maps or preferably from direct observation.  Enter 1= yes, 0= no.</v>
      </c>
      <c r="D27" s="314">
        <f>OF!D121</f>
        <v>0</v>
      </c>
      <c r="E27" s="259"/>
      <c r="F27" s="400"/>
      <c r="G27" s="600" t="str">
        <f>IF((D27=1),0,"")</f>
        <v/>
      </c>
      <c r="H27" s="49" t="s">
        <v>1189</v>
      </c>
      <c r="I27" s="4" t="s">
        <v>1089</v>
      </c>
    </row>
    <row r="28" spans="1:9" ht="65.25" customHeight="1" thickBot="1" x14ac:dyDescent="0.25">
      <c r="A28" s="1955" t="str">
        <f>OF!A127</f>
        <v>OF25</v>
      </c>
      <c r="B28" s="1688" t="str">
        <f>OF!B127</f>
        <v xml:space="preserve">Toxicity Documented Upstream </v>
      </c>
      <c r="C28" s="381"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28" s="387"/>
      <c r="E28" s="387"/>
      <c r="F28" s="390"/>
      <c r="G28" s="601">
        <f>IF((D32=1),"", IF((D31=1),1, IF((D30=1),0.2, 0)))</f>
        <v>0</v>
      </c>
      <c r="H28" s="1688" t="s">
        <v>1191</v>
      </c>
      <c r="I28" s="4" t="s">
        <v>806</v>
      </c>
    </row>
    <row r="29" spans="1:9" ht="15" customHeight="1" x14ac:dyDescent="0.2">
      <c r="A29" s="1955"/>
      <c r="B29" s="1688"/>
      <c r="C29" s="384" t="str">
        <f>OF!C128</f>
        <v>within the AA</v>
      </c>
      <c r="D29" s="280">
        <f>OF!D128</f>
        <v>0</v>
      </c>
      <c r="E29" s="387"/>
      <c r="F29" s="388"/>
      <c r="G29" s="708"/>
      <c r="H29" s="1688"/>
    </row>
    <row r="30" spans="1:9" ht="15" customHeight="1" x14ac:dyDescent="0.2">
      <c r="A30" s="1955"/>
      <c r="B30" s="1688"/>
      <c r="C30" s="487" t="str">
        <f>OF!C129</f>
        <v>in waters within 1 mile that flow into the AA.</v>
      </c>
      <c r="D30" s="46">
        <f>OF!D129</f>
        <v>0</v>
      </c>
      <c r="E30" s="387"/>
      <c r="F30" s="388"/>
      <c r="G30" s="709"/>
      <c r="H30" s="1688"/>
    </row>
    <row r="31" spans="1:9" ht="15" customHeight="1" x14ac:dyDescent="0.2">
      <c r="A31" s="1955"/>
      <c r="B31" s="1688"/>
      <c r="C31" s="487" t="str">
        <f>OF!C130</f>
        <v>Sampling (not just absence of map symbols) indicates no problems.</v>
      </c>
      <c r="D31" s="46">
        <f>OF!D130</f>
        <v>0</v>
      </c>
      <c r="E31" s="387"/>
      <c r="F31" s="388"/>
      <c r="G31" s="709"/>
      <c r="H31" s="1688"/>
    </row>
    <row r="32" spans="1:9" ht="15.6" customHeight="1" thickBot="1" x14ac:dyDescent="0.25">
      <c r="A32" s="1956"/>
      <c r="B32" s="1689"/>
      <c r="C32" s="486" t="str">
        <f>OF!C131</f>
        <v>insufficient data (no map symbols &amp; no sampling, or &gt;1 mile upstream).</v>
      </c>
      <c r="D32" s="213">
        <f>OF!D131</f>
        <v>0</v>
      </c>
      <c r="E32" s="402"/>
      <c r="F32" s="389"/>
      <c r="G32" s="710"/>
      <c r="H32" s="1689"/>
    </row>
    <row r="33" spans="1:9" ht="78.75" customHeight="1" thickBot="1" x14ac:dyDescent="0.25">
      <c r="A33" s="2051" t="str">
        <f>OF!A147</f>
        <v>OF28</v>
      </c>
      <c r="B33" s="1701" t="str">
        <f>OF!B147</f>
        <v>Elevation in Multi-scale Watersheds</v>
      </c>
      <c r="C33" s="231"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33" s="392"/>
      <c r="E33" s="253"/>
      <c r="F33" s="254"/>
      <c r="G33" s="600" t="str">
        <f>IF((D34=0),"", (4-D34)/3)</f>
        <v/>
      </c>
      <c r="H33" s="1687" t="s">
        <v>1190</v>
      </c>
      <c r="I33" s="4" t="s">
        <v>368</v>
      </c>
    </row>
    <row r="34" spans="1:9" ht="42" customHeight="1" thickBot="1" x14ac:dyDescent="0.25">
      <c r="A34" s="2052"/>
      <c r="B34" s="1712"/>
      <c r="C34" s="702" t="str">
        <f>OF!C150</f>
        <v>In its HUC6 (the 8-digit* watershed) the AA's elevation puts it in (enter one of the following): 3= upper one-third, 2= middle one-third, 1= lower one-third, 0= no data.  [The 8-digit HUC is obtained by deleting the last 4 digits of the 12-digit HUC code]</v>
      </c>
      <c r="D34" s="317">
        <f>OF!D150</f>
        <v>0</v>
      </c>
      <c r="E34" s="255"/>
      <c r="F34" s="389"/>
      <c r="G34" s="710"/>
      <c r="H34" s="1689"/>
    </row>
    <row r="35" spans="1:9" s="3" customFormat="1" ht="21" customHeight="1" thickBot="1" x14ac:dyDescent="0.25">
      <c r="A35" s="741" t="str">
        <f>F!A4</f>
        <v>F1</v>
      </c>
      <c r="B35" s="1688" t="str">
        <f>F!B4</f>
        <v>Wetland Type</v>
      </c>
      <c r="C35" s="381" t="str">
        <f>F!C4</f>
        <v>Most of the vegetated part of the AA (wetland Assessment Area) is a (select ONE):</v>
      </c>
      <c r="D35" s="387"/>
      <c r="E35" s="406"/>
      <c r="F35" s="778"/>
      <c r="G35" s="601">
        <f>IF((D41=1),"",MAX(F36:F40)/MAX(E36:E40))</f>
        <v>0</v>
      </c>
      <c r="H35" s="1688" t="s">
        <v>1211</v>
      </c>
      <c r="I35" s="3" t="s">
        <v>378</v>
      </c>
    </row>
    <row r="36" spans="1:9" s="3" customFormat="1" ht="15" customHeight="1" x14ac:dyDescent="0.2">
      <c r="A36" s="742" t="str">
        <f>F!A5</f>
        <v>F1.1</v>
      </c>
      <c r="B36" s="1688"/>
      <c r="C36" s="384" t="str">
        <f>F!C5</f>
        <v>Forested Peatland</v>
      </c>
      <c r="D36" s="280">
        <f>F!D5</f>
        <v>0</v>
      </c>
      <c r="E36" s="404">
        <v>1</v>
      </c>
      <c r="F36" s="388">
        <f>D36*E36</f>
        <v>0</v>
      </c>
      <c r="G36" s="804"/>
      <c r="H36" s="1688"/>
    </row>
    <row r="37" spans="1:9" s="3" customFormat="1" ht="15" customHeight="1" x14ac:dyDescent="0.2">
      <c r="A37" s="742" t="str">
        <f>F!A6</f>
        <v>F1.2</v>
      </c>
      <c r="B37" s="1688"/>
      <c r="C37" s="487" t="str">
        <f>F!C6</f>
        <v>Open Peatland</v>
      </c>
      <c r="D37" s="46">
        <f>F!D6</f>
        <v>0</v>
      </c>
      <c r="E37" s="404">
        <v>0</v>
      </c>
      <c r="F37" s="388">
        <f>D37*E37</f>
        <v>0</v>
      </c>
      <c r="G37" s="805"/>
      <c r="H37" s="1688"/>
    </row>
    <row r="38" spans="1:9" s="3" customFormat="1" ht="15" customHeight="1" x14ac:dyDescent="0.2">
      <c r="A38" s="742" t="str">
        <f>F!A7</f>
        <v>F1.3</v>
      </c>
      <c r="B38" s="1688"/>
      <c r="C38" s="487" t="str">
        <f>F!C7</f>
        <v>Fen/ Marsh</v>
      </c>
      <c r="D38" s="46">
        <f>F!D7</f>
        <v>0</v>
      </c>
      <c r="E38" s="404">
        <v>3</v>
      </c>
      <c r="F38" s="388">
        <f>D38*E38</f>
        <v>0</v>
      </c>
      <c r="G38" s="805"/>
      <c r="H38" s="1688"/>
    </row>
    <row r="39" spans="1:9" s="3" customFormat="1" ht="15" customHeight="1" x14ac:dyDescent="0.2">
      <c r="A39" s="742" t="str">
        <f>F!A8</f>
        <v>F1.4</v>
      </c>
      <c r="B39" s="1688"/>
      <c r="C39" s="487" t="str">
        <f>F!C8</f>
        <v>Floodplain Wetland</v>
      </c>
      <c r="D39" s="46">
        <f>F!D8</f>
        <v>0</v>
      </c>
      <c r="E39" s="404">
        <v>4</v>
      </c>
      <c r="F39" s="388">
        <f>D39*E39</f>
        <v>0</v>
      </c>
      <c r="G39" s="805"/>
      <c r="H39" s="1688"/>
    </row>
    <row r="40" spans="1:9" s="3" customFormat="1" ht="15" customHeight="1" x14ac:dyDescent="0.2">
      <c r="A40" s="742" t="str">
        <f>F!A9</f>
        <v>F1.5</v>
      </c>
      <c r="B40" s="1688"/>
      <c r="C40" s="487" t="str">
        <f>F!C9</f>
        <v>Uplift Meadow</v>
      </c>
      <c r="D40" s="46">
        <f>F!D9</f>
        <v>0</v>
      </c>
      <c r="E40" s="404">
        <v>2</v>
      </c>
      <c r="F40" s="388">
        <f>D40*E40</f>
        <v>0</v>
      </c>
      <c r="G40" s="805"/>
      <c r="H40" s="1688"/>
    </row>
    <row r="41" spans="1:9" s="3" customFormat="1" ht="15.6" customHeight="1" thickBot="1" x14ac:dyDescent="0.25">
      <c r="A41" s="743" t="str">
        <f>F!A10</f>
        <v>F1.6</v>
      </c>
      <c r="B41" s="1689"/>
      <c r="C41" s="486" t="str">
        <f>F!C10</f>
        <v>Tidal Marsh or Tidal Swamp.  Do not continue.  Use other spreadsheet.</v>
      </c>
      <c r="D41" s="213">
        <f>F!D10</f>
        <v>0</v>
      </c>
      <c r="E41" s="405"/>
      <c r="F41" s="389"/>
      <c r="G41" s="806"/>
      <c r="H41" s="1689"/>
    </row>
    <row r="42" spans="1:9" s="3" customFormat="1" ht="30" customHeight="1" thickBot="1" x14ac:dyDescent="0.25">
      <c r="A42" s="1896" t="str">
        <f>F!A11</f>
        <v>F2</v>
      </c>
      <c r="B42" s="1692" t="str">
        <f>F!B11</f>
        <v>% Saturated Only</v>
      </c>
      <c r="C42" s="586" t="str">
        <f>F!C11</f>
        <v>The percentage of the AA that lacks surface water during an average year (that is, except perhaps for a few hours after snowmelt or rainstorms), but which is still a wetland, is:</v>
      </c>
      <c r="D42" s="392"/>
      <c r="E42" s="403"/>
      <c r="F42" s="717"/>
      <c r="G42" s="600">
        <f>MAX(F43:F48)/MAX(E43:E48)</f>
        <v>0</v>
      </c>
      <c r="H42" s="1687" t="s">
        <v>1337</v>
      </c>
      <c r="I42" s="3" t="s">
        <v>1338</v>
      </c>
    </row>
    <row r="43" spans="1:9" s="3" customFormat="1" ht="27" customHeight="1" x14ac:dyDescent="0.2">
      <c r="A43" s="1897"/>
      <c r="B43" s="1713"/>
      <c r="C43" s="795" t="str">
        <f>F!C12</f>
        <v>less than 1%, or &lt;0.01 acre (about 20 ft on a side) never has surface water.  In other words, all or nearly all of the AA is inundated permanently or at least seasonally.</v>
      </c>
      <c r="D43" s="319">
        <f>F!D12</f>
        <v>0</v>
      </c>
      <c r="E43" s="388">
        <v>5</v>
      </c>
      <c r="F43" s="388">
        <f t="shared" ref="F43:F48" si="0">D43*E43</f>
        <v>0</v>
      </c>
      <c r="G43" s="709"/>
      <c r="H43" s="1688"/>
    </row>
    <row r="44" spans="1:9" s="3" customFormat="1" ht="15" customHeight="1" x14ac:dyDescent="0.2">
      <c r="A44" s="1897"/>
      <c r="B44" s="1713"/>
      <c r="C44" s="796" t="str">
        <f>F!C13</f>
        <v xml:space="preserve">1-25% of the AA never contains surface water.  </v>
      </c>
      <c r="D44" s="320">
        <f>F!D13</f>
        <v>0</v>
      </c>
      <c r="E44" s="388">
        <v>4</v>
      </c>
      <c r="F44" s="388">
        <f t="shared" si="0"/>
        <v>0</v>
      </c>
      <c r="G44" s="709"/>
      <c r="H44" s="1688"/>
    </row>
    <row r="45" spans="1:9" s="3" customFormat="1" ht="15" customHeight="1" x14ac:dyDescent="0.2">
      <c r="A45" s="1897"/>
      <c r="B45" s="1713"/>
      <c r="C45" s="796" t="str">
        <f>F!C14</f>
        <v>25-50% of the AA never contains surface water.</v>
      </c>
      <c r="D45" s="320">
        <f>F!D14</f>
        <v>0</v>
      </c>
      <c r="E45" s="388">
        <v>3</v>
      </c>
      <c r="F45" s="388">
        <f t="shared" si="0"/>
        <v>0</v>
      </c>
      <c r="G45" s="709"/>
      <c r="H45" s="1688"/>
    </row>
    <row r="46" spans="1:9" s="3" customFormat="1" ht="15" customHeight="1" x14ac:dyDescent="0.2">
      <c r="A46" s="1897"/>
      <c r="B46" s="1713"/>
      <c r="C46" s="796" t="str">
        <f>F!C15</f>
        <v>50-99% of the AA never contains surface water.</v>
      </c>
      <c r="D46" s="320">
        <f>F!D15</f>
        <v>0</v>
      </c>
      <c r="E46" s="388">
        <v>2</v>
      </c>
      <c r="F46" s="388">
        <f t="shared" si="0"/>
        <v>0</v>
      </c>
      <c r="G46" s="709"/>
      <c r="H46" s="1688"/>
    </row>
    <row r="47" spans="1:9" s="3" customFormat="1" ht="27" customHeight="1" x14ac:dyDescent="0.2">
      <c r="A47" s="1897"/>
      <c r="B47" s="1713"/>
      <c r="C47" s="796" t="str">
        <f>F!C16</f>
        <v>&gt;99% of the AA never contains surface water, except for water flowing in channels and/or in pools that occupy &lt;1% of the AA. SKIP to F30.</v>
      </c>
      <c r="D47" s="320">
        <f>F!D16</f>
        <v>0</v>
      </c>
      <c r="E47" s="388">
        <v>1</v>
      </c>
      <c r="F47" s="388">
        <f t="shared" si="0"/>
        <v>0</v>
      </c>
      <c r="G47" s="709"/>
      <c r="H47" s="1688"/>
    </row>
    <row r="48" spans="1:9" s="3" customFormat="1" ht="30" customHeight="1" thickBot="1" x14ac:dyDescent="0.25">
      <c r="A48" s="1898"/>
      <c r="B48" s="1714"/>
      <c r="C48" s="799" t="str">
        <f>F!C17</f>
        <v>&gt;99% of the AA never contains surface water, and AA is not intersected by channels that have flow, not even for a few days per year. SKIP to F28.</v>
      </c>
      <c r="D48" s="800">
        <f>F!D17</f>
        <v>0</v>
      </c>
      <c r="E48" s="389">
        <v>0</v>
      </c>
      <c r="F48" s="389">
        <f t="shared" si="0"/>
        <v>0</v>
      </c>
      <c r="G48" s="710"/>
      <c r="H48" s="1689"/>
    </row>
    <row r="49" spans="1:9" s="3" customFormat="1" ht="30" customHeight="1" thickBot="1" x14ac:dyDescent="0.25">
      <c r="A49" s="1955" t="str">
        <f>F!A18</f>
        <v>F3</v>
      </c>
      <c r="B49" s="1688" t="str">
        <f>F!B18</f>
        <v>% with Persistent Surface Water</v>
      </c>
      <c r="C49" s="385" t="str">
        <f>F!C18</f>
        <v>The percentage of the AA that has surface water (either ponded or flowing, either open or obscured by vegetation) during all of the growing season during most years is:</v>
      </c>
      <c r="D49" s="387"/>
      <c r="E49" s="387"/>
      <c r="F49" s="390"/>
      <c r="G49" s="601">
        <f>IF((AllSat+AllSat1&gt;0),"",MAX(F50:F55)/MAX(E50:E55))</f>
        <v>0</v>
      </c>
      <c r="H49" s="1710" t="s">
        <v>5457</v>
      </c>
      <c r="I49" s="3" t="s">
        <v>355</v>
      </c>
    </row>
    <row r="50" spans="1:9" ht="15" customHeight="1" x14ac:dyDescent="0.2">
      <c r="A50" s="1955"/>
      <c r="B50" s="1688"/>
      <c r="C50" s="21" t="str">
        <f>F!C19</f>
        <v>less than 1%, or &lt;0.01 acre (whichever is less).  SKIP to F7.</v>
      </c>
      <c r="D50" s="280">
        <f>F!D19</f>
        <v>0</v>
      </c>
      <c r="E50" s="388">
        <v>0</v>
      </c>
      <c r="F50" s="388">
        <f>D50*E50</f>
        <v>0</v>
      </c>
      <c r="G50" s="551"/>
      <c r="H50" s="1710"/>
    </row>
    <row r="51" spans="1:9" ht="15" customHeight="1" x14ac:dyDescent="0.2">
      <c r="A51" s="1955"/>
      <c r="B51" s="1688"/>
      <c r="C51" s="6" t="str">
        <f>F!C20</f>
        <v>1-25% of the AA, and mostly in narrow channels and/or small scattered pools.</v>
      </c>
      <c r="D51" s="46">
        <f>F!D20</f>
        <v>0</v>
      </c>
      <c r="E51" s="388">
        <v>1</v>
      </c>
      <c r="F51" s="388">
        <f>D51*E51</f>
        <v>0</v>
      </c>
      <c r="G51" s="552"/>
      <c r="H51" s="1710"/>
    </row>
    <row r="52" spans="1:9" ht="15" customHeight="1" x14ac:dyDescent="0.2">
      <c r="A52" s="1955"/>
      <c r="B52" s="1688"/>
      <c r="C52" s="6" t="str">
        <f>F!C21</f>
        <v>1-25% of the AA, and mostly in a single large pool, pond, and/or channel.</v>
      </c>
      <c r="D52" s="46">
        <f>F!D21</f>
        <v>0</v>
      </c>
      <c r="E52" s="388">
        <v>2</v>
      </c>
      <c r="F52" s="388">
        <f>D52*E52</f>
        <v>0</v>
      </c>
      <c r="G52" s="552"/>
      <c r="H52" s="1710"/>
    </row>
    <row r="53" spans="1:9" ht="15" customHeight="1" x14ac:dyDescent="0.2">
      <c r="A53" s="1955"/>
      <c r="B53" s="1688"/>
      <c r="C53" s="6" t="str">
        <f>F!C22</f>
        <v>25-50% of the AA</v>
      </c>
      <c r="D53" s="46">
        <f>F!D22</f>
        <v>0</v>
      </c>
      <c r="E53" s="388">
        <v>3</v>
      </c>
      <c r="F53" s="388">
        <f>D53*E53</f>
        <v>0</v>
      </c>
      <c r="G53" s="552"/>
      <c r="H53" s="1710"/>
    </row>
    <row r="54" spans="1:9" ht="15" customHeight="1" x14ac:dyDescent="0.2">
      <c r="A54" s="1955"/>
      <c r="B54" s="1688"/>
      <c r="C54" s="6" t="str">
        <f>F!C23</f>
        <v>50-95% of the AA</v>
      </c>
      <c r="D54" s="46">
        <f>F!D23</f>
        <v>0</v>
      </c>
      <c r="E54" s="388">
        <v>4</v>
      </c>
      <c r="F54" s="388">
        <f>D54*E54</f>
        <v>0</v>
      </c>
      <c r="G54" s="552"/>
      <c r="H54" s="1710"/>
    </row>
    <row r="55" spans="1:9" ht="15.6" customHeight="1" thickBot="1" x14ac:dyDescent="0.25">
      <c r="A55" s="1956"/>
      <c r="B55" s="1689"/>
      <c r="C55" s="214" t="str">
        <f>F!C24</f>
        <v>&gt;95% of the AA</v>
      </c>
      <c r="D55" s="213">
        <f>F!D24</f>
        <v>0</v>
      </c>
      <c r="E55" s="405">
        <v>5</v>
      </c>
      <c r="F55" s="389">
        <f>NoPermW10*E55</f>
        <v>0</v>
      </c>
      <c r="G55" s="553"/>
      <c r="H55" s="1711"/>
    </row>
    <row r="56" spans="1:9" s="3" customFormat="1" ht="60" customHeight="1" thickBot="1" x14ac:dyDescent="0.25">
      <c r="A56" s="217" t="str">
        <f>F!A32</f>
        <v>F6</v>
      </c>
      <c r="B56" s="49" t="str">
        <f>F!B32</f>
        <v>Lacustrine Wetland</v>
      </c>
      <c r="C56" s="428" t="str">
        <f>F!C32</f>
        <v>The AA borders a body of ponded open water whose size (not counting the AA's wetland) exceeds 20 acres during most of the growing season.  Enter "1" if true, "0" if false.</v>
      </c>
      <c r="D56" s="314">
        <f>F!D32</f>
        <v>0</v>
      </c>
      <c r="E56" s="411"/>
      <c r="F56" s="400"/>
      <c r="G56" s="600" t="str">
        <f>IF((AllSat+AllSat1&gt;0),"", IF((NoPersis=1),"", IF((D56=0),"",1)))</f>
        <v/>
      </c>
      <c r="H56" s="5" t="s">
        <v>5458</v>
      </c>
      <c r="I56" s="3" t="s">
        <v>385</v>
      </c>
    </row>
    <row r="57" spans="1:9" ht="30" customHeight="1" thickBot="1" x14ac:dyDescent="0.25">
      <c r="A57" s="1954" t="str">
        <f>F!A44</f>
        <v>F9</v>
      </c>
      <c r="B57" s="1687" t="str">
        <f>F!B44</f>
        <v>Predominant Depth Class</v>
      </c>
      <c r="C57" s="231" t="str">
        <f>F!C44</f>
        <v>During most of the growing season, surface water depth in most of the area where it is present is: [Note: This is not asking for the maximum depth.]</v>
      </c>
      <c r="D57" s="392"/>
      <c r="E57" s="392"/>
      <c r="F57" s="410"/>
      <c r="G57" s="550">
        <f>IF((AllSat+AllSat1&gt;0),"",MAX(F58:F62)/MAX(E58:E62))</f>
        <v>0</v>
      </c>
      <c r="H57" s="1709" t="s">
        <v>5459</v>
      </c>
      <c r="I57" s="4" t="s">
        <v>360</v>
      </c>
    </row>
    <row r="58" spans="1:9" ht="15" customHeight="1" x14ac:dyDescent="0.2">
      <c r="A58" s="1955"/>
      <c r="B58" s="1688"/>
      <c r="C58" s="21" t="str">
        <f>F!C45</f>
        <v>&lt;0.5 ft deep (but &gt;0)</v>
      </c>
      <c r="D58" s="280">
        <f>F!D45</f>
        <v>0</v>
      </c>
      <c r="E58" s="388">
        <v>1</v>
      </c>
      <c r="F58" s="388">
        <f t="shared" ref="F58:F66" si="1">D58*E58</f>
        <v>0</v>
      </c>
      <c r="G58" s="551"/>
      <c r="H58" s="1710"/>
    </row>
    <row r="59" spans="1:9" ht="15" customHeight="1" x14ac:dyDescent="0.2">
      <c r="A59" s="1955"/>
      <c r="B59" s="1688"/>
      <c r="C59" s="6" t="str">
        <f>F!C46</f>
        <v>0.5 - 1 ft deep</v>
      </c>
      <c r="D59" s="46">
        <f>F!D46</f>
        <v>0</v>
      </c>
      <c r="E59" s="388">
        <v>1</v>
      </c>
      <c r="F59" s="388">
        <f t="shared" si="1"/>
        <v>0</v>
      </c>
      <c r="G59" s="552"/>
      <c r="H59" s="1710"/>
    </row>
    <row r="60" spans="1:9" ht="15" customHeight="1" x14ac:dyDescent="0.2">
      <c r="A60" s="1955"/>
      <c r="B60" s="1688"/>
      <c r="C60" s="6" t="str">
        <f>F!C47</f>
        <v>1-2 ft deep</v>
      </c>
      <c r="D60" s="46">
        <f>F!D47</f>
        <v>0</v>
      </c>
      <c r="E60" s="388">
        <v>2</v>
      </c>
      <c r="F60" s="388">
        <f t="shared" si="1"/>
        <v>0</v>
      </c>
      <c r="G60" s="552"/>
      <c r="H60" s="1710"/>
    </row>
    <row r="61" spans="1:9" ht="15" customHeight="1" x14ac:dyDescent="0.2">
      <c r="A61" s="1955"/>
      <c r="B61" s="1688"/>
      <c r="C61" s="6" t="str">
        <f>F!C48</f>
        <v>2-6 ft deep</v>
      </c>
      <c r="D61" s="46">
        <f>F!D48</f>
        <v>0</v>
      </c>
      <c r="E61" s="388">
        <v>3</v>
      </c>
      <c r="F61" s="388">
        <f t="shared" si="1"/>
        <v>0</v>
      </c>
      <c r="G61" s="552"/>
      <c r="H61" s="1710"/>
    </row>
    <row r="62" spans="1:9" ht="15.6" customHeight="1" thickBot="1" x14ac:dyDescent="0.25">
      <c r="A62" s="1956"/>
      <c r="B62" s="1689"/>
      <c r="C62" s="214" t="str">
        <f>F!C49</f>
        <v>&gt;6 ft deep.  True for many fringe wetlands.</v>
      </c>
      <c r="D62" s="213">
        <f>F!D49</f>
        <v>0</v>
      </c>
      <c r="E62" s="389">
        <v>4</v>
      </c>
      <c r="F62" s="389">
        <f t="shared" si="1"/>
        <v>0</v>
      </c>
      <c r="G62" s="553"/>
      <c r="H62" s="1711"/>
    </row>
    <row r="63" spans="1:9" ht="21" customHeight="1" thickBot="1" x14ac:dyDescent="0.25">
      <c r="A63" s="1955" t="str">
        <f>F!A50</f>
        <v>F10</v>
      </c>
      <c r="B63" s="1688" t="str">
        <f>F!B50</f>
        <v>Depth Class Distribution</v>
      </c>
      <c r="C63" s="385" t="str">
        <f>F!C50</f>
        <v>When present, surface water in most of the AA usually consists of (select one):</v>
      </c>
      <c r="D63" s="387"/>
      <c r="E63" s="387"/>
      <c r="F63" s="390"/>
      <c r="G63" s="556">
        <f>IF((AllSat+AllSat1&gt;0),"",MAX(F64:F66)/MAX(E64:E66))</f>
        <v>0</v>
      </c>
      <c r="H63" s="1710" t="s">
        <v>5369</v>
      </c>
      <c r="I63" s="4" t="s">
        <v>361</v>
      </c>
    </row>
    <row r="64" spans="1:9" ht="15" customHeight="1" x14ac:dyDescent="0.2">
      <c r="A64" s="1955"/>
      <c r="B64" s="1688"/>
      <c r="C64" s="21" t="str">
        <f>F!C51</f>
        <v>One depth class that comprises &gt;90% of the AA’s inundated area (use the classes in the question above).</v>
      </c>
      <c r="D64" s="280">
        <f>F!D51</f>
        <v>0</v>
      </c>
      <c r="E64" s="388">
        <v>0</v>
      </c>
      <c r="F64" s="388">
        <f t="shared" si="1"/>
        <v>0</v>
      </c>
      <c r="G64" s="551"/>
      <c r="H64" s="1710"/>
    </row>
    <row r="65" spans="1:9" ht="15" customHeight="1" x14ac:dyDescent="0.2">
      <c r="A65" s="1955"/>
      <c r="B65" s="1688"/>
      <c r="C65" s="6" t="str">
        <f>F!C52</f>
        <v>One depth class that comprises 50-90% of the AA's inundated area.</v>
      </c>
      <c r="D65" s="46">
        <f>F!D52</f>
        <v>0</v>
      </c>
      <c r="E65" s="388">
        <v>1</v>
      </c>
      <c r="F65" s="388">
        <f t="shared" si="1"/>
        <v>0</v>
      </c>
      <c r="G65" s="552"/>
      <c r="H65" s="1710"/>
    </row>
    <row r="66" spans="1:9" ht="16.149999999999999" customHeight="1" thickBot="1" x14ac:dyDescent="0.25">
      <c r="A66" s="1956"/>
      <c r="B66" s="1689"/>
      <c r="C66" s="214" t="str">
        <f>F!C53</f>
        <v>Neither of above.  Multiple depth classes; none occupy more than 50% of the AA.</v>
      </c>
      <c r="D66" s="213">
        <f>F!D53</f>
        <v>0</v>
      </c>
      <c r="E66" s="389">
        <v>2</v>
      </c>
      <c r="F66" s="389">
        <f t="shared" si="1"/>
        <v>0</v>
      </c>
      <c r="G66" s="553"/>
      <c r="H66" s="1711"/>
    </row>
    <row r="67" spans="1:9" ht="45" customHeight="1" thickBot="1" x14ac:dyDescent="0.25">
      <c r="A67" s="1954" t="str">
        <f>F!A67</f>
        <v>F14</v>
      </c>
      <c r="B67" s="1687" t="str">
        <f>F!B67</f>
        <v>Non-vegetated Aquatic Cover</v>
      </c>
      <c r="C67" s="231" t="str">
        <f>F!C67</f>
        <v>The cover for fish, aquatic invertebrates, and/or amphibians that is provided by horizontally incised banks, water deeper than 2 ft, and/or partly-submerged accumulations of wood thicker than 4 inches (NOT by living vegetation) is:</v>
      </c>
      <c r="D67" s="392"/>
      <c r="E67" s="392"/>
      <c r="F67" s="410"/>
      <c r="G67" s="550" t="str">
        <f>IF((AllSat+AllSat1&gt;0),"",IF((OpenW=0),"",MAX(F68:F70)/MAX(E68:E70)))</f>
        <v/>
      </c>
      <c r="H67" s="1709" t="s">
        <v>5370</v>
      </c>
      <c r="I67" s="4" t="s">
        <v>356</v>
      </c>
    </row>
    <row r="68" spans="1:9" ht="15" customHeight="1" x14ac:dyDescent="0.2">
      <c r="A68" s="1955"/>
      <c r="B68" s="1688"/>
      <c r="C68" s="21" t="str">
        <f>F!C68</f>
        <v>Little or none, or all water is shallower than 2 ft most of the year.</v>
      </c>
      <c r="D68" s="280">
        <f>F!D68</f>
        <v>0</v>
      </c>
      <c r="E68" s="388">
        <v>0</v>
      </c>
      <c r="F68" s="388">
        <f>D68*E68</f>
        <v>0</v>
      </c>
      <c r="G68" s="551"/>
      <c r="H68" s="1710"/>
    </row>
    <row r="69" spans="1:9" ht="15" customHeight="1" x14ac:dyDescent="0.2">
      <c r="A69" s="1955"/>
      <c r="B69" s="1688"/>
      <c r="C69" s="6" t="str">
        <f>F!C69</f>
        <v>Intermediate, e.g., 500 - 2500 cu. ft of instream wood per 1000 ft of channel.</v>
      </c>
      <c r="D69" s="46">
        <f>F!D69</f>
        <v>0</v>
      </c>
      <c r="E69" s="388">
        <v>1</v>
      </c>
      <c r="F69" s="388">
        <f>D69*E69</f>
        <v>0</v>
      </c>
      <c r="G69" s="782"/>
      <c r="H69" s="1710"/>
    </row>
    <row r="70" spans="1:9" ht="30" customHeight="1" thickBot="1" x14ac:dyDescent="0.25">
      <c r="A70" s="1956"/>
      <c r="B70" s="1689"/>
      <c r="C70" s="214" t="str">
        <f>F!C70</f>
        <v>Extensive:  &gt;8 pieces of wood per stream reach (reach= 10x channel width), or &gt;2700 cu.ft of instream wood per 1000 ft of channel, or &gt;10% of bank length is incised.</v>
      </c>
      <c r="D70" s="213">
        <f>F!D70</f>
        <v>0</v>
      </c>
      <c r="E70" s="389">
        <v>2</v>
      </c>
      <c r="F70" s="389">
        <f>D70*E70</f>
        <v>0</v>
      </c>
      <c r="G70" s="553"/>
      <c r="H70" s="1711"/>
    </row>
    <row r="71" spans="1:9" ht="45" customHeight="1" thickBot="1" x14ac:dyDescent="0.25">
      <c r="A71" s="2019" t="str">
        <f>F!A71</f>
        <v>F15</v>
      </c>
      <c r="B71" s="1688" t="str">
        <f>F!B71</f>
        <v>All Ponded Water - Extent</v>
      </c>
      <c r="C71" s="385" t="str">
        <f>F!C71</f>
        <v>During most of the growing season, the percentage of the AA that has ponded surface water (stagnant, or flows so slowly that fine sediment is not held in suspension) which is either open or shaded by emergent vegetation is:</v>
      </c>
      <c r="D71" s="387"/>
      <c r="E71" s="387"/>
      <c r="F71" s="390"/>
      <c r="G71" s="601">
        <f>IF((AllSat=1),"",MAX(F72:F78)/MAX(E72:E78))</f>
        <v>0</v>
      </c>
      <c r="H71" s="1710" t="s">
        <v>5371</v>
      </c>
      <c r="I71" s="4" t="s">
        <v>359</v>
      </c>
    </row>
    <row r="72" spans="1:9" ht="15" customHeight="1" x14ac:dyDescent="0.2">
      <c r="A72" s="1955"/>
      <c r="B72" s="1688"/>
      <c r="C72" s="21" t="str">
        <f>F!C72</f>
        <v>&lt;1% or none, or occupies &lt;100 sq. ft cumulatively.  Enter "1" and SKIP to F19.</v>
      </c>
      <c r="D72" s="280">
        <f>F!D72</f>
        <v>0</v>
      </c>
      <c r="E72" s="388">
        <v>1</v>
      </c>
      <c r="F72" s="388">
        <f t="shared" ref="F72:F78" si="2">D72*E72</f>
        <v>0</v>
      </c>
      <c r="G72" s="552"/>
      <c r="H72" s="1710"/>
    </row>
    <row r="73" spans="1:9" ht="15" customHeight="1" x14ac:dyDescent="0.2">
      <c r="A73" s="1955"/>
      <c r="B73" s="1688"/>
      <c r="C73" s="6" t="str">
        <f>F!C73</f>
        <v>1-25% of the AA, and mainly in small fishless pools. Enter "1" and SKIP to F19.</v>
      </c>
      <c r="D73" s="46">
        <f>F!D73</f>
        <v>0</v>
      </c>
      <c r="E73" s="388">
        <v>2</v>
      </c>
      <c r="F73" s="388">
        <f t="shared" si="2"/>
        <v>0</v>
      </c>
      <c r="G73" s="552"/>
      <c r="H73" s="1710"/>
    </row>
    <row r="74" spans="1:9" ht="15" customHeight="1" x14ac:dyDescent="0.2">
      <c r="A74" s="1955"/>
      <c r="B74" s="1688"/>
      <c r="C74" s="6" t="str">
        <f>F!C74</f>
        <v>1-25% of the AA, and mainly in a single large pool or pond, with or without fish access.</v>
      </c>
      <c r="D74" s="46">
        <f>F!D74</f>
        <v>0</v>
      </c>
      <c r="E74" s="388">
        <v>3</v>
      </c>
      <c r="F74" s="388">
        <f t="shared" si="2"/>
        <v>0</v>
      </c>
      <c r="G74" s="552"/>
      <c r="H74" s="1710"/>
    </row>
    <row r="75" spans="1:9" ht="15" customHeight="1" x14ac:dyDescent="0.2">
      <c r="A75" s="1955"/>
      <c r="B75" s="1688"/>
      <c r="C75" s="6" t="str">
        <f>F!C75</f>
        <v>5-30% of the AA.</v>
      </c>
      <c r="D75" s="46">
        <f>F!D75</f>
        <v>0</v>
      </c>
      <c r="E75" s="388">
        <v>4</v>
      </c>
      <c r="F75" s="388">
        <f t="shared" si="2"/>
        <v>0</v>
      </c>
      <c r="G75" s="552"/>
      <c r="H75" s="1710"/>
    </row>
    <row r="76" spans="1:9" ht="15" customHeight="1" x14ac:dyDescent="0.2">
      <c r="A76" s="1955"/>
      <c r="B76" s="1688"/>
      <c r="C76" s="6" t="str">
        <f>F!C76</f>
        <v>30-70% of the AA.</v>
      </c>
      <c r="D76" s="46">
        <f>F!D76</f>
        <v>0</v>
      </c>
      <c r="E76" s="388">
        <v>5</v>
      </c>
      <c r="F76" s="388">
        <f t="shared" si="2"/>
        <v>0</v>
      </c>
      <c r="G76" s="552"/>
      <c r="H76" s="1710"/>
    </row>
    <row r="77" spans="1:9" ht="15" customHeight="1" x14ac:dyDescent="0.2">
      <c r="A77" s="1955"/>
      <c r="B77" s="1688"/>
      <c r="C77" s="6" t="str">
        <f>F!C77</f>
        <v>70-95% of the AA.</v>
      </c>
      <c r="D77" s="46">
        <f>F!D77</f>
        <v>0</v>
      </c>
      <c r="E77" s="388">
        <v>6</v>
      </c>
      <c r="F77" s="388">
        <f t="shared" si="2"/>
        <v>0</v>
      </c>
      <c r="G77" s="552"/>
      <c r="H77" s="1710"/>
    </row>
    <row r="78" spans="1:9" ht="15.6" customHeight="1" thickBot="1" x14ac:dyDescent="0.25">
      <c r="A78" s="1956"/>
      <c r="B78" s="1689"/>
      <c r="C78" s="214" t="str">
        <f>F!C78</f>
        <v>&gt;95% of the AA.</v>
      </c>
      <c r="D78" s="213">
        <f>F!D78</f>
        <v>0</v>
      </c>
      <c r="E78" s="389">
        <v>5</v>
      </c>
      <c r="F78" s="389">
        <f t="shared" si="2"/>
        <v>0</v>
      </c>
      <c r="G78" s="553"/>
      <c r="H78" s="1711"/>
    </row>
    <row r="79" spans="1:9" ht="30" customHeight="1" thickBot="1" x14ac:dyDescent="0.25">
      <c r="A79" s="2008" t="str">
        <f>F!A79</f>
        <v>F16</v>
      </c>
      <c r="B79" s="1868" t="str">
        <f>F!B79</f>
        <v>Open Ponded Water - Extent</v>
      </c>
      <c r="C79" s="5" t="str">
        <f>F!C79</f>
        <v>The percentage of the ponded water that is open (lacking emergent vegetation during most of the growing season, and unhidden by a forest or shrub canopy) is:</v>
      </c>
      <c r="D79" s="1592"/>
      <c r="E79" s="717"/>
      <c r="F79" s="410"/>
      <c r="G79" s="547">
        <f>IF((AllSat+AllSat1&gt;0),"",IF((OR(puddles=1,NoPonded=1)),"", MAX(F80:F84)/MAX(E80:E84)))</f>
        <v>0</v>
      </c>
      <c r="H79" s="1710" t="s">
        <v>5462</v>
      </c>
      <c r="I79" s="4" t="s">
        <v>357</v>
      </c>
    </row>
    <row r="80" spans="1:9" ht="15" customHeight="1" x14ac:dyDescent="0.2">
      <c r="A80" s="1970"/>
      <c r="B80" s="1869"/>
      <c r="C80" s="1589" t="str">
        <f>F!C80</f>
        <v>&lt;1% or none, or largest pool occupies &lt;100 sq. ft.  Enter "1" and SKIP to F19.</v>
      </c>
      <c r="D80" s="46">
        <f>F!D80</f>
        <v>0</v>
      </c>
      <c r="E80" s="388">
        <v>0</v>
      </c>
      <c r="F80" s="388">
        <f>D80*E80</f>
        <v>0</v>
      </c>
      <c r="G80" s="853"/>
      <c r="H80" s="1710"/>
    </row>
    <row r="81" spans="1:9" ht="15" customHeight="1" x14ac:dyDescent="0.2">
      <c r="A81" s="1970"/>
      <c r="B81" s="1869"/>
      <c r="C81" s="1587" t="str">
        <f>F!C81</f>
        <v>1-5% of the ponded water.  Enter "1" and SKIP to F19.</v>
      </c>
      <c r="D81" s="46">
        <f>F!D81</f>
        <v>0</v>
      </c>
      <c r="E81" s="388">
        <v>2</v>
      </c>
      <c r="F81" s="388">
        <f>D81*E81</f>
        <v>0</v>
      </c>
      <c r="G81" s="854"/>
      <c r="H81" s="1710"/>
    </row>
    <row r="82" spans="1:9" ht="15" customHeight="1" x14ac:dyDescent="0.2">
      <c r="A82" s="1970"/>
      <c r="B82" s="1869"/>
      <c r="C82" s="1587" t="str">
        <f>F!C82</f>
        <v>5-30% of the ponded water.</v>
      </c>
      <c r="D82" s="46">
        <f>F!D82</f>
        <v>0</v>
      </c>
      <c r="E82" s="388">
        <v>3</v>
      </c>
      <c r="F82" s="388">
        <f>D82*E82</f>
        <v>0</v>
      </c>
      <c r="G82" s="854"/>
      <c r="H82" s="1710"/>
    </row>
    <row r="83" spans="1:9" ht="15" customHeight="1" x14ac:dyDescent="0.2">
      <c r="A83" s="1970"/>
      <c r="B83" s="1869"/>
      <c r="C83" s="1587" t="str">
        <f>F!C83</f>
        <v>30-70% of the ponded water.</v>
      </c>
      <c r="D83" s="46">
        <f>F!D83</f>
        <v>0</v>
      </c>
      <c r="E83" s="388">
        <v>2</v>
      </c>
      <c r="F83" s="388">
        <f>D83*E83</f>
        <v>0</v>
      </c>
      <c r="G83" s="854"/>
      <c r="H83" s="1710"/>
    </row>
    <row r="84" spans="1:9" ht="15" customHeight="1" x14ac:dyDescent="0.2">
      <c r="A84" s="1970"/>
      <c r="B84" s="1869"/>
      <c r="C84" s="1587" t="str">
        <f>F!C84</f>
        <v>70-99% of the ponded water.</v>
      </c>
      <c r="D84" s="46">
        <f>F!D84</f>
        <v>0</v>
      </c>
      <c r="E84" s="388">
        <v>0</v>
      </c>
      <c r="F84" s="388">
        <f>D84*E84</f>
        <v>0</v>
      </c>
      <c r="G84" s="854"/>
      <c r="H84" s="1710"/>
    </row>
    <row r="85" spans="1:9" ht="15.6" customHeight="1" thickBot="1" x14ac:dyDescent="0.25">
      <c r="A85" s="1971"/>
      <c r="B85" s="1870"/>
      <c r="C85" s="1596" t="str">
        <f>F!C85</f>
        <v>100% of the ponded water. SKIP to F18.</v>
      </c>
      <c r="D85" s="213">
        <f>F!D85</f>
        <v>0</v>
      </c>
      <c r="E85" s="389"/>
      <c r="F85" s="389"/>
      <c r="G85" s="855"/>
      <c r="H85" s="1710"/>
    </row>
    <row r="86" spans="1:9" ht="30" customHeight="1" thickBot="1" x14ac:dyDescent="0.25">
      <c r="A86" s="1868" t="str">
        <f>F!A86</f>
        <v>F17</v>
      </c>
      <c r="B86" s="1687" t="str">
        <f>F!B86</f>
        <v>Emergent Vegetation - Distribution</v>
      </c>
      <c r="C86" s="385" t="str">
        <f>F!C86</f>
        <v>During most of the growing season, the spatial pattern of herbaceous vegetation that has surface water beneath it (emergent vegetation -- NOT floating-leaved plants) is mostly:</v>
      </c>
      <c r="D86" s="387"/>
      <c r="E86" s="387"/>
      <c r="F86" s="409"/>
      <c r="G86" s="556">
        <f>IF((AllSat+AllSat1&gt;0),"",IF((OR(puddles=1,NoPonded=1)),"",IF((NoOpenPonded+NoOpenPonded1&gt;0),"",IF((AllOpenPond=1),"",MAX(F87:F89)/MAX(E87:E89)))))</f>
        <v>0</v>
      </c>
      <c r="H86" s="1687" t="s">
        <v>5463</v>
      </c>
      <c r="I86" s="4" t="s">
        <v>362</v>
      </c>
    </row>
    <row r="87" spans="1:9" ht="15" customHeight="1" x14ac:dyDescent="0.2">
      <c r="A87" s="1869"/>
      <c r="B87" s="1688"/>
      <c r="C87" s="21" t="str">
        <f>F!C87</f>
        <v>scattered in small clumps, islands, or patches throughout the surface water area.</v>
      </c>
      <c r="D87" s="280">
        <f>F!D87</f>
        <v>0</v>
      </c>
      <c r="E87" s="387">
        <v>3</v>
      </c>
      <c r="F87" s="388">
        <f>D87*E87</f>
        <v>0</v>
      </c>
      <c r="G87" s="390"/>
      <c r="H87" s="1688"/>
    </row>
    <row r="88" spans="1:9" ht="15" customHeight="1" x14ac:dyDescent="0.2">
      <c r="A88" s="1869"/>
      <c r="B88" s="1688"/>
      <c r="C88" s="6" t="str">
        <f>F!C88</f>
        <v>intermediate</v>
      </c>
      <c r="D88" s="46">
        <f>F!D88</f>
        <v>0</v>
      </c>
      <c r="E88" s="387">
        <v>2</v>
      </c>
      <c r="F88" s="388">
        <f>D88*E88</f>
        <v>0</v>
      </c>
      <c r="G88" s="390"/>
      <c r="H88" s="1688"/>
    </row>
    <row r="89" spans="1:9" ht="27.6" customHeight="1" thickBot="1" x14ac:dyDescent="0.25">
      <c r="A89" s="1870"/>
      <c r="B89" s="1689"/>
      <c r="C89" s="214" t="str">
        <f>F!C89</f>
        <v>clumped along the margin of the surface water area, or mostly surrounds a channel or central area of open water, or such vegetation covers &lt;100 sq ft and &lt;1% of the AA.</v>
      </c>
      <c r="D89" s="213">
        <f>F!D89</f>
        <v>0</v>
      </c>
      <c r="E89" s="402">
        <v>1</v>
      </c>
      <c r="F89" s="389">
        <f>D89*E89</f>
        <v>0</v>
      </c>
      <c r="G89" s="722"/>
      <c r="H89" s="1689"/>
    </row>
    <row r="90" spans="1:9" s="3" customFormat="1" ht="90" customHeight="1" thickBot="1" x14ac:dyDescent="0.25">
      <c r="A90" s="149" t="str">
        <f>F!A91</f>
        <v>F19</v>
      </c>
      <c r="B90" s="109" t="str">
        <f>F!B91</f>
        <v>Ice Cover</v>
      </c>
      <c r="C90" s="383" t="str">
        <f>F!C91</f>
        <v>Ice (not just snow) covers nearly all of the AA's water surface for more than 4 continuous weeks during most years, potentially altering the air-water exchange.  If true, enter "1" in next column.  If untrue, enter "0".</v>
      </c>
      <c r="D90" s="380">
        <f>F!D91</f>
        <v>0</v>
      </c>
      <c r="E90" s="407"/>
      <c r="F90" s="401"/>
      <c r="G90" s="424">
        <f>IF((AllSat+AllSat1&gt;0),"", IF((D90=0),1,""))</f>
        <v>1</v>
      </c>
      <c r="H90" s="143" t="s">
        <v>5372</v>
      </c>
      <c r="I90" s="3" t="s">
        <v>358</v>
      </c>
    </row>
    <row r="91" spans="1:9" ht="90" customHeight="1" thickBot="1" x14ac:dyDescent="0.25">
      <c r="A91" s="217" t="str">
        <f>F!A92</f>
        <v>F20</v>
      </c>
      <c r="B91" s="49" t="str">
        <f>F!B92</f>
        <v>Stained Surface Water</v>
      </c>
      <c r="C91" s="428" t="str">
        <f>F!C92</f>
        <v xml:space="preserve">Most surface water is tea-colored (from tannins, not iron bacteria), and/or its pH is usually &lt;5.5.  If surface water not observed, enter "1" if organic soil depth exceeds 6 inches and vegetation is mostly moss and/or evergreens. </v>
      </c>
      <c r="D91" s="314">
        <f>F!D92</f>
        <v>0</v>
      </c>
      <c r="E91" s="411"/>
      <c r="F91" s="400"/>
      <c r="G91" s="550" t="str">
        <f>IF((AllSat+AllSat1&gt;0),"",IF((D91)=1,0,""))</f>
        <v/>
      </c>
      <c r="H91" s="49" t="s">
        <v>2223</v>
      </c>
      <c r="I91" s="4" t="s">
        <v>422</v>
      </c>
    </row>
    <row r="92" spans="1:9" s="3" customFormat="1" ht="21" customHeight="1" thickBot="1" x14ac:dyDescent="0.25">
      <c r="A92" s="1868" t="str">
        <f>F!A94</f>
        <v>F22</v>
      </c>
      <c r="B92" s="1687" t="str">
        <f>F!B94</f>
        <v>Beaver</v>
      </c>
      <c r="C92" s="111" t="str">
        <f>F!C94</f>
        <v>Use of the AA by beaver during the past 5 years is (select most applicable ONE):</v>
      </c>
      <c r="D92" s="387"/>
      <c r="E92" s="392"/>
      <c r="F92" s="393"/>
      <c r="G92" s="600">
        <f>IF((AllSat+AllSat1&gt;0),"",MAX(F93:F96)/MAX(E93:E96))</f>
        <v>0</v>
      </c>
      <c r="H92" s="1687" t="s">
        <v>5461</v>
      </c>
    </row>
    <row r="93" spans="1:9" s="3" customFormat="1" ht="27" customHeight="1" x14ac:dyDescent="0.2">
      <c r="A93" s="1869"/>
      <c r="B93" s="1688"/>
      <c r="C93" s="384" t="str">
        <f>F!C95</f>
        <v>evident from direct observation or presence of gnawed limbs, dams, tracks, dens, lodges, or extensive stands of water-killed trees (snags).</v>
      </c>
      <c r="D93" s="280">
        <f>F!D95</f>
        <v>0</v>
      </c>
      <c r="E93" s="388">
        <v>5</v>
      </c>
      <c r="F93" s="388">
        <f>D93*E93</f>
        <v>0</v>
      </c>
      <c r="G93" s="708"/>
      <c r="H93" s="1688"/>
    </row>
    <row r="94" spans="1:9" s="3" customFormat="1" ht="53.25" customHeight="1" x14ac:dyDescent="0.2">
      <c r="A94" s="1869"/>
      <c r="B94" s="1688"/>
      <c r="C94" s="487"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94" s="46">
        <f>F!D96</f>
        <v>0</v>
      </c>
      <c r="E94" s="388">
        <v>2</v>
      </c>
      <c r="F94" s="388">
        <f>D94*E94</f>
        <v>0</v>
      </c>
      <c r="G94" s="709"/>
      <c r="H94" s="1688"/>
    </row>
    <row r="95" spans="1:9" s="3" customFormat="1" ht="37.5" customHeight="1" x14ac:dyDescent="0.2">
      <c r="A95" s="1869"/>
      <c r="B95" s="1688"/>
      <c r="C95" s="487" t="str">
        <f>F!C97</f>
        <v>unlikely because site characteristics above are deficient, and/or this is a settled area or other area where beaver are routinely removed.  But beaver occur in the region (i.e., within 10 miles, or on same island).</v>
      </c>
      <c r="D95" s="46">
        <f>F!D97</f>
        <v>0</v>
      </c>
      <c r="E95" s="388">
        <v>1</v>
      </c>
      <c r="F95" s="388">
        <f>D95*E95</f>
        <v>0</v>
      </c>
      <c r="G95" s="709"/>
      <c r="H95" s="1688"/>
    </row>
    <row r="96" spans="1:9" s="3" customFormat="1" ht="15.6" customHeight="1" thickBot="1" x14ac:dyDescent="0.25">
      <c r="A96" s="1870"/>
      <c r="B96" s="1689"/>
      <c r="C96" s="486" t="str">
        <f>F!C98</f>
        <v>none.  Beaver are absent from the region and/or the island.</v>
      </c>
      <c r="D96" s="213">
        <f>F!D98</f>
        <v>0</v>
      </c>
      <c r="E96" s="389">
        <v>0</v>
      </c>
      <c r="F96" s="389">
        <f>D96*E96</f>
        <v>0</v>
      </c>
      <c r="G96" s="710"/>
      <c r="H96" s="1689"/>
    </row>
    <row r="97" spans="1:9" ht="30" customHeight="1" thickBot="1" x14ac:dyDescent="0.25">
      <c r="A97" s="1954" t="str">
        <f>F!A114</f>
        <v>F27</v>
      </c>
      <c r="B97" s="1687" t="str">
        <f>F!B114</f>
        <v>Throughflow Complexity</v>
      </c>
      <c r="C97" s="231" t="str">
        <f>F!C114</f>
        <v xml:space="preserve">During its travel through the AA at the time of peak annual flow, most of the flowing water [select ONE]: </v>
      </c>
      <c r="D97" s="392"/>
      <c r="E97" s="392"/>
      <c r="F97" s="410"/>
      <c r="G97" s="550" t="str">
        <f>IF((AllSat+AllSat1&gt;0),"", IF((Inflows=0),"",MAX(F98:F102)/MAX(E98:E102)))</f>
        <v/>
      </c>
      <c r="H97" s="1709" t="s">
        <v>5464</v>
      </c>
      <c r="I97" s="4" t="s">
        <v>364</v>
      </c>
    </row>
    <row r="98" spans="1:9" ht="42" customHeight="1" x14ac:dyDescent="0.2">
      <c r="A98" s="1955"/>
      <c r="B98" s="1688"/>
      <c r="C98" s="21" t="str">
        <f>F!C115</f>
        <v>Does not bump into plant stems.  Nearly all the water travels in unvegetated (often incised) channels that have little contact with wetland vegetation, or through a zone of open water such as an instream pond or lake.</v>
      </c>
      <c r="D98" s="280">
        <f>F!D115</f>
        <v>0</v>
      </c>
      <c r="E98" s="388">
        <v>0</v>
      </c>
      <c r="F98" s="388">
        <f>D98*E98</f>
        <v>0</v>
      </c>
      <c r="G98" s="551"/>
      <c r="H98" s="1710"/>
    </row>
    <row r="99" spans="1:9" ht="27" customHeight="1" x14ac:dyDescent="0.2">
      <c r="A99" s="1955"/>
      <c r="B99" s="1688"/>
      <c r="C99" s="6" t="str">
        <f>F!C116</f>
        <v>bumps into herbaceous vegetation and follows a fairly straight path from entrance to exit (branched channels few or none, meandering slight or none).</v>
      </c>
      <c r="D99" s="46">
        <f>F!D116</f>
        <v>0</v>
      </c>
      <c r="E99" s="388">
        <v>1</v>
      </c>
      <c r="F99" s="388">
        <f>D99*E99</f>
        <v>0</v>
      </c>
      <c r="G99" s="552"/>
      <c r="H99" s="1710"/>
    </row>
    <row r="100" spans="1:9" ht="27" customHeight="1" x14ac:dyDescent="0.2">
      <c r="A100" s="1955"/>
      <c r="B100" s="1688"/>
      <c r="C100" s="6" t="str">
        <f>F!C117</f>
        <v>bumps into herbaceous vegetation and follows a fairly indirect path from entrance to exit (meandering, multi-branched, or braided).</v>
      </c>
      <c r="D100" s="46">
        <f>F!D117</f>
        <v>0</v>
      </c>
      <c r="E100" s="388">
        <v>3</v>
      </c>
      <c r="F100" s="388">
        <f>D100*E100</f>
        <v>0</v>
      </c>
      <c r="G100" s="552"/>
      <c r="H100" s="1710"/>
    </row>
    <row r="101" spans="1:9" ht="27" customHeight="1" x14ac:dyDescent="0.2">
      <c r="A101" s="1955"/>
      <c r="B101" s="1688"/>
      <c r="C101" s="6" t="str">
        <f>F!C118</f>
        <v>bumps into tree trunks and/or shrub stems and follows a fairly straight path from entrance to exit (branched channels few or none, meandering slight or none).</v>
      </c>
      <c r="D101" s="46">
        <f>F!D118</f>
        <v>0</v>
      </c>
      <c r="E101" s="388">
        <v>2</v>
      </c>
      <c r="F101" s="388">
        <f>D101*E101</f>
        <v>0</v>
      </c>
      <c r="G101" s="552"/>
      <c r="H101" s="1710"/>
    </row>
    <row r="102" spans="1:9" ht="27.6" customHeight="1" thickBot="1" x14ac:dyDescent="0.25">
      <c r="A102" s="1956"/>
      <c r="B102" s="1689"/>
      <c r="C102" s="214" t="str">
        <f>F!C119</f>
        <v>bumps into tree trunks and/or shrub stems and follows a fairly indirect path from entrance to exit (meandering, multi-branched, or braided).</v>
      </c>
      <c r="D102" s="213">
        <f>F!D119</f>
        <v>0</v>
      </c>
      <c r="E102" s="389">
        <v>3</v>
      </c>
      <c r="F102" s="389">
        <f>D102*E102</f>
        <v>0</v>
      </c>
      <c r="G102" s="553"/>
      <c r="H102" s="1711"/>
    </row>
    <row r="103" spans="1:9" ht="30" customHeight="1" thickBot="1" x14ac:dyDescent="0.25">
      <c r="A103" s="1955" t="str">
        <f>F!A120</f>
        <v>F28</v>
      </c>
      <c r="B103" s="1688" t="str">
        <f>F!B120</f>
        <v>Outflow Duration</v>
      </c>
      <c r="C103" s="385" t="str">
        <f>F!C120</f>
        <v>The most persistent surface water connection (outlet channel or pipe, ditch, or overbank water exchange) between the AA and the closest off-site downslope water body is:</v>
      </c>
      <c r="D103" s="387"/>
      <c r="E103" s="387"/>
      <c r="F103" s="409"/>
      <c r="G103" s="556">
        <f>MAX(F104:F108)/MAX(E104:E108)</f>
        <v>0</v>
      </c>
      <c r="H103" s="1709" t="s">
        <v>5373</v>
      </c>
      <c r="I103" s="4" t="s">
        <v>363</v>
      </c>
    </row>
    <row r="104" spans="1:9" ht="27" customHeight="1" x14ac:dyDescent="0.2">
      <c r="A104" s="1955"/>
      <c r="B104" s="1688"/>
      <c r="C104" s="21" t="str">
        <f>F!C121</f>
        <v>persistent (&gt;9 months/year); almost always shown on stream maps, or determine from your dry-season observation.</v>
      </c>
      <c r="D104" s="280">
        <f>F!D121</f>
        <v>0</v>
      </c>
      <c r="E104" s="388">
        <v>3</v>
      </c>
      <c r="F104" s="388">
        <f>D104*E104</f>
        <v>0</v>
      </c>
      <c r="G104" s="551"/>
      <c r="H104" s="1710"/>
    </row>
    <row r="105" spans="1:9" ht="15" customHeight="1" x14ac:dyDescent="0.2">
      <c r="A105" s="1955"/>
      <c r="B105" s="1688"/>
      <c r="C105" s="6" t="str">
        <f>F!C122</f>
        <v>seasonal (14 days to 9 months/year, not necessarily consecutive); sometimes shown on stream maps.</v>
      </c>
      <c r="D105" s="46">
        <f>F!D122</f>
        <v>0</v>
      </c>
      <c r="E105" s="388">
        <v>2</v>
      </c>
      <c r="F105" s="388">
        <f>D105*E105</f>
        <v>0</v>
      </c>
      <c r="G105" s="552"/>
      <c r="H105" s="1710"/>
    </row>
    <row r="106" spans="1:9" ht="15" customHeight="1" x14ac:dyDescent="0.2">
      <c r="A106" s="1955"/>
      <c r="B106" s="1688"/>
      <c r="C106" s="6" t="str">
        <f>F!C123</f>
        <v>temporary (&lt;14 days, not necessarily consecutive); seldom shown on stream maps.</v>
      </c>
      <c r="D106" s="46">
        <f>F!D123</f>
        <v>0</v>
      </c>
      <c r="E106" s="388">
        <v>1</v>
      </c>
      <c r="F106" s="388">
        <f>D106*E106</f>
        <v>0</v>
      </c>
      <c r="G106" s="552"/>
      <c r="H106" s="1710"/>
    </row>
    <row r="107" spans="1:9" ht="42.75" customHeight="1" x14ac:dyDescent="0.2">
      <c r="A107" s="1955"/>
      <c r="B107" s="1688"/>
      <c r="C107" s="6" t="str">
        <f>F!C124</f>
        <v xml:space="preserve">none -- but maps show a stream or other water body that is downslope from the AA and within a distance that is less than the AA's path length (see definition, OF35).  If so, mark "1" here and SKIP TO F30. </v>
      </c>
      <c r="D107" s="46">
        <f>F!D124</f>
        <v>0</v>
      </c>
      <c r="E107" s="404">
        <v>0</v>
      </c>
      <c r="F107" s="388">
        <f>D107*E107</f>
        <v>0</v>
      </c>
      <c r="G107" s="563"/>
      <c r="H107" s="1710"/>
    </row>
    <row r="108" spans="1:9" ht="42" customHeight="1" thickBot="1" x14ac:dyDescent="0.25">
      <c r="A108" s="1956"/>
      <c r="B108" s="1689"/>
      <c r="C108" s="214" t="str">
        <f>F!C125</f>
        <v xml:space="preserve">no surface water flows out of the wetland except possibly during extreme events (less than once per 10 years). Or, water flows only into a wetland, ditch, or lake that lacks an outlet.  If so, mark "1" here and SKIP TO F30. </v>
      </c>
      <c r="D108" s="213">
        <f>F!D125</f>
        <v>0</v>
      </c>
      <c r="E108" s="405">
        <v>0</v>
      </c>
      <c r="F108" s="389">
        <f>D108*E108</f>
        <v>0</v>
      </c>
      <c r="G108" s="553"/>
      <c r="H108" s="1711"/>
    </row>
    <row r="109" spans="1:9" s="3" customFormat="1" ht="21" customHeight="1" thickBot="1" x14ac:dyDescent="0.25">
      <c r="A109" s="1868" t="str">
        <f>F!A130</f>
        <v>F30</v>
      </c>
      <c r="B109" s="1687" t="str">
        <f>F!B130</f>
        <v>Groundwater: Strength of Evidence</v>
      </c>
      <c r="C109" s="111" t="str">
        <f>F!C130</f>
        <v>Select first applicable choice.  In the AA:</v>
      </c>
      <c r="D109" s="392"/>
      <c r="E109" s="392"/>
      <c r="F109" s="393"/>
      <c r="G109" s="600">
        <f>MAX(F110:F112)/MAX(E110:E112)</f>
        <v>0</v>
      </c>
      <c r="H109" s="1687" t="s">
        <v>1186</v>
      </c>
      <c r="I109" s="3" t="s">
        <v>380</v>
      </c>
    </row>
    <row r="110" spans="1:9" s="3" customFormat="1" ht="75.75" customHeight="1" x14ac:dyDescent="0.2">
      <c r="A110" s="1869"/>
      <c r="B110" s="1688"/>
      <c r="C110" s="384"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10" s="280">
        <f>F!D131</f>
        <v>0</v>
      </c>
      <c r="E110" s="388">
        <v>2</v>
      </c>
      <c r="F110" s="388">
        <f>D110*E110</f>
        <v>0</v>
      </c>
      <c r="G110" s="708"/>
      <c r="H110" s="1688"/>
    </row>
    <row r="111" spans="1:9" s="3" customFormat="1" ht="88.5" customHeight="1" x14ac:dyDescent="0.2">
      <c r="A111" s="1869"/>
      <c r="B111" s="1688"/>
      <c r="C111" s="487"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11" s="46">
        <f>F!D132</f>
        <v>0</v>
      </c>
      <c r="E111" s="388">
        <v>1</v>
      </c>
      <c r="F111" s="388">
        <f>D111*E111</f>
        <v>0</v>
      </c>
      <c r="G111" s="708"/>
      <c r="H111" s="1688"/>
    </row>
    <row r="112" spans="1:9" s="3" customFormat="1" ht="27.6" customHeight="1" thickBot="1" x14ac:dyDescent="0.25">
      <c r="A112" s="1870"/>
      <c r="B112" s="1689"/>
      <c r="C112" s="486" t="str">
        <f>F!C133</f>
        <v>Neither of above is true, although some groundwater may discharge to or flow through the AA, or groundwater influx is unknown.</v>
      </c>
      <c r="D112" s="213">
        <f>F!D133</f>
        <v>0</v>
      </c>
      <c r="E112" s="389">
        <v>0</v>
      </c>
      <c r="F112" s="389">
        <f>D112*E112</f>
        <v>0</v>
      </c>
      <c r="G112" s="807"/>
      <c r="H112" s="1689"/>
    </row>
    <row r="113" spans="1:9" ht="30" customHeight="1" thickBot="1" x14ac:dyDescent="0.25">
      <c r="A113" s="1869" t="str">
        <f>F!A188</f>
        <v>F41</v>
      </c>
      <c r="B113" s="1688" t="str">
        <f>F!B188</f>
        <v>N Fixers</v>
      </c>
      <c r="C113" s="381" t="str">
        <f>F!C188</f>
        <v>The percent of the AA's vegetated cover that is nitrogen-fixing  plants -- e.g., alder, sweet clover (Meliolotus), sweetgale (Myrica gale), buffaloberry, clover, lupine, other legumes -- is:</v>
      </c>
      <c r="D113" s="387"/>
      <c r="E113" s="387"/>
      <c r="F113" s="409"/>
      <c r="G113" s="556">
        <f>MAX(F114:F118)/MAX(E114:E118)</f>
        <v>0</v>
      </c>
      <c r="H113" s="1688" t="s">
        <v>1185</v>
      </c>
      <c r="I113" s="4" t="s">
        <v>379</v>
      </c>
    </row>
    <row r="114" spans="1:9" ht="15" customHeight="1" x14ac:dyDescent="0.2">
      <c r="A114" s="1869"/>
      <c r="B114" s="1688"/>
      <c r="C114" s="383" t="str">
        <f>F!C189</f>
        <v>&lt;1% or none</v>
      </c>
      <c r="D114" s="380">
        <f>F!D189</f>
        <v>0</v>
      </c>
      <c r="E114" s="388">
        <v>0</v>
      </c>
      <c r="F114" s="388">
        <f>D114*E114</f>
        <v>0</v>
      </c>
      <c r="G114" s="551"/>
      <c r="H114" s="1688"/>
    </row>
    <row r="115" spans="1:9" ht="15" customHeight="1" x14ac:dyDescent="0.2">
      <c r="A115" s="1869"/>
      <c r="B115" s="1688"/>
      <c r="C115" s="379" t="str">
        <f>F!C190</f>
        <v>1-25% of the shrub plus ground cover, in the AA or along its water edge (whichever has more).</v>
      </c>
      <c r="D115" s="20">
        <f>F!D190</f>
        <v>0</v>
      </c>
      <c r="E115" s="388">
        <v>1</v>
      </c>
      <c r="F115" s="388">
        <f>D115*E115</f>
        <v>0</v>
      </c>
      <c r="G115" s="552"/>
      <c r="H115" s="1688"/>
    </row>
    <row r="116" spans="1:9" ht="15" customHeight="1" x14ac:dyDescent="0.2">
      <c r="A116" s="1869"/>
      <c r="B116" s="1688"/>
      <c r="C116" s="379" t="str">
        <f>F!C191</f>
        <v>25-50% of the shrub plus ground cover, in the AA or along its water edge (whichever has more).</v>
      </c>
      <c r="D116" s="20">
        <f>F!D191</f>
        <v>0</v>
      </c>
      <c r="E116" s="388">
        <v>2</v>
      </c>
      <c r="F116" s="388">
        <f>D116*E116</f>
        <v>0</v>
      </c>
      <c r="G116" s="552"/>
      <c r="H116" s="1688"/>
    </row>
    <row r="117" spans="1:9" ht="15" customHeight="1" x14ac:dyDescent="0.2">
      <c r="A117" s="1869"/>
      <c r="B117" s="1688"/>
      <c r="C117" s="379" t="str">
        <f>F!C192</f>
        <v>50-75% of the shrub plus ground cover, in the AA or along its water edge (whichever has more).</v>
      </c>
      <c r="D117" s="20">
        <f>F!D192</f>
        <v>0</v>
      </c>
      <c r="E117" s="388">
        <v>3</v>
      </c>
      <c r="F117" s="388">
        <f>D117*E117</f>
        <v>0</v>
      </c>
      <c r="G117" s="552"/>
      <c r="H117" s="1688"/>
    </row>
    <row r="118" spans="1:9" ht="15.6" customHeight="1" thickBot="1" x14ac:dyDescent="0.25">
      <c r="A118" s="1870"/>
      <c r="B118" s="1689"/>
      <c r="C118" s="486" t="str">
        <f>F!C193</f>
        <v>&gt;75% of the shrub plus ground cover, in the AA or along its water edge (whichever has more).</v>
      </c>
      <c r="D118" s="213">
        <f>F!D193</f>
        <v>0</v>
      </c>
      <c r="E118" s="389">
        <v>4</v>
      </c>
      <c r="F118" s="389">
        <f>D118*E118</f>
        <v>0</v>
      </c>
      <c r="G118" s="553"/>
      <c r="H118" s="1689"/>
    </row>
    <row r="119" spans="1:9" ht="30" customHeight="1" thickBot="1" x14ac:dyDescent="0.25">
      <c r="A119" s="1845" t="str">
        <f>F!A264</f>
        <v>F55</v>
      </c>
      <c r="B119" s="1688" t="str">
        <f>F!B264</f>
        <v>Natural Cover in Buffer</v>
      </c>
      <c r="C119" s="385" t="str">
        <f>F!C264</f>
        <v>Along the wetland-upland edge and extending 100 ft upslope, the percentage of the upland that contains natural (not necessarily native -- see column E) land cover taller than 6 inches is:</v>
      </c>
      <c r="D119" s="387"/>
      <c r="E119" s="387"/>
      <c r="F119" s="409"/>
      <c r="G119" s="601">
        <f>MAX(F120:F124)/MAX(E120:E124)</f>
        <v>0</v>
      </c>
      <c r="H119" s="1710" t="s">
        <v>1187</v>
      </c>
      <c r="I119" s="4" t="s">
        <v>365</v>
      </c>
    </row>
    <row r="120" spans="1:9" ht="15" customHeight="1" x14ac:dyDescent="0.2">
      <c r="A120" s="1845"/>
      <c r="B120" s="1688"/>
      <c r="C120" s="21" t="str">
        <f>F!C265</f>
        <v xml:space="preserve">&lt;5% </v>
      </c>
      <c r="D120" s="280">
        <f>F!D265</f>
        <v>0</v>
      </c>
      <c r="E120" s="388">
        <v>0</v>
      </c>
      <c r="F120" s="388">
        <f>D120*E120</f>
        <v>0</v>
      </c>
      <c r="G120" s="551"/>
      <c r="H120" s="1710"/>
    </row>
    <row r="121" spans="1:9" ht="15" customHeight="1" x14ac:dyDescent="0.2">
      <c r="A121" s="1845"/>
      <c r="B121" s="1688"/>
      <c r="C121" s="6" t="str">
        <f>F!C266</f>
        <v>5 to 30%</v>
      </c>
      <c r="D121" s="46">
        <f>F!D266</f>
        <v>0</v>
      </c>
      <c r="E121" s="388">
        <v>2</v>
      </c>
      <c r="F121" s="388">
        <f>D121*E121</f>
        <v>0</v>
      </c>
      <c r="G121" s="552"/>
      <c r="H121" s="1710"/>
    </row>
    <row r="122" spans="1:9" ht="15" customHeight="1" x14ac:dyDescent="0.2">
      <c r="A122" s="1845"/>
      <c r="B122" s="1688"/>
      <c r="C122" s="6" t="str">
        <f>F!C267</f>
        <v>30 to 60%</v>
      </c>
      <c r="D122" s="46">
        <f>F!D267</f>
        <v>0</v>
      </c>
      <c r="E122" s="388">
        <v>3</v>
      </c>
      <c r="F122" s="388">
        <f>D122*E122</f>
        <v>0</v>
      </c>
      <c r="G122" s="552"/>
      <c r="H122" s="1710"/>
    </row>
    <row r="123" spans="1:9" ht="15" customHeight="1" x14ac:dyDescent="0.2">
      <c r="A123" s="1845"/>
      <c r="B123" s="1688"/>
      <c r="C123" s="6" t="str">
        <f>F!C268</f>
        <v>60 to 90%</v>
      </c>
      <c r="D123" s="46">
        <f>F!D268</f>
        <v>0</v>
      </c>
      <c r="E123" s="388">
        <v>4</v>
      </c>
      <c r="F123" s="388">
        <f>D123*E123</f>
        <v>0</v>
      </c>
      <c r="G123" s="552"/>
      <c r="H123" s="1710"/>
    </row>
    <row r="124" spans="1:9" ht="15.6" customHeight="1" thickBot="1" x14ac:dyDescent="0.25">
      <c r="A124" s="1845"/>
      <c r="B124" s="1688"/>
      <c r="C124" s="470" t="str">
        <f>F!C269</f>
        <v>&gt;90%.  SKIP to F58.</v>
      </c>
      <c r="D124" s="20">
        <f>F!D269</f>
        <v>0</v>
      </c>
      <c r="E124" s="391">
        <v>6</v>
      </c>
      <c r="F124" s="391">
        <f>D124*E124</f>
        <v>0</v>
      </c>
      <c r="G124" s="563"/>
      <c r="H124" s="1710"/>
    </row>
    <row r="125" spans="1:9" ht="45" customHeight="1" thickBot="1" x14ac:dyDescent="0.25">
      <c r="A125" s="362" t="str">
        <f>S!A65</f>
        <v>S5</v>
      </c>
      <c r="B125" s="148" t="str">
        <f>S!B65</f>
        <v>Altered Timing of Water Inputs</v>
      </c>
      <c r="C125" s="707" t="str">
        <f>S!E79</f>
        <v>Final Score=</v>
      </c>
      <c r="D125" s="765">
        <f>S!F79</f>
        <v>0</v>
      </c>
      <c r="E125" s="411"/>
      <c r="F125" s="400"/>
      <c r="G125" s="600" t="str">
        <f>IF((Inflows=0),"", 1-D125)</f>
        <v/>
      </c>
      <c r="H125" s="5" t="s">
        <v>5460</v>
      </c>
      <c r="I125" s="4" t="s">
        <v>369</v>
      </c>
    </row>
    <row r="126" spans="1:9" ht="30" customHeight="1" thickBot="1" x14ac:dyDescent="0.25">
      <c r="A126" s="483" t="s">
        <v>290</v>
      </c>
      <c r="B126" s="488" t="s">
        <v>5455</v>
      </c>
      <c r="C126" s="475" t="s">
        <v>2606</v>
      </c>
      <c r="D126" s="474" t="s">
        <v>117</v>
      </c>
      <c r="E126" s="626" t="s">
        <v>5438</v>
      </c>
      <c r="F126" s="627" t="s">
        <v>5439</v>
      </c>
      <c r="G126" s="628" t="s">
        <v>5825</v>
      </c>
      <c r="H126" s="488" t="s">
        <v>919</v>
      </c>
    </row>
    <row r="127" spans="1:9" ht="30" customHeight="1" thickBot="1" x14ac:dyDescent="0.25">
      <c r="A127" s="1868" t="str">
        <f>OF!A4</f>
        <v>OF1</v>
      </c>
      <c r="B127" s="1687" t="str">
        <f>OF!B4</f>
        <v>Distance by Road to Nearest Population Center</v>
      </c>
      <c r="C127" s="231" t="str">
        <f>OF!C4</f>
        <v>Measured along the maintained road or boat landing that is nearest the AA, the distance to the nearest population center is:</v>
      </c>
      <c r="D127" s="392"/>
      <c r="E127" s="549"/>
      <c r="F127" s="393"/>
      <c r="G127" s="572">
        <f>MAX(F128:F132)/MAX(E128:E132)</f>
        <v>0</v>
      </c>
      <c r="H127" s="1687" t="s">
        <v>2220</v>
      </c>
      <c r="I127" s="4" t="s">
        <v>370</v>
      </c>
    </row>
    <row r="128" spans="1:9" ht="15" customHeight="1" x14ac:dyDescent="0.2">
      <c r="A128" s="1869"/>
      <c r="B128" s="1688"/>
      <c r="C128" s="21" t="str">
        <f>OF!C5</f>
        <v>&lt;0.5 mile</v>
      </c>
      <c r="D128" s="280">
        <f>OF!D5</f>
        <v>0</v>
      </c>
      <c r="E128" s="412">
        <v>5</v>
      </c>
      <c r="F128" s="388">
        <f t="shared" ref="F128:F143" si="3">D128*E128</f>
        <v>0</v>
      </c>
      <c r="G128" s="551"/>
      <c r="H128" s="1688"/>
    </row>
    <row r="129" spans="1:9" ht="15" customHeight="1" x14ac:dyDescent="0.2">
      <c r="A129" s="1869"/>
      <c r="B129" s="1688"/>
      <c r="C129" s="6" t="str">
        <f>OF!C6</f>
        <v>0.5 - 2 miles</v>
      </c>
      <c r="D129" s="46">
        <f>OF!D6</f>
        <v>0</v>
      </c>
      <c r="E129" s="412">
        <v>3</v>
      </c>
      <c r="F129" s="388">
        <f t="shared" si="3"/>
        <v>0</v>
      </c>
      <c r="G129" s="552"/>
      <c r="H129" s="1688"/>
    </row>
    <row r="130" spans="1:9" ht="15" customHeight="1" x14ac:dyDescent="0.2">
      <c r="A130" s="1869"/>
      <c r="B130" s="1688"/>
      <c r="C130" s="6" t="str">
        <f>OF!C7</f>
        <v>2-5 miles</v>
      </c>
      <c r="D130" s="46">
        <f>OF!D7</f>
        <v>0</v>
      </c>
      <c r="E130" s="412">
        <v>2</v>
      </c>
      <c r="F130" s="388">
        <f t="shared" si="3"/>
        <v>0</v>
      </c>
      <c r="G130" s="552"/>
      <c r="H130" s="1688"/>
    </row>
    <row r="131" spans="1:9" ht="15" customHeight="1" x14ac:dyDescent="0.2">
      <c r="A131" s="1869"/>
      <c r="B131" s="1688"/>
      <c r="C131" s="6" t="str">
        <f>OF!C8</f>
        <v>5-10 miles</v>
      </c>
      <c r="D131" s="46">
        <f>OF!D8</f>
        <v>0</v>
      </c>
      <c r="E131" s="412">
        <v>1</v>
      </c>
      <c r="F131" s="388">
        <f t="shared" si="3"/>
        <v>0</v>
      </c>
      <c r="G131" s="552"/>
      <c r="H131" s="1688"/>
    </row>
    <row r="132" spans="1:9" ht="15.6" customHeight="1" thickBot="1" x14ac:dyDescent="0.25">
      <c r="A132" s="1870"/>
      <c r="B132" s="1689"/>
      <c r="C132" s="214" t="str">
        <f>OF!C9</f>
        <v>&gt;10 miles</v>
      </c>
      <c r="D132" s="213">
        <f>OF!D9</f>
        <v>0</v>
      </c>
      <c r="E132" s="416">
        <v>0</v>
      </c>
      <c r="F132" s="417">
        <f t="shared" si="3"/>
        <v>0</v>
      </c>
      <c r="G132" s="553"/>
      <c r="H132" s="1689"/>
    </row>
    <row r="133" spans="1:9" ht="21" customHeight="1" thickBot="1" x14ac:dyDescent="0.25">
      <c r="A133" s="1869" t="str">
        <f>OF!A11</f>
        <v>OF3</v>
      </c>
      <c r="B133" s="1688" t="str">
        <f>OF!B11</f>
        <v>Distance to Nearest Maintained Road</v>
      </c>
      <c r="C133" s="385" t="str">
        <f>OF!C11</f>
        <v>From the center of the AA, the distance to the nearest maintained public road (dirt or paved) is:</v>
      </c>
      <c r="D133" s="387"/>
      <c r="E133" s="783"/>
      <c r="F133" s="390"/>
      <c r="G133" s="566">
        <f>MAX(F134:F139)/MAX(E134:E139)</f>
        <v>0</v>
      </c>
      <c r="H133" s="1688" t="s">
        <v>2221</v>
      </c>
      <c r="I133" s="4" t="s">
        <v>2032</v>
      </c>
    </row>
    <row r="134" spans="1:9" ht="15" customHeight="1" x14ac:dyDescent="0.2">
      <c r="A134" s="1869"/>
      <c r="B134" s="1688"/>
      <c r="C134" s="19" t="str">
        <f>OF!C12</f>
        <v>&lt;100 ft</v>
      </c>
      <c r="D134" s="380">
        <f>OF!D12</f>
        <v>0</v>
      </c>
      <c r="E134" s="414">
        <v>5</v>
      </c>
      <c r="F134" s="413">
        <f t="shared" si="3"/>
        <v>0</v>
      </c>
      <c r="G134" s="552"/>
      <c r="H134" s="1688"/>
    </row>
    <row r="135" spans="1:9" ht="15" customHeight="1" x14ac:dyDescent="0.2">
      <c r="A135" s="1869"/>
      <c r="B135" s="1688"/>
      <c r="C135" s="470" t="str">
        <f>OF!C13</f>
        <v>100-500 ft</v>
      </c>
      <c r="D135" s="20">
        <f>OF!D13</f>
        <v>0</v>
      </c>
      <c r="E135" s="414">
        <v>4</v>
      </c>
      <c r="F135" s="413">
        <f t="shared" si="3"/>
        <v>0</v>
      </c>
      <c r="G135" s="552"/>
      <c r="H135" s="1688"/>
    </row>
    <row r="136" spans="1:9" ht="15" customHeight="1" x14ac:dyDescent="0.2">
      <c r="A136" s="1869"/>
      <c r="B136" s="1688"/>
      <c r="C136" s="470" t="str">
        <f>OF!C14</f>
        <v>500-1000 ft</v>
      </c>
      <c r="D136" s="20">
        <f>OF!D14</f>
        <v>0</v>
      </c>
      <c r="E136" s="414">
        <v>3</v>
      </c>
      <c r="F136" s="413">
        <f t="shared" si="3"/>
        <v>0</v>
      </c>
      <c r="G136" s="552"/>
      <c r="H136" s="1688"/>
    </row>
    <row r="137" spans="1:9" ht="15" customHeight="1" x14ac:dyDescent="0.2">
      <c r="A137" s="1869"/>
      <c r="B137" s="1688"/>
      <c r="C137" s="470" t="str">
        <f>OF!C15</f>
        <v>1000 ft - 0.5 mile</v>
      </c>
      <c r="D137" s="20">
        <f>OF!D15</f>
        <v>0</v>
      </c>
      <c r="E137" s="414">
        <v>2</v>
      </c>
      <c r="F137" s="413">
        <f t="shared" si="3"/>
        <v>0</v>
      </c>
      <c r="G137" s="552"/>
      <c r="H137" s="1688"/>
    </row>
    <row r="138" spans="1:9" ht="15" customHeight="1" x14ac:dyDescent="0.2">
      <c r="A138" s="1869"/>
      <c r="B138" s="1688"/>
      <c r="C138" s="470" t="str">
        <f>OF!C16</f>
        <v>0.5- 1 mile</v>
      </c>
      <c r="D138" s="20">
        <f>OF!D16</f>
        <v>0</v>
      </c>
      <c r="E138" s="414">
        <v>1</v>
      </c>
      <c r="F138" s="413">
        <f t="shared" si="3"/>
        <v>0</v>
      </c>
      <c r="G138" s="552"/>
      <c r="H138" s="1688"/>
    </row>
    <row r="139" spans="1:9" ht="15.6" customHeight="1" thickBot="1" x14ac:dyDescent="0.25">
      <c r="A139" s="1870"/>
      <c r="B139" s="1689"/>
      <c r="C139" s="214" t="str">
        <f>OF!C17</f>
        <v>&gt;1 mile</v>
      </c>
      <c r="D139" s="213">
        <f>OF!D17</f>
        <v>0</v>
      </c>
      <c r="E139" s="416">
        <v>0</v>
      </c>
      <c r="F139" s="417">
        <f t="shared" si="3"/>
        <v>0</v>
      </c>
      <c r="G139" s="553"/>
      <c r="H139" s="1689"/>
    </row>
    <row r="140" spans="1:9" ht="21" customHeight="1" thickBot="1" x14ac:dyDescent="0.25">
      <c r="A140" s="1954" t="str">
        <f>OF!A183</f>
        <v>OF38</v>
      </c>
      <c r="B140" s="1687" t="str">
        <f>OF!B183</f>
        <v>Subsistence Focal Areas</v>
      </c>
      <c r="C140" s="231" t="str">
        <f>OF!C183</f>
        <v>The AA or waters that directly adjoin it:</v>
      </c>
      <c r="D140" s="392"/>
      <c r="E140" s="549"/>
      <c r="F140" s="393"/>
      <c r="G140" s="572">
        <f>MAX(F141:F143)/MAX(E141:E143)</f>
        <v>0</v>
      </c>
      <c r="H140" s="1687" t="s">
        <v>110</v>
      </c>
      <c r="I140" s="4" t="s">
        <v>371</v>
      </c>
    </row>
    <row r="141" spans="1:9" ht="27" customHeight="1" x14ac:dyDescent="0.2">
      <c r="A141" s="1955"/>
      <c r="B141" s="1688"/>
      <c r="C141" s="21" t="str">
        <f>OF!C184</f>
        <v>is in Juneau or Ketchikan, and thus is a designated Non-subsistence Use Area (see WESPAK-SE Wetlands Module&gt; ADFG Nonsubsistence Use Areas for exact boundaries)</v>
      </c>
      <c r="D141" s="280">
        <f>OF!D184</f>
        <v>0</v>
      </c>
      <c r="E141" s="388">
        <v>0</v>
      </c>
      <c r="F141" s="388">
        <f t="shared" si="3"/>
        <v>0</v>
      </c>
      <c r="G141" s="551"/>
      <c r="H141" s="1688"/>
    </row>
    <row r="142" spans="1:9" ht="27" customHeight="1" x14ac:dyDescent="0.2">
      <c r="A142" s="1955"/>
      <c r="B142" s="1688"/>
      <c r="C142" s="6" t="str">
        <f>OF!C185</f>
        <v>is accessible to salmon AND is a major salmon subsistence harvest area according to (a) Table B-6 of the manual, OR (b) Figures A2a-c of the manual (shown as a point on the maps)</v>
      </c>
      <c r="D142" s="46">
        <f>OF!D185</f>
        <v>0</v>
      </c>
      <c r="E142" s="388">
        <v>3</v>
      </c>
      <c r="F142" s="388">
        <f t="shared" si="3"/>
        <v>0</v>
      </c>
      <c r="G142" s="552"/>
      <c r="H142" s="1688"/>
    </row>
    <row r="143" spans="1:9" ht="15.6" customHeight="1" thickBot="1" x14ac:dyDescent="0.25">
      <c r="A143" s="1956"/>
      <c r="B143" s="1689"/>
      <c r="C143" s="214" t="str">
        <f>OF!C186</f>
        <v>neither of the above</v>
      </c>
      <c r="D143" s="213">
        <f>OF!D186</f>
        <v>0</v>
      </c>
      <c r="E143" s="389">
        <v>2</v>
      </c>
      <c r="F143" s="389">
        <f t="shared" si="3"/>
        <v>0</v>
      </c>
      <c r="G143" s="553"/>
      <c r="H143" s="1689"/>
    </row>
    <row r="144" spans="1:9" ht="60" customHeight="1" thickBot="1" x14ac:dyDescent="0.25">
      <c r="A144" s="1869" t="str">
        <f>F!A300</f>
        <v>F63</v>
      </c>
      <c r="B144" s="1688" t="str">
        <f>F!B300</f>
        <v>Core Area 1</v>
      </c>
      <c r="C144" s="385"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44" s="387"/>
      <c r="E144" s="801"/>
      <c r="F144" s="387"/>
      <c r="G144" s="566">
        <f>MAX(F145:F150)/MAX(E145:E150)</f>
        <v>0</v>
      </c>
      <c r="H144" s="1688" t="s">
        <v>2222</v>
      </c>
      <c r="I144" s="4" t="s">
        <v>2035</v>
      </c>
    </row>
    <row r="145" spans="1:9" ht="15" customHeight="1" x14ac:dyDescent="0.2">
      <c r="A145" s="1869"/>
      <c r="B145" s="1688"/>
      <c r="C145" s="700" t="str">
        <f>F!C301</f>
        <v>&lt;5% and no inhabited building is within 300 ft of the AA</v>
      </c>
      <c r="D145" s="304">
        <f>F!D301</f>
        <v>0</v>
      </c>
      <c r="E145" s="412">
        <v>3</v>
      </c>
      <c r="F145" s="388">
        <f t="shared" ref="F145:F150" si="4">D145*E145</f>
        <v>0</v>
      </c>
      <c r="G145" s="552"/>
      <c r="H145" s="1688"/>
    </row>
    <row r="146" spans="1:9" ht="15" customHeight="1" x14ac:dyDescent="0.2">
      <c r="A146" s="1869"/>
      <c r="B146" s="1688"/>
      <c r="C146" s="434" t="str">
        <f>F!C302</f>
        <v>&lt;5% and inhabited building is within 300 ft of the AA</v>
      </c>
      <c r="D146" s="305">
        <f>F!D302</f>
        <v>0</v>
      </c>
      <c r="E146" s="412">
        <v>3</v>
      </c>
      <c r="F146" s="388">
        <f t="shared" si="4"/>
        <v>0</v>
      </c>
      <c r="G146" s="552"/>
      <c r="H146" s="1688"/>
    </row>
    <row r="147" spans="1:9" ht="15" customHeight="1" x14ac:dyDescent="0.2">
      <c r="A147" s="1869"/>
      <c r="B147" s="1688"/>
      <c r="C147" s="434" t="str">
        <f>F!C303</f>
        <v>5-50% and no inhabited building is within 300 ft of the AA</v>
      </c>
      <c r="D147" s="305">
        <f>F!D303</f>
        <v>0</v>
      </c>
      <c r="E147" s="412">
        <v>2</v>
      </c>
      <c r="F147" s="388">
        <f t="shared" si="4"/>
        <v>0</v>
      </c>
      <c r="G147" s="552"/>
      <c r="H147" s="1688"/>
    </row>
    <row r="148" spans="1:9" ht="15" customHeight="1" x14ac:dyDescent="0.2">
      <c r="A148" s="1869"/>
      <c r="B148" s="1688"/>
      <c r="C148" s="434" t="str">
        <f>F!C304</f>
        <v>5-50% and inhabited building is within 300 ft of the AA</v>
      </c>
      <c r="D148" s="305">
        <f>F!D304</f>
        <v>0</v>
      </c>
      <c r="E148" s="412">
        <v>2</v>
      </c>
      <c r="F148" s="388">
        <f t="shared" si="4"/>
        <v>0</v>
      </c>
      <c r="G148" s="552"/>
      <c r="H148" s="1688"/>
    </row>
    <row r="149" spans="1:9" ht="15" customHeight="1" x14ac:dyDescent="0.2">
      <c r="A149" s="1869"/>
      <c r="B149" s="1688"/>
      <c r="C149" s="434" t="str">
        <f>F!C305</f>
        <v>50-95%</v>
      </c>
      <c r="D149" s="305">
        <f>F!D305</f>
        <v>0</v>
      </c>
      <c r="E149" s="412">
        <v>1</v>
      </c>
      <c r="F149" s="388">
        <f t="shared" si="4"/>
        <v>0</v>
      </c>
      <c r="G149" s="552"/>
      <c r="H149" s="1688"/>
    </row>
    <row r="150" spans="1:9" ht="15.6" customHeight="1" thickBot="1" x14ac:dyDescent="0.25">
      <c r="A150" s="1870"/>
      <c r="B150" s="1689"/>
      <c r="C150" s="769" t="str">
        <f>F!C306</f>
        <v>&gt;95% of the AA</v>
      </c>
      <c r="D150" s="318">
        <f>F!D306</f>
        <v>0</v>
      </c>
      <c r="E150" s="416">
        <v>0</v>
      </c>
      <c r="F150" s="389">
        <f t="shared" si="4"/>
        <v>0</v>
      </c>
      <c r="G150" s="553"/>
      <c r="H150" s="1689"/>
    </row>
    <row r="151" spans="1:9" ht="30" customHeight="1" thickBot="1" x14ac:dyDescent="0.25">
      <c r="A151" s="149" t="str">
        <f>F!A314</f>
        <v>F67</v>
      </c>
      <c r="B151" s="143" t="str">
        <f>F!B314</f>
        <v>Consumptive Uses (Provisioning Services)</v>
      </c>
      <c r="C151" s="4" t="str">
        <f>FA!C159</f>
        <v>Fishing</v>
      </c>
      <c r="D151" s="1273">
        <f>FA!D159</f>
        <v>0</v>
      </c>
      <c r="E151" s="420">
        <v>1</v>
      </c>
      <c r="F151" s="401">
        <f>D151*E151</f>
        <v>0</v>
      </c>
      <c r="G151" s="782">
        <f>D151</f>
        <v>0</v>
      </c>
      <c r="H151" s="143" t="s">
        <v>108</v>
      </c>
      <c r="I151" s="4" t="s">
        <v>845</v>
      </c>
    </row>
    <row r="152" spans="1:9" ht="30" customHeight="1" thickBot="1" x14ac:dyDescent="0.25">
      <c r="A152" s="217"/>
      <c r="B152" s="85" t="str">
        <f>WBF!C193</f>
        <v>Function Score for Feeding Waterbird Habitat</v>
      </c>
      <c r="C152" s="797"/>
      <c r="D152" s="421">
        <f>WBF!G193</f>
        <v>0</v>
      </c>
      <c r="E152" s="422">
        <v>1</v>
      </c>
      <c r="F152" s="411">
        <f>D152*E152</f>
        <v>0</v>
      </c>
      <c r="G152" s="808">
        <f>D152/10</f>
        <v>0</v>
      </c>
      <c r="H152" s="5" t="s">
        <v>109</v>
      </c>
      <c r="I152" s="4" t="s">
        <v>377</v>
      </c>
    </row>
    <row r="153" spans="1:9" ht="21" customHeight="1" thickBot="1" x14ac:dyDescent="0.25">
      <c r="A153" s="1889"/>
      <c r="B153" s="1889"/>
      <c r="C153" s="1889"/>
      <c r="D153" s="2049"/>
      <c r="E153" s="2049"/>
      <c r="F153" s="2049"/>
      <c r="G153" s="2049"/>
      <c r="H153" s="2050"/>
    </row>
    <row r="154" spans="1:9" ht="21" customHeight="1" x14ac:dyDescent="0.2">
      <c r="A154" s="1862"/>
      <c r="B154" s="1862"/>
      <c r="C154" s="1862"/>
      <c r="D154" s="2055" t="s">
        <v>1249</v>
      </c>
      <c r="E154" s="2056"/>
      <c r="F154" s="2057"/>
      <c r="G154" s="790">
        <f>AVERAGE(SatPct10,Depth10,DepthEven10,PermWpct10,Interspers10,ThruFlo10,ISOdry10)</f>
        <v>0</v>
      </c>
      <c r="H154" s="728" t="s">
        <v>1924</v>
      </c>
    </row>
    <row r="155" spans="1:9" ht="21" customHeight="1" x14ac:dyDescent="0.2">
      <c r="A155" s="1862"/>
      <c r="B155" s="1862"/>
      <c r="C155" s="1862"/>
      <c r="D155" s="2058" t="s">
        <v>330</v>
      </c>
      <c r="E155" s="2059"/>
      <c r="F155" s="2060"/>
      <c r="G155" s="791">
        <f>IF((AllSat=1),"", AVERAGE(Beaver10,AVERAGE(Wettype10,WoodAbove10, ABpct10)))</f>
        <v>0</v>
      </c>
      <c r="H155" s="729" t="s">
        <v>2289</v>
      </c>
    </row>
    <row r="156" spans="1:9" ht="21" customHeight="1" x14ac:dyDescent="0.2">
      <c r="A156" s="1862"/>
      <c r="B156" s="1862"/>
      <c r="C156" s="1862"/>
      <c r="D156" s="2058" t="s">
        <v>372</v>
      </c>
      <c r="E156" s="2059"/>
      <c r="F156" s="2060"/>
      <c r="G156" s="791">
        <f>AVERAGE(Groundw10, Wettype10,Nfix10,Karst10a,Granite10,Lake10a)</f>
        <v>0</v>
      </c>
      <c r="H156" s="729" t="s">
        <v>1707</v>
      </c>
    </row>
    <row r="157" spans="1:9" ht="21" customHeight="1" x14ac:dyDescent="0.2">
      <c r="A157" s="1862"/>
      <c r="B157" s="1862"/>
      <c r="C157" s="1862"/>
      <c r="D157" s="2058" t="s">
        <v>384</v>
      </c>
      <c r="E157" s="2059"/>
      <c r="F157" s="2060"/>
      <c r="G157" s="791">
        <f>IF((AllSat=1),"",AVERAGE(warmth10,Elev10,TidalProx10,IceDura10))</f>
        <v>0.33333333333333331</v>
      </c>
      <c r="H157" s="729" t="s">
        <v>1905</v>
      </c>
    </row>
    <row r="158" spans="1:9" ht="21" customHeight="1" thickBot="1" x14ac:dyDescent="0.25">
      <c r="A158" s="1862"/>
      <c r="B158" s="1862"/>
      <c r="C158" s="1862"/>
      <c r="D158" s="2061" t="s">
        <v>873</v>
      </c>
      <c r="E158" s="2062"/>
      <c r="F158" s="2063"/>
      <c r="G158" s="792">
        <f>AVERAGE(AltTime10,Glacier10,ToxData10,NatVegCUpct10)</f>
        <v>0</v>
      </c>
      <c r="H158" s="730" t="s">
        <v>1099</v>
      </c>
    </row>
    <row r="159" spans="1:9" ht="21" customHeight="1" thickBot="1" x14ac:dyDescent="0.25">
      <c r="A159" s="1862"/>
      <c r="B159" s="1862"/>
      <c r="C159" s="1862"/>
      <c r="D159" s="2053"/>
      <c r="E159" s="2053"/>
      <c r="F159" s="2053"/>
      <c r="G159" s="2053"/>
      <c r="H159" s="2054"/>
    </row>
    <row r="160" spans="1:9" ht="33" customHeight="1" thickBot="1" x14ac:dyDescent="0.25">
      <c r="A160" s="1892"/>
      <c r="B160" s="1904"/>
      <c r="C160" s="1874" t="s">
        <v>1710</v>
      </c>
      <c r="D160" s="1875"/>
      <c r="E160" s="1876"/>
      <c r="F160" s="423" t="s">
        <v>141</v>
      </c>
      <c r="G160" s="547">
        <f>IF((Fishless=1),0,10*AVERAGE(Hydro10,Struc10,Produc10,AnoxRisk10,Stress10))</f>
        <v>0.66666666666666663</v>
      </c>
      <c r="H160" s="49" t="s">
        <v>5774</v>
      </c>
    </row>
    <row r="161" spans="1:8" ht="30" customHeight="1" thickBot="1" x14ac:dyDescent="0.25">
      <c r="A161" s="1892"/>
      <c r="B161" s="1904"/>
      <c r="C161" s="1874" t="s">
        <v>1711</v>
      </c>
      <c r="D161" s="1875"/>
      <c r="E161" s="1876"/>
      <c r="F161" s="423" t="s">
        <v>142</v>
      </c>
      <c r="G161" s="548">
        <f>10*(MAX(_WBF10, Subsist10,AVERAGE(Fishing,PopDist10, DistRd10,Core10)))</f>
        <v>0</v>
      </c>
      <c r="H161" s="49" t="s">
        <v>2036</v>
      </c>
    </row>
    <row r="162" spans="1:8" ht="21" customHeight="1" thickBot="1" x14ac:dyDescent="0.25">
      <c r="A162" s="1892"/>
      <c r="B162" s="1892"/>
      <c r="C162" s="1892"/>
      <c r="D162" s="1892"/>
      <c r="E162" s="1892"/>
      <c r="F162" s="1892"/>
      <c r="G162" s="1892"/>
      <c r="H162" s="1892"/>
    </row>
    <row r="163" spans="1:8" ht="21" customHeight="1" thickBot="1" x14ac:dyDescent="0.25">
      <c r="A163" s="1892"/>
      <c r="B163" s="1892"/>
      <c r="C163" s="1892"/>
      <c r="D163" s="1892"/>
      <c r="E163" s="1892"/>
      <c r="F163" s="1892"/>
      <c r="G163" s="1904"/>
      <c r="H163" s="80" t="s">
        <v>1345</v>
      </c>
    </row>
    <row r="164" spans="1:8" ht="42" customHeight="1" x14ac:dyDescent="0.2">
      <c r="A164" s="1892"/>
      <c r="B164" s="1892"/>
      <c r="C164" s="1892"/>
      <c r="D164" s="1892"/>
      <c r="E164" s="1892"/>
      <c r="F164" s="1892"/>
      <c r="G164" s="1904"/>
      <c r="H164" s="145" t="s">
        <v>1570</v>
      </c>
    </row>
    <row r="165" spans="1:8" ht="42" customHeight="1" x14ac:dyDescent="0.2">
      <c r="A165" s="1892"/>
      <c r="B165" s="1892"/>
      <c r="C165" s="1892"/>
      <c r="D165" s="1892"/>
      <c r="E165" s="1892"/>
      <c r="F165" s="1892"/>
      <c r="G165" s="1904"/>
      <c r="H165" s="116" t="s">
        <v>1413</v>
      </c>
    </row>
    <row r="166" spans="1:8" ht="27" customHeight="1" x14ac:dyDescent="0.2">
      <c r="A166" s="1892"/>
      <c r="B166" s="1892"/>
      <c r="C166" s="1892"/>
      <c r="D166" s="1892"/>
      <c r="E166" s="1892"/>
      <c r="F166" s="1892"/>
      <c r="G166" s="1904"/>
      <c r="H166" s="116" t="s">
        <v>5775</v>
      </c>
    </row>
    <row r="167" spans="1:8" ht="42" customHeight="1" x14ac:dyDescent="0.2">
      <c r="A167" s="1892"/>
      <c r="B167" s="1892"/>
      <c r="C167" s="1892"/>
      <c r="D167" s="1892"/>
      <c r="E167" s="1892"/>
      <c r="F167" s="1892"/>
      <c r="G167" s="1904"/>
      <c r="H167" s="116" t="s">
        <v>1571</v>
      </c>
    </row>
    <row r="168" spans="1:8" ht="27" customHeight="1" x14ac:dyDescent="0.2">
      <c r="A168" s="1892"/>
      <c r="B168" s="1892"/>
      <c r="C168" s="1892"/>
      <c r="D168" s="1892"/>
      <c r="E168" s="1892"/>
      <c r="F168" s="1892"/>
      <c r="G168" s="1904"/>
      <c r="H168" s="116" t="s">
        <v>1527</v>
      </c>
    </row>
    <row r="169" spans="1:8" ht="42" customHeight="1" x14ac:dyDescent="0.2">
      <c r="A169" s="1892"/>
      <c r="B169" s="1892"/>
      <c r="C169" s="1892"/>
      <c r="D169" s="1892"/>
      <c r="E169" s="1892"/>
      <c r="F169" s="1892"/>
      <c r="G169" s="1904"/>
      <c r="H169" s="116" t="s">
        <v>1528</v>
      </c>
    </row>
    <row r="170" spans="1:8" ht="42" customHeight="1" x14ac:dyDescent="0.2">
      <c r="A170" s="1892"/>
      <c r="B170" s="1892"/>
      <c r="C170" s="1892"/>
      <c r="D170" s="1892"/>
      <c r="E170" s="1892"/>
      <c r="F170" s="1892"/>
      <c r="G170" s="1904"/>
      <c r="H170" s="116" t="s">
        <v>1529</v>
      </c>
    </row>
    <row r="171" spans="1:8" ht="42" customHeight="1" x14ac:dyDescent="0.2">
      <c r="A171" s="1892"/>
      <c r="B171" s="1892"/>
      <c r="C171" s="1892"/>
      <c r="D171" s="1892"/>
      <c r="E171" s="1892"/>
      <c r="F171" s="1892"/>
      <c r="G171" s="1904"/>
      <c r="H171" s="116" t="s">
        <v>1572</v>
      </c>
    </row>
    <row r="172" spans="1:8" ht="42" customHeight="1" x14ac:dyDescent="0.2">
      <c r="A172" s="1892"/>
      <c r="B172" s="1892"/>
      <c r="C172" s="1892"/>
      <c r="D172" s="1892"/>
      <c r="E172" s="1892"/>
      <c r="F172" s="1892"/>
      <c r="G172" s="1904"/>
      <c r="H172" s="116" t="s">
        <v>1573</v>
      </c>
    </row>
    <row r="173" spans="1:8" ht="27" customHeight="1" x14ac:dyDescent="0.2">
      <c r="A173" s="1892"/>
      <c r="B173" s="1892"/>
      <c r="C173" s="1892"/>
      <c r="D173" s="1892"/>
      <c r="E173" s="1892"/>
      <c r="F173" s="1892"/>
      <c r="G173" s="1904"/>
      <c r="H173" s="116" t="s">
        <v>1543</v>
      </c>
    </row>
    <row r="174" spans="1:8" ht="27" customHeight="1" x14ac:dyDescent="0.2">
      <c r="A174" s="1892"/>
      <c r="B174" s="1892"/>
      <c r="C174" s="1892"/>
      <c r="D174" s="1892"/>
      <c r="E174" s="1892"/>
      <c r="F174" s="1892"/>
      <c r="G174" s="1904"/>
      <c r="H174" s="116" t="s">
        <v>1406</v>
      </c>
    </row>
    <row r="175" spans="1:8" ht="42" customHeight="1" x14ac:dyDescent="0.2">
      <c r="A175" s="1892"/>
      <c r="B175" s="1892"/>
      <c r="C175" s="1892"/>
      <c r="D175" s="1892"/>
      <c r="E175" s="1892"/>
      <c r="F175" s="1892"/>
      <c r="G175" s="1904"/>
      <c r="H175" s="116" t="s">
        <v>1548</v>
      </c>
    </row>
    <row r="176" spans="1:8" ht="42" customHeight="1" x14ac:dyDescent="0.2">
      <c r="A176" s="1892"/>
      <c r="B176" s="1892"/>
      <c r="C176" s="1892"/>
      <c r="D176" s="1892"/>
      <c r="E176" s="1892"/>
      <c r="F176" s="1892"/>
      <c r="G176" s="1904"/>
      <c r="H176" s="116" t="s">
        <v>1556</v>
      </c>
    </row>
    <row r="177" spans="1:8" ht="27" customHeight="1" x14ac:dyDescent="0.2">
      <c r="A177" s="1892"/>
      <c r="B177" s="1892"/>
      <c r="C177" s="1892"/>
      <c r="D177" s="1892"/>
      <c r="E177" s="1892"/>
      <c r="F177" s="1892"/>
      <c r="G177" s="1904"/>
      <c r="H177" s="116" t="s">
        <v>1566</v>
      </c>
    </row>
    <row r="178" spans="1:8" ht="42" customHeight="1" x14ac:dyDescent="0.2">
      <c r="A178" s="1892"/>
      <c r="B178" s="1892"/>
      <c r="C178" s="1892"/>
      <c r="D178" s="1892"/>
      <c r="E178" s="1892"/>
      <c r="F178" s="1892"/>
      <c r="G178" s="1904"/>
      <c r="H178" s="116" t="s">
        <v>1574</v>
      </c>
    </row>
    <row r="179" spans="1:8" ht="72" customHeight="1" thickBot="1" x14ac:dyDescent="0.25">
      <c r="A179" s="1892"/>
      <c r="B179" s="1892"/>
      <c r="C179" s="1892"/>
      <c r="D179" s="1892"/>
      <c r="E179" s="1892"/>
      <c r="F179" s="1892"/>
      <c r="G179" s="1904"/>
      <c r="H179" s="119" t="s">
        <v>1575</v>
      </c>
    </row>
  </sheetData>
  <sheetProtection algorithmName="SHA-512" hashValue="MFGSsoYmEn6Kzvz7cAHJKfYOfZ9ojjneUiYKqT1hPDwRwQoXk9aPyJNOVoOfFQoTewzrz4rtPHZDkJujEhJbQQ==" saltValue="cjNBy3jWbxpRtDKT97V5+g==" spinCount="100000" sheet="1" formatCells="0" formatColumns="0" formatRows="0"/>
  <customSheetViews>
    <customSheetView guid="{B8E02330-2419-4DE6-AD01-7ACC7A5D18DD}" scale="75">
      <selection activeCell="H120" sqref="A2:H120"/>
      <pageMargins left="0.75" right="0.75" top="1" bottom="1" header="0.5" footer="0.5"/>
      <pageSetup orientation="portrait" r:id="rId1"/>
      <headerFooter alignWithMargins="0"/>
    </customSheetView>
  </customSheetViews>
  <mergeCells count="89">
    <mergeCell ref="C160:E160"/>
    <mergeCell ref="A160:B161"/>
    <mergeCell ref="B113:B118"/>
    <mergeCell ref="A127:A132"/>
    <mergeCell ref="A133:A139"/>
    <mergeCell ref="D159:H159"/>
    <mergeCell ref="A153:C159"/>
    <mergeCell ref="D154:F154"/>
    <mergeCell ref="D155:F155"/>
    <mergeCell ref="D156:F156"/>
    <mergeCell ref="D157:F157"/>
    <mergeCell ref="D158:F158"/>
    <mergeCell ref="A9:A12"/>
    <mergeCell ref="A144:A150"/>
    <mergeCell ref="B144:B150"/>
    <mergeCell ref="H144:H150"/>
    <mergeCell ref="A113:A118"/>
    <mergeCell ref="A63:A66"/>
    <mergeCell ref="H109:H112"/>
    <mergeCell ref="H63:H66"/>
    <mergeCell ref="A103:A108"/>
    <mergeCell ref="B133:B139"/>
    <mergeCell ref="H133:H139"/>
    <mergeCell ref="B67:B70"/>
    <mergeCell ref="B140:B143"/>
    <mergeCell ref="A140:A143"/>
    <mergeCell ref="B119:B124"/>
    <mergeCell ref="A119:A124"/>
    <mergeCell ref="H3:H8"/>
    <mergeCell ref="H9:H12"/>
    <mergeCell ref="A28:A32"/>
    <mergeCell ref="H67:H70"/>
    <mergeCell ref="H103:H108"/>
    <mergeCell ref="H35:H41"/>
    <mergeCell ref="B35:B41"/>
    <mergeCell ref="H79:H85"/>
    <mergeCell ref="A3:A8"/>
    <mergeCell ref="A57:A62"/>
    <mergeCell ref="B13:B18"/>
    <mergeCell ref="A13:A18"/>
    <mergeCell ref="B33:B34"/>
    <mergeCell ref="A33:A34"/>
    <mergeCell ref="B9:B12"/>
    <mergeCell ref="B3:B8"/>
    <mergeCell ref="B28:B32"/>
    <mergeCell ref="B42:B48"/>
    <mergeCell ref="A67:A70"/>
    <mergeCell ref="B103:B108"/>
    <mergeCell ref="H28:H32"/>
    <mergeCell ref="B57:B62"/>
    <mergeCell ref="A86:A89"/>
    <mergeCell ref="B86:B89"/>
    <mergeCell ref="A71:A78"/>
    <mergeCell ref="B71:B78"/>
    <mergeCell ref="A92:A96"/>
    <mergeCell ref="B92:B96"/>
    <mergeCell ref="A97:A102"/>
    <mergeCell ref="A162:H162"/>
    <mergeCell ref="H119:H124"/>
    <mergeCell ref="H127:H132"/>
    <mergeCell ref="H140:H143"/>
    <mergeCell ref="B49:B55"/>
    <mergeCell ref="H49:H55"/>
    <mergeCell ref="B127:B132"/>
    <mergeCell ref="H57:H62"/>
    <mergeCell ref="B97:B102"/>
    <mergeCell ref="H97:H102"/>
    <mergeCell ref="H113:H118"/>
    <mergeCell ref="B63:B66"/>
    <mergeCell ref="D153:H153"/>
    <mergeCell ref="B109:B112"/>
    <mergeCell ref="A109:A112"/>
    <mergeCell ref="C161:E161"/>
    <mergeCell ref="A163:G179"/>
    <mergeCell ref="E1:H1"/>
    <mergeCell ref="A79:A85"/>
    <mergeCell ref="B79:B85"/>
    <mergeCell ref="A1:B1"/>
    <mergeCell ref="A49:A55"/>
    <mergeCell ref="H86:H89"/>
    <mergeCell ref="H71:H78"/>
    <mergeCell ref="H92:H96"/>
    <mergeCell ref="A19:A25"/>
    <mergeCell ref="B19:B25"/>
    <mergeCell ref="H19:H25"/>
    <mergeCell ref="A42:A48"/>
    <mergeCell ref="H13:H18"/>
    <mergeCell ref="H33:H34"/>
    <mergeCell ref="H42:H48"/>
  </mergeCells>
  <phoneticPr fontId="3" type="noConversion"/>
  <pageMargins left="0.75" right="0.75" top="1" bottom="1" header="0.5" footer="0.5"/>
  <pageSetup orientation="portrait" r:id="rId2"/>
  <headerFooter alignWithMargins="0"/>
  <ignoredErrors>
    <ignoredError sqref="G14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I245"/>
  <sheetViews>
    <sheetView zoomScaleNormal="100" workbookViewId="0">
      <selection activeCell="O3" sqref="O3"/>
    </sheetView>
  </sheetViews>
  <sheetFormatPr defaultColWidth="9.33203125" defaultRowHeight="12.75" x14ac:dyDescent="0.2"/>
  <cols>
    <col min="1" max="1" width="5.83203125" style="15" customWidth="1"/>
    <col min="2" max="2" width="18.83203125" style="15" customWidth="1"/>
    <col min="3" max="3" width="75.83203125" style="3" customWidth="1"/>
    <col min="4" max="4" width="6.83203125" style="135" customWidth="1"/>
    <col min="5" max="6" width="8" style="135" customWidth="1"/>
    <col min="7" max="7" width="9.83203125" style="727" customWidth="1"/>
    <col min="8" max="8" width="75.83203125" style="3" customWidth="1"/>
    <col min="9" max="9" width="17" style="3" customWidth="1"/>
    <col min="10" max="16384" width="9.33203125" style="3"/>
  </cols>
  <sheetData>
    <row r="1" spans="1:9" ht="79.5" customHeight="1" thickBot="1" x14ac:dyDescent="0.25">
      <c r="A1" s="1933" t="s">
        <v>2143</v>
      </c>
      <c r="B1" s="1934"/>
      <c r="C1" s="87" t="s">
        <v>2161</v>
      </c>
      <c r="D1" s="131" t="s">
        <v>2144</v>
      </c>
      <c r="E1" s="1995"/>
      <c r="F1" s="1996"/>
      <c r="G1" s="1996"/>
      <c r="H1" s="1996"/>
    </row>
    <row r="2" spans="1:9" ht="30" customHeight="1" thickBot="1" x14ac:dyDescent="0.25">
      <c r="A2" s="451" t="s">
        <v>290</v>
      </c>
      <c r="B2" s="450" t="s">
        <v>5456</v>
      </c>
      <c r="C2" s="484" t="s">
        <v>2606</v>
      </c>
      <c r="D2" s="450" t="s">
        <v>117</v>
      </c>
      <c r="E2" s="592" t="s">
        <v>5438</v>
      </c>
      <c r="F2" s="472" t="s">
        <v>5439</v>
      </c>
      <c r="G2" s="593" t="s">
        <v>5825</v>
      </c>
      <c r="H2" s="450" t="s">
        <v>919</v>
      </c>
    </row>
    <row r="3" spans="1:9" ht="21" customHeight="1" thickBot="1" x14ac:dyDescent="0.25">
      <c r="A3" s="2030" t="str">
        <f>OF!A80</f>
        <v>OF13</v>
      </c>
      <c r="B3" s="1701" t="str">
        <f>OF!B80</f>
        <v>Tidal Proximity</v>
      </c>
      <c r="C3" s="231" t="str">
        <f>OF!C80</f>
        <v>The distance from the AA edge to the closest tidal water body is:</v>
      </c>
      <c r="D3" s="253"/>
      <c r="E3" s="253"/>
      <c r="F3" s="256"/>
      <c r="G3" s="600">
        <f>MAX(F4:F8)/MAX(E4:E8)</f>
        <v>0</v>
      </c>
      <c r="H3" s="1687" t="s">
        <v>1141</v>
      </c>
      <c r="I3" s="3" t="s">
        <v>322</v>
      </c>
    </row>
    <row r="4" spans="1:9" ht="15" customHeight="1" x14ac:dyDescent="0.2">
      <c r="A4" s="2031"/>
      <c r="B4" s="1702"/>
      <c r="C4" s="21" t="str">
        <f>OF!C81</f>
        <v>&lt;300 ft</v>
      </c>
      <c r="D4" s="280">
        <f>OF!D81</f>
        <v>0</v>
      </c>
      <c r="E4" s="48">
        <v>4</v>
      </c>
      <c r="F4" s="388">
        <f>D4*E4</f>
        <v>0</v>
      </c>
      <c r="G4" s="67"/>
      <c r="H4" s="1688"/>
    </row>
    <row r="5" spans="1:9" ht="15" customHeight="1" x14ac:dyDescent="0.2">
      <c r="A5" s="2031"/>
      <c r="B5" s="1702"/>
      <c r="C5" s="6" t="str">
        <f>OF!C82</f>
        <v>300-1000 ft</v>
      </c>
      <c r="D5" s="46">
        <f>OF!D82</f>
        <v>0</v>
      </c>
      <c r="E5" s="48">
        <v>4</v>
      </c>
      <c r="F5" s="388">
        <f>D5*E5</f>
        <v>0</v>
      </c>
      <c r="G5" s="831"/>
      <c r="H5" s="1688"/>
    </row>
    <row r="6" spans="1:9" ht="15" customHeight="1" x14ac:dyDescent="0.2">
      <c r="A6" s="2031"/>
      <c r="B6" s="1702"/>
      <c r="C6" s="6" t="str">
        <f>OF!C83</f>
        <v>1000 ft - 1 mile</v>
      </c>
      <c r="D6" s="46">
        <f>OF!D83</f>
        <v>0</v>
      </c>
      <c r="E6" s="48">
        <v>3</v>
      </c>
      <c r="F6" s="388">
        <f>D6*E6</f>
        <v>0</v>
      </c>
      <c r="G6" s="831"/>
      <c r="H6" s="1688"/>
    </row>
    <row r="7" spans="1:9" ht="15" customHeight="1" x14ac:dyDescent="0.2">
      <c r="A7" s="2031"/>
      <c r="B7" s="1702"/>
      <c r="C7" s="6" t="str">
        <f>OF!C84</f>
        <v>1-5 miles</v>
      </c>
      <c r="D7" s="46">
        <f>OF!D84</f>
        <v>0</v>
      </c>
      <c r="E7" s="48">
        <v>2</v>
      </c>
      <c r="F7" s="388">
        <f>D7*E7</f>
        <v>0</v>
      </c>
      <c r="G7" s="831"/>
      <c r="H7" s="1688"/>
    </row>
    <row r="8" spans="1:9" ht="15.6" customHeight="1" thickBot="1" x14ac:dyDescent="0.25">
      <c r="A8" s="2032"/>
      <c r="B8" s="1712"/>
      <c r="C8" s="214" t="str">
        <f>OF!C85</f>
        <v>&gt;5 miles</v>
      </c>
      <c r="D8" s="213">
        <f>OF!D85</f>
        <v>0</v>
      </c>
      <c r="E8" s="255">
        <v>0</v>
      </c>
      <c r="F8" s="389">
        <f>D8*E8</f>
        <v>0</v>
      </c>
      <c r="G8" s="832"/>
      <c r="H8" s="1689"/>
    </row>
    <row r="9" spans="1:9" ht="29.25" customHeight="1" thickBot="1" x14ac:dyDescent="0.25">
      <c r="A9" s="1845" t="str">
        <f>OF!A93</f>
        <v>OF16</v>
      </c>
      <c r="B9" s="1688" t="str">
        <f>OF!B93</f>
        <v>Glacier Fed</v>
      </c>
      <c r="C9" s="381" t="str">
        <f>OF!C93</f>
        <v>Refer to the Glaciers map in the online WESPAK-SE Wetlands Module.  Select the first applicable choice:</v>
      </c>
      <c r="D9" s="253"/>
      <c r="E9" s="51"/>
      <c r="F9" s="51"/>
      <c r="G9" s="601" t="str">
        <f>IF((Inflows=0),"",IF((D10=1),"",0))</f>
        <v/>
      </c>
      <c r="H9" s="1688" t="s">
        <v>5374</v>
      </c>
      <c r="I9" s="3" t="s">
        <v>323</v>
      </c>
    </row>
    <row r="10" spans="1:9" ht="15" customHeight="1" x14ac:dyDescent="0.2">
      <c r="A10" s="1845"/>
      <c r="B10" s="1688"/>
      <c r="C10" s="384" t="str">
        <f>OF!C94</f>
        <v>No upstream glacier feeds surface water to the AA, not even seasonally.</v>
      </c>
      <c r="D10" s="280">
        <f>OF!D94</f>
        <v>0</v>
      </c>
      <c r="E10" s="51"/>
      <c r="F10" s="391"/>
      <c r="G10" s="831"/>
      <c r="H10" s="1688"/>
    </row>
    <row r="11" spans="1:9" ht="42" customHeight="1" x14ac:dyDescent="0.2">
      <c r="A11" s="1845"/>
      <c r="B11" s="1688"/>
      <c r="C11" s="487"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 s="46">
        <f>OF!D95</f>
        <v>0</v>
      </c>
      <c r="E11" s="51">
        <v>0</v>
      </c>
      <c r="F11" s="391">
        <f>D11*E11</f>
        <v>0</v>
      </c>
      <c r="G11" s="831"/>
      <c r="H11" s="1688"/>
    </row>
    <row r="12" spans="1:9" ht="27.6" customHeight="1" thickBot="1" x14ac:dyDescent="0.25">
      <c r="A12" s="1845"/>
      <c r="B12" s="1688"/>
      <c r="C12" s="379" t="str">
        <f>OF!C96</f>
        <v>A glacier feeds streamflow or other surface water to the AA, but there is little or no resultant reduction in water clarity.</v>
      </c>
      <c r="D12" s="20">
        <f>OF!D96</f>
        <v>0</v>
      </c>
      <c r="E12" s="261">
        <v>1</v>
      </c>
      <c r="F12" s="391">
        <f>D12*E12</f>
        <v>0</v>
      </c>
      <c r="G12" s="833"/>
      <c r="H12" s="1688"/>
    </row>
    <row r="13" spans="1:9" ht="42" customHeight="1" thickBot="1" x14ac:dyDescent="0.25">
      <c r="A13" s="1868" t="str">
        <f>OF!A97</f>
        <v>OF17</v>
      </c>
      <c r="B13" s="1687" t="str">
        <f>OF!B97</f>
        <v>Fish Access or Use</v>
      </c>
      <c r="C13" s="231" t="str">
        <f>OF!C97</f>
        <v>Refer to the map in the online WESPAK-SE Wetlands Module: Habitat Layers &gt; Anadromous Waters Catalog, and preferably verify by contacting a local ADFG biologist.  Mark just the first choice that is true.  The AA:</v>
      </c>
      <c r="D13" s="253"/>
      <c r="E13" s="392"/>
      <c r="F13" s="829"/>
      <c r="G13" s="600">
        <f>IF((D18=1),"",F17)</f>
        <v>0</v>
      </c>
      <c r="H13" s="1687" t="s">
        <v>1341</v>
      </c>
      <c r="I13" s="3" t="s">
        <v>331</v>
      </c>
    </row>
    <row r="14" spans="1:9" ht="26.25" customHeight="1" x14ac:dyDescent="0.2">
      <c r="A14" s="1869"/>
      <c r="B14" s="1688"/>
      <c r="C14" s="21" t="str">
        <f>OF!C98</f>
        <v>a) is known to support anadromous fish feeding and/or spawning (some ADFG Class 1 streams).</v>
      </c>
      <c r="D14" s="280">
        <f>OF!D98</f>
        <v>0</v>
      </c>
      <c r="E14" s="388">
        <v>0</v>
      </c>
      <c r="F14" s="388">
        <f>D14*E14</f>
        <v>0</v>
      </c>
      <c r="G14" s="708"/>
      <c r="H14" s="1688"/>
    </row>
    <row r="15" spans="1:9" ht="27" customHeight="1" x14ac:dyDescent="0.2">
      <c r="A15" s="1869"/>
      <c r="B15" s="1688"/>
      <c r="C15" s="6" t="str">
        <f>OF!C99</f>
        <v>b) is probably accessible to anadromous and other fish (at least seasonally, at least for feeding, partially or entirely), but anadromous fish have not been documented (some Class 1 streams).</v>
      </c>
      <c r="D15" s="46">
        <f>OF!D99</f>
        <v>0</v>
      </c>
      <c r="E15" s="388">
        <v>0</v>
      </c>
      <c r="F15" s="388">
        <f>D15*E15</f>
        <v>0</v>
      </c>
      <c r="G15" s="709"/>
      <c r="H15" s="1688"/>
    </row>
    <row r="16" spans="1:9" ht="27" customHeight="1" x14ac:dyDescent="0.2">
      <c r="A16" s="1869"/>
      <c r="B16" s="1688"/>
      <c r="C16" s="6" t="str">
        <f>OF!C100</f>
        <v>c) is not accessible to anadromous fish, but other resident fish are known (or can be assumed) present (Class 2).</v>
      </c>
      <c r="D16" s="46">
        <f>OF!D100</f>
        <v>0</v>
      </c>
      <c r="E16" s="388">
        <v>0</v>
      </c>
      <c r="F16" s="388">
        <f>D16*E16</f>
        <v>0</v>
      </c>
      <c r="G16" s="709"/>
      <c r="H16" s="1688"/>
    </row>
    <row r="17" spans="1:9" ht="27" customHeight="1" x14ac:dyDescent="0.2">
      <c r="A17" s="1869"/>
      <c r="B17" s="1688"/>
      <c r="C17" s="6" t="str">
        <f>OF!C101</f>
        <v>d) is fishless (i.e., not accessible to anadromous fish and is known or can be assumed to have no resident fish).  (Class 3, 4)</v>
      </c>
      <c r="D17" s="46">
        <f>OF!D101</f>
        <v>0</v>
      </c>
      <c r="E17" s="388">
        <v>1</v>
      </c>
      <c r="F17" s="388">
        <f>D17*E17</f>
        <v>0</v>
      </c>
      <c r="G17" s="709"/>
      <c r="H17" s="1688"/>
    </row>
    <row r="18" spans="1:9" ht="15.6" customHeight="1" thickBot="1" x14ac:dyDescent="0.25">
      <c r="A18" s="1870"/>
      <c r="B18" s="1689"/>
      <c r="C18" s="214" t="str">
        <f>OF!C102</f>
        <v>e) fish presence and potential fish access are unknown and undeterminable.</v>
      </c>
      <c r="D18" s="213">
        <f>OF!D102</f>
        <v>0</v>
      </c>
      <c r="E18" s="389"/>
      <c r="F18" s="758"/>
      <c r="G18" s="710"/>
      <c r="H18" s="1689"/>
    </row>
    <row r="19" spans="1:9" ht="30" customHeight="1" thickBot="1" x14ac:dyDescent="0.25">
      <c r="A19" s="1831" t="str">
        <f>OF!A113</f>
        <v>OF21</v>
      </c>
      <c r="B19" s="1836" t="str">
        <f>OF!B113</f>
        <v>Temperature, Mean Annual</v>
      </c>
      <c r="C19" s="454" t="str">
        <f>OF!C113</f>
        <v>Refer to the Temperature layer in the online WESPAK-SE Wetlands Module. The mean annual temperature in the vicinity of the AA was modeled as (rounded to the nearest whole number):</v>
      </c>
      <c r="D19" s="253"/>
      <c r="E19" s="635"/>
      <c r="F19" s="639"/>
      <c r="G19" s="496">
        <f>IF((D25=1),"",MAX(F20:F24)/MAX(E20:E24))</f>
        <v>0</v>
      </c>
      <c r="H19" s="1687" t="s">
        <v>1898</v>
      </c>
      <c r="I19" s="3" t="s">
        <v>1899</v>
      </c>
    </row>
    <row r="20" spans="1:9" ht="15" customHeight="1" x14ac:dyDescent="0.2">
      <c r="A20" s="1832"/>
      <c r="B20" s="1837"/>
      <c r="C20" s="144" t="str">
        <f>OF!C114</f>
        <v>&lt;38 degrees F</v>
      </c>
      <c r="D20" s="286">
        <f>OF!D114</f>
        <v>0</v>
      </c>
      <c r="E20" s="396">
        <v>0</v>
      </c>
      <c r="F20" s="397">
        <f>D20*E20</f>
        <v>0</v>
      </c>
      <c r="G20" s="521"/>
      <c r="H20" s="1688"/>
    </row>
    <row r="21" spans="1:9" ht="15" customHeight="1" x14ac:dyDescent="0.2">
      <c r="A21" s="1832"/>
      <c r="B21" s="1837"/>
      <c r="C21" s="50" t="str">
        <f>OF!C115</f>
        <v>38-40 degrees F</v>
      </c>
      <c r="D21" s="271">
        <f>OF!D115</f>
        <v>0</v>
      </c>
      <c r="E21" s="396">
        <v>1</v>
      </c>
      <c r="F21" s="397">
        <f>D21*E21</f>
        <v>0</v>
      </c>
      <c r="G21" s="521"/>
      <c r="H21" s="1688"/>
    </row>
    <row r="22" spans="1:9" ht="15" customHeight="1" x14ac:dyDescent="0.2">
      <c r="A22" s="1832"/>
      <c r="B22" s="1837"/>
      <c r="C22" s="50" t="str">
        <f>OF!C116</f>
        <v>41-42 degrees F</v>
      </c>
      <c r="D22" s="271">
        <f>OF!D116</f>
        <v>0</v>
      </c>
      <c r="E22" s="396">
        <v>2</v>
      </c>
      <c r="F22" s="397">
        <f>D22*E22</f>
        <v>0</v>
      </c>
      <c r="G22" s="521"/>
      <c r="H22" s="1688"/>
    </row>
    <row r="23" spans="1:9" ht="15" customHeight="1" x14ac:dyDescent="0.2">
      <c r="A23" s="1832"/>
      <c r="B23" s="1837"/>
      <c r="C23" s="50" t="str">
        <f>OF!C117</f>
        <v>43-44 degrees F</v>
      </c>
      <c r="D23" s="271">
        <f>OF!D117</f>
        <v>0</v>
      </c>
      <c r="E23" s="396">
        <v>3</v>
      </c>
      <c r="F23" s="397">
        <f>D23*E23</f>
        <v>0</v>
      </c>
      <c r="G23" s="521"/>
      <c r="H23" s="1688"/>
    </row>
    <row r="24" spans="1:9" ht="15" customHeight="1" x14ac:dyDescent="0.2">
      <c r="A24" s="1832"/>
      <c r="B24" s="1837"/>
      <c r="C24" s="50" t="str">
        <f>OF!C118</f>
        <v>&gt; 44 degrees F</v>
      </c>
      <c r="D24" s="271">
        <f>OF!D118</f>
        <v>0</v>
      </c>
      <c r="E24" s="396">
        <v>4</v>
      </c>
      <c r="F24" s="397">
        <f>D24*E24</f>
        <v>0</v>
      </c>
      <c r="G24" s="515"/>
      <c r="H24" s="1688"/>
    </row>
    <row r="25" spans="1:9" ht="15.6" customHeight="1" thickBot="1" x14ac:dyDescent="0.25">
      <c r="A25" s="1833"/>
      <c r="B25" s="1838"/>
      <c r="C25" s="462" t="str">
        <f>OF!C119</f>
        <v>no information available</v>
      </c>
      <c r="D25" s="272">
        <f>OF!D119</f>
        <v>0</v>
      </c>
      <c r="E25" s="637"/>
      <c r="F25" s="638"/>
      <c r="G25" s="504"/>
      <c r="H25" s="1689"/>
    </row>
    <row r="26" spans="1:9" ht="75" customHeight="1" thickBot="1" x14ac:dyDescent="0.25">
      <c r="A26" s="585" t="str">
        <f>OF!A120</f>
        <v>OF22</v>
      </c>
      <c r="B26" s="148" t="str">
        <f>OF!B120</f>
        <v>Basic pH or Karst</v>
      </c>
      <c r="C26" s="814"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26" s="321">
        <f>OF!D120</f>
        <v>0</v>
      </c>
      <c r="E26" s="259"/>
      <c r="F26" s="400"/>
      <c r="G26" s="760" t="str">
        <f>IF((D26=0),"",1)</f>
        <v/>
      </c>
      <c r="H26" s="49" t="s">
        <v>1142</v>
      </c>
      <c r="I26" s="3" t="s">
        <v>434</v>
      </c>
    </row>
    <row r="27" spans="1:9" ht="45" customHeight="1" thickBot="1" x14ac:dyDescent="0.25">
      <c r="A27" s="585" t="str">
        <f>OF!A121</f>
        <v>OF23</v>
      </c>
      <c r="B27" s="148" t="str">
        <f>OF!B121</f>
        <v>Granitic Soils</v>
      </c>
      <c r="C27" s="814" t="str">
        <f>OF!C121</f>
        <v>Refer to the map in the online WESPAK-SE Wetlands Module: Geology&gt; Granitic Geology. The AA is underlain primarily by granitic formations or glacial till that is known to be granitic, as indicated by maps or preferably from direct observation.  Enter 1= yes, 0= no.</v>
      </c>
      <c r="D27" s="321">
        <f>OF!D121</f>
        <v>0</v>
      </c>
      <c r="E27" s="259"/>
      <c r="F27" s="400"/>
      <c r="G27" s="760" t="str">
        <f>IF((D27=0),"",1-D27)</f>
        <v/>
      </c>
      <c r="H27" s="49" t="s">
        <v>813</v>
      </c>
      <c r="I27" s="3" t="s">
        <v>1081</v>
      </c>
    </row>
    <row r="28" spans="1:9" ht="45" customHeight="1" thickBot="1" x14ac:dyDescent="0.25">
      <c r="A28" s="1869" t="str">
        <f>OF!A157</f>
        <v>OF31</v>
      </c>
      <c r="B28" s="1688" t="str">
        <f>OF!B157</f>
        <v>Unvegetated Surface in the Contributing Area</v>
      </c>
      <c r="C28" s="381" t="str">
        <f>OF!C157</f>
        <v>The proportion of the AA's contributing area (measured to no more than 1000 ft upslope) that is comprised of buildings, roads, parking lots, other pavement, exposed bedrock, debris flows, and other mostly-bare (but unfrozen) surface is about :</v>
      </c>
      <c r="D28" s="51"/>
      <c r="E28" s="406"/>
      <c r="F28" s="708"/>
      <c r="G28" s="601">
        <f>MAX(F29:F31)/MAX(E29:E31)</f>
        <v>0</v>
      </c>
      <c r="H28" s="1688" t="s">
        <v>1344</v>
      </c>
      <c r="I28" s="3" t="s">
        <v>373</v>
      </c>
    </row>
    <row r="29" spans="1:9" ht="15" customHeight="1" x14ac:dyDescent="0.2">
      <c r="A29" s="1869"/>
      <c r="B29" s="1688"/>
      <c r="C29" s="383" t="str">
        <f>OF!C158</f>
        <v>&lt;10%</v>
      </c>
      <c r="D29" s="380">
        <f>OF!D158</f>
        <v>0</v>
      </c>
      <c r="E29" s="406">
        <v>3</v>
      </c>
      <c r="F29" s="388">
        <f>D29*E29</f>
        <v>0</v>
      </c>
      <c r="G29" s="708"/>
      <c r="H29" s="1688"/>
    </row>
    <row r="30" spans="1:9" ht="15" customHeight="1" x14ac:dyDescent="0.2">
      <c r="A30" s="1869"/>
      <c r="B30" s="1688"/>
      <c r="C30" s="379" t="str">
        <f>OF!C159</f>
        <v>10 to 25%</v>
      </c>
      <c r="D30" s="20">
        <f>OF!D159</f>
        <v>0</v>
      </c>
      <c r="E30" s="406">
        <v>2</v>
      </c>
      <c r="F30" s="388">
        <f>D30*E30</f>
        <v>0</v>
      </c>
      <c r="G30" s="709"/>
      <c r="H30" s="1688"/>
    </row>
    <row r="31" spans="1:9" ht="21.75" customHeight="1" thickBot="1" x14ac:dyDescent="0.25">
      <c r="A31" s="1870"/>
      <c r="B31" s="1689"/>
      <c r="C31" s="486" t="str">
        <f>OF!C160</f>
        <v>&gt;25%</v>
      </c>
      <c r="D31" s="213">
        <f>OF!D160</f>
        <v>0</v>
      </c>
      <c r="E31" s="830">
        <v>0</v>
      </c>
      <c r="F31" s="389">
        <f>D31*E31</f>
        <v>0</v>
      </c>
      <c r="G31" s="710"/>
      <c r="H31" s="1689"/>
    </row>
    <row r="32" spans="1:9" ht="21" customHeight="1" thickBot="1" x14ac:dyDescent="0.25">
      <c r="A32" s="42" t="str">
        <f>F!A4</f>
        <v>F1</v>
      </c>
      <c r="B32" s="1688" t="str">
        <f>F!B4</f>
        <v>Wetland Type</v>
      </c>
      <c r="C32" s="381" t="str">
        <f>F!C4</f>
        <v>Most of the vegetated part of the AA (wetland Assessment Area) is a (select ONE):</v>
      </c>
      <c r="D32" s="253"/>
      <c r="E32" s="406"/>
      <c r="F32" s="778"/>
      <c r="G32" s="601">
        <f>IF((D38=1),"",MAX(F33:F37)/MAX(E33:E37))</f>
        <v>0</v>
      </c>
      <c r="H32" s="1688" t="s">
        <v>1212</v>
      </c>
      <c r="I32" s="3" t="s">
        <v>305</v>
      </c>
    </row>
    <row r="33" spans="1:9" ht="15" customHeight="1" x14ac:dyDescent="0.2">
      <c r="A33" s="147" t="str">
        <f>F!A5</f>
        <v>F1.1</v>
      </c>
      <c r="B33" s="1688"/>
      <c r="C33" s="383" t="str">
        <f>F!C5</f>
        <v>Forested Peatland</v>
      </c>
      <c r="D33" s="380">
        <f>F!D5</f>
        <v>0</v>
      </c>
      <c r="E33" s="404">
        <v>0</v>
      </c>
      <c r="F33" s="388">
        <f>D33*E33</f>
        <v>0</v>
      </c>
      <c r="G33" s="778"/>
      <c r="H33" s="1688"/>
    </row>
    <row r="34" spans="1:9" ht="15" customHeight="1" x14ac:dyDescent="0.2">
      <c r="A34" s="147" t="str">
        <f>F!A6</f>
        <v>F1.2</v>
      </c>
      <c r="B34" s="1688"/>
      <c r="C34" s="379" t="str">
        <f>F!C6</f>
        <v>Open Peatland</v>
      </c>
      <c r="D34" s="20">
        <f>F!D6</f>
        <v>0</v>
      </c>
      <c r="E34" s="404">
        <v>1</v>
      </c>
      <c r="F34" s="388">
        <f>D34*E34</f>
        <v>0</v>
      </c>
      <c r="G34" s="778"/>
      <c r="H34" s="1688"/>
    </row>
    <row r="35" spans="1:9" ht="15" customHeight="1" x14ac:dyDescent="0.2">
      <c r="A35" s="147" t="str">
        <f>F!A7</f>
        <v>F1.3</v>
      </c>
      <c r="B35" s="1688"/>
      <c r="C35" s="379" t="str">
        <f>F!C7</f>
        <v>Fen/ Marsh</v>
      </c>
      <c r="D35" s="20">
        <f>F!D7</f>
        <v>0</v>
      </c>
      <c r="E35" s="404">
        <v>4</v>
      </c>
      <c r="F35" s="388">
        <f>D35*E35</f>
        <v>0</v>
      </c>
      <c r="G35" s="778"/>
      <c r="H35" s="1688"/>
    </row>
    <row r="36" spans="1:9" ht="15" customHeight="1" x14ac:dyDescent="0.2">
      <c r="A36" s="147" t="str">
        <f>F!A8</f>
        <v>F1.4</v>
      </c>
      <c r="B36" s="1688"/>
      <c r="C36" s="379" t="str">
        <f>F!C8</f>
        <v>Floodplain Wetland</v>
      </c>
      <c r="D36" s="20">
        <f>F!D8</f>
        <v>0</v>
      </c>
      <c r="E36" s="404">
        <v>5</v>
      </c>
      <c r="F36" s="388">
        <f>D36*E36</f>
        <v>0</v>
      </c>
      <c r="G36" s="779"/>
      <c r="H36" s="1688"/>
    </row>
    <row r="37" spans="1:9" ht="15" customHeight="1" x14ac:dyDescent="0.2">
      <c r="A37" s="147" t="str">
        <f>F!A9</f>
        <v>F1.5</v>
      </c>
      <c r="B37" s="1688"/>
      <c r="C37" s="379" t="str">
        <f>F!C9</f>
        <v>Uplift Meadow</v>
      </c>
      <c r="D37" s="20">
        <f>F!D9</f>
        <v>0</v>
      </c>
      <c r="E37" s="404">
        <v>3</v>
      </c>
      <c r="F37" s="388">
        <f>D37*E37</f>
        <v>0</v>
      </c>
      <c r="G37" s="779"/>
      <c r="H37" s="1688"/>
    </row>
    <row r="38" spans="1:9" ht="15.6" customHeight="1" thickBot="1" x14ac:dyDescent="0.25">
      <c r="A38" s="147" t="str">
        <f>F!A10</f>
        <v>F1.6</v>
      </c>
      <c r="B38" s="1688"/>
      <c r="C38" s="379" t="str">
        <f>F!C10</f>
        <v>Tidal Marsh or Tidal Swamp.  Do not continue.  Use other spreadsheet.</v>
      </c>
      <c r="D38" s="20">
        <f>F!D10</f>
        <v>0</v>
      </c>
      <c r="E38" s="583"/>
      <c r="F38" s="391"/>
      <c r="G38" s="780"/>
      <c r="H38" s="1688"/>
    </row>
    <row r="39" spans="1:9" ht="30" customHeight="1" thickBot="1" x14ac:dyDescent="0.25">
      <c r="A39" s="1868" t="str">
        <f>F!A11</f>
        <v>F2</v>
      </c>
      <c r="B39" s="1687" t="str">
        <f>F!B11</f>
        <v>% Saturated Only</v>
      </c>
      <c r="C39" s="111" t="str">
        <f>F!C11</f>
        <v>The percentage of the AA that lacks surface water during an average year (that is, except perhaps for a few hours after snowmelt or rainstorms), but which is still a wetland, is:</v>
      </c>
      <c r="D39" s="253"/>
      <c r="E39" s="403"/>
      <c r="F39" s="392"/>
      <c r="G39" s="550">
        <f>MAX(F40:F45)/MAX(E40:E45)</f>
        <v>0</v>
      </c>
      <c r="H39" s="1687" t="s">
        <v>1925</v>
      </c>
      <c r="I39" s="3" t="s">
        <v>1325</v>
      </c>
    </row>
    <row r="40" spans="1:9" ht="27" customHeight="1" x14ac:dyDescent="0.2">
      <c r="A40" s="1869"/>
      <c r="B40" s="1688"/>
      <c r="C40" s="81" t="str">
        <f>F!C12</f>
        <v>less than 1%, or &lt;0.01 acre (about 20 ft on a side) never has surface water.  In other words, all or nearly all of the AA is inundated permanently or at least seasonally.</v>
      </c>
      <c r="D40" s="304">
        <f>F!D12</f>
        <v>0</v>
      </c>
      <c r="E40" s="388">
        <v>5</v>
      </c>
      <c r="F40" s="388">
        <f t="shared" ref="F40:F45" si="0">D40*E40</f>
        <v>0</v>
      </c>
      <c r="G40" s="413"/>
      <c r="H40" s="1688"/>
    </row>
    <row r="41" spans="1:9" ht="15" customHeight="1" x14ac:dyDescent="0.2">
      <c r="A41" s="1869"/>
      <c r="B41" s="1688"/>
      <c r="C41" s="81" t="str">
        <f>F!C13</f>
        <v xml:space="preserve">1-25% of the AA never contains surface water.  </v>
      </c>
      <c r="D41" s="304">
        <f>F!D13</f>
        <v>0</v>
      </c>
      <c r="E41" s="388">
        <v>6</v>
      </c>
      <c r="F41" s="388">
        <f t="shared" si="0"/>
        <v>0</v>
      </c>
      <c r="G41" s="413"/>
      <c r="H41" s="1688"/>
    </row>
    <row r="42" spans="1:9" ht="15" customHeight="1" x14ac:dyDescent="0.2">
      <c r="A42" s="1869"/>
      <c r="B42" s="1688"/>
      <c r="C42" s="81" t="str">
        <f>F!C14</f>
        <v>25-50% of the AA never contains surface water.</v>
      </c>
      <c r="D42" s="304">
        <f>F!D14</f>
        <v>0</v>
      </c>
      <c r="E42" s="388">
        <v>4</v>
      </c>
      <c r="F42" s="388">
        <f t="shared" si="0"/>
        <v>0</v>
      </c>
      <c r="G42" s="413"/>
      <c r="H42" s="1688"/>
    </row>
    <row r="43" spans="1:9" ht="15" customHeight="1" x14ac:dyDescent="0.2">
      <c r="A43" s="1869"/>
      <c r="B43" s="1688"/>
      <c r="C43" s="81" t="str">
        <f>F!C15</f>
        <v>50-99% of the AA never contains surface water.</v>
      </c>
      <c r="D43" s="304">
        <f>F!D15</f>
        <v>0</v>
      </c>
      <c r="E43" s="388">
        <v>3</v>
      </c>
      <c r="F43" s="388">
        <f t="shared" si="0"/>
        <v>0</v>
      </c>
      <c r="G43" s="413"/>
      <c r="H43" s="1688"/>
    </row>
    <row r="44" spans="1:9" ht="27" customHeight="1" x14ac:dyDescent="0.2">
      <c r="A44" s="1869"/>
      <c r="B44" s="1688"/>
      <c r="C44" s="81" t="str">
        <f>F!C16</f>
        <v>&gt;99% of the AA never contains surface water, except for water flowing in channels and/or in pools that occupy &lt;1% of the AA. SKIP to F30.</v>
      </c>
      <c r="D44" s="304">
        <f>F!D16</f>
        <v>0</v>
      </c>
      <c r="E44" s="388">
        <v>2</v>
      </c>
      <c r="F44" s="388">
        <f t="shared" si="0"/>
        <v>0</v>
      </c>
      <c r="G44" s="413"/>
      <c r="H44" s="1688"/>
    </row>
    <row r="45" spans="1:9" ht="27.6" customHeight="1" thickBot="1" x14ac:dyDescent="0.25">
      <c r="A45" s="1870"/>
      <c r="B45" s="1689"/>
      <c r="C45" s="429" t="str">
        <f>F!C17</f>
        <v>&gt;99% of the AA never contains surface water, and AA is not intersected by channels that have flow, not even for a few days per year. SKIP to F28.</v>
      </c>
      <c r="D45" s="303">
        <f>F!D17</f>
        <v>0</v>
      </c>
      <c r="E45" s="389">
        <v>1</v>
      </c>
      <c r="F45" s="389">
        <f t="shared" si="0"/>
        <v>0</v>
      </c>
      <c r="G45" s="417"/>
      <c r="H45" s="1689"/>
    </row>
    <row r="46" spans="1:9" ht="30" customHeight="1" thickBot="1" x14ac:dyDescent="0.25">
      <c r="A46" s="1845" t="str">
        <f>F!A18</f>
        <v>F3</v>
      </c>
      <c r="B46" s="1688" t="str">
        <f>F!B18</f>
        <v>% with Persistent Surface Water</v>
      </c>
      <c r="C46" s="381" t="str">
        <f>F!C18</f>
        <v>The percentage of the AA that has surface water (either ponded or flowing, either open or obscured by vegetation) during all of the growing season during most years is:</v>
      </c>
      <c r="D46" s="253"/>
      <c r="E46" s="387"/>
      <c r="F46" s="390"/>
      <c r="G46" s="601">
        <f>IF((AllSat+AllSat1&gt;0),"",MAX(F47:F52)/MAX(E47:E52))</f>
        <v>0</v>
      </c>
      <c r="H46" s="1710" t="s">
        <v>5376</v>
      </c>
      <c r="I46" s="3" t="s">
        <v>308</v>
      </c>
    </row>
    <row r="47" spans="1:9" ht="15" customHeight="1" x14ac:dyDescent="0.2">
      <c r="A47" s="1845"/>
      <c r="B47" s="1688"/>
      <c r="C47" s="383" t="str">
        <f>F!C19</f>
        <v>less than 1%, or &lt;0.01 acre (whichever is less).  SKIP to F7.</v>
      </c>
      <c r="D47" s="380">
        <f>F!D19</f>
        <v>0</v>
      </c>
      <c r="E47" s="404">
        <v>0</v>
      </c>
      <c r="F47" s="388">
        <f t="shared" ref="F47:F52" si="1">D47*E47</f>
        <v>0</v>
      </c>
      <c r="G47" s="708"/>
      <c r="H47" s="1710"/>
    </row>
    <row r="48" spans="1:9" ht="15" customHeight="1" x14ac:dyDescent="0.2">
      <c r="A48" s="1845"/>
      <c r="B48" s="1688"/>
      <c r="C48" s="379" t="str">
        <f>F!C20</f>
        <v>1-25% of the AA, and mostly in narrow channels and/or small scattered pools.</v>
      </c>
      <c r="D48" s="20">
        <f>F!D20</f>
        <v>0</v>
      </c>
      <c r="E48" s="388">
        <v>1</v>
      </c>
      <c r="F48" s="388">
        <f t="shared" si="1"/>
        <v>0</v>
      </c>
      <c r="G48" s="709"/>
      <c r="H48" s="1710"/>
    </row>
    <row r="49" spans="1:9" ht="15" customHeight="1" x14ac:dyDescent="0.2">
      <c r="A49" s="1845"/>
      <c r="B49" s="1688"/>
      <c r="C49" s="379" t="str">
        <f>F!C21</f>
        <v>1-25% of the AA, and mostly in a single large pool, pond, and/or channel.</v>
      </c>
      <c r="D49" s="20">
        <f>F!D21</f>
        <v>0</v>
      </c>
      <c r="E49" s="388">
        <v>2</v>
      </c>
      <c r="F49" s="388">
        <f t="shared" si="1"/>
        <v>0</v>
      </c>
      <c r="G49" s="709"/>
      <c r="H49" s="1710"/>
    </row>
    <row r="50" spans="1:9" ht="15" customHeight="1" x14ac:dyDescent="0.2">
      <c r="A50" s="1845"/>
      <c r="B50" s="1688"/>
      <c r="C50" s="379" t="str">
        <f>F!C22</f>
        <v>25-50% of the AA</v>
      </c>
      <c r="D50" s="20">
        <f>F!D22</f>
        <v>0</v>
      </c>
      <c r="E50" s="388">
        <v>2</v>
      </c>
      <c r="F50" s="388">
        <f t="shared" si="1"/>
        <v>0</v>
      </c>
      <c r="G50" s="709"/>
      <c r="H50" s="1710"/>
    </row>
    <row r="51" spans="1:9" ht="15" customHeight="1" x14ac:dyDescent="0.2">
      <c r="A51" s="1845"/>
      <c r="B51" s="1688"/>
      <c r="C51" s="379" t="str">
        <f>F!C23</f>
        <v>50-95% of the AA</v>
      </c>
      <c r="D51" s="20">
        <f>F!D23</f>
        <v>0</v>
      </c>
      <c r="E51" s="388">
        <v>3</v>
      </c>
      <c r="F51" s="388">
        <f t="shared" si="1"/>
        <v>0</v>
      </c>
      <c r="G51" s="709"/>
      <c r="H51" s="1710"/>
    </row>
    <row r="52" spans="1:9" ht="15.6" customHeight="1" thickBot="1" x14ac:dyDescent="0.25">
      <c r="A52" s="1901"/>
      <c r="B52" s="1688"/>
      <c r="C52" s="379" t="str">
        <f>F!C24</f>
        <v>&gt;95% of the AA</v>
      </c>
      <c r="D52" s="20">
        <f>F!D24</f>
        <v>0</v>
      </c>
      <c r="E52" s="404">
        <v>4</v>
      </c>
      <c r="F52" s="388">
        <f t="shared" si="1"/>
        <v>0</v>
      </c>
      <c r="G52" s="709"/>
      <c r="H52" s="1710"/>
    </row>
    <row r="53" spans="1:9" ht="36" customHeight="1" thickBot="1" x14ac:dyDescent="0.25">
      <c r="A53" s="1960" t="str">
        <f>F!A33</f>
        <v>F7</v>
      </c>
      <c r="B53" s="1703" t="str">
        <f>F!B33</f>
        <v>% Flooded Only Seasonally</v>
      </c>
      <c r="C53" s="111" t="str">
        <f>F!C33</f>
        <v>The percentage of the AA soil that is covered by surface water only during the wettest time of year, and for &gt;2 continuous weeks during that time, is:</v>
      </c>
      <c r="D53" s="253"/>
      <c r="E53" s="388"/>
      <c r="F53" s="413"/>
      <c r="G53" s="550">
        <f>IF((AllSat+AllSat1&gt;0),"",MAX(F54:F58)/MAX(E54:E58))</f>
        <v>0</v>
      </c>
      <c r="H53" s="1959" t="s">
        <v>5377</v>
      </c>
      <c r="I53" s="3" t="s">
        <v>306</v>
      </c>
    </row>
    <row r="54" spans="1:9" ht="15" customHeight="1" x14ac:dyDescent="0.2">
      <c r="A54" s="1845"/>
      <c r="B54" s="1688"/>
      <c r="C54" s="384" t="str">
        <f>F!C34</f>
        <v>&lt;1% or &lt;0.01 acre, whichever is less.  SKIP to F9.</v>
      </c>
      <c r="D54" s="280">
        <f>F!D34</f>
        <v>0</v>
      </c>
      <c r="E54" s="388">
        <v>3</v>
      </c>
      <c r="F54" s="388">
        <f>D54*E54</f>
        <v>0</v>
      </c>
      <c r="G54" s="708"/>
      <c r="H54" s="1710"/>
    </row>
    <row r="55" spans="1:9" ht="15" customHeight="1" x14ac:dyDescent="0.2">
      <c r="A55" s="1845"/>
      <c r="B55" s="1688"/>
      <c r="C55" s="487" t="str">
        <f>F!C35</f>
        <v xml:space="preserve">1-25% </v>
      </c>
      <c r="D55" s="46">
        <f>F!D35</f>
        <v>0</v>
      </c>
      <c r="E55" s="388">
        <v>4</v>
      </c>
      <c r="F55" s="388">
        <f>D55*E55</f>
        <v>0</v>
      </c>
      <c r="G55" s="709"/>
      <c r="H55" s="1710"/>
    </row>
    <row r="56" spans="1:9" ht="15" customHeight="1" x14ac:dyDescent="0.2">
      <c r="A56" s="1845"/>
      <c r="B56" s="1688"/>
      <c r="C56" s="487" t="str">
        <f>F!C36</f>
        <v xml:space="preserve">25-50% </v>
      </c>
      <c r="D56" s="46">
        <f>F!D36</f>
        <v>0</v>
      </c>
      <c r="E56" s="388">
        <v>3</v>
      </c>
      <c r="F56" s="388">
        <f>D56*E56</f>
        <v>0</v>
      </c>
      <c r="G56" s="709"/>
      <c r="H56" s="1710"/>
    </row>
    <row r="57" spans="1:9" ht="15" customHeight="1" x14ac:dyDescent="0.2">
      <c r="A57" s="1845"/>
      <c r="B57" s="1688"/>
      <c r="C57" s="487" t="str">
        <f>F!C37</f>
        <v xml:space="preserve">50-95% </v>
      </c>
      <c r="D57" s="46">
        <f>F!D37</f>
        <v>0</v>
      </c>
      <c r="E57" s="388">
        <v>2</v>
      </c>
      <c r="F57" s="388">
        <f>D57*E57</f>
        <v>0</v>
      </c>
      <c r="G57" s="709"/>
      <c r="H57" s="1710"/>
    </row>
    <row r="58" spans="1:9" ht="15.6" customHeight="1" thickBot="1" x14ac:dyDescent="0.25">
      <c r="A58" s="1901"/>
      <c r="B58" s="1873"/>
      <c r="C58" s="379" t="str">
        <f>F!C38</f>
        <v xml:space="preserve">&gt;95% </v>
      </c>
      <c r="D58" s="20">
        <f>F!D38</f>
        <v>0</v>
      </c>
      <c r="E58" s="388">
        <v>1</v>
      </c>
      <c r="F58" s="388">
        <f>D58*E58</f>
        <v>0</v>
      </c>
      <c r="G58" s="709"/>
      <c r="H58" s="1953"/>
    </row>
    <row r="59" spans="1:9" ht="30" customHeight="1" thickBot="1" x14ac:dyDescent="0.25">
      <c r="A59" s="1960" t="str">
        <f>F!A39</f>
        <v>F8</v>
      </c>
      <c r="B59" s="1703" t="str">
        <f>F!B39</f>
        <v>Annual Water Fluctuation Range</v>
      </c>
      <c r="C59" s="231" t="str">
        <f>F!C39</f>
        <v>The maximum annual fluctuation in surface water within the AA is:</v>
      </c>
      <c r="D59" s="253"/>
      <c r="E59" s="388"/>
      <c r="F59" s="413"/>
      <c r="G59" s="550">
        <f>IF((AllSat+AllSat1&gt;0),"",IF((NoSeasonal=1),"",MAX(F60:F63)/MAX(E60:E63)))</f>
        <v>0</v>
      </c>
      <c r="H59" s="1961" t="s">
        <v>5378</v>
      </c>
      <c r="I59" s="3" t="s">
        <v>311</v>
      </c>
    </row>
    <row r="60" spans="1:9" ht="15" customHeight="1" x14ac:dyDescent="0.2">
      <c r="A60" s="1845"/>
      <c r="B60" s="1688"/>
      <c r="C60" s="21" t="str">
        <f>F!C40</f>
        <v xml:space="preserve">&lt;0.5 ft </v>
      </c>
      <c r="D60" s="280">
        <f>F!D40</f>
        <v>0</v>
      </c>
      <c r="E60" s="388">
        <v>3</v>
      </c>
      <c r="F60" s="388">
        <f>D60*E60</f>
        <v>0</v>
      </c>
      <c r="G60" s="708"/>
      <c r="H60" s="1961"/>
    </row>
    <row r="61" spans="1:9" ht="15" customHeight="1" x14ac:dyDescent="0.2">
      <c r="A61" s="1845"/>
      <c r="B61" s="1688"/>
      <c r="C61" s="6" t="str">
        <f>F!C41</f>
        <v>0.5 - 1 ft</v>
      </c>
      <c r="D61" s="46">
        <f>F!D41</f>
        <v>0</v>
      </c>
      <c r="E61" s="388">
        <v>4</v>
      </c>
      <c r="F61" s="388">
        <f>D61*E61</f>
        <v>0</v>
      </c>
      <c r="G61" s="709"/>
      <c r="H61" s="1961"/>
    </row>
    <row r="62" spans="1:9" ht="15" customHeight="1" x14ac:dyDescent="0.2">
      <c r="A62" s="1845"/>
      <c r="B62" s="1688"/>
      <c r="C62" s="6" t="str">
        <f>F!C42</f>
        <v>1-3 ft</v>
      </c>
      <c r="D62" s="46">
        <f>F!D42</f>
        <v>0</v>
      </c>
      <c r="E62" s="388">
        <v>2</v>
      </c>
      <c r="F62" s="388">
        <f>D62*E62</f>
        <v>0</v>
      </c>
      <c r="G62" s="709"/>
      <c r="H62" s="1961"/>
    </row>
    <row r="63" spans="1:9" ht="22.5" customHeight="1" thickBot="1" x14ac:dyDescent="0.25">
      <c r="A63" s="1845"/>
      <c r="B63" s="1688"/>
      <c r="C63" s="470" t="str">
        <f>F!C43</f>
        <v xml:space="preserve">&gt; 3 ft </v>
      </c>
      <c r="D63" s="20">
        <f>F!D43</f>
        <v>0</v>
      </c>
      <c r="E63" s="391">
        <v>1</v>
      </c>
      <c r="F63" s="391">
        <f>D63*E63</f>
        <v>0</v>
      </c>
      <c r="G63" s="718"/>
      <c r="H63" s="1959"/>
    </row>
    <row r="64" spans="1:9" ht="30" customHeight="1" thickBot="1" x14ac:dyDescent="0.25">
      <c r="A64" s="1868" t="str">
        <f>F!A44</f>
        <v>F9</v>
      </c>
      <c r="B64" s="1687" t="str">
        <f>F!B44</f>
        <v>Predominant Depth Class</v>
      </c>
      <c r="C64" s="231" t="str">
        <f>F!C44</f>
        <v>During most of the growing season, surface water depth in most of the area where it is present is: [Note: This is not asking for the maximum depth.]</v>
      </c>
      <c r="D64" s="253"/>
      <c r="E64" s="392"/>
      <c r="F64" s="393"/>
      <c r="G64" s="550">
        <f>IF((AllSat+AllSat1&gt;0),"",MAX(F65:F69)/MAX(E65:E69))</f>
        <v>0</v>
      </c>
      <c r="H64" s="1709" t="s">
        <v>5379</v>
      </c>
      <c r="I64" s="3" t="s">
        <v>312</v>
      </c>
    </row>
    <row r="65" spans="1:9" ht="15" customHeight="1" x14ac:dyDescent="0.2">
      <c r="A65" s="1869"/>
      <c r="B65" s="1688"/>
      <c r="C65" s="21" t="str">
        <f>F!C45</f>
        <v>&lt;0.5 ft deep (but &gt;0)</v>
      </c>
      <c r="D65" s="280">
        <f>F!D45</f>
        <v>0</v>
      </c>
      <c r="E65" s="388">
        <v>3</v>
      </c>
      <c r="F65" s="388">
        <f>D65*E65</f>
        <v>0</v>
      </c>
      <c r="G65" s="708"/>
      <c r="H65" s="1710"/>
    </row>
    <row r="66" spans="1:9" ht="15" customHeight="1" x14ac:dyDescent="0.2">
      <c r="A66" s="1869"/>
      <c r="B66" s="1688"/>
      <c r="C66" s="6" t="str">
        <f>F!C46</f>
        <v>0.5 - 1 ft deep</v>
      </c>
      <c r="D66" s="46">
        <f>F!D46</f>
        <v>0</v>
      </c>
      <c r="E66" s="388">
        <v>5</v>
      </c>
      <c r="F66" s="388">
        <f>D66*E66</f>
        <v>0</v>
      </c>
      <c r="G66" s="709"/>
      <c r="H66" s="1710"/>
    </row>
    <row r="67" spans="1:9" ht="15" customHeight="1" x14ac:dyDescent="0.2">
      <c r="A67" s="1869"/>
      <c r="B67" s="1688"/>
      <c r="C67" s="6" t="str">
        <f>F!C47</f>
        <v>1-2 ft deep</v>
      </c>
      <c r="D67" s="46">
        <f>F!D47</f>
        <v>0</v>
      </c>
      <c r="E67" s="388">
        <v>4</v>
      </c>
      <c r="F67" s="388">
        <f>D67*E67</f>
        <v>0</v>
      </c>
      <c r="G67" s="709"/>
      <c r="H67" s="1710"/>
    </row>
    <row r="68" spans="1:9" ht="15" customHeight="1" x14ac:dyDescent="0.2">
      <c r="A68" s="1869"/>
      <c r="B68" s="1688"/>
      <c r="C68" s="6" t="str">
        <f>F!C48</f>
        <v>2-6 ft deep</v>
      </c>
      <c r="D68" s="46">
        <f>F!D48</f>
        <v>0</v>
      </c>
      <c r="E68" s="388">
        <v>2</v>
      </c>
      <c r="F68" s="388">
        <f>D68*E68</f>
        <v>0</v>
      </c>
      <c r="G68" s="709"/>
      <c r="H68" s="1710"/>
    </row>
    <row r="69" spans="1:9" ht="15.6" customHeight="1" thickBot="1" x14ac:dyDescent="0.25">
      <c r="A69" s="1870"/>
      <c r="B69" s="1689"/>
      <c r="C69" s="214" t="str">
        <f>F!C49</f>
        <v>&gt;6 ft deep.  True for many fringe wetlands.</v>
      </c>
      <c r="D69" s="213">
        <f>F!D49</f>
        <v>0</v>
      </c>
      <c r="E69" s="389">
        <v>1</v>
      </c>
      <c r="F69" s="389">
        <f>D69*E69</f>
        <v>0</v>
      </c>
      <c r="G69" s="710"/>
      <c r="H69" s="1711"/>
    </row>
    <row r="70" spans="1:9" ht="21" customHeight="1" thickBot="1" x14ac:dyDescent="0.25">
      <c r="A70" s="1899" t="str">
        <f>F!A50</f>
        <v>F10</v>
      </c>
      <c r="B70" s="1713" t="str">
        <f>F!B50</f>
        <v>Depth Class Distribution</v>
      </c>
      <c r="C70" s="770" t="str">
        <f>F!C50</f>
        <v>When present, surface water in most of the AA usually consists of (select one):</v>
      </c>
      <c r="D70" s="253"/>
      <c r="E70" s="387"/>
      <c r="F70" s="390"/>
      <c r="G70" s="601">
        <f>IF((AllSat+AllSat1&gt;0),"",MAX(F71:F73)/MAX(E71:E73))</f>
        <v>0</v>
      </c>
      <c r="H70" s="1713" t="s">
        <v>5380</v>
      </c>
      <c r="I70" s="3" t="s">
        <v>2037</v>
      </c>
    </row>
    <row r="71" spans="1:9" ht="15" customHeight="1" x14ac:dyDescent="0.2">
      <c r="A71" s="1899"/>
      <c r="B71" s="1713"/>
      <c r="C71" s="587" t="str">
        <f>F!C51</f>
        <v>One depth class that comprises &gt;90% of the AA’s inundated area (use the classes in the question above).</v>
      </c>
      <c r="D71" s="283">
        <f>F!D51</f>
        <v>0</v>
      </c>
      <c r="E71" s="388">
        <v>0</v>
      </c>
      <c r="F71" s="388">
        <f>D71*E71</f>
        <v>0</v>
      </c>
      <c r="G71" s="708"/>
      <c r="H71" s="1688"/>
    </row>
    <row r="72" spans="1:9" ht="15" customHeight="1" x14ac:dyDescent="0.2">
      <c r="A72" s="1899"/>
      <c r="B72" s="1713"/>
      <c r="C72" s="588" t="str">
        <f>F!C52</f>
        <v>One depth class that comprises 50-90% of the AA's inundated area.</v>
      </c>
      <c r="D72" s="284">
        <f>F!D52</f>
        <v>0</v>
      </c>
      <c r="E72" s="388">
        <v>1</v>
      </c>
      <c r="F72" s="388">
        <f>D72*E72</f>
        <v>0</v>
      </c>
      <c r="G72" s="709"/>
      <c r="H72" s="1688"/>
    </row>
    <row r="73" spans="1:9" ht="15.6" customHeight="1" thickBot="1" x14ac:dyDescent="0.25">
      <c r="A73" s="1899"/>
      <c r="B73" s="1713"/>
      <c r="C73" s="589" t="str">
        <f>F!C53</f>
        <v>Neither of above.  Multiple depth classes; none occupy more than 50% of the AA.</v>
      </c>
      <c r="D73" s="285">
        <f>F!D53</f>
        <v>0</v>
      </c>
      <c r="E73" s="391">
        <v>2</v>
      </c>
      <c r="F73" s="391">
        <f>D73*E73</f>
        <v>0</v>
      </c>
      <c r="G73" s="718"/>
      <c r="H73" s="1688"/>
    </row>
    <row r="74" spans="1:9" ht="54" customHeight="1" thickBot="1" x14ac:dyDescent="0.25">
      <c r="A74" s="1687" t="str">
        <f>F!A67</f>
        <v>F14</v>
      </c>
      <c r="B74" s="1687" t="str">
        <f>F!B67</f>
        <v>Non-vegetated Aquatic Cover</v>
      </c>
      <c r="C74" s="111" t="str">
        <f>F!C67</f>
        <v>The cover for fish, aquatic invertebrates, and/or amphibians that is provided by horizontally incised banks, water deeper than 2 ft, and/or partly-submerged accumulations of wood thicker than 4 inches (NOT by living vegetation) is:</v>
      </c>
      <c r="D74" s="253"/>
      <c r="E74" s="392"/>
      <c r="F74" s="392"/>
      <c r="G74" s="600" t="str">
        <f>IF((AllSat+AllSat1&gt;0),"",IF((OpenW=0),"",MAX(F75:F77)/MAX(E75:E77)))</f>
        <v/>
      </c>
      <c r="H74" s="1687" t="s">
        <v>5381</v>
      </c>
      <c r="I74" s="3" t="s">
        <v>307</v>
      </c>
    </row>
    <row r="75" spans="1:9" ht="15" customHeight="1" x14ac:dyDescent="0.2">
      <c r="A75" s="1688"/>
      <c r="B75" s="1688"/>
      <c r="C75" s="384" t="str">
        <f>F!C68</f>
        <v>Little or none, or all water is shallower than 2 ft most of the year.</v>
      </c>
      <c r="D75" s="280">
        <f>F!D68</f>
        <v>0</v>
      </c>
      <c r="E75" s="388">
        <v>0</v>
      </c>
      <c r="F75" s="388">
        <f>D75*E75</f>
        <v>0</v>
      </c>
      <c r="G75" s="709"/>
      <c r="H75" s="1688"/>
    </row>
    <row r="76" spans="1:9" ht="15" customHeight="1" x14ac:dyDescent="0.2">
      <c r="A76" s="1688"/>
      <c r="B76" s="1688"/>
      <c r="C76" s="487" t="str">
        <f>F!C69</f>
        <v>Intermediate, e.g., 500 - 2500 cu. ft of instream wood per 1000 ft of channel.</v>
      </c>
      <c r="D76" s="46">
        <f>F!D69</f>
        <v>0</v>
      </c>
      <c r="E76" s="388">
        <v>1</v>
      </c>
      <c r="F76" s="388">
        <f>D76*E76</f>
        <v>0</v>
      </c>
      <c r="G76" s="709"/>
      <c r="H76" s="1688"/>
    </row>
    <row r="77" spans="1:9" ht="27.6" customHeight="1" thickBot="1" x14ac:dyDescent="0.25">
      <c r="A77" s="1689"/>
      <c r="B77" s="1689"/>
      <c r="C77" s="486" t="str">
        <f>F!C70</f>
        <v>Extensive:  &gt;8 pieces of wood per stream reach (reach= 10x channel width), or &gt;2700 cu.ft of instream wood per 1000 ft of channel, or &gt;10% of bank length is incised.</v>
      </c>
      <c r="D77" s="213">
        <f>F!D70</f>
        <v>0</v>
      </c>
      <c r="E77" s="389">
        <v>2</v>
      </c>
      <c r="F77" s="389">
        <f>D77*E77</f>
        <v>0</v>
      </c>
      <c r="G77" s="710"/>
      <c r="H77" s="1689"/>
    </row>
    <row r="78" spans="1:9" ht="45" customHeight="1" thickBot="1" x14ac:dyDescent="0.25">
      <c r="A78" s="1899" t="str">
        <f>F!A71</f>
        <v>F15</v>
      </c>
      <c r="B78" s="1688" t="str">
        <f>F!B71</f>
        <v>All Ponded Water - Extent</v>
      </c>
      <c r="C78" s="385" t="str">
        <f>F!C71</f>
        <v>During most of the growing season, the percentage of the AA that has ponded surface water (stagnant, or flows so slowly that fine sediment is not held in suspension) which is either open or shaded by emergent vegetation is:</v>
      </c>
      <c r="D78" s="253"/>
      <c r="E78" s="387"/>
      <c r="F78" s="390"/>
      <c r="G78" s="601">
        <f>IF((AllSat+AllSat1&gt;0),"",MAX(F79:F85)/MAX(E79:E85))</f>
        <v>0</v>
      </c>
      <c r="H78" s="1710" t="s">
        <v>5382</v>
      </c>
      <c r="I78" s="3" t="s">
        <v>310</v>
      </c>
    </row>
    <row r="79" spans="1:9" ht="15" customHeight="1" x14ac:dyDescent="0.2">
      <c r="A79" s="1845"/>
      <c r="B79" s="1688"/>
      <c r="C79" s="21" t="str">
        <f>F!C72</f>
        <v>&lt;1% or none, or occupies &lt;100 sq. ft cumulatively.  Enter "1" and SKIP to F19.</v>
      </c>
      <c r="D79" s="280">
        <f>F!D72</f>
        <v>0</v>
      </c>
      <c r="E79" s="388">
        <v>1</v>
      </c>
      <c r="F79" s="388">
        <f t="shared" ref="F79:F85" si="2">D79*E79</f>
        <v>0</v>
      </c>
      <c r="G79" s="709"/>
      <c r="H79" s="1710"/>
    </row>
    <row r="80" spans="1:9" ht="15" customHeight="1" x14ac:dyDescent="0.2">
      <c r="A80" s="1845"/>
      <c r="B80" s="1688"/>
      <c r="C80" s="6" t="str">
        <f>F!C73</f>
        <v>1-25% of the AA, and mainly in small fishless pools. Enter "1" and SKIP to F19.</v>
      </c>
      <c r="D80" s="46">
        <f>F!D73</f>
        <v>0</v>
      </c>
      <c r="E80" s="388">
        <v>2</v>
      </c>
      <c r="F80" s="388">
        <f t="shared" si="2"/>
        <v>0</v>
      </c>
      <c r="G80" s="709"/>
      <c r="H80" s="1710"/>
    </row>
    <row r="81" spans="1:9" ht="15" customHeight="1" x14ac:dyDescent="0.2">
      <c r="A81" s="1845"/>
      <c r="B81" s="1688"/>
      <c r="C81" s="6" t="str">
        <f>F!C74</f>
        <v>1-25% of the AA, and mainly in a single large pool or pond, with or without fish access.</v>
      </c>
      <c r="D81" s="46">
        <f>F!D74</f>
        <v>0</v>
      </c>
      <c r="E81" s="388">
        <v>3</v>
      </c>
      <c r="F81" s="388">
        <f t="shared" si="2"/>
        <v>0</v>
      </c>
      <c r="G81" s="709"/>
      <c r="H81" s="1710"/>
    </row>
    <row r="82" spans="1:9" ht="15" customHeight="1" x14ac:dyDescent="0.2">
      <c r="A82" s="1845"/>
      <c r="B82" s="1688"/>
      <c r="C82" s="6" t="str">
        <f>F!C75</f>
        <v>5-30% of the AA.</v>
      </c>
      <c r="D82" s="46">
        <f>F!D75</f>
        <v>0</v>
      </c>
      <c r="E82" s="388">
        <v>4</v>
      </c>
      <c r="F82" s="388">
        <f t="shared" si="2"/>
        <v>0</v>
      </c>
      <c r="G82" s="709"/>
      <c r="H82" s="1710"/>
    </row>
    <row r="83" spans="1:9" ht="15" customHeight="1" x14ac:dyDescent="0.2">
      <c r="A83" s="1845"/>
      <c r="B83" s="1688"/>
      <c r="C83" s="6" t="str">
        <f>F!C76</f>
        <v>30-70% of the AA.</v>
      </c>
      <c r="D83" s="46">
        <f>F!D76</f>
        <v>0</v>
      </c>
      <c r="E83" s="388">
        <v>3</v>
      </c>
      <c r="F83" s="388">
        <f t="shared" si="2"/>
        <v>0</v>
      </c>
      <c r="G83" s="718"/>
      <c r="H83" s="1710"/>
    </row>
    <row r="84" spans="1:9" ht="15" customHeight="1" x14ac:dyDescent="0.2">
      <c r="A84" s="1845"/>
      <c r="B84" s="1688"/>
      <c r="C84" s="6" t="str">
        <f>F!C77</f>
        <v>70-95% of the AA.</v>
      </c>
      <c r="D84" s="46">
        <f>F!D77</f>
        <v>0</v>
      </c>
      <c r="E84" s="388">
        <v>2</v>
      </c>
      <c r="F84" s="388">
        <f t="shared" si="2"/>
        <v>0</v>
      </c>
      <c r="G84" s="718"/>
      <c r="H84" s="1710"/>
    </row>
    <row r="85" spans="1:9" ht="15.6" customHeight="1" thickBot="1" x14ac:dyDescent="0.25">
      <c r="A85" s="1845"/>
      <c r="B85" s="1688"/>
      <c r="C85" s="470" t="str">
        <f>F!C78</f>
        <v>&gt;95% of the AA.</v>
      </c>
      <c r="D85" s="20">
        <f>F!D78</f>
        <v>0</v>
      </c>
      <c r="E85" s="391">
        <v>1</v>
      </c>
      <c r="F85" s="391">
        <f t="shared" si="2"/>
        <v>0</v>
      </c>
      <c r="G85" s="718"/>
      <c r="H85" s="1710"/>
    </row>
    <row r="86" spans="1:9" ht="30" customHeight="1" thickBot="1" x14ac:dyDescent="0.25">
      <c r="A86" s="1969" t="str">
        <f>F!A79</f>
        <v>F16</v>
      </c>
      <c r="B86" s="1703" t="str">
        <f>F!B79</f>
        <v>Open Ponded Water - Extent</v>
      </c>
      <c r="C86" s="5" t="str">
        <f>F!C79</f>
        <v>The percentage of the ponded water that is open (lacking emergent vegetation during most of the growing season, and unhidden by a forest or shrub canopy) is:</v>
      </c>
      <c r="D86" s="253"/>
      <c r="E86" s="392"/>
      <c r="F86" s="393"/>
      <c r="G86" s="600">
        <f>IF((AllSat+AllSat1&gt;0),"",IF((OR(puddles=1,NoPonded=1)),"",MAX(F87:F92)/MAX(E87:E92)))</f>
        <v>0</v>
      </c>
      <c r="H86" s="1709" t="s">
        <v>5383</v>
      </c>
      <c r="I86" s="3" t="s">
        <v>309</v>
      </c>
    </row>
    <row r="87" spans="1:9" ht="15" customHeight="1" x14ac:dyDescent="0.2">
      <c r="A87" s="1970"/>
      <c r="B87" s="1688"/>
      <c r="C87" s="19" t="str">
        <f>F!C80</f>
        <v>&lt;1% or none, or largest pool occupies &lt;100 sq. ft.  Enter "1" and SKIP to F19.</v>
      </c>
      <c r="D87" s="20">
        <f>F!D80</f>
        <v>0</v>
      </c>
      <c r="E87" s="388">
        <v>1</v>
      </c>
      <c r="F87" s="388">
        <f t="shared" ref="F87:F92" si="3">D87*E87</f>
        <v>0</v>
      </c>
      <c r="G87" s="708"/>
      <c r="H87" s="1710"/>
    </row>
    <row r="88" spans="1:9" ht="15" customHeight="1" x14ac:dyDescent="0.2">
      <c r="A88" s="1970"/>
      <c r="B88" s="1688"/>
      <c r="C88" s="470" t="str">
        <f>F!C81</f>
        <v>1-5% of the ponded water.  Enter "1" and SKIP to F19.</v>
      </c>
      <c r="D88" s="20">
        <f>F!D81</f>
        <v>0</v>
      </c>
      <c r="E88" s="388">
        <v>3</v>
      </c>
      <c r="F88" s="388">
        <f t="shared" si="3"/>
        <v>0</v>
      </c>
      <c r="G88" s="709"/>
      <c r="H88" s="1710"/>
    </row>
    <row r="89" spans="1:9" ht="15" customHeight="1" x14ac:dyDescent="0.2">
      <c r="A89" s="1970"/>
      <c r="B89" s="1688"/>
      <c r="C89" s="470" t="str">
        <f>F!C82</f>
        <v>5-30% of the ponded water.</v>
      </c>
      <c r="D89" s="20">
        <f>F!D82</f>
        <v>0</v>
      </c>
      <c r="E89" s="388">
        <v>4</v>
      </c>
      <c r="F89" s="388">
        <f t="shared" si="3"/>
        <v>0</v>
      </c>
      <c r="G89" s="709"/>
      <c r="H89" s="1710"/>
    </row>
    <row r="90" spans="1:9" ht="15" customHeight="1" x14ac:dyDescent="0.2">
      <c r="A90" s="1970"/>
      <c r="B90" s="1688"/>
      <c r="C90" s="470" t="str">
        <f>F!C83</f>
        <v>30-70% of the ponded water.</v>
      </c>
      <c r="D90" s="20">
        <f>F!D83</f>
        <v>0</v>
      </c>
      <c r="E90" s="388">
        <v>6</v>
      </c>
      <c r="F90" s="388">
        <f t="shared" si="3"/>
        <v>0</v>
      </c>
      <c r="G90" s="709"/>
      <c r="H90" s="1710"/>
    </row>
    <row r="91" spans="1:9" ht="15" customHeight="1" x14ac:dyDescent="0.2">
      <c r="A91" s="1970"/>
      <c r="B91" s="1688"/>
      <c r="C91" s="470" t="str">
        <f>F!C84</f>
        <v>70-99% of the ponded water.</v>
      </c>
      <c r="D91" s="20">
        <f>F!D84</f>
        <v>0</v>
      </c>
      <c r="E91" s="388">
        <v>2</v>
      </c>
      <c r="F91" s="388">
        <f t="shared" si="3"/>
        <v>0</v>
      </c>
      <c r="G91" s="718"/>
      <c r="H91" s="1710"/>
    </row>
    <row r="92" spans="1:9" ht="15.6" customHeight="1" thickBot="1" x14ac:dyDescent="0.25">
      <c r="A92" s="1971"/>
      <c r="B92" s="1689"/>
      <c r="C92" s="470" t="str">
        <f>F!C85</f>
        <v>100% of the ponded water. SKIP to F18.</v>
      </c>
      <c r="D92" s="20">
        <f>F!D85</f>
        <v>0</v>
      </c>
      <c r="E92" s="391">
        <v>0</v>
      </c>
      <c r="F92" s="391">
        <f t="shared" si="3"/>
        <v>0</v>
      </c>
      <c r="G92" s="718"/>
      <c r="H92" s="1711"/>
    </row>
    <row r="93" spans="1:9" ht="30" customHeight="1" thickBot="1" x14ac:dyDescent="0.25">
      <c r="A93" s="1868" t="str">
        <f>F!A86</f>
        <v>F17</v>
      </c>
      <c r="B93" s="1687" t="str">
        <f>F!B86</f>
        <v>Emergent Vegetation - Distribution</v>
      </c>
      <c r="C93" s="111" t="str">
        <f>F!C86</f>
        <v>During most of the growing season, the spatial pattern of herbaceous vegetation that has surface water beneath it (emergent vegetation -- NOT floating-leaved plants) is mostly:</v>
      </c>
      <c r="D93" s="253"/>
      <c r="E93" s="392"/>
      <c r="F93" s="393"/>
      <c r="G93" s="745">
        <f>IF((AllSat+AllSat1&gt;0),"",IF((OR(puddles=1,NoPonded=1)),"",IF((NoOpenPonded+NoOpenPonded1&gt;0),"",IF((AllOpenPond=1),"",MAX(F94:F96)/MAX(E94:E96)))))</f>
        <v>0</v>
      </c>
      <c r="H93" s="1688" t="s">
        <v>5399</v>
      </c>
      <c r="I93" s="3" t="s">
        <v>313</v>
      </c>
    </row>
    <row r="94" spans="1:9" ht="15" customHeight="1" x14ac:dyDescent="0.2">
      <c r="A94" s="1869"/>
      <c r="B94" s="1688"/>
      <c r="C94" s="384" t="str">
        <f>F!C87</f>
        <v>scattered in small clumps, islands, or patches throughout the surface water area.</v>
      </c>
      <c r="D94" s="280">
        <f>F!D87</f>
        <v>0</v>
      </c>
      <c r="E94" s="388">
        <v>3</v>
      </c>
      <c r="F94" s="388">
        <f>D94*E94</f>
        <v>0</v>
      </c>
      <c r="G94" s="834"/>
      <c r="H94" s="1688"/>
    </row>
    <row r="95" spans="1:9" ht="15" customHeight="1" x14ac:dyDescent="0.2">
      <c r="A95" s="1869"/>
      <c r="B95" s="1688"/>
      <c r="C95" s="487" t="str">
        <f>F!C88</f>
        <v>intermediate</v>
      </c>
      <c r="D95" s="46">
        <f>F!D88</f>
        <v>0</v>
      </c>
      <c r="E95" s="388">
        <v>2</v>
      </c>
      <c r="F95" s="388">
        <f>D95*E95</f>
        <v>0</v>
      </c>
      <c r="G95" s="834"/>
      <c r="H95" s="1688"/>
    </row>
    <row r="96" spans="1:9" ht="27.6" customHeight="1" thickBot="1" x14ac:dyDescent="0.25">
      <c r="A96" s="1870"/>
      <c r="B96" s="1689"/>
      <c r="C96" s="486" t="str">
        <f>F!C89</f>
        <v>clumped along the margin of the surface water area, or mostly surrounds a channel or central area of open water, or such vegetation covers &lt;100 sq ft and &lt;1% of the AA.</v>
      </c>
      <c r="D96" s="213">
        <f>F!D89</f>
        <v>0</v>
      </c>
      <c r="E96" s="389">
        <v>1</v>
      </c>
      <c r="F96" s="389">
        <f>D96*E96</f>
        <v>0</v>
      </c>
      <c r="G96" s="835"/>
      <c r="H96" s="1688"/>
    </row>
    <row r="97" spans="1:9" ht="21" customHeight="1" thickBot="1" x14ac:dyDescent="0.25">
      <c r="A97" s="1868" t="str">
        <f>F!A114</f>
        <v>F27</v>
      </c>
      <c r="B97" s="1687" t="str">
        <f>F!B114</f>
        <v>Throughflow Complexity</v>
      </c>
      <c r="C97" s="231" t="str">
        <f>F!C114</f>
        <v xml:space="preserve">During its travel through the AA at the time of peak annual flow, most of the flowing water [select ONE]: </v>
      </c>
      <c r="D97" s="253"/>
      <c r="E97" s="392"/>
      <c r="F97" s="393"/>
      <c r="G97" s="600" t="str">
        <f>IF((AllSat+AllSat1&gt;0),"", IF((Inflows=0),"",MAX(F98:F102)/MAX(E98:E102)))</f>
        <v/>
      </c>
      <c r="H97" s="1709" t="s">
        <v>5384</v>
      </c>
      <c r="I97" s="3" t="s">
        <v>315</v>
      </c>
    </row>
    <row r="98" spans="1:9" ht="42" customHeight="1" x14ac:dyDescent="0.2">
      <c r="A98" s="1869"/>
      <c r="B98" s="1688"/>
      <c r="C98" s="21" t="str">
        <f>F!C115</f>
        <v>Does not bump into plant stems.  Nearly all the water travels in unvegetated (often incised) channels that have little contact with wetland vegetation, or through a zone of open water such as an instream pond or lake.</v>
      </c>
      <c r="D98" s="280">
        <f>F!D115</f>
        <v>0</v>
      </c>
      <c r="E98" s="387">
        <v>0</v>
      </c>
      <c r="F98" s="387">
        <f>D98*E98</f>
        <v>0</v>
      </c>
      <c r="G98" s="708"/>
      <c r="H98" s="1710"/>
    </row>
    <row r="99" spans="1:9" ht="27" customHeight="1" x14ac:dyDescent="0.2">
      <c r="A99" s="1869"/>
      <c r="B99" s="1688"/>
      <c r="C99" s="6" t="str">
        <f>F!C116</f>
        <v>bumps into herbaceous vegetation and follows a fairly straight path from entrance to exit (branched channels few or none, meandering slight or none).</v>
      </c>
      <c r="D99" s="46">
        <f>F!D116</f>
        <v>0</v>
      </c>
      <c r="E99" s="388">
        <v>1</v>
      </c>
      <c r="F99" s="388">
        <f>D99*E99</f>
        <v>0</v>
      </c>
      <c r="G99" s="709"/>
      <c r="H99" s="1710"/>
    </row>
    <row r="100" spans="1:9" ht="27" customHeight="1" x14ac:dyDescent="0.2">
      <c r="A100" s="1869"/>
      <c r="B100" s="1688"/>
      <c r="C100" s="6" t="str">
        <f>F!C117</f>
        <v>bumps into herbaceous vegetation and follows a fairly indirect path from entrance to exit (meandering, multi-branched, or braided).</v>
      </c>
      <c r="D100" s="46">
        <f>F!D117</f>
        <v>0</v>
      </c>
      <c r="E100" s="388">
        <v>2</v>
      </c>
      <c r="F100" s="388">
        <f>D100*E100</f>
        <v>0</v>
      </c>
      <c r="G100" s="709"/>
      <c r="H100" s="1710"/>
    </row>
    <row r="101" spans="1:9" ht="27" customHeight="1" x14ac:dyDescent="0.2">
      <c r="A101" s="1869"/>
      <c r="B101" s="1688"/>
      <c r="C101" s="6" t="str">
        <f>F!C118</f>
        <v>bumps into tree trunks and/or shrub stems and follows a fairly straight path from entrance to exit (branched channels few or none, meandering slight or none).</v>
      </c>
      <c r="D101" s="46">
        <f>F!D118</f>
        <v>0</v>
      </c>
      <c r="E101" s="388">
        <v>1</v>
      </c>
      <c r="F101" s="388">
        <f>D101*E101</f>
        <v>0</v>
      </c>
      <c r="G101" s="709"/>
      <c r="H101" s="1710"/>
    </row>
    <row r="102" spans="1:9" ht="30" customHeight="1" thickBot="1" x14ac:dyDescent="0.25">
      <c r="A102" s="1870"/>
      <c r="B102" s="1689"/>
      <c r="C102" s="214" t="str">
        <f>F!C119</f>
        <v>bumps into tree trunks and/or shrub stems and follows a fairly indirect path from entrance to exit (meandering, multi-branched, or braided).</v>
      </c>
      <c r="D102" s="213">
        <f>F!D119</f>
        <v>0</v>
      </c>
      <c r="E102" s="389">
        <v>2</v>
      </c>
      <c r="F102" s="389">
        <f>D102*E102</f>
        <v>0</v>
      </c>
      <c r="G102" s="710"/>
      <c r="H102" s="1711"/>
    </row>
    <row r="103" spans="1:9" ht="21" customHeight="1" thickBot="1" x14ac:dyDescent="0.25">
      <c r="A103" s="1845" t="str">
        <f>F!A130</f>
        <v>F30</v>
      </c>
      <c r="B103" s="1688" t="str">
        <f>F!B130</f>
        <v>Groundwater: Strength of Evidence</v>
      </c>
      <c r="C103" s="381" t="str">
        <f>F!C130</f>
        <v>Select first applicable choice.  In the AA:</v>
      </c>
      <c r="D103" s="253"/>
      <c r="E103" s="387"/>
      <c r="F103" s="390"/>
      <c r="G103" s="601">
        <f>IF((D106=1),"",MAX(F104:F106)/MAX(E104:E106))</f>
        <v>0</v>
      </c>
      <c r="H103" s="1688" t="s">
        <v>5375</v>
      </c>
      <c r="I103" s="3" t="s">
        <v>332</v>
      </c>
    </row>
    <row r="104" spans="1:9" ht="72" customHeight="1" x14ac:dyDescent="0.2">
      <c r="A104" s="1845"/>
      <c r="B104" s="1688"/>
      <c r="C104" s="384"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04" s="280">
        <f>F!D131</f>
        <v>0</v>
      </c>
      <c r="E104" s="388">
        <v>3</v>
      </c>
      <c r="F104" s="415">
        <f>D104*E104</f>
        <v>0</v>
      </c>
      <c r="G104" s="708"/>
      <c r="H104" s="1688"/>
    </row>
    <row r="105" spans="1:9" ht="92.25" customHeight="1" x14ac:dyDescent="0.2">
      <c r="A105" s="1845"/>
      <c r="B105" s="1688"/>
      <c r="C105" s="487"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05" s="46">
        <f>F!D132</f>
        <v>0</v>
      </c>
      <c r="E105" s="388">
        <v>2</v>
      </c>
      <c r="F105" s="415">
        <f>D105*E105</f>
        <v>0</v>
      </c>
      <c r="G105" s="709"/>
      <c r="H105" s="1688"/>
    </row>
    <row r="106" spans="1:9" ht="27.6" customHeight="1" thickBot="1" x14ac:dyDescent="0.25">
      <c r="A106" s="1845"/>
      <c r="B106" s="1688"/>
      <c r="C106" s="379" t="str">
        <f>F!C133</f>
        <v>Neither of above is true, although some groundwater may discharge to or flow through the AA, or groundwater influx is unknown.</v>
      </c>
      <c r="D106" s="20">
        <f>F!D133</f>
        <v>0</v>
      </c>
      <c r="E106" s="391">
        <v>0</v>
      </c>
      <c r="F106" s="415">
        <f>D106*E106</f>
        <v>0</v>
      </c>
      <c r="G106" s="718"/>
      <c r="H106" s="1688"/>
    </row>
    <row r="107" spans="1:9" ht="21" customHeight="1" thickBot="1" x14ac:dyDescent="0.25">
      <c r="A107" s="1868" t="str">
        <f>F!A146</f>
        <v>F33</v>
      </c>
      <c r="B107" s="1687" t="str">
        <f>F!B146</f>
        <v>Deciduous Trees</v>
      </c>
      <c r="C107" s="111" t="str">
        <f>F!C146</f>
        <v>Within the vegetated part of the AA, just the deciduous trees that are taller than 20 ft occupy:</v>
      </c>
      <c r="D107" s="253"/>
      <c r="E107" s="392"/>
      <c r="F107" s="392"/>
      <c r="G107" s="600">
        <f>IF((NoWoodyVeg=1),"",IF((NoTrees=1),"",MAX(F108:F112)/MAX(E108:E112)))</f>
        <v>0</v>
      </c>
      <c r="H107" s="1687" t="s">
        <v>5385</v>
      </c>
      <c r="I107" s="3" t="s">
        <v>2509</v>
      </c>
    </row>
    <row r="108" spans="1:9" ht="15" customHeight="1" x14ac:dyDescent="0.2">
      <c r="A108" s="1869"/>
      <c r="B108" s="1688"/>
      <c r="C108" s="384" t="str">
        <f>F!C147</f>
        <v>&lt;1% of the vegetated AA</v>
      </c>
      <c r="D108" s="280">
        <f>F!D147</f>
        <v>0</v>
      </c>
      <c r="E108" s="388">
        <v>0</v>
      </c>
      <c r="F108" s="413">
        <f>D108*E108</f>
        <v>0</v>
      </c>
      <c r="G108" s="757"/>
      <c r="H108" s="1688"/>
    </row>
    <row r="109" spans="1:9" ht="15" customHeight="1" x14ac:dyDescent="0.2">
      <c r="A109" s="1869"/>
      <c r="B109" s="1688"/>
      <c r="C109" s="487" t="str">
        <f>F!C148</f>
        <v>1-25% of the vegetated AA</v>
      </c>
      <c r="D109" s="46">
        <f>F!D148</f>
        <v>0</v>
      </c>
      <c r="E109" s="388">
        <v>1</v>
      </c>
      <c r="F109" s="413">
        <f>D109*E109</f>
        <v>0</v>
      </c>
      <c r="G109" s="757"/>
      <c r="H109" s="1688"/>
    </row>
    <row r="110" spans="1:9" ht="15" customHeight="1" x14ac:dyDescent="0.2">
      <c r="A110" s="1869"/>
      <c r="B110" s="1688"/>
      <c r="C110" s="487" t="str">
        <f>F!C149</f>
        <v>25-50% of the vegetated AA</v>
      </c>
      <c r="D110" s="46">
        <f>F!D149</f>
        <v>0</v>
      </c>
      <c r="E110" s="388">
        <v>2</v>
      </c>
      <c r="F110" s="413">
        <f>D110*E110</f>
        <v>0</v>
      </c>
      <c r="G110" s="757"/>
      <c r="H110" s="1688"/>
    </row>
    <row r="111" spans="1:9" ht="15" customHeight="1" x14ac:dyDescent="0.2">
      <c r="A111" s="1869"/>
      <c r="B111" s="1688"/>
      <c r="C111" s="487" t="str">
        <f>F!C150</f>
        <v>50-95% of the vegetated AA</v>
      </c>
      <c r="D111" s="46">
        <f>F!D150</f>
        <v>0</v>
      </c>
      <c r="E111" s="388">
        <v>3</v>
      </c>
      <c r="F111" s="413">
        <f>D111*E111</f>
        <v>0</v>
      </c>
      <c r="G111" s="757"/>
      <c r="H111" s="1688"/>
    </row>
    <row r="112" spans="1:9" ht="15.6" customHeight="1" thickBot="1" x14ac:dyDescent="0.25">
      <c r="A112" s="1870"/>
      <c r="B112" s="1689"/>
      <c r="C112" s="486" t="str">
        <f>F!C151</f>
        <v>&gt;95% of the vegetated part of the AA</v>
      </c>
      <c r="D112" s="213">
        <f>F!D151</f>
        <v>0</v>
      </c>
      <c r="E112" s="389">
        <v>4</v>
      </c>
      <c r="F112" s="417">
        <f>D112*E112</f>
        <v>0</v>
      </c>
      <c r="G112" s="758"/>
      <c r="H112" s="1689"/>
    </row>
    <row r="113" spans="1:9" ht="30" customHeight="1" thickBot="1" x14ac:dyDescent="0.25">
      <c r="A113" s="1869" t="str">
        <f>F!A165</f>
        <v>F36</v>
      </c>
      <c r="B113" s="1688" t="str">
        <f>F!B165</f>
        <v>Downed Wood</v>
      </c>
      <c r="C113" s="385" t="str">
        <f>F!C165</f>
        <v>The number of downed wood pieces longer than 6 ft and with diameter &gt;6", and not persistently submerged, is:</v>
      </c>
      <c r="D113" s="253"/>
      <c r="E113" s="387"/>
      <c r="F113" s="390"/>
      <c r="G113" s="601">
        <f>IF((NoWoodyVeg=1),"",IF((NoTrees=1),"",MAX(F114:F115)))</f>
        <v>0</v>
      </c>
      <c r="H113" s="1710" t="s">
        <v>5386</v>
      </c>
      <c r="I113" s="3" t="s">
        <v>317</v>
      </c>
    </row>
    <row r="114" spans="1:9" ht="15" customHeight="1" x14ac:dyDescent="0.2">
      <c r="A114" s="1869"/>
      <c r="B114" s="1688"/>
      <c r="C114" s="21" t="str">
        <f>F!C166</f>
        <v>Several ( &gt;5 if AA is &gt;10 acres, or &gt;2 for smaller AAs)</v>
      </c>
      <c r="D114" s="280">
        <f>F!D166</f>
        <v>0</v>
      </c>
      <c r="E114" s="388">
        <v>1</v>
      </c>
      <c r="F114" s="388">
        <f>D114*E114</f>
        <v>0</v>
      </c>
      <c r="G114" s="708"/>
      <c r="H114" s="1710"/>
    </row>
    <row r="115" spans="1:9" ht="15.6" customHeight="1" thickBot="1" x14ac:dyDescent="0.25">
      <c r="A115" s="1870"/>
      <c r="B115" s="1689"/>
      <c r="C115" s="214" t="str">
        <f>F!C167</f>
        <v xml:space="preserve">Few or none </v>
      </c>
      <c r="D115" s="213">
        <f>F!D167</f>
        <v>0</v>
      </c>
      <c r="E115" s="389">
        <v>0</v>
      </c>
      <c r="F115" s="389">
        <f>D115*E115</f>
        <v>0</v>
      </c>
      <c r="G115" s="710"/>
      <c r="H115" s="1711"/>
    </row>
    <row r="116" spans="1:9" ht="30" customHeight="1" thickBot="1" x14ac:dyDescent="0.25">
      <c r="A116" s="1868" t="str">
        <f>F!A182</f>
        <v>F40</v>
      </c>
      <c r="B116" s="1687" t="str">
        <f>F!B182</f>
        <v>Deciduous Shrubs</v>
      </c>
      <c r="C116" s="111" t="str">
        <f>F!C182</f>
        <v>Woody vegetation in the 3 to 20 ft height class which is deciduous (e.g., blueberry, menziesia, alder) comprises:</v>
      </c>
      <c r="D116" s="253"/>
      <c r="E116" s="392"/>
      <c r="F116" s="393"/>
      <c r="G116" s="600">
        <f>IF((NoWoodyVeg=1),"",IF((NoShrub=1),"",MAX(F117:F121)/MAX(E117:E121)))</f>
        <v>0</v>
      </c>
      <c r="H116" s="1687" t="s">
        <v>5387</v>
      </c>
      <c r="I116" s="3" t="s">
        <v>314</v>
      </c>
    </row>
    <row r="117" spans="1:9" ht="15" customHeight="1" x14ac:dyDescent="0.2">
      <c r="A117" s="1869"/>
      <c r="B117" s="1688"/>
      <c r="C117" s="383" t="str">
        <f>F!C183</f>
        <v>&lt;1% of the AA's vegetated area, or largest patch occupies less than 400 sq. ft</v>
      </c>
      <c r="D117" s="380">
        <f>F!D183</f>
        <v>0</v>
      </c>
      <c r="E117" s="388">
        <v>0</v>
      </c>
      <c r="F117" s="413">
        <f>D117*E117</f>
        <v>0</v>
      </c>
      <c r="G117" s="708"/>
      <c r="H117" s="1688"/>
    </row>
    <row r="118" spans="1:9" ht="15" customHeight="1" x14ac:dyDescent="0.2">
      <c r="A118" s="1869"/>
      <c r="B118" s="1688"/>
      <c r="C118" s="379" t="str">
        <f>F!C184</f>
        <v>1-25% of the vegetated area</v>
      </c>
      <c r="D118" s="20">
        <f>F!D184</f>
        <v>0</v>
      </c>
      <c r="E118" s="388">
        <v>1</v>
      </c>
      <c r="F118" s="413">
        <f>D118*E118</f>
        <v>0</v>
      </c>
      <c r="G118" s="709"/>
      <c r="H118" s="1688"/>
    </row>
    <row r="119" spans="1:9" ht="15" customHeight="1" x14ac:dyDescent="0.2">
      <c r="A119" s="1869"/>
      <c r="B119" s="1688"/>
      <c r="C119" s="379" t="str">
        <f>F!C185</f>
        <v>25-50% of the vegetated area</v>
      </c>
      <c r="D119" s="20">
        <f>F!D185</f>
        <v>0</v>
      </c>
      <c r="E119" s="388">
        <v>2</v>
      </c>
      <c r="F119" s="413">
        <f>D119*E119</f>
        <v>0</v>
      </c>
      <c r="G119" s="709"/>
      <c r="H119" s="1688"/>
    </row>
    <row r="120" spans="1:9" ht="15" customHeight="1" x14ac:dyDescent="0.2">
      <c r="A120" s="1869"/>
      <c r="B120" s="1688"/>
      <c r="C120" s="379" t="str">
        <f>F!C186</f>
        <v>50-75% of the vegetated area</v>
      </c>
      <c r="D120" s="20">
        <f>F!D186</f>
        <v>0</v>
      </c>
      <c r="E120" s="388">
        <v>3</v>
      </c>
      <c r="F120" s="413">
        <f>D120*E120</f>
        <v>0</v>
      </c>
      <c r="G120" s="709"/>
      <c r="H120" s="1688"/>
    </row>
    <row r="121" spans="1:9" ht="15.6" customHeight="1" thickBot="1" x14ac:dyDescent="0.25">
      <c r="A121" s="1870"/>
      <c r="B121" s="1689"/>
      <c r="C121" s="486" t="str">
        <f>F!C187</f>
        <v>&gt;75% of the vegetated area</v>
      </c>
      <c r="D121" s="213">
        <f>F!D187</f>
        <v>0</v>
      </c>
      <c r="E121" s="389">
        <v>4</v>
      </c>
      <c r="F121" s="389">
        <f>D121*E121</f>
        <v>0</v>
      </c>
      <c r="G121" s="710"/>
      <c r="H121" s="1689"/>
    </row>
    <row r="122" spans="1:9" ht="30" customHeight="1" thickBot="1" x14ac:dyDescent="0.25">
      <c r="A122" s="1845" t="str">
        <f>F!A188</f>
        <v>F41</v>
      </c>
      <c r="B122" s="1688" t="str">
        <f>F!B188</f>
        <v>N Fixers</v>
      </c>
      <c r="C122" s="385" t="str">
        <f>F!C188</f>
        <v>The percent of the AA's vegetated cover that is nitrogen-fixing  plants -- e.g., alder, sweet clover (Meliolotus), sweetgale (Myrica gale), buffaloberry, clover, lupine, other legumes -- is:</v>
      </c>
      <c r="D122" s="253"/>
      <c r="E122" s="387"/>
      <c r="F122" s="390"/>
      <c r="G122" s="601">
        <f>MAX(F123:F127)/MAX(E123:E127)</f>
        <v>0</v>
      </c>
      <c r="H122" s="1710" t="s">
        <v>1342</v>
      </c>
      <c r="I122" s="3" t="s">
        <v>316</v>
      </c>
    </row>
    <row r="123" spans="1:9" ht="15" customHeight="1" x14ac:dyDescent="0.2">
      <c r="A123" s="1845"/>
      <c r="B123" s="1688"/>
      <c r="C123" s="21" t="str">
        <f>F!C189</f>
        <v>&lt;1% or none</v>
      </c>
      <c r="D123" s="280">
        <f>F!D189</f>
        <v>0</v>
      </c>
      <c r="E123" s="388">
        <v>0</v>
      </c>
      <c r="F123" s="388">
        <f>D123*E123</f>
        <v>0</v>
      </c>
      <c r="G123" s="708"/>
      <c r="H123" s="1710"/>
    </row>
    <row r="124" spans="1:9" ht="15" customHeight="1" x14ac:dyDescent="0.2">
      <c r="A124" s="1845"/>
      <c r="B124" s="1688"/>
      <c r="C124" s="6" t="str">
        <f>F!C190</f>
        <v>1-25% of the shrub plus ground cover, in the AA or along its water edge (whichever has more).</v>
      </c>
      <c r="D124" s="46">
        <f>F!D190</f>
        <v>0</v>
      </c>
      <c r="E124" s="388">
        <v>1</v>
      </c>
      <c r="F124" s="388">
        <f>D124*E124</f>
        <v>0</v>
      </c>
      <c r="G124" s="709"/>
      <c r="H124" s="1710"/>
    </row>
    <row r="125" spans="1:9" ht="15" customHeight="1" x14ac:dyDescent="0.2">
      <c r="A125" s="1845"/>
      <c r="B125" s="1688"/>
      <c r="C125" s="6" t="str">
        <f>F!C191</f>
        <v>25-50% of the shrub plus ground cover, in the AA or along its water edge (whichever has more).</v>
      </c>
      <c r="D125" s="46">
        <f>F!D191</f>
        <v>0</v>
      </c>
      <c r="E125" s="388">
        <v>2</v>
      </c>
      <c r="F125" s="388">
        <f>D125*E125</f>
        <v>0</v>
      </c>
      <c r="G125" s="709"/>
      <c r="H125" s="1710"/>
    </row>
    <row r="126" spans="1:9" ht="15" customHeight="1" x14ac:dyDescent="0.2">
      <c r="A126" s="1845"/>
      <c r="B126" s="1688"/>
      <c r="C126" s="6" t="str">
        <f>F!C192</f>
        <v>50-75% of the shrub plus ground cover, in the AA or along its water edge (whichever has more).</v>
      </c>
      <c r="D126" s="46">
        <f>F!D192</f>
        <v>0</v>
      </c>
      <c r="E126" s="388">
        <v>3</v>
      </c>
      <c r="F126" s="388">
        <f>D126*E126</f>
        <v>0</v>
      </c>
      <c r="G126" s="709"/>
      <c r="H126" s="1710"/>
    </row>
    <row r="127" spans="1:9" ht="15.6" customHeight="1" thickBot="1" x14ac:dyDescent="0.25">
      <c r="A127" s="1845"/>
      <c r="B127" s="1688"/>
      <c r="C127" s="470" t="str">
        <f>F!C193</f>
        <v>&gt;75% of the shrub plus ground cover, in the AA or along its water edge (whichever has more).</v>
      </c>
      <c r="D127" s="20">
        <f>F!D193</f>
        <v>0</v>
      </c>
      <c r="E127" s="391">
        <v>4</v>
      </c>
      <c r="F127" s="391">
        <f>D127*E127</f>
        <v>0</v>
      </c>
      <c r="G127" s="718"/>
      <c r="H127" s="1710"/>
    </row>
    <row r="128" spans="1:9" ht="60" customHeight="1" thickBot="1" x14ac:dyDescent="0.25">
      <c r="A128" s="1868" t="str">
        <f>F!A200</f>
        <v>F43</v>
      </c>
      <c r="B128" s="1687" t="str">
        <f>F!B200</f>
        <v>Bare Ground &amp; Accumulated Plant Litter</v>
      </c>
      <c r="C128" s="231" t="str">
        <f>F!C200</f>
        <v>As viewed from above at mid-summer, the extent of bare ground (unvegetated mineral or organic soil or rock) within the AA, excluding parts not visible because under water, snow, or dense thatch) is:</v>
      </c>
      <c r="D128" s="253"/>
      <c r="E128" s="392"/>
      <c r="F128" s="393"/>
      <c r="G128" s="600">
        <f>MAX(F129:F132)/MAX(E129:E132)</f>
        <v>0</v>
      </c>
      <c r="H128" s="1709" t="s">
        <v>43</v>
      </c>
      <c r="I128" s="3" t="s">
        <v>318</v>
      </c>
    </row>
    <row r="129" spans="1:9" ht="42" customHeight="1" x14ac:dyDescent="0.2">
      <c r="A129" s="1869"/>
      <c r="B129" s="1688"/>
      <c r="C129" s="21" t="str">
        <f>F!C201</f>
        <v xml:space="preserve">little or no (&lt;5%) bare ground is visible between erect stems or under canopy and ground surface is extensively blanketed by moss, lichens, graminoids with great stem densities, or plants with ground-hugging foliage.  </v>
      </c>
      <c r="D129" s="280">
        <f>F!D201</f>
        <v>0</v>
      </c>
      <c r="E129" s="388">
        <v>3</v>
      </c>
      <c r="F129" s="388">
        <f>D129*E129</f>
        <v>0</v>
      </c>
      <c r="G129" s="708"/>
      <c r="H129" s="1710"/>
    </row>
    <row r="130" spans="1:9" ht="27" customHeight="1" x14ac:dyDescent="0.2">
      <c r="A130" s="1869"/>
      <c r="B130" s="1688"/>
      <c r="C130" s="6" t="str">
        <f>F!C202</f>
        <v>Slightly bare ground (5-20% bare between plants) is visible in places, but those areas comprise less than 5% of the unflooded parts of the AA.</v>
      </c>
      <c r="D130" s="46">
        <f>F!D202</f>
        <v>0</v>
      </c>
      <c r="E130" s="388">
        <v>2</v>
      </c>
      <c r="F130" s="388">
        <f>D130*E130</f>
        <v>0</v>
      </c>
      <c r="G130" s="709"/>
      <c r="H130" s="1710"/>
    </row>
    <row r="131" spans="1:9" ht="27" customHeight="1" x14ac:dyDescent="0.2">
      <c r="A131" s="1869"/>
      <c r="B131" s="1688"/>
      <c r="C131" s="6" t="str">
        <f>F!C203</f>
        <v>Much bare ground (20-50% bare between plants) is visible in places, and those areas comprise more than 5% of the unflooded parts of the AA. </v>
      </c>
      <c r="D131" s="46">
        <f>F!D203</f>
        <v>0</v>
      </c>
      <c r="E131" s="388">
        <v>1</v>
      </c>
      <c r="F131" s="388">
        <f>D131*E131</f>
        <v>0</v>
      </c>
      <c r="G131" s="709"/>
      <c r="H131" s="1710"/>
    </row>
    <row r="132" spans="1:9" ht="15.6" customHeight="1" thickBot="1" x14ac:dyDescent="0.25">
      <c r="A132" s="1870"/>
      <c r="B132" s="1689"/>
      <c r="C132" s="214" t="str">
        <f>F!C204</f>
        <v>mostly (&gt;50%) bare ground or ground covered only with thatch.</v>
      </c>
      <c r="D132" s="213">
        <f>F!D204</f>
        <v>0</v>
      </c>
      <c r="E132" s="389">
        <v>0</v>
      </c>
      <c r="F132" s="389">
        <f>D132*E132</f>
        <v>0</v>
      </c>
      <c r="G132" s="710"/>
      <c r="H132" s="1711"/>
    </row>
    <row r="133" spans="1:9" ht="45" customHeight="1" thickBot="1" x14ac:dyDescent="0.25">
      <c r="A133" s="1845" t="str">
        <f>F!A206</f>
        <v>F44</v>
      </c>
      <c r="B133" s="1688" t="str">
        <f>F!B206</f>
        <v>Ground Irregularity</v>
      </c>
      <c r="C133" s="385"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33" s="253"/>
      <c r="E133" s="387"/>
      <c r="F133" s="390"/>
      <c r="G133" s="601">
        <f>MAX(F134:F136)/MAX(E134:E136)</f>
        <v>0</v>
      </c>
      <c r="H133" s="1710" t="s">
        <v>175</v>
      </c>
      <c r="I133" s="3" t="s">
        <v>319</v>
      </c>
    </row>
    <row r="134" spans="1:9" ht="15" customHeight="1" x14ac:dyDescent="0.2">
      <c r="A134" s="1845"/>
      <c r="B134" s="1688"/>
      <c r="C134" s="21" t="str">
        <f>F!C207</f>
        <v xml:space="preserve">Few or none (minimal microtopography; &lt;1% of that area) </v>
      </c>
      <c r="D134" s="280">
        <f>F!D207</f>
        <v>0</v>
      </c>
      <c r="E134" s="388">
        <v>0</v>
      </c>
      <c r="F134" s="388">
        <f>D134*E134</f>
        <v>0</v>
      </c>
      <c r="G134" s="708"/>
      <c r="H134" s="1710"/>
    </row>
    <row r="135" spans="1:9" ht="15" customHeight="1" x14ac:dyDescent="0.2">
      <c r="A135" s="1845"/>
      <c r="B135" s="1688"/>
      <c r="C135" s="6" t="str">
        <f>F!C208</f>
        <v>Intermediate</v>
      </c>
      <c r="D135" s="46">
        <f>F!D208</f>
        <v>0</v>
      </c>
      <c r="E135" s="388">
        <v>1</v>
      </c>
      <c r="F135" s="388">
        <f>D135*E135</f>
        <v>0</v>
      </c>
      <c r="G135" s="709"/>
      <c r="H135" s="1710"/>
    </row>
    <row r="136" spans="1:9" ht="15.6" customHeight="1" thickBot="1" x14ac:dyDescent="0.25">
      <c r="A136" s="1845"/>
      <c r="B136" s="1688"/>
      <c r="C136" s="470" t="str">
        <f>F!C209</f>
        <v>Several (extensive micro-topography)</v>
      </c>
      <c r="D136" s="20">
        <f>F!D209</f>
        <v>0</v>
      </c>
      <c r="E136" s="391">
        <v>2</v>
      </c>
      <c r="F136" s="391">
        <f>D136*E136</f>
        <v>0</v>
      </c>
      <c r="G136" s="718"/>
      <c r="H136" s="1710"/>
    </row>
    <row r="137" spans="1:9" ht="30" customHeight="1" thickBot="1" x14ac:dyDescent="0.25">
      <c r="A137" s="1896" t="str">
        <f>F!A250</f>
        <v>F52</v>
      </c>
      <c r="B137" s="1692" t="str">
        <f>F!B250</f>
        <v>Herbaceous Species Dominance</v>
      </c>
      <c r="C137" s="586" t="str">
        <f>F!C250</f>
        <v>Determine which two native herbaceous (forb, graminoid, fern) species comprise the greatest portion of the herbaceous cover that is unshaded by a woody canopy. Then choose one:</v>
      </c>
      <c r="D137" s="253"/>
      <c r="E137" s="392"/>
      <c r="F137" s="393"/>
      <c r="G137" s="600">
        <f>IF((NoHerbCov=1),"", MAX(F138:F139)/MAX(E138:E139))</f>
        <v>0</v>
      </c>
      <c r="H137" s="1687" t="s">
        <v>5388</v>
      </c>
      <c r="I137" s="3" t="s">
        <v>2038</v>
      </c>
    </row>
    <row r="138" spans="1:9" ht="27" customHeight="1" x14ac:dyDescent="0.2">
      <c r="A138" s="1897"/>
      <c r="B138" s="1713"/>
      <c r="C138" s="587" t="str">
        <f>F!C251</f>
        <v>those species together comprise &gt; 50% of the areal cover of native herbaceous plants at any time during the year.</v>
      </c>
      <c r="D138" s="283">
        <f>F!D251</f>
        <v>0</v>
      </c>
      <c r="E138" s="388">
        <v>0</v>
      </c>
      <c r="F138" s="391">
        <f>D138*E138</f>
        <v>0</v>
      </c>
      <c r="G138" s="708"/>
      <c r="H138" s="1688"/>
    </row>
    <row r="139" spans="1:9" ht="27.6" customHeight="1" thickBot="1" x14ac:dyDescent="0.25">
      <c r="A139" s="1898"/>
      <c r="B139" s="1714"/>
      <c r="C139" s="748" t="str">
        <f>F!C252</f>
        <v>those species together do not comprise &gt; 50% of the areal cover of native herbaceous plants at any time during the year.</v>
      </c>
      <c r="D139" s="313">
        <f>F!D252</f>
        <v>0</v>
      </c>
      <c r="E139" s="389">
        <v>1</v>
      </c>
      <c r="F139" s="389">
        <f>D139*E139</f>
        <v>0</v>
      </c>
      <c r="G139" s="710"/>
      <c r="H139" s="1689"/>
    </row>
    <row r="140" spans="1:9" ht="81" customHeight="1" thickBot="1" x14ac:dyDescent="0.25">
      <c r="A140" s="1868" t="str">
        <f>F!A264</f>
        <v>F55</v>
      </c>
      <c r="B140" s="1687" t="str">
        <f>F!B264</f>
        <v>Natural Cover in Buffer</v>
      </c>
      <c r="C140" s="231" t="str">
        <f>F!C264</f>
        <v>Along the wetland-upland edge and extending 100 ft upslope, the percentage of the upland that contains natural (not necessarily native -- see column E) land cover taller than 6 inches is:</v>
      </c>
      <c r="D140" s="253"/>
      <c r="E140" s="392"/>
      <c r="F140" s="393"/>
      <c r="G140" s="550">
        <f>MAX(F141:F145)/MAX(E141:E145)</f>
        <v>0</v>
      </c>
      <c r="H140" s="1709" t="s">
        <v>1703</v>
      </c>
      <c r="I140" s="3" t="s">
        <v>320</v>
      </c>
    </row>
    <row r="141" spans="1:9" ht="39" customHeight="1" x14ac:dyDescent="0.2">
      <c r="A141" s="1869"/>
      <c r="B141" s="1688"/>
      <c r="C141" s="21" t="str">
        <f>F!C265</f>
        <v xml:space="preserve">&lt;5% </v>
      </c>
      <c r="D141" s="280">
        <f>F!D265</f>
        <v>0</v>
      </c>
      <c r="E141" s="388">
        <v>0</v>
      </c>
      <c r="F141" s="388">
        <f t="shared" ref="F141:F148" si="4">D141*E141</f>
        <v>0</v>
      </c>
      <c r="G141" s="708"/>
      <c r="H141" s="1710"/>
    </row>
    <row r="142" spans="1:9" ht="39" customHeight="1" x14ac:dyDescent="0.2">
      <c r="A142" s="1869"/>
      <c r="B142" s="1688"/>
      <c r="C142" s="6" t="str">
        <f>F!C266</f>
        <v>5 to 30%</v>
      </c>
      <c r="D142" s="46">
        <f>F!D266</f>
        <v>0</v>
      </c>
      <c r="E142" s="388">
        <v>2</v>
      </c>
      <c r="F142" s="388">
        <f t="shared" si="4"/>
        <v>0</v>
      </c>
      <c r="G142" s="709"/>
      <c r="H142" s="1710"/>
    </row>
    <row r="143" spans="1:9" ht="39" customHeight="1" x14ac:dyDescent="0.2">
      <c r="A143" s="1869"/>
      <c r="B143" s="1688"/>
      <c r="C143" s="6" t="str">
        <f>F!C267</f>
        <v>30 to 60%</v>
      </c>
      <c r="D143" s="46">
        <f>F!D267</f>
        <v>0</v>
      </c>
      <c r="E143" s="388">
        <v>3</v>
      </c>
      <c r="F143" s="388">
        <f t="shared" si="4"/>
        <v>0</v>
      </c>
      <c r="G143" s="709"/>
      <c r="H143" s="1710"/>
    </row>
    <row r="144" spans="1:9" ht="39" customHeight="1" x14ac:dyDescent="0.2">
      <c r="A144" s="1869"/>
      <c r="B144" s="1688"/>
      <c r="C144" s="6" t="str">
        <f>F!C268</f>
        <v>60 to 90%</v>
      </c>
      <c r="D144" s="46">
        <f>F!D268</f>
        <v>0</v>
      </c>
      <c r="E144" s="388">
        <v>4</v>
      </c>
      <c r="F144" s="388">
        <f t="shared" si="4"/>
        <v>0</v>
      </c>
      <c r="G144" s="709"/>
      <c r="H144" s="1710"/>
    </row>
    <row r="145" spans="1:9" ht="39" customHeight="1" thickBot="1" x14ac:dyDescent="0.25">
      <c r="A145" s="1870"/>
      <c r="B145" s="1689"/>
      <c r="C145" s="214" t="str">
        <f>F!C269</f>
        <v>&gt;90%.  SKIP to F58.</v>
      </c>
      <c r="D145" s="213">
        <f>F!D269</f>
        <v>0</v>
      </c>
      <c r="E145" s="389">
        <v>6</v>
      </c>
      <c r="F145" s="389">
        <f t="shared" si="4"/>
        <v>0</v>
      </c>
      <c r="G145" s="710"/>
      <c r="H145" s="1711"/>
    </row>
    <row r="146" spans="1:9" ht="30" customHeight="1" thickBot="1" x14ac:dyDescent="0.25">
      <c r="A146" s="1868" t="str">
        <f>F!A270</f>
        <v>F56</v>
      </c>
      <c r="B146" s="1687" t="str">
        <f>F!B270</f>
        <v>Type of Cover in Buffer</v>
      </c>
      <c r="C146" s="231" t="str">
        <f>F!C270</f>
        <v>Within 100 ft upslope of the wetland-upland edge closest to the AA, the upland land cover that is NOT unmanaged vegetation or water is mostly (mark ONE):</v>
      </c>
      <c r="D146" s="253"/>
      <c r="E146" s="392"/>
      <c r="F146" s="393"/>
      <c r="G146" s="600">
        <f>IF((BuffAllNat=1),"",MAX(F147:F148)/MAX(E147:E148))</f>
        <v>0</v>
      </c>
      <c r="H146" s="2016" t="s">
        <v>5389</v>
      </c>
      <c r="I146" s="3" t="s">
        <v>321</v>
      </c>
    </row>
    <row r="147" spans="1:9" ht="15" customHeight="1" x14ac:dyDescent="0.2">
      <c r="A147" s="1869"/>
      <c r="B147" s="1688"/>
      <c r="C147" s="21" t="str">
        <f>F!C271</f>
        <v>impervious surface, e.g., paved road, parking lot, building, exposed rock.</v>
      </c>
      <c r="D147" s="280">
        <f>F!D271</f>
        <v>0</v>
      </c>
      <c r="E147" s="388">
        <v>0</v>
      </c>
      <c r="F147" s="388">
        <f t="shared" si="4"/>
        <v>0</v>
      </c>
      <c r="G147" s="708"/>
      <c r="H147" s="1961"/>
    </row>
    <row r="148" spans="1:9" ht="27.6" customHeight="1" thickBot="1" x14ac:dyDescent="0.25">
      <c r="A148" s="1870"/>
      <c r="B148" s="1689"/>
      <c r="C148" s="214" t="str">
        <f>F!C272</f>
        <v>bare or nearly bare pervious surface or managed vegetation, e.g., lawn, mostly-unvegetated clearcut, landslide, unpaved road, dike.</v>
      </c>
      <c r="D148" s="213">
        <f>F!D272</f>
        <v>0</v>
      </c>
      <c r="E148" s="389">
        <v>1</v>
      </c>
      <c r="F148" s="389">
        <f t="shared" si="4"/>
        <v>0</v>
      </c>
      <c r="G148" s="710"/>
      <c r="H148" s="2017"/>
    </row>
    <row r="149" spans="1:9" ht="60" customHeight="1" thickBot="1" x14ac:dyDescent="0.25">
      <c r="A149" s="541" t="str">
        <f>S!A65</f>
        <v>S5</v>
      </c>
      <c r="B149" s="49" t="str">
        <f>S!B65</f>
        <v>Altered Timing of Water Inputs</v>
      </c>
      <c r="C149" s="815" t="str">
        <f>S!E79</f>
        <v>Final Score=</v>
      </c>
      <c r="D149" s="765">
        <f>S!F79</f>
        <v>0</v>
      </c>
      <c r="E149" s="759"/>
      <c r="F149" s="259"/>
      <c r="G149" s="600">
        <f>IF((Inflows=1),"", IF((AllSat=1),"", 1-D149))</f>
        <v>1</v>
      </c>
      <c r="H149" s="5" t="s">
        <v>1143</v>
      </c>
      <c r="I149" s="3" t="s">
        <v>324</v>
      </c>
    </row>
    <row r="150" spans="1:9" ht="90" customHeight="1" thickBot="1" x14ac:dyDescent="0.25">
      <c r="A150" s="541" t="str">
        <f>S!A106</f>
        <v>S8</v>
      </c>
      <c r="B150" s="49" t="str">
        <f>S!B106</f>
        <v>Excessive Sediment Loading from Contributing Area</v>
      </c>
      <c r="C150" s="222" t="str">
        <f>S!E123</f>
        <v>Final Score=</v>
      </c>
      <c r="D150" s="765">
        <f>S!F123</f>
        <v>0</v>
      </c>
      <c r="E150" s="759"/>
      <c r="F150" s="259"/>
      <c r="G150" s="745">
        <f>1-D150</f>
        <v>1</v>
      </c>
      <c r="H150" s="143" t="s">
        <v>1144</v>
      </c>
      <c r="I150" s="3" t="s">
        <v>325</v>
      </c>
    </row>
    <row r="151" spans="1:9" ht="45" customHeight="1" thickBot="1" x14ac:dyDescent="0.25">
      <c r="A151" s="1358" t="str">
        <f>S!A124</f>
        <v>S9</v>
      </c>
      <c r="B151" s="110" t="str">
        <f>S!B124</f>
        <v>Soil or Sediment Alteration Within the Assessment Area</v>
      </c>
      <c r="C151" s="1360" t="str">
        <f>S!E141</f>
        <v>Final Score=</v>
      </c>
      <c r="D151" s="1277">
        <f>S!F141</f>
        <v>0</v>
      </c>
      <c r="E151" s="1359"/>
      <c r="F151" s="846"/>
      <c r="G151" s="601">
        <f>1-D151</f>
        <v>1</v>
      </c>
      <c r="H151" s="5" t="s">
        <v>216</v>
      </c>
      <c r="I151" s="3" t="s">
        <v>326</v>
      </c>
    </row>
    <row r="152" spans="1:9" ht="30" customHeight="1" thickBot="1" x14ac:dyDescent="0.25">
      <c r="A152" s="767" t="s">
        <v>290</v>
      </c>
      <c r="B152" s="774" t="s">
        <v>2612</v>
      </c>
      <c r="C152" s="475" t="s">
        <v>2606</v>
      </c>
      <c r="D152" s="474" t="s">
        <v>117</v>
      </c>
      <c r="E152" s="793" t="s">
        <v>5438</v>
      </c>
      <c r="F152" s="627" t="s">
        <v>5439</v>
      </c>
      <c r="G152" s="794" t="s">
        <v>5825</v>
      </c>
      <c r="H152" s="488" t="s">
        <v>919</v>
      </c>
    </row>
    <row r="153" spans="1:9" s="66" customFormat="1" ht="60" customHeight="1" thickBot="1" x14ac:dyDescent="0.25">
      <c r="A153" s="812" t="str">
        <f>OF!A39</f>
        <v>OF8</v>
      </c>
      <c r="B153" s="276" t="str">
        <f>OF!B39</f>
        <v xml:space="preserve">Wetland Local Uniqueness </v>
      </c>
      <c r="C153" s="816"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153" s="215"/>
      <c r="E153" s="215"/>
      <c r="F153" s="220"/>
      <c r="G153" s="580">
        <f>IF((MAX(D154:D166)=2), 1, 0)</f>
        <v>0</v>
      </c>
      <c r="H153" s="276" t="s">
        <v>2525</v>
      </c>
      <c r="I153" s="66" t="s">
        <v>1184</v>
      </c>
    </row>
    <row r="154" spans="1:9" s="66" customFormat="1" ht="15" customHeight="1" x14ac:dyDescent="0.2">
      <c r="A154" s="813"/>
      <c r="B154" s="277"/>
      <c r="C154" s="817" t="str">
        <f>OF!C40</f>
        <v>Fresh Water</v>
      </c>
      <c r="D154" s="322">
        <f>OF!D40</f>
        <v>0</v>
      </c>
      <c r="E154" s="138"/>
      <c r="F154" s="136"/>
      <c r="G154" s="67"/>
      <c r="H154" s="277"/>
    </row>
    <row r="155" spans="1:9" s="66" customFormat="1" ht="15" customHeight="1" x14ac:dyDescent="0.2">
      <c r="A155" s="813"/>
      <c r="B155" s="277"/>
      <c r="C155" s="818" t="str">
        <f>OF!C41</f>
        <v>Wetland</v>
      </c>
      <c r="D155" s="323">
        <f>OF!D41</f>
        <v>0</v>
      </c>
      <c r="E155" s="138"/>
      <c r="F155" s="136"/>
      <c r="G155" s="67"/>
      <c r="H155" s="277"/>
    </row>
    <row r="156" spans="1:9" s="66" customFormat="1" ht="15" customHeight="1" x14ac:dyDescent="0.2">
      <c r="A156" s="813"/>
      <c r="B156" s="277"/>
      <c r="C156" s="818" t="str">
        <f>OF!C42</f>
        <v>Muskeg</v>
      </c>
      <c r="D156" s="323">
        <f>OF!D42</f>
        <v>0</v>
      </c>
      <c r="E156" s="138"/>
      <c r="F156" s="136"/>
      <c r="G156" s="67"/>
      <c r="H156" s="277"/>
    </row>
    <row r="157" spans="1:9" s="66" customFormat="1" ht="15" customHeight="1" x14ac:dyDescent="0.2">
      <c r="A157" s="813"/>
      <c r="B157" s="277"/>
      <c r="C157" s="818" t="str">
        <f>OF!C43</f>
        <v>Herbaceous</v>
      </c>
      <c r="D157" s="323">
        <f>OF!D43</f>
        <v>0</v>
      </c>
      <c r="E157" s="138"/>
      <c r="F157" s="136"/>
      <c r="G157" s="67"/>
      <c r="H157" s="277"/>
    </row>
    <row r="158" spans="1:9" s="66" customFormat="1" ht="15" customHeight="1" x14ac:dyDescent="0.2">
      <c r="A158" s="813"/>
      <c r="B158" s="277"/>
      <c r="C158" s="818" t="str">
        <f>OF!C44</f>
        <v>Shrubland (Low)</v>
      </c>
      <c r="D158" s="323">
        <f>OF!D44</f>
        <v>0</v>
      </c>
      <c r="E158" s="138"/>
      <c r="F158" s="136"/>
      <c r="G158" s="67"/>
      <c r="H158" s="277"/>
    </row>
    <row r="159" spans="1:9" s="66" customFormat="1" ht="15" customHeight="1" x14ac:dyDescent="0.2">
      <c r="A159" s="813"/>
      <c r="B159" s="277"/>
      <c r="C159" s="818" t="str">
        <f>OF!C45</f>
        <v>Shrubland (Tall)</v>
      </c>
      <c r="D159" s="323">
        <f>OF!D45</f>
        <v>0</v>
      </c>
      <c r="E159" s="138"/>
      <c r="F159" s="136"/>
      <c r="G159" s="67"/>
      <c r="H159" s="277"/>
    </row>
    <row r="160" spans="1:9" s="66" customFormat="1" ht="15" customHeight="1" x14ac:dyDescent="0.2">
      <c r="A160" s="813"/>
      <c r="B160" s="277"/>
      <c r="C160" s="818" t="str">
        <f>OF!C46</f>
        <v>Deciduous/Mixed Forest</v>
      </c>
      <c r="D160" s="323">
        <f>OF!D46</f>
        <v>0</v>
      </c>
      <c r="E160" s="138"/>
      <c r="F160" s="136"/>
      <c r="G160" s="67"/>
      <c r="H160" s="277"/>
    </row>
    <row r="161" spans="1:9" s="66" customFormat="1" ht="15" customHeight="1" x14ac:dyDescent="0.2">
      <c r="A161" s="813"/>
      <c r="B161" s="277"/>
      <c r="C161" s="818" t="str">
        <f>OF!C47</f>
        <v>Conifer Forest - Young or Small</v>
      </c>
      <c r="D161" s="323">
        <f>OF!D47</f>
        <v>0</v>
      </c>
      <c r="E161" s="138"/>
      <c r="F161" s="136"/>
      <c r="G161" s="67"/>
      <c r="H161" s="277"/>
    </row>
    <row r="162" spans="1:9" s="66" customFormat="1" ht="15" customHeight="1" x14ac:dyDescent="0.2">
      <c r="A162" s="813"/>
      <c r="B162" s="277"/>
      <c r="C162" s="818" t="str">
        <f>OF!C48</f>
        <v>Conifer Forest - Medium</v>
      </c>
      <c r="D162" s="323">
        <f>OF!D48</f>
        <v>0</v>
      </c>
      <c r="E162" s="138"/>
      <c r="F162" s="136"/>
      <c r="G162" s="67"/>
      <c r="H162" s="277"/>
    </row>
    <row r="163" spans="1:9" s="66" customFormat="1" ht="15" customHeight="1" x14ac:dyDescent="0.2">
      <c r="A163" s="813"/>
      <c r="B163" s="277"/>
      <c r="C163" s="818" t="str">
        <f>OF!C49</f>
        <v>Conifer Forest - Large</v>
      </c>
      <c r="D163" s="323">
        <f>OF!D49</f>
        <v>0</v>
      </c>
      <c r="E163" s="138"/>
      <c r="F163" s="136"/>
      <c r="G163" s="67"/>
      <c r="H163" s="277"/>
    </row>
    <row r="164" spans="1:9" s="66" customFormat="1" ht="15" customHeight="1" x14ac:dyDescent="0.2">
      <c r="A164" s="813"/>
      <c r="B164" s="277"/>
      <c r="C164" s="818" t="str">
        <f>OF!C50</f>
        <v>Wetland Shrub Forest</v>
      </c>
      <c r="D164" s="323">
        <f>OF!D50</f>
        <v>0</v>
      </c>
      <c r="E164" s="138"/>
      <c r="F164" s="136"/>
      <c r="G164" s="67"/>
      <c r="H164" s="277"/>
    </row>
    <row r="165" spans="1:9" s="66" customFormat="1" ht="15" customHeight="1" x14ac:dyDescent="0.2">
      <c r="A165" s="813"/>
      <c r="B165" s="277"/>
      <c r="C165" s="818" t="str">
        <f>OF!C51</f>
        <v>other</v>
      </c>
      <c r="D165" s="323">
        <f>OF!D51</f>
        <v>0</v>
      </c>
      <c r="E165" s="138"/>
      <c r="F165" s="136"/>
      <c r="G165" s="67"/>
      <c r="H165" s="277"/>
    </row>
    <row r="166" spans="1:9" s="66" customFormat="1" ht="42" customHeight="1" x14ac:dyDescent="0.2">
      <c r="A166" s="813"/>
      <c r="B166" s="277"/>
      <c r="C166" s="818" t="str">
        <f>OF!C52</f>
        <v>no Level 3 cover type maps available for this area, but from aerial imagery it appears that the AA contains a cover type (list above) that is absent from 90% of the landscape outside of the AA and within 2 miles.  Enter "2" in the next column.</v>
      </c>
      <c r="D166" s="323">
        <f>OF!D52</f>
        <v>0</v>
      </c>
      <c r="E166" s="138"/>
      <c r="F166" s="136"/>
      <c r="G166" s="67"/>
      <c r="H166" s="277"/>
    </row>
    <row r="167" spans="1:9" s="66" customFormat="1" ht="42" customHeight="1" thickBot="1" x14ac:dyDescent="0.25">
      <c r="A167" s="813"/>
      <c r="B167" s="277"/>
      <c r="C167" s="819" t="str">
        <f>OF!C53</f>
        <v>no Level 3 cover type maps available for this area, but from aerial imagery it appears that the AA does NOT contain a cover type that is absent from 90% of the landscape outside of the AA and within 2 miles.  Enter "1" in the next column.</v>
      </c>
      <c r="D167" s="324">
        <f>OF!D53</f>
        <v>0</v>
      </c>
      <c r="E167" s="219"/>
      <c r="F167" s="137"/>
      <c r="G167" s="262"/>
      <c r="H167" s="277"/>
    </row>
    <row r="168" spans="1:9" s="66" customFormat="1" ht="21" customHeight="1" thickBot="1" x14ac:dyDescent="0.25">
      <c r="A168" s="2064" t="str">
        <f>OF!A54</f>
        <v>OF9</v>
      </c>
      <c r="B168" s="2043" t="str">
        <f>OF!B54</f>
        <v>Distance to Locally Uncommon Cover Type</v>
      </c>
      <c r="C168" s="114" t="str">
        <f>OF!C54</f>
        <v>If any of the above were marked "2", the distance from the AA edge to the closest one that was so marked is:</v>
      </c>
      <c r="D168" s="215"/>
      <c r="E168" s="215"/>
      <c r="F168" s="193"/>
      <c r="G168" s="836">
        <f>IF((D174=1),"",MAX(F169:F173)/MAX(E169:E173))</f>
        <v>0</v>
      </c>
      <c r="H168" s="1722" t="s">
        <v>2524</v>
      </c>
      <c r="I168" s="66" t="s">
        <v>2526</v>
      </c>
    </row>
    <row r="169" spans="1:9" s="66" customFormat="1" ht="15" customHeight="1" x14ac:dyDescent="0.2">
      <c r="A169" s="2065"/>
      <c r="B169" s="2044"/>
      <c r="C169" s="817" t="str">
        <f>OF!C55</f>
        <v>&lt;150 ft</v>
      </c>
      <c r="D169" s="323">
        <f>OF!D55</f>
        <v>0</v>
      </c>
      <c r="E169" s="265">
        <v>5</v>
      </c>
      <c r="F169" s="266">
        <f>D169*E169</f>
        <v>0</v>
      </c>
      <c r="G169" s="67"/>
      <c r="H169" s="2044"/>
    </row>
    <row r="170" spans="1:9" s="66" customFormat="1" ht="15" customHeight="1" x14ac:dyDescent="0.2">
      <c r="A170" s="2065"/>
      <c r="B170" s="2044"/>
      <c r="C170" s="818" t="str">
        <f>OF!C56</f>
        <v>150 - 500 ft</v>
      </c>
      <c r="D170" s="323">
        <f>OF!D56</f>
        <v>0</v>
      </c>
      <c r="E170" s="265">
        <v>4</v>
      </c>
      <c r="F170" s="266">
        <f>D170*E170</f>
        <v>0</v>
      </c>
      <c r="G170" s="67"/>
      <c r="H170" s="2044"/>
    </row>
    <row r="171" spans="1:9" s="66" customFormat="1" ht="15" customHeight="1" x14ac:dyDescent="0.2">
      <c r="A171" s="2065"/>
      <c r="B171" s="2044"/>
      <c r="C171" s="818" t="str">
        <f>OF!C57</f>
        <v>500 - 1000 ft</v>
      </c>
      <c r="D171" s="323">
        <f>OF!D57</f>
        <v>0</v>
      </c>
      <c r="E171" s="265">
        <v>3</v>
      </c>
      <c r="F171" s="266">
        <f>D171*E171</f>
        <v>0</v>
      </c>
      <c r="G171" s="67"/>
      <c r="H171" s="2044"/>
    </row>
    <row r="172" spans="1:9" s="66" customFormat="1" ht="15" customHeight="1" x14ac:dyDescent="0.2">
      <c r="A172" s="2065"/>
      <c r="B172" s="2044"/>
      <c r="C172" s="818" t="str">
        <f>OF!C58</f>
        <v>1000 ft - 1 mile</v>
      </c>
      <c r="D172" s="323">
        <f>OF!D58</f>
        <v>0</v>
      </c>
      <c r="E172" s="265">
        <v>2</v>
      </c>
      <c r="F172" s="266">
        <f>D172*E172</f>
        <v>0</v>
      </c>
      <c r="G172" s="67"/>
      <c r="H172" s="2044"/>
    </row>
    <row r="173" spans="1:9" s="66" customFormat="1" ht="15" customHeight="1" x14ac:dyDescent="0.2">
      <c r="A173" s="2065"/>
      <c r="B173" s="2044"/>
      <c r="C173" s="818" t="str">
        <f>OF!C59</f>
        <v>1-2 miles</v>
      </c>
      <c r="D173" s="323">
        <f>OF!D59</f>
        <v>0</v>
      </c>
      <c r="E173" s="265">
        <v>1</v>
      </c>
      <c r="F173" s="266">
        <f>D173*E173</f>
        <v>0</v>
      </c>
      <c r="G173" s="67"/>
      <c r="H173" s="2044"/>
    </row>
    <row r="174" spans="1:9" s="66" customFormat="1" ht="15.6" customHeight="1" thickBot="1" x14ac:dyDescent="0.25">
      <c r="A174" s="2066"/>
      <c r="B174" s="2045"/>
      <c r="C174" s="827" t="str">
        <f>OF!C60</f>
        <v>none of the above land cover classes were marked "2"</v>
      </c>
      <c r="D174" s="828">
        <f>OF!D60</f>
        <v>0</v>
      </c>
      <c r="E174" s="221"/>
      <c r="F174" s="194"/>
      <c r="G174" s="837"/>
      <c r="H174" s="2045"/>
    </row>
    <row r="175" spans="1:9" ht="30" customHeight="1" thickBot="1" x14ac:dyDescent="0.25">
      <c r="A175" s="2004"/>
      <c r="B175" s="824" t="str">
        <f>FA!C168</f>
        <v>Function Score for Anadromous Fish Habitat</v>
      </c>
      <c r="C175" s="820"/>
      <c r="D175" s="138"/>
      <c r="E175" s="189"/>
      <c r="F175" s="140"/>
      <c r="G175" s="838">
        <f>FA!G168/10</f>
        <v>0</v>
      </c>
      <c r="H175" s="1710" t="s">
        <v>1145</v>
      </c>
      <c r="I175" s="66"/>
    </row>
    <row r="176" spans="1:9" ht="30" customHeight="1" thickBot="1" x14ac:dyDescent="0.25">
      <c r="A176" s="1946"/>
      <c r="B176" s="825" t="str">
        <f>FR!C160</f>
        <v>Function Score for Resident Fish Habitat</v>
      </c>
      <c r="C176" s="821"/>
      <c r="D176" s="139"/>
      <c r="E176" s="190"/>
      <c r="F176" s="136"/>
      <c r="G176" s="839">
        <f>FR!G160/10</f>
        <v>6.6666666666666666E-2</v>
      </c>
      <c r="H176" s="1710"/>
    </row>
    <row r="177" spans="1:8" ht="30" customHeight="1" thickBot="1" x14ac:dyDescent="0.25">
      <c r="A177" s="1946"/>
      <c r="B177" s="825" t="str">
        <f>AM!C251</f>
        <v>Function Score for Amphibian Habitat</v>
      </c>
      <c r="C177" s="821"/>
      <c r="D177" s="139"/>
      <c r="E177" s="190"/>
      <c r="F177" s="136"/>
      <c r="G177" s="839">
        <f>AM!G251/10</f>
        <v>1.388888888888889E-2</v>
      </c>
      <c r="H177" s="1710"/>
    </row>
    <row r="178" spans="1:8" ht="30" customHeight="1" thickBot="1" x14ac:dyDescent="0.25">
      <c r="A178" s="1946"/>
      <c r="B178" s="825" t="str">
        <f>WBF!C193</f>
        <v>Function Score for Feeding Waterbird Habitat</v>
      </c>
      <c r="C178" s="821"/>
      <c r="D178" s="139"/>
      <c r="E178" s="190"/>
      <c r="F178" s="136"/>
      <c r="G178" s="839">
        <f>WBF!G193/10</f>
        <v>0</v>
      </c>
      <c r="H178" s="1710"/>
    </row>
    <row r="179" spans="1:8" ht="30" customHeight="1" thickBot="1" x14ac:dyDescent="0.25">
      <c r="A179" s="1946"/>
      <c r="B179" s="825" t="str">
        <f>WBN!C215</f>
        <v>Function Score for Nesting Waterbird Habitat</v>
      </c>
      <c r="C179" s="822"/>
      <c r="D179" s="136"/>
      <c r="E179" s="136"/>
      <c r="F179" s="190"/>
      <c r="G179" s="839">
        <f>IFERROR((WBN!G215/10),"")</f>
        <v>1.8518518518518521E-2</v>
      </c>
      <c r="H179" s="1710"/>
    </row>
    <row r="180" spans="1:8" ht="45" customHeight="1" thickBot="1" x14ac:dyDescent="0.25">
      <c r="A180" s="1947"/>
      <c r="B180" s="826" t="str">
        <f>SBM!C250</f>
        <v>Function Score for Songbird, Raptor, &amp; Mammal Habitat</v>
      </c>
      <c r="C180" s="823"/>
      <c r="D180" s="194"/>
      <c r="E180" s="194"/>
      <c r="F180" s="192"/>
      <c r="G180" s="839">
        <f>SBM!G250/10</f>
        <v>1.6666666666666666E-2</v>
      </c>
      <c r="H180" s="1711"/>
    </row>
    <row r="181" spans="1:8" ht="21" customHeight="1" thickBot="1" x14ac:dyDescent="0.25">
      <c r="A181" s="1889"/>
      <c r="B181" s="1889"/>
      <c r="C181" s="1889"/>
      <c r="D181" s="2049"/>
      <c r="E181" s="2049"/>
      <c r="F181" s="2049"/>
      <c r="G181" s="2049"/>
      <c r="H181" s="2049"/>
    </row>
    <row r="182" spans="1:8" ht="21" customHeight="1" x14ac:dyDescent="0.2">
      <c r="A182" s="1862"/>
      <c r="B182" s="1862"/>
      <c r="C182" s="1862"/>
      <c r="D182" s="2076" t="s">
        <v>330</v>
      </c>
      <c r="E182" s="2077"/>
      <c r="F182" s="2077"/>
      <c r="G182" s="539">
        <f>AVERAGE(ABpct8,(AVERAGE(AqCov8,DepthDiv8, Gcover8,Girreg8,WoodDown8, HerbDiv8)))</f>
        <v>0</v>
      </c>
      <c r="H182" s="206" t="s">
        <v>2418</v>
      </c>
    </row>
    <row r="183" spans="1:8" ht="21" customHeight="1" x14ac:dyDescent="0.2">
      <c r="A183" s="1862"/>
      <c r="B183" s="1862"/>
      <c r="C183" s="1862"/>
      <c r="D183" s="2067" t="s">
        <v>328</v>
      </c>
      <c r="E183" s="2068"/>
      <c r="F183" s="2068"/>
      <c r="G183" s="840">
        <f>AVERAGE(PermWpct8,SatPct8,SeasPct8,Fluctu8,Groundw8)</f>
        <v>0</v>
      </c>
      <c r="H183" s="207" t="s">
        <v>2575</v>
      </c>
    </row>
    <row r="184" spans="1:8" ht="21" customHeight="1" x14ac:dyDescent="0.2">
      <c r="A184" s="1862"/>
      <c r="B184" s="1862"/>
      <c r="C184" s="1862"/>
      <c r="D184" s="2073" t="s">
        <v>329</v>
      </c>
      <c r="E184" s="2074"/>
      <c r="F184" s="2075"/>
      <c r="G184" s="840">
        <f>IF((AllSat+AllSat1&gt;0),"", IF((NoPonded=1),"", AVERAGE(Interspers8,ThruFlo8,IsoWet8)))</f>
        <v>0</v>
      </c>
      <c r="H184" s="207" t="s">
        <v>2589</v>
      </c>
    </row>
    <row r="185" spans="1:8" ht="30" customHeight="1" x14ac:dyDescent="0.2">
      <c r="A185" s="1862"/>
      <c r="B185" s="1862"/>
      <c r="C185" s="1862"/>
      <c r="D185" s="2069" t="s">
        <v>372</v>
      </c>
      <c r="E185" s="2070"/>
      <c r="F185" s="2070"/>
      <c r="G185" s="540">
        <f>AVERAGE(Wettype8,AVERAGE(Depth8,warmth8,Hardwood8, DecidTree8,Nfixers8,WoodDown8, Karst7a,Glacier8,Granite7,TidalProx8))</f>
        <v>0</v>
      </c>
      <c r="H185" s="207" t="s">
        <v>2510</v>
      </c>
    </row>
    <row r="186" spans="1:8" ht="21" customHeight="1" x14ac:dyDescent="0.2">
      <c r="A186" s="1862"/>
      <c r="B186" s="1862"/>
      <c r="C186" s="1862"/>
      <c r="D186" s="2067" t="s">
        <v>327</v>
      </c>
      <c r="E186" s="2068"/>
      <c r="F186" s="2068"/>
      <c r="G186" s="840">
        <f>AVERAGE(ImpervCA,NatVegPctCU8,CUbuffLUtype8)</f>
        <v>0</v>
      </c>
      <c r="H186" s="207" t="s">
        <v>1253</v>
      </c>
    </row>
    <row r="187" spans="1:8" ht="21" customHeight="1" thickBot="1" x14ac:dyDescent="0.25">
      <c r="A187" s="1862"/>
      <c r="B187" s="1862"/>
      <c r="C187" s="1862"/>
      <c r="D187" s="2071" t="s">
        <v>873</v>
      </c>
      <c r="E187" s="2072"/>
      <c r="F187" s="2072"/>
      <c r="G187" s="841">
        <f>AVERAGE(Fish8,MAX(SedCA8,SoilDisturb8,AltTime8))</f>
        <v>0</v>
      </c>
      <c r="H187" s="208" t="s">
        <v>2282</v>
      </c>
    </row>
    <row r="188" spans="1:8" ht="21" customHeight="1" thickBot="1" x14ac:dyDescent="0.25">
      <c r="A188" s="1862"/>
      <c r="B188" s="1862"/>
      <c r="C188" s="1862"/>
      <c r="D188" s="2049"/>
      <c r="E188" s="2049"/>
      <c r="F188" s="2049"/>
      <c r="G188" s="2049"/>
      <c r="H188" s="2049"/>
    </row>
    <row r="189" spans="1:8" ht="30" customHeight="1" thickBot="1" x14ac:dyDescent="0.25">
      <c r="A189" s="1862"/>
      <c r="B189" s="1863"/>
      <c r="C189" s="1874" t="s">
        <v>32</v>
      </c>
      <c r="D189" s="1875"/>
      <c r="E189" s="1876"/>
      <c r="F189" s="546" t="s">
        <v>141</v>
      </c>
      <c r="G189" s="547">
        <f>10*AVERAGE(Structure8,Food8,AVERAGE(Hydropd8,Connec8,Stressors8,Lscape8))</f>
        <v>0</v>
      </c>
      <c r="H189" s="49" t="s">
        <v>1172</v>
      </c>
    </row>
    <row r="190" spans="1:8" ht="30" customHeight="1" thickBot="1" x14ac:dyDescent="0.25">
      <c r="A190" s="1862"/>
      <c r="B190" s="1863"/>
      <c r="C190" s="1874" t="s">
        <v>277</v>
      </c>
      <c r="D190" s="1875"/>
      <c r="E190" s="1876"/>
      <c r="F190" s="546" t="s">
        <v>142</v>
      </c>
      <c r="G190" s="548">
        <f>10*(MAX(UniPatch8,DistRareTyp8,AVERAGE(AnadFish,ResFish,Amphib,WbirdF,WbirdNest,SongbMam)))</f>
        <v>0.19290123456790123</v>
      </c>
      <c r="H190" s="110" t="s">
        <v>2600</v>
      </c>
    </row>
    <row r="191" spans="1:8" ht="21" customHeight="1" thickBot="1" x14ac:dyDescent="0.25">
      <c r="A191" s="1862"/>
      <c r="B191" s="1862"/>
      <c r="C191" s="1862"/>
      <c r="D191" s="1862"/>
      <c r="E191" s="1862"/>
      <c r="F191" s="1862"/>
      <c r="G191" s="1862"/>
      <c r="H191" s="1862"/>
    </row>
    <row r="192" spans="1:8" ht="21" customHeight="1" thickBot="1" x14ac:dyDescent="0.25">
      <c r="A192" s="1862"/>
      <c r="B192" s="1862"/>
      <c r="C192" s="1862"/>
      <c r="D192" s="1862"/>
      <c r="E192" s="1862"/>
      <c r="F192" s="1862"/>
      <c r="G192" s="1863"/>
      <c r="H192" s="80" t="s">
        <v>1345</v>
      </c>
    </row>
    <row r="193" spans="1:8" ht="42" customHeight="1" x14ac:dyDescent="0.2">
      <c r="A193" s="1862"/>
      <c r="B193" s="1862"/>
      <c r="C193" s="1862"/>
      <c r="D193" s="1862"/>
      <c r="E193" s="1862"/>
      <c r="F193" s="1862"/>
      <c r="G193" s="1863"/>
      <c r="H193" s="141" t="s">
        <v>1517</v>
      </c>
    </row>
    <row r="194" spans="1:8" ht="42" customHeight="1" x14ac:dyDescent="0.2">
      <c r="A194" s="1862"/>
      <c r="B194" s="1862"/>
      <c r="C194" s="1862"/>
      <c r="D194" s="1862"/>
      <c r="E194" s="1862"/>
      <c r="F194" s="1862"/>
      <c r="G194" s="1863"/>
      <c r="H194" s="118" t="s">
        <v>1576</v>
      </c>
    </row>
    <row r="195" spans="1:8" ht="42" customHeight="1" x14ac:dyDescent="0.2">
      <c r="A195" s="1862"/>
      <c r="B195" s="1862"/>
      <c r="C195" s="1862"/>
      <c r="D195" s="1862"/>
      <c r="E195" s="1862"/>
      <c r="F195" s="1862"/>
      <c r="G195" s="1863"/>
      <c r="H195" s="118" t="s">
        <v>1413</v>
      </c>
    </row>
    <row r="196" spans="1:8" ht="27" customHeight="1" x14ac:dyDescent="0.2">
      <c r="A196" s="1862"/>
      <c r="B196" s="1862"/>
      <c r="C196" s="1862"/>
      <c r="D196" s="1862"/>
      <c r="E196" s="1862"/>
      <c r="F196" s="1862"/>
      <c r="G196" s="1863"/>
      <c r="H196" s="118" t="s">
        <v>1577</v>
      </c>
    </row>
    <row r="197" spans="1:8" ht="42" customHeight="1" x14ac:dyDescent="0.2">
      <c r="A197" s="1862"/>
      <c r="B197" s="1862"/>
      <c r="C197" s="1862"/>
      <c r="D197" s="1862"/>
      <c r="E197" s="1862"/>
      <c r="F197" s="1862"/>
      <c r="G197" s="1863"/>
      <c r="H197" s="118" t="s">
        <v>2225</v>
      </c>
    </row>
    <row r="198" spans="1:8" ht="42" customHeight="1" x14ac:dyDescent="0.2">
      <c r="A198" s="1862"/>
      <c r="B198" s="1862"/>
      <c r="C198" s="1862"/>
      <c r="D198" s="1862"/>
      <c r="E198" s="1862"/>
      <c r="F198" s="1862"/>
      <c r="G198" s="1863"/>
      <c r="H198" s="118" t="s">
        <v>1528</v>
      </c>
    </row>
    <row r="199" spans="1:8" ht="27" customHeight="1" x14ac:dyDescent="0.2">
      <c r="A199" s="1862"/>
      <c r="B199" s="1862"/>
      <c r="C199" s="1862"/>
      <c r="D199" s="1862"/>
      <c r="E199" s="1862"/>
      <c r="F199" s="1862"/>
      <c r="G199" s="1863"/>
      <c r="H199" s="118" t="s">
        <v>2224</v>
      </c>
    </row>
    <row r="200" spans="1:8" ht="42" customHeight="1" x14ac:dyDescent="0.2">
      <c r="A200" s="1862"/>
      <c r="B200" s="1862"/>
      <c r="C200" s="1862"/>
      <c r="D200" s="1862"/>
      <c r="E200" s="1862"/>
      <c r="F200" s="1862"/>
      <c r="G200" s="1863"/>
      <c r="H200" s="118" t="s">
        <v>1578</v>
      </c>
    </row>
    <row r="201" spans="1:8" ht="27" customHeight="1" x14ac:dyDescent="0.2">
      <c r="A201" s="1862"/>
      <c r="B201" s="1862"/>
      <c r="C201" s="1862"/>
      <c r="D201" s="1862"/>
      <c r="E201" s="1862"/>
      <c r="F201" s="1862"/>
      <c r="G201" s="1863"/>
      <c r="H201" s="118" t="s">
        <v>1579</v>
      </c>
    </row>
    <row r="202" spans="1:8" ht="27" customHeight="1" x14ac:dyDescent="0.2">
      <c r="A202" s="1862"/>
      <c r="B202" s="1862"/>
      <c r="C202" s="1862"/>
      <c r="D202" s="1862"/>
      <c r="E202" s="1862"/>
      <c r="F202" s="1862"/>
      <c r="G202" s="1863"/>
      <c r="H202" s="118" t="s">
        <v>1580</v>
      </c>
    </row>
    <row r="203" spans="1:8" ht="27" customHeight="1" x14ac:dyDescent="0.2">
      <c r="A203" s="1862"/>
      <c r="B203" s="1862"/>
      <c r="C203" s="1862"/>
      <c r="D203" s="1862"/>
      <c r="E203" s="1862"/>
      <c r="F203" s="1862"/>
      <c r="G203" s="1863"/>
      <c r="H203" s="118" t="s">
        <v>1581</v>
      </c>
    </row>
    <row r="204" spans="1:8" ht="27" customHeight="1" x14ac:dyDescent="0.2">
      <c r="A204" s="1862"/>
      <c r="B204" s="1862"/>
      <c r="C204" s="1862"/>
      <c r="D204" s="1862"/>
      <c r="E204" s="1862"/>
      <c r="F204" s="1862"/>
      <c r="G204" s="1863"/>
      <c r="H204" s="118" t="s">
        <v>1582</v>
      </c>
    </row>
    <row r="205" spans="1:8" ht="42" customHeight="1" x14ac:dyDescent="0.2">
      <c r="A205" s="1862"/>
      <c r="B205" s="1862"/>
      <c r="C205" s="1862"/>
      <c r="D205" s="1862"/>
      <c r="E205" s="1862"/>
      <c r="F205" s="1862"/>
      <c r="G205" s="1863"/>
      <c r="H205" s="118" t="s">
        <v>1583</v>
      </c>
    </row>
    <row r="206" spans="1:8" ht="54" customHeight="1" x14ac:dyDescent="0.2">
      <c r="A206" s="1862"/>
      <c r="B206" s="1862"/>
      <c r="C206" s="1862"/>
      <c r="D206" s="1862"/>
      <c r="E206" s="1862"/>
      <c r="F206" s="1862"/>
      <c r="G206" s="1863"/>
      <c r="H206" s="118" t="s">
        <v>1584</v>
      </c>
    </row>
    <row r="207" spans="1:8" ht="27" customHeight="1" x14ac:dyDescent="0.2">
      <c r="A207" s="1862"/>
      <c r="B207" s="1862"/>
      <c r="C207" s="1862"/>
      <c r="D207" s="1862"/>
      <c r="E207" s="1862"/>
      <c r="F207" s="1862"/>
      <c r="G207" s="1863"/>
      <c r="H207" s="118" t="s">
        <v>1585</v>
      </c>
    </row>
    <row r="208" spans="1:8" ht="27" customHeight="1" x14ac:dyDescent="0.2">
      <c r="A208" s="1862"/>
      <c r="B208" s="1862"/>
      <c r="C208" s="1862"/>
      <c r="D208" s="1862"/>
      <c r="E208" s="1862"/>
      <c r="F208" s="1862"/>
      <c r="G208" s="1863"/>
      <c r="H208" s="118" t="s">
        <v>1586</v>
      </c>
    </row>
    <row r="209" spans="1:8" ht="27" customHeight="1" x14ac:dyDescent="0.2">
      <c r="A209" s="1862"/>
      <c r="B209" s="1862"/>
      <c r="C209" s="1862"/>
      <c r="D209" s="1862"/>
      <c r="E209" s="1862"/>
      <c r="F209" s="1862"/>
      <c r="G209" s="1863"/>
      <c r="H209" s="118" t="s">
        <v>1543</v>
      </c>
    </row>
    <row r="210" spans="1:8" ht="42" customHeight="1" x14ac:dyDescent="0.2">
      <c r="A210" s="1862"/>
      <c r="B210" s="1862"/>
      <c r="C210" s="1862"/>
      <c r="D210" s="1862"/>
      <c r="E210" s="1862"/>
      <c r="F210" s="1862"/>
      <c r="G210" s="1863"/>
      <c r="H210" s="118" t="s">
        <v>1587</v>
      </c>
    </row>
    <row r="211" spans="1:8" ht="27" customHeight="1" x14ac:dyDescent="0.2">
      <c r="A211" s="1862"/>
      <c r="B211" s="1862"/>
      <c r="C211" s="1862"/>
      <c r="D211" s="1862"/>
      <c r="E211" s="1862"/>
      <c r="F211" s="1862"/>
      <c r="G211" s="1863"/>
      <c r="H211" s="118" t="s">
        <v>1588</v>
      </c>
    </row>
    <row r="212" spans="1:8" ht="27" customHeight="1" x14ac:dyDescent="0.2">
      <c r="A212" s="1862"/>
      <c r="B212" s="1862"/>
      <c r="C212" s="1862"/>
      <c r="D212" s="1862"/>
      <c r="E212" s="1862"/>
      <c r="F212" s="1862"/>
      <c r="G212" s="1863"/>
      <c r="H212" s="118" t="s">
        <v>1589</v>
      </c>
    </row>
    <row r="213" spans="1:8" ht="42" customHeight="1" x14ac:dyDescent="0.2">
      <c r="A213" s="1862"/>
      <c r="B213" s="1862"/>
      <c r="C213" s="1862"/>
      <c r="D213" s="1862"/>
      <c r="E213" s="1862"/>
      <c r="F213" s="1862"/>
      <c r="G213" s="1863"/>
      <c r="H213" s="118" t="s">
        <v>1590</v>
      </c>
    </row>
    <row r="214" spans="1:8" ht="27" customHeight="1" x14ac:dyDescent="0.2">
      <c r="A214" s="1862"/>
      <c r="B214" s="1862"/>
      <c r="C214" s="1862"/>
      <c r="D214" s="1862"/>
      <c r="E214" s="1862"/>
      <c r="F214" s="1862"/>
      <c r="G214" s="1863"/>
      <c r="H214" s="118" t="s">
        <v>1591</v>
      </c>
    </row>
    <row r="215" spans="1:8" ht="27" customHeight="1" x14ac:dyDescent="0.2">
      <c r="A215" s="1862"/>
      <c r="B215" s="1862"/>
      <c r="C215" s="1862"/>
      <c r="D215" s="1862"/>
      <c r="E215" s="1862"/>
      <c r="F215" s="1862"/>
      <c r="G215" s="1863"/>
      <c r="H215" s="118" t="s">
        <v>1592</v>
      </c>
    </row>
    <row r="216" spans="1:8" ht="42" customHeight="1" x14ac:dyDescent="0.2">
      <c r="A216" s="1862"/>
      <c r="B216" s="1862"/>
      <c r="C216" s="1862"/>
      <c r="D216" s="1862"/>
      <c r="E216" s="1862"/>
      <c r="F216" s="1862"/>
      <c r="G216" s="1863"/>
      <c r="H216" s="118" t="s">
        <v>1593</v>
      </c>
    </row>
    <row r="217" spans="1:8" ht="27" customHeight="1" x14ac:dyDescent="0.2">
      <c r="A217" s="1862"/>
      <c r="B217" s="1862"/>
      <c r="C217" s="1862"/>
      <c r="D217" s="1862"/>
      <c r="E217" s="1862"/>
      <c r="F217" s="1862"/>
      <c r="G217" s="1863"/>
      <c r="H217" s="118" t="s">
        <v>1594</v>
      </c>
    </row>
    <row r="218" spans="1:8" ht="42" customHeight="1" x14ac:dyDescent="0.2">
      <c r="A218" s="1862"/>
      <c r="B218" s="1862"/>
      <c r="C218" s="1862"/>
      <c r="D218" s="1862"/>
      <c r="E218" s="1862"/>
      <c r="F218" s="1862"/>
      <c r="G218" s="1863"/>
      <c r="H218" s="118" t="s">
        <v>1548</v>
      </c>
    </row>
    <row r="219" spans="1:8" ht="27" customHeight="1" x14ac:dyDescent="0.2">
      <c r="A219" s="1862"/>
      <c r="B219" s="1862"/>
      <c r="C219" s="1862"/>
      <c r="D219" s="1862"/>
      <c r="E219" s="1862"/>
      <c r="F219" s="1862"/>
      <c r="G219" s="1863"/>
      <c r="H219" s="118" t="s">
        <v>1595</v>
      </c>
    </row>
    <row r="220" spans="1:8" ht="27" customHeight="1" x14ac:dyDescent="0.2">
      <c r="A220" s="1862"/>
      <c r="B220" s="1862"/>
      <c r="C220" s="1862"/>
      <c r="D220" s="1862"/>
      <c r="E220" s="1862"/>
      <c r="F220" s="1862"/>
      <c r="G220" s="1863"/>
      <c r="H220" s="118" t="s">
        <v>5465</v>
      </c>
    </row>
    <row r="221" spans="1:8" ht="42" customHeight="1" x14ac:dyDescent="0.2">
      <c r="A221" s="1862"/>
      <c r="B221" s="1862"/>
      <c r="C221" s="1862"/>
      <c r="D221" s="1862"/>
      <c r="E221" s="1862"/>
      <c r="F221" s="1862"/>
      <c r="G221" s="1863"/>
      <c r="H221" s="118" t="s">
        <v>1596</v>
      </c>
    </row>
    <row r="222" spans="1:8" ht="27" customHeight="1" x14ac:dyDescent="0.2">
      <c r="A222" s="1862"/>
      <c r="B222" s="1862"/>
      <c r="C222" s="1862"/>
      <c r="D222" s="1862"/>
      <c r="E222" s="1862"/>
      <c r="F222" s="1862"/>
      <c r="G222" s="1863"/>
      <c r="H222" s="118" t="s">
        <v>1597</v>
      </c>
    </row>
    <row r="223" spans="1:8" ht="42" customHeight="1" x14ac:dyDescent="0.2">
      <c r="A223" s="1862"/>
      <c r="B223" s="1862"/>
      <c r="C223" s="1862"/>
      <c r="D223" s="1862"/>
      <c r="E223" s="1862"/>
      <c r="F223" s="1862"/>
      <c r="G223" s="1863"/>
      <c r="H223" s="118" t="s">
        <v>1386</v>
      </c>
    </row>
    <row r="224" spans="1:8" ht="27" customHeight="1" x14ac:dyDescent="0.2">
      <c r="A224" s="1862"/>
      <c r="B224" s="1862"/>
      <c r="C224" s="1862"/>
      <c r="D224" s="1862"/>
      <c r="E224" s="1862"/>
      <c r="F224" s="1862"/>
      <c r="G224" s="1863"/>
      <c r="H224" s="118" t="s">
        <v>1598</v>
      </c>
    </row>
    <row r="225" spans="1:8" ht="42" customHeight="1" x14ac:dyDescent="0.2">
      <c r="A225" s="1862"/>
      <c r="B225" s="1862"/>
      <c r="C225" s="1862"/>
      <c r="D225" s="1862"/>
      <c r="E225" s="1862"/>
      <c r="F225" s="1862"/>
      <c r="G225" s="1863"/>
      <c r="H225" s="118" t="s">
        <v>1599</v>
      </c>
    </row>
    <row r="226" spans="1:8" ht="27" customHeight="1" x14ac:dyDescent="0.2">
      <c r="A226" s="1862"/>
      <c r="B226" s="1862"/>
      <c r="C226" s="1862"/>
      <c r="D226" s="1862"/>
      <c r="E226" s="1862"/>
      <c r="F226" s="1862"/>
      <c r="G226" s="1863"/>
      <c r="H226" s="118" t="s">
        <v>1600</v>
      </c>
    </row>
    <row r="227" spans="1:8" ht="54" customHeight="1" x14ac:dyDescent="0.2">
      <c r="A227" s="1862"/>
      <c r="B227" s="1862"/>
      <c r="C227" s="1862"/>
      <c r="D227" s="1862"/>
      <c r="E227" s="1862"/>
      <c r="F227" s="1862"/>
      <c r="G227" s="1863"/>
      <c r="H227" s="118" t="s">
        <v>1601</v>
      </c>
    </row>
    <row r="228" spans="1:8" ht="27" customHeight="1" x14ac:dyDescent="0.2">
      <c r="A228" s="1862"/>
      <c r="B228" s="1862"/>
      <c r="C228" s="1862"/>
      <c r="D228" s="1862"/>
      <c r="E228" s="1862"/>
      <c r="F228" s="1862"/>
      <c r="G228" s="1863"/>
      <c r="H228" s="118" t="s">
        <v>1602</v>
      </c>
    </row>
    <row r="229" spans="1:8" ht="27" customHeight="1" x14ac:dyDescent="0.2">
      <c r="A229" s="1862"/>
      <c r="B229" s="1862"/>
      <c r="C229" s="1862"/>
      <c r="D229" s="1862"/>
      <c r="E229" s="1862"/>
      <c r="F229" s="1862"/>
      <c r="G229" s="1863"/>
      <c r="H229" s="118" t="s">
        <v>1603</v>
      </c>
    </row>
    <row r="230" spans="1:8" ht="27" customHeight="1" x14ac:dyDescent="0.2">
      <c r="A230" s="1862"/>
      <c r="B230" s="1862"/>
      <c r="C230" s="1862"/>
      <c r="D230" s="1862"/>
      <c r="E230" s="1862"/>
      <c r="F230" s="1862"/>
      <c r="G230" s="1863"/>
      <c r="H230" s="118" t="s">
        <v>1604</v>
      </c>
    </row>
    <row r="231" spans="1:8" ht="27" customHeight="1" x14ac:dyDescent="0.2">
      <c r="A231" s="1862"/>
      <c r="B231" s="1862"/>
      <c r="C231" s="1862"/>
      <c r="D231" s="1862"/>
      <c r="E231" s="1862"/>
      <c r="F231" s="1862"/>
      <c r="G231" s="1863"/>
      <c r="H231" s="118" t="s">
        <v>1605</v>
      </c>
    </row>
    <row r="232" spans="1:8" ht="27" customHeight="1" x14ac:dyDescent="0.2">
      <c r="A232" s="1862"/>
      <c r="B232" s="1862"/>
      <c r="C232" s="1862"/>
      <c r="D232" s="1862"/>
      <c r="E232" s="1862"/>
      <c r="F232" s="1862"/>
      <c r="G232" s="1863"/>
      <c r="H232" s="118" t="s">
        <v>1606</v>
      </c>
    </row>
    <row r="233" spans="1:8" ht="42" customHeight="1" x14ac:dyDescent="0.2">
      <c r="A233" s="1862"/>
      <c r="B233" s="1862"/>
      <c r="C233" s="1862"/>
      <c r="D233" s="1862"/>
      <c r="E233" s="1862"/>
      <c r="F233" s="1862"/>
      <c r="G233" s="1863"/>
      <c r="H233" s="118" t="s">
        <v>1607</v>
      </c>
    </row>
    <row r="234" spans="1:8" ht="27" customHeight="1" x14ac:dyDescent="0.2">
      <c r="A234" s="1862"/>
      <c r="B234" s="1862"/>
      <c r="C234" s="1862"/>
      <c r="D234" s="1862"/>
      <c r="E234" s="1862"/>
      <c r="F234" s="1862"/>
      <c r="G234" s="1863"/>
      <c r="H234" s="118" t="s">
        <v>1558</v>
      </c>
    </row>
    <row r="235" spans="1:8" ht="27" customHeight="1" x14ac:dyDescent="0.2">
      <c r="A235" s="1862"/>
      <c r="B235" s="1862"/>
      <c r="C235" s="1862"/>
      <c r="D235" s="1862"/>
      <c r="E235" s="1862"/>
      <c r="F235" s="1862"/>
      <c r="G235" s="1863"/>
      <c r="H235" s="118" t="s">
        <v>1608</v>
      </c>
    </row>
    <row r="236" spans="1:8" ht="27" customHeight="1" x14ac:dyDescent="0.2">
      <c r="A236" s="1862"/>
      <c r="B236" s="1862"/>
      <c r="C236" s="1862"/>
      <c r="D236" s="1862"/>
      <c r="E236" s="1862"/>
      <c r="F236" s="1862"/>
      <c r="G236" s="1863"/>
      <c r="H236" s="118" t="s">
        <v>1609</v>
      </c>
    </row>
    <row r="237" spans="1:8" ht="54" customHeight="1" x14ac:dyDescent="0.2">
      <c r="A237" s="1862"/>
      <c r="B237" s="1862"/>
      <c r="C237" s="1862"/>
      <c r="D237" s="1862"/>
      <c r="E237" s="1862"/>
      <c r="F237" s="1862"/>
      <c r="G237" s="1863"/>
      <c r="H237" s="118" t="s">
        <v>1610</v>
      </c>
    </row>
    <row r="238" spans="1:8" ht="27" customHeight="1" x14ac:dyDescent="0.2">
      <c r="A238" s="1862"/>
      <c r="B238" s="1862"/>
      <c r="C238" s="1862"/>
      <c r="D238" s="1862"/>
      <c r="E238" s="1862"/>
      <c r="F238" s="1862"/>
      <c r="G238" s="1863"/>
      <c r="H238" s="118" t="s">
        <v>1611</v>
      </c>
    </row>
    <row r="239" spans="1:8" ht="27" customHeight="1" x14ac:dyDescent="0.2">
      <c r="A239" s="1862"/>
      <c r="B239" s="1862"/>
      <c r="C239" s="1862"/>
      <c r="D239" s="1862"/>
      <c r="E239" s="1862"/>
      <c r="F239" s="1862"/>
      <c r="G239" s="1863"/>
      <c r="H239" s="118" t="s">
        <v>1566</v>
      </c>
    </row>
    <row r="240" spans="1:8" ht="42" customHeight="1" thickBot="1" x14ac:dyDescent="0.25">
      <c r="A240" s="1862"/>
      <c r="B240" s="1862"/>
      <c r="C240" s="1862"/>
      <c r="D240" s="1862"/>
      <c r="E240" s="1862"/>
      <c r="F240" s="1862"/>
      <c r="G240" s="1863"/>
      <c r="H240" s="142" t="s">
        <v>1612</v>
      </c>
    </row>
    <row r="241" spans="3:3" x14ac:dyDescent="0.2">
      <c r="C241" s="11"/>
    </row>
    <row r="242" spans="3:3" x14ac:dyDescent="0.2">
      <c r="C242" s="11"/>
    </row>
    <row r="243" spans="3:3" x14ac:dyDescent="0.2">
      <c r="C243" s="11"/>
    </row>
    <row r="244" spans="3:3" x14ac:dyDescent="0.2">
      <c r="C244" s="11"/>
    </row>
    <row r="245" spans="3:3" x14ac:dyDescent="0.2">
      <c r="C245" s="11"/>
    </row>
  </sheetData>
  <sheetProtection algorithmName="SHA-512" hashValue="kD3p7qfHs/JCkzf9PdHgdwjcnVdeVUtvMI+2DEQHzq5KgBFNx9ODWrdRyQDvwOv3Oqm/iqMxxgBI1thcA82v+Q==" saltValue="Ru2QfQxGdR3WCypohbs9EA==" spinCount="100000" sheet="1" formatCells="0" formatColumns="0" formatRows="0"/>
  <customSheetViews>
    <customSheetView guid="{B8E02330-2419-4DE6-AD01-7ACC7A5D18DD}" scale="75" topLeftCell="A154">
      <selection activeCell="A2" sqref="A2:H175"/>
      <pageMargins left="0.75" right="0.75" top="1" bottom="1" header="0.5" footer="0.5"/>
      <pageSetup orientation="portrait" r:id="rId1"/>
      <headerFooter alignWithMargins="0"/>
    </customSheetView>
  </customSheetViews>
  <mergeCells count="101">
    <mergeCell ref="A189:B190"/>
    <mergeCell ref="A191:H191"/>
    <mergeCell ref="A192:G240"/>
    <mergeCell ref="E1:H1"/>
    <mergeCell ref="A86:A92"/>
    <mergeCell ref="B86:B92"/>
    <mergeCell ref="D183:F183"/>
    <mergeCell ref="A122:A127"/>
    <mergeCell ref="C190:E190"/>
    <mergeCell ref="B64:B69"/>
    <mergeCell ref="D185:F185"/>
    <mergeCell ref="D186:F186"/>
    <mergeCell ref="D187:F187"/>
    <mergeCell ref="D184:F184"/>
    <mergeCell ref="C189:E189"/>
    <mergeCell ref="B78:B85"/>
    <mergeCell ref="D182:F182"/>
    <mergeCell ref="B146:B148"/>
    <mergeCell ref="A113:A115"/>
    <mergeCell ref="A175:A180"/>
    <mergeCell ref="A140:A145"/>
    <mergeCell ref="B107:B112"/>
    <mergeCell ref="H175:H180"/>
    <mergeCell ref="A78:A85"/>
    <mergeCell ref="A116:A121"/>
    <mergeCell ref="B128:B132"/>
    <mergeCell ref="B116:B121"/>
    <mergeCell ref="B122:B127"/>
    <mergeCell ref="A128:A132"/>
    <mergeCell ref="B113:B115"/>
    <mergeCell ref="H107:H112"/>
    <mergeCell ref="H113:H115"/>
    <mergeCell ref="H116:H121"/>
    <mergeCell ref="H122:H127"/>
    <mergeCell ref="H128:H132"/>
    <mergeCell ref="A107:A112"/>
    <mergeCell ref="B39:B45"/>
    <mergeCell ref="A39:A45"/>
    <mergeCell ref="B59:B63"/>
    <mergeCell ref="B53:B58"/>
    <mergeCell ref="A64:A69"/>
    <mergeCell ref="B46:B52"/>
    <mergeCell ref="A53:A58"/>
    <mergeCell ref="H39:H45"/>
    <mergeCell ref="H28:H31"/>
    <mergeCell ref="A28:A31"/>
    <mergeCell ref="A46:A52"/>
    <mergeCell ref="H46:H52"/>
    <mergeCell ref="H53:H58"/>
    <mergeCell ref="H59:H63"/>
    <mergeCell ref="A59:A63"/>
    <mergeCell ref="H74:H77"/>
    <mergeCell ref="A103:A106"/>
    <mergeCell ref="H64:H69"/>
    <mergeCell ref="H97:H102"/>
    <mergeCell ref="B97:B102"/>
    <mergeCell ref="B103:B106"/>
    <mergeCell ref="H78:H85"/>
    <mergeCell ref="H93:H96"/>
    <mergeCell ref="H70:H73"/>
    <mergeCell ref="B70:B73"/>
    <mergeCell ref="H86:H92"/>
    <mergeCell ref="A74:A77"/>
    <mergeCell ref="B74:B77"/>
    <mergeCell ref="A70:A73"/>
    <mergeCell ref="H103:H106"/>
    <mergeCell ref="A93:A96"/>
    <mergeCell ref="B93:B96"/>
    <mergeCell ref="A97:A102"/>
    <mergeCell ref="A1:B1"/>
    <mergeCell ref="A19:A25"/>
    <mergeCell ref="B19:B25"/>
    <mergeCell ref="H19:H25"/>
    <mergeCell ref="B32:B38"/>
    <mergeCell ref="B3:B8"/>
    <mergeCell ref="H13:H18"/>
    <mergeCell ref="A3:A8"/>
    <mergeCell ref="A9:A12"/>
    <mergeCell ref="A13:A18"/>
    <mergeCell ref="H3:H8"/>
    <mergeCell ref="H9:H12"/>
    <mergeCell ref="H32:H38"/>
    <mergeCell ref="B9:B12"/>
    <mergeCell ref="B13:B18"/>
    <mergeCell ref="B28:B31"/>
    <mergeCell ref="D181:H181"/>
    <mergeCell ref="D188:H188"/>
    <mergeCell ref="A181:C188"/>
    <mergeCell ref="H133:H136"/>
    <mergeCell ref="H140:H145"/>
    <mergeCell ref="B137:B139"/>
    <mergeCell ref="B140:B145"/>
    <mergeCell ref="A146:A148"/>
    <mergeCell ref="H146:H148"/>
    <mergeCell ref="A133:A136"/>
    <mergeCell ref="A137:A139"/>
    <mergeCell ref="H168:H174"/>
    <mergeCell ref="B168:B174"/>
    <mergeCell ref="A168:A174"/>
    <mergeCell ref="H137:H139"/>
    <mergeCell ref="B133:B136"/>
  </mergeCells>
  <phoneticPr fontId="3" type="noConversion"/>
  <pageMargins left="0.75" right="0.75" top="1" bottom="1" header="0.5" footer="0.5"/>
  <pageSetup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BM339"/>
  <sheetViews>
    <sheetView zoomScaleNormal="100" workbookViewId="0">
      <selection activeCell="O4" sqref="O4"/>
    </sheetView>
  </sheetViews>
  <sheetFormatPr defaultColWidth="9.33203125" defaultRowHeight="12.75" x14ac:dyDescent="0.2"/>
  <cols>
    <col min="1" max="1" width="5.83203125" style="3" customWidth="1"/>
    <col min="2" max="2" width="18.83203125" style="3" customWidth="1"/>
    <col min="3" max="3" width="75.83203125" style="3" customWidth="1"/>
    <col min="4" max="4" width="6.83203125" style="386" customWidth="1"/>
    <col min="5" max="5" width="8" style="386" customWidth="1"/>
    <col min="6" max="6" width="8.5" style="859" customWidth="1"/>
    <col min="7" max="7" width="9.83203125" style="860" customWidth="1"/>
    <col min="8" max="8" width="75.83203125" style="3" customWidth="1"/>
    <col min="9" max="9" width="14.6640625" style="4" customWidth="1"/>
    <col min="10" max="16384" width="9.33203125" style="4"/>
  </cols>
  <sheetData>
    <row r="1" spans="1:9" s="92" customFormat="1" ht="45" customHeight="1" thickBot="1" x14ac:dyDescent="0.25">
      <c r="A1" s="1933" t="s">
        <v>5466</v>
      </c>
      <c r="B1" s="1934"/>
      <c r="C1" s="87" t="s">
        <v>2160</v>
      </c>
      <c r="D1" s="132" t="s">
        <v>2145</v>
      </c>
      <c r="E1" s="1902"/>
      <c r="F1" s="1903"/>
      <c r="G1" s="1903"/>
      <c r="H1" s="1903"/>
    </row>
    <row r="2" spans="1:9" s="3" customFormat="1" ht="30" customHeight="1" thickBot="1" x14ac:dyDescent="0.25">
      <c r="A2" s="451" t="s">
        <v>290</v>
      </c>
      <c r="B2" s="450" t="s">
        <v>5434</v>
      </c>
      <c r="C2" s="484" t="s">
        <v>2606</v>
      </c>
      <c r="D2" s="450" t="s">
        <v>117</v>
      </c>
      <c r="E2" s="592" t="s">
        <v>5438</v>
      </c>
      <c r="F2" s="472" t="s">
        <v>5439</v>
      </c>
      <c r="G2" s="593" t="s">
        <v>5825</v>
      </c>
      <c r="H2" s="450" t="s">
        <v>919</v>
      </c>
    </row>
    <row r="3" spans="1:9" ht="67.5" customHeight="1" thickBot="1" x14ac:dyDescent="0.25">
      <c r="A3" s="217" t="str">
        <f>OF!A10</f>
        <v>OF2</v>
      </c>
      <c r="B3" s="5" t="str">
        <f>OF!B10</f>
        <v>Wildlife Access</v>
      </c>
      <c r="C3" s="205" t="str">
        <f>OF!C10</f>
        <v>Draw a circle of radius of 0.5 mile from the center of the AA.  If mammals and amphibians can move from the center of the AA to all other separate wetlands located within the circle without being forced to cross maintained roads (any width), lawns, bare ground, marine waters, and/or steep (&gt;30%) slopes, mark 1= yes can move, or no other wetlands within that distance, or 0= no.</v>
      </c>
      <c r="D3" s="861">
        <f>OF!D10</f>
        <v>0</v>
      </c>
      <c r="E3" s="422"/>
      <c r="F3" s="400"/>
      <c r="G3" s="550">
        <f>D3</f>
        <v>0</v>
      </c>
      <c r="H3" s="5" t="s">
        <v>2199</v>
      </c>
      <c r="I3" s="4" t="s">
        <v>408</v>
      </c>
    </row>
    <row r="4" spans="1:9" ht="39.75" customHeight="1" thickBot="1" x14ac:dyDescent="0.25">
      <c r="A4" s="1952" t="str">
        <f>OF!A11</f>
        <v>OF3</v>
      </c>
      <c r="B4" s="1710" t="str">
        <f>OF!B11</f>
        <v>Distance to Nearest Maintained Road</v>
      </c>
      <c r="C4" s="231" t="str">
        <f>OF!C11</f>
        <v>From the center of the AA, the distance to the nearest maintained public road (dirt or paved) is:</v>
      </c>
      <c r="D4" s="422"/>
      <c r="E4" s="418"/>
      <c r="F4" s="390"/>
      <c r="G4" s="556">
        <f>MAX(F5:F10)/MAX(E5:E10)</f>
        <v>0</v>
      </c>
      <c r="H4" s="1710" t="s">
        <v>1229</v>
      </c>
      <c r="I4" s="4" t="s">
        <v>409</v>
      </c>
    </row>
    <row r="5" spans="1:9" ht="21" customHeight="1" x14ac:dyDescent="0.2">
      <c r="A5" s="1952"/>
      <c r="B5" s="1710"/>
      <c r="C5" s="21" t="str">
        <f>OF!C12</f>
        <v>&lt;100 ft</v>
      </c>
      <c r="D5" s="280">
        <f>OF!D12</f>
        <v>0</v>
      </c>
      <c r="E5" s="412">
        <v>0</v>
      </c>
      <c r="F5" s="388">
        <f t="shared" ref="F5:F10" si="0">D5*E5</f>
        <v>0</v>
      </c>
      <c r="G5" s="551"/>
      <c r="H5" s="1710"/>
    </row>
    <row r="6" spans="1:9" ht="21" customHeight="1" x14ac:dyDescent="0.2">
      <c r="A6" s="1952"/>
      <c r="B6" s="1710"/>
      <c r="C6" s="6" t="str">
        <f>OF!C13</f>
        <v>100-500 ft</v>
      </c>
      <c r="D6" s="46">
        <f>OF!D13</f>
        <v>0</v>
      </c>
      <c r="E6" s="412">
        <v>3</v>
      </c>
      <c r="F6" s="388">
        <f t="shared" si="0"/>
        <v>0</v>
      </c>
      <c r="G6" s="552"/>
      <c r="H6" s="1710"/>
    </row>
    <row r="7" spans="1:9" ht="21" customHeight="1" x14ac:dyDescent="0.2">
      <c r="A7" s="1952"/>
      <c r="B7" s="1710"/>
      <c r="C7" s="6" t="str">
        <f>OF!C14</f>
        <v>500-1000 ft</v>
      </c>
      <c r="D7" s="46">
        <f>OF!D14</f>
        <v>0</v>
      </c>
      <c r="E7" s="412">
        <v>4</v>
      </c>
      <c r="F7" s="388">
        <f t="shared" si="0"/>
        <v>0</v>
      </c>
      <c r="G7" s="552"/>
      <c r="H7" s="1710"/>
    </row>
    <row r="8" spans="1:9" ht="21" customHeight="1" x14ac:dyDescent="0.2">
      <c r="A8" s="1952"/>
      <c r="B8" s="1710"/>
      <c r="C8" s="6" t="str">
        <f>OF!C15</f>
        <v>1000 ft - 0.5 mile</v>
      </c>
      <c r="D8" s="46">
        <f>OF!D15</f>
        <v>0</v>
      </c>
      <c r="E8" s="412">
        <v>5</v>
      </c>
      <c r="F8" s="388">
        <f t="shared" si="0"/>
        <v>0</v>
      </c>
      <c r="G8" s="552"/>
      <c r="H8" s="1710"/>
    </row>
    <row r="9" spans="1:9" ht="21" customHeight="1" x14ac:dyDescent="0.2">
      <c r="A9" s="1952"/>
      <c r="B9" s="1710"/>
      <c r="C9" s="6" t="str">
        <f>OF!C16</f>
        <v>0.5- 1 mile</v>
      </c>
      <c r="D9" s="46">
        <f>OF!D16</f>
        <v>0</v>
      </c>
      <c r="E9" s="412">
        <v>5</v>
      </c>
      <c r="F9" s="388">
        <f t="shared" si="0"/>
        <v>0</v>
      </c>
      <c r="G9" s="552"/>
      <c r="H9" s="1710"/>
    </row>
    <row r="10" spans="1:9" ht="21" customHeight="1" thickBot="1" x14ac:dyDescent="0.25">
      <c r="A10" s="1952"/>
      <c r="B10" s="1710"/>
      <c r="C10" s="470" t="str">
        <f>OF!C17</f>
        <v>&gt;1 mile</v>
      </c>
      <c r="D10" s="20">
        <f>OF!D17</f>
        <v>0</v>
      </c>
      <c r="E10" s="414">
        <v>5</v>
      </c>
      <c r="F10" s="391">
        <f t="shared" si="0"/>
        <v>0</v>
      </c>
      <c r="G10" s="563"/>
      <c r="H10" s="1710"/>
    </row>
    <row r="11" spans="1:9" ht="30" customHeight="1" thickBot="1" x14ac:dyDescent="0.25">
      <c r="A11" s="1954" t="str">
        <f>OF!A18</f>
        <v>OF4</v>
      </c>
      <c r="B11" s="1709" t="str">
        <f>OF!B18</f>
        <v>Distance to Natural Land Cover</v>
      </c>
      <c r="C11" s="231" t="str">
        <f>OF!C18</f>
        <v>The minimum distance from the AA edge to the edge of the closest patch or corridor of natural (but not necessarily native-- see definition on right) land cover larger than 100 acres, is:</v>
      </c>
      <c r="D11" s="422"/>
      <c r="E11" s="392"/>
      <c r="F11" s="410"/>
      <c r="G11" s="550">
        <f>MAX(F12:F16)/MAX(E12:E16)</f>
        <v>0</v>
      </c>
      <c r="H11" s="1709" t="s">
        <v>1230</v>
      </c>
      <c r="I11" s="4" t="s">
        <v>410</v>
      </c>
    </row>
    <row r="12" spans="1:9" ht="15" customHeight="1" x14ac:dyDescent="0.2">
      <c r="A12" s="1955"/>
      <c r="B12" s="1710"/>
      <c r="C12" s="21" t="str">
        <f>OF!C19</f>
        <v>&lt;150 ft.  Or the AA itself contains &gt;100 acres of vegetation.</v>
      </c>
      <c r="D12" s="280">
        <f>OF!D19</f>
        <v>0</v>
      </c>
      <c r="E12" s="48">
        <v>4</v>
      </c>
      <c r="F12" s="388">
        <f>D12*E12</f>
        <v>0</v>
      </c>
      <c r="G12" s="551"/>
      <c r="H12" s="1710"/>
    </row>
    <row r="13" spans="1:9" ht="27" customHeight="1" x14ac:dyDescent="0.2">
      <c r="A13" s="1955"/>
      <c r="B13" s="1710"/>
      <c r="C13" s="6" t="str">
        <f>OF!C20</f>
        <v>&lt;150 ft, but completely separated from the 100-acre natural area by any width of roads, stretches of open water, bare ground, lawn, or impervious surface, AND the AA does not contain &gt;100 acres of vegetation.</v>
      </c>
      <c r="D13" s="46">
        <f>OF!D20</f>
        <v>0</v>
      </c>
      <c r="E13" s="388">
        <v>3</v>
      </c>
      <c r="F13" s="388">
        <f>D13*E13</f>
        <v>0</v>
      </c>
      <c r="G13" s="552"/>
      <c r="H13" s="1710"/>
    </row>
    <row r="14" spans="1:9" ht="15" customHeight="1" x14ac:dyDescent="0.2">
      <c r="A14" s="1955"/>
      <c r="B14" s="1710"/>
      <c r="C14" s="6" t="str">
        <f>OF!C21</f>
        <v>150-300 ft, with or without interrupting features</v>
      </c>
      <c r="D14" s="46">
        <f>OF!D21</f>
        <v>0</v>
      </c>
      <c r="E14" s="388">
        <v>2</v>
      </c>
      <c r="F14" s="388">
        <f>D14*E14</f>
        <v>0</v>
      </c>
      <c r="G14" s="552"/>
      <c r="H14" s="1710"/>
    </row>
    <row r="15" spans="1:9" ht="15" customHeight="1" x14ac:dyDescent="0.2">
      <c r="A15" s="1955"/>
      <c r="B15" s="1710"/>
      <c r="C15" s="6" t="str">
        <f>OF!C22</f>
        <v>300-1000 ft, with or without interrupting features</v>
      </c>
      <c r="D15" s="46">
        <f>OF!D22</f>
        <v>0</v>
      </c>
      <c r="E15" s="388">
        <v>1</v>
      </c>
      <c r="F15" s="388">
        <f>D15*E15</f>
        <v>0</v>
      </c>
      <c r="G15" s="552"/>
      <c r="H15" s="1710"/>
    </row>
    <row r="16" spans="1:9" ht="15.6" customHeight="1" thickBot="1" x14ac:dyDescent="0.25">
      <c r="A16" s="1956"/>
      <c r="B16" s="1711"/>
      <c r="C16" s="214" t="str">
        <f>OF!C23</f>
        <v>none of the above</v>
      </c>
      <c r="D16" s="213">
        <f>OF!D23</f>
        <v>0</v>
      </c>
      <c r="E16" s="389">
        <v>0</v>
      </c>
      <c r="F16" s="389">
        <f>D16*E16</f>
        <v>0</v>
      </c>
      <c r="G16" s="553"/>
      <c r="H16" s="1711"/>
    </row>
    <row r="17" spans="1:9" ht="30" customHeight="1" thickBot="1" x14ac:dyDescent="0.25">
      <c r="A17" s="1952" t="str">
        <f>OF!A30</f>
        <v>OF6</v>
      </c>
      <c r="B17" s="1710" t="str">
        <f>OF!B30</f>
        <v>Natural Land Cover Extent</v>
      </c>
      <c r="C17" s="231" t="str">
        <f>OF!C30</f>
        <v>Within a 2-mile radius measured from the center of the AA, the percent of the land that has natural land cover (see definition above) is:</v>
      </c>
      <c r="D17" s="422"/>
      <c r="E17" s="51"/>
      <c r="F17" s="390"/>
      <c r="G17" s="556">
        <f>MAX(F18:F22)/MAX(E18:E22)</f>
        <v>0</v>
      </c>
      <c r="H17" s="1710" t="s">
        <v>287</v>
      </c>
      <c r="I17" s="4" t="s">
        <v>411</v>
      </c>
    </row>
    <row r="18" spans="1:9" ht="15" customHeight="1" x14ac:dyDescent="0.2">
      <c r="A18" s="1952"/>
      <c r="B18" s="1710"/>
      <c r="C18" s="21" t="str">
        <f>OF!C31</f>
        <v>&lt;5% of the land (excluding ocean and bay)</v>
      </c>
      <c r="D18" s="280">
        <f>OF!D31</f>
        <v>0</v>
      </c>
      <c r="E18" s="48">
        <v>0</v>
      </c>
      <c r="F18" s="388">
        <f>D18*E18</f>
        <v>0</v>
      </c>
      <c r="G18" s="551"/>
      <c r="H18" s="1710"/>
    </row>
    <row r="19" spans="1:9" ht="15" customHeight="1" x14ac:dyDescent="0.2">
      <c r="A19" s="1952"/>
      <c r="B19" s="1710"/>
      <c r="C19" s="6" t="str">
        <f>OF!C32</f>
        <v>5 to 20% of the land</v>
      </c>
      <c r="D19" s="46">
        <f>OF!D32</f>
        <v>0</v>
      </c>
      <c r="E19" s="48">
        <v>2</v>
      </c>
      <c r="F19" s="388">
        <f>D19*E19</f>
        <v>0</v>
      </c>
      <c r="G19" s="552"/>
      <c r="H19" s="1710"/>
    </row>
    <row r="20" spans="1:9" ht="15" customHeight="1" x14ac:dyDescent="0.2">
      <c r="A20" s="1952"/>
      <c r="B20" s="1710"/>
      <c r="C20" s="6" t="str">
        <f>OF!C33</f>
        <v>20 to 60% of the land</v>
      </c>
      <c r="D20" s="46">
        <f>OF!D33</f>
        <v>0</v>
      </c>
      <c r="E20" s="48">
        <v>3</v>
      </c>
      <c r="F20" s="388">
        <f>D20*E20</f>
        <v>0</v>
      </c>
      <c r="G20" s="552"/>
      <c r="H20" s="1710"/>
    </row>
    <row r="21" spans="1:9" ht="15" customHeight="1" x14ac:dyDescent="0.2">
      <c r="A21" s="1952"/>
      <c r="B21" s="1710"/>
      <c r="C21" s="6" t="str">
        <f>OF!C34</f>
        <v>60 to 90% of the land</v>
      </c>
      <c r="D21" s="46">
        <f>OF!D34</f>
        <v>0</v>
      </c>
      <c r="E21" s="48">
        <v>4</v>
      </c>
      <c r="F21" s="388">
        <f>D21*E21</f>
        <v>0</v>
      </c>
      <c r="G21" s="552"/>
      <c r="H21" s="1710"/>
    </row>
    <row r="22" spans="1:9" ht="15.6" customHeight="1" thickBot="1" x14ac:dyDescent="0.25">
      <c r="A22" s="1952"/>
      <c r="B22" s="1710"/>
      <c r="C22" s="470" t="str">
        <f>OF!C35</f>
        <v>&gt;90% of the land.  SKIP to OF8.</v>
      </c>
      <c r="D22" s="20">
        <f>OF!D35</f>
        <v>0</v>
      </c>
      <c r="E22" s="47">
        <v>6</v>
      </c>
      <c r="F22" s="391">
        <f>D22*E22</f>
        <v>0</v>
      </c>
      <c r="G22" s="563"/>
      <c r="H22" s="1710"/>
    </row>
    <row r="23" spans="1:9" ht="30" customHeight="1" thickBot="1" x14ac:dyDescent="0.25">
      <c r="A23" s="1954" t="str">
        <f>OF!A36</f>
        <v>OF7</v>
      </c>
      <c r="B23" s="1709" t="str">
        <f>OF!B36</f>
        <v>Type of Land Cover Alteration</v>
      </c>
      <c r="C23" s="231" t="str">
        <f>OF!C36</f>
        <v>Within a 2-mile radius measured from the center of the AA, the area that is not natural land cover or water is mostly:</v>
      </c>
      <c r="D23" s="422"/>
      <c r="E23" s="392"/>
      <c r="F23" s="393"/>
      <c r="G23" s="550">
        <f>IF((D22=1),"",MAX(F24:F25)/MAX(E24:E25))</f>
        <v>0</v>
      </c>
      <c r="H23" s="1709" t="s">
        <v>1231</v>
      </c>
      <c r="I23" s="4" t="s">
        <v>412</v>
      </c>
    </row>
    <row r="24" spans="1:9" ht="15" customHeight="1" x14ac:dyDescent="0.2">
      <c r="A24" s="1955"/>
      <c r="B24" s="1710"/>
      <c r="C24" s="21" t="str">
        <f>OF!C37</f>
        <v>impervious surface, e.g., paved road, parking lot, building, exposed rock.</v>
      </c>
      <c r="D24" s="280">
        <f>OF!D37</f>
        <v>0</v>
      </c>
      <c r="E24" s="48">
        <v>0</v>
      </c>
      <c r="F24" s="388">
        <f>D24*E24</f>
        <v>0</v>
      </c>
      <c r="G24" s="551"/>
      <c r="H24" s="1710"/>
    </row>
    <row r="25" spans="1:9" ht="15.6" customHeight="1" thickBot="1" x14ac:dyDescent="0.25">
      <c r="A25" s="1956"/>
      <c r="B25" s="1711"/>
      <c r="C25" s="214" t="str">
        <f>OF!C38</f>
        <v>bare pervious surface, e.g., recent (5 yrs ago) clearcut, dirt or gravel road, plowed fields, landslide.</v>
      </c>
      <c r="D25" s="213">
        <f>OF!D38</f>
        <v>0</v>
      </c>
      <c r="E25" s="255">
        <v>1</v>
      </c>
      <c r="F25" s="389">
        <f>D25*E25</f>
        <v>0</v>
      </c>
      <c r="G25" s="553"/>
      <c r="H25" s="1711"/>
    </row>
    <row r="26" spans="1:9" ht="45" customHeight="1" thickBot="1" x14ac:dyDescent="0.25">
      <c r="A26" s="1952" t="str">
        <f>OF!A24</f>
        <v>OF5</v>
      </c>
      <c r="B26" s="1710" t="str">
        <f>OF!B24</f>
        <v>Size of Largest Nearby Tract or Corridor of Natural Land Cover</v>
      </c>
      <c r="C26" s="385" t="str">
        <f>OF!C24</f>
        <v>Including the AA's vegetated area, the largest patch or corridor that is natural land cover and is contiguous with vegetation in the AA (i.e., not completely separated by highways or channels that are uniformly wider than 150 ft), occupies:</v>
      </c>
      <c r="D26" s="422"/>
      <c r="E26" s="387"/>
      <c r="F26" s="409"/>
      <c r="G26" s="556">
        <f>MAX(F27:F31)/MAX(E27:E31)</f>
        <v>0</v>
      </c>
      <c r="H26" s="1710" t="s">
        <v>868</v>
      </c>
      <c r="I26" s="4" t="s">
        <v>413</v>
      </c>
    </row>
    <row r="27" spans="1:9" ht="15" customHeight="1" x14ac:dyDescent="0.2">
      <c r="A27" s="1952"/>
      <c r="B27" s="1710"/>
      <c r="C27" s="21" t="str">
        <f>OF!C25</f>
        <v>&lt;1 acre, or larger but with average width &lt;150 ft</v>
      </c>
      <c r="D27" s="280">
        <f>OF!D25</f>
        <v>0</v>
      </c>
      <c r="E27" s="48">
        <v>0</v>
      </c>
      <c r="F27" s="388">
        <f>D27*E27</f>
        <v>0</v>
      </c>
      <c r="G27" s="551"/>
      <c r="H27" s="1710"/>
    </row>
    <row r="28" spans="1:9" ht="15" customHeight="1" x14ac:dyDescent="0.2">
      <c r="A28" s="1952"/>
      <c r="B28" s="1710"/>
      <c r="C28" s="6" t="str">
        <f>OF!C26</f>
        <v>1-10 acres</v>
      </c>
      <c r="D28" s="46">
        <f>OF!D26</f>
        <v>0</v>
      </c>
      <c r="E28" s="48">
        <v>1</v>
      </c>
      <c r="F28" s="388">
        <f>D28*E28</f>
        <v>0</v>
      </c>
      <c r="G28" s="552"/>
      <c r="H28" s="1710"/>
    </row>
    <row r="29" spans="1:9" ht="15" customHeight="1" x14ac:dyDescent="0.2">
      <c r="A29" s="1952"/>
      <c r="B29" s="1710"/>
      <c r="C29" s="6" t="str">
        <f>OF!C27</f>
        <v>10-100 acres</v>
      </c>
      <c r="D29" s="46">
        <f>OF!D27</f>
        <v>0</v>
      </c>
      <c r="E29" s="48">
        <v>2</v>
      </c>
      <c r="F29" s="388">
        <f>D29*E29</f>
        <v>0</v>
      </c>
      <c r="G29" s="552"/>
      <c r="H29" s="1710"/>
    </row>
    <row r="30" spans="1:9" ht="15" customHeight="1" x14ac:dyDescent="0.2">
      <c r="A30" s="1952"/>
      <c r="B30" s="1710"/>
      <c r="C30" s="6" t="str">
        <f>OF!C28</f>
        <v>100-1000 acres</v>
      </c>
      <c r="D30" s="46">
        <f>OF!D28</f>
        <v>0</v>
      </c>
      <c r="E30" s="48">
        <v>3</v>
      </c>
      <c r="F30" s="388">
        <f>D30*E30</f>
        <v>0</v>
      </c>
      <c r="G30" s="552"/>
      <c r="H30" s="1710"/>
    </row>
    <row r="31" spans="1:9" ht="15.6" customHeight="1" thickBot="1" x14ac:dyDescent="0.25">
      <c r="A31" s="1952"/>
      <c r="B31" s="1710"/>
      <c r="C31" s="470" t="str">
        <f>OF!C29</f>
        <v>&gt;1000 acres</v>
      </c>
      <c r="D31" s="20">
        <f>OF!D29</f>
        <v>0</v>
      </c>
      <c r="E31" s="47">
        <v>4</v>
      </c>
      <c r="F31" s="391">
        <f>D31*E31</f>
        <v>0</v>
      </c>
      <c r="G31" s="563"/>
      <c r="H31" s="1710"/>
    </row>
    <row r="32" spans="1:9" ht="30" customHeight="1" thickBot="1" x14ac:dyDescent="0.25">
      <c r="A32" s="2018" t="str">
        <f>OF!A61</f>
        <v>OF10</v>
      </c>
      <c r="B32" s="1709" t="str">
        <f>OF!B61</f>
        <v>Ponded Water in Landscape</v>
      </c>
      <c r="C32" s="231" t="str">
        <f>OF!C61</f>
        <v>Draw a circle of radius of 2 miles centered on the AA.  Including water ponded in the AA itself or in a fringing non-marine water body, the amount of water that is ponded (standing) during most of the year is:</v>
      </c>
      <c r="D32" s="422"/>
      <c r="E32" s="392"/>
      <c r="F32" s="410"/>
      <c r="G32" s="550">
        <f>MAX(F33:F38)/MAX(E33:E38)</f>
        <v>0</v>
      </c>
      <c r="H32" s="1709" t="s">
        <v>1858</v>
      </c>
      <c r="I32" s="4" t="s">
        <v>414</v>
      </c>
    </row>
    <row r="33" spans="1:9" ht="15" customHeight="1" x14ac:dyDescent="0.2">
      <c r="A33" s="1955"/>
      <c r="B33" s="1710"/>
      <c r="C33" s="384">
        <f>OF!C62</f>
        <v>0</v>
      </c>
      <c r="D33" s="280">
        <f>OF!D62</f>
        <v>0</v>
      </c>
      <c r="E33" s="48">
        <v>0</v>
      </c>
      <c r="F33" s="388">
        <f t="shared" ref="F33:F38" si="1">D33*E33</f>
        <v>0</v>
      </c>
      <c r="G33" s="551"/>
      <c r="H33" s="1710"/>
    </row>
    <row r="34" spans="1:9" ht="15" customHeight="1" x14ac:dyDescent="0.2">
      <c r="A34" s="1955"/>
      <c r="B34" s="1710"/>
      <c r="C34" s="6" t="str">
        <f>OF!C63</f>
        <v>1 or 2</v>
      </c>
      <c r="D34" s="46">
        <f>OF!D63</f>
        <v>0</v>
      </c>
      <c r="E34" s="48">
        <v>1</v>
      </c>
      <c r="F34" s="388">
        <f t="shared" si="1"/>
        <v>0</v>
      </c>
      <c r="G34" s="552"/>
      <c r="H34" s="1710"/>
    </row>
    <row r="35" spans="1:9" ht="15" customHeight="1" x14ac:dyDescent="0.2">
      <c r="A35" s="1955"/>
      <c r="B35" s="1710"/>
      <c r="C35" s="6" t="str">
        <f>OF!C64</f>
        <v>3 to 6</v>
      </c>
      <c r="D35" s="46">
        <f>OF!D64</f>
        <v>0</v>
      </c>
      <c r="E35" s="48">
        <v>2</v>
      </c>
      <c r="F35" s="388">
        <f t="shared" si="1"/>
        <v>0</v>
      </c>
      <c r="G35" s="552"/>
      <c r="H35" s="1710"/>
    </row>
    <row r="36" spans="1:9" ht="15" customHeight="1" x14ac:dyDescent="0.2">
      <c r="A36" s="1955"/>
      <c r="B36" s="1710"/>
      <c r="C36" s="6" t="str">
        <f>OF!C65</f>
        <v>7 to 9</v>
      </c>
      <c r="D36" s="46">
        <f>OF!D65</f>
        <v>0</v>
      </c>
      <c r="E36" s="48">
        <v>3</v>
      </c>
      <c r="F36" s="388">
        <f t="shared" si="1"/>
        <v>0</v>
      </c>
      <c r="G36" s="552"/>
      <c r="H36" s="1710"/>
    </row>
    <row r="37" spans="1:9" ht="15" customHeight="1" x14ac:dyDescent="0.2">
      <c r="A37" s="1955"/>
      <c r="B37" s="1710"/>
      <c r="C37" s="6" t="str">
        <f>OF!C66</f>
        <v>10 to 12</v>
      </c>
      <c r="D37" s="46">
        <f>OF!D66</f>
        <v>0</v>
      </c>
      <c r="E37" s="48">
        <v>4</v>
      </c>
      <c r="F37" s="388">
        <f t="shared" si="1"/>
        <v>0</v>
      </c>
      <c r="G37" s="552"/>
      <c r="H37" s="1710"/>
    </row>
    <row r="38" spans="1:9" ht="15.6" customHeight="1" thickBot="1" x14ac:dyDescent="0.25">
      <c r="A38" s="1956"/>
      <c r="B38" s="1711"/>
      <c r="C38" s="214" t="str">
        <f>OF!C67</f>
        <v>&gt;12</v>
      </c>
      <c r="D38" s="213">
        <f>OF!D67</f>
        <v>0</v>
      </c>
      <c r="E38" s="255">
        <v>5</v>
      </c>
      <c r="F38" s="389">
        <f t="shared" si="1"/>
        <v>0</v>
      </c>
      <c r="G38" s="553"/>
      <c r="H38" s="1711"/>
    </row>
    <row r="39" spans="1:9" ht="30" customHeight="1" thickBot="1" x14ac:dyDescent="0.25">
      <c r="A39" s="2080" t="str">
        <f>OF!A68</f>
        <v>OF11</v>
      </c>
      <c r="B39" s="1710" t="str">
        <f>OF!B68</f>
        <v>Ponded Water Proximity</v>
      </c>
      <c r="C39" s="385" t="str">
        <f>OF!C68</f>
        <v>The distance from the AA edge to the closest pond or lake that is larger than 1 acre and is not part of the same wetland, pond, or lake to which the AA is contiguous is:</v>
      </c>
      <c r="D39" s="422"/>
      <c r="E39" s="387"/>
      <c r="F39" s="409"/>
      <c r="G39" s="556">
        <f>MAX(F40:F45)/MAX(E40:E45)</f>
        <v>0</v>
      </c>
      <c r="H39" s="1710" t="s">
        <v>823</v>
      </c>
      <c r="I39" s="4" t="s">
        <v>415</v>
      </c>
    </row>
    <row r="40" spans="1:9" ht="15" customHeight="1" x14ac:dyDescent="0.2">
      <c r="A40" s="1952"/>
      <c r="B40" s="1710"/>
      <c r="C40" s="21" t="str">
        <f>OF!C69</f>
        <v>&lt;300 ft, and connected with a natural land corridor</v>
      </c>
      <c r="D40" s="280">
        <f>OF!D69</f>
        <v>0</v>
      </c>
      <c r="E40" s="48">
        <v>5</v>
      </c>
      <c r="F40" s="388">
        <f t="shared" ref="F40:F55" si="2">D40*E40</f>
        <v>0</v>
      </c>
      <c r="G40" s="551"/>
      <c r="H40" s="1710"/>
    </row>
    <row r="41" spans="1:9" ht="15" customHeight="1" x14ac:dyDescent="0.2">
      <c r="A41" s="1952"/>
      <c r="B41" s="1710"/>
      <c r="C41" s="6" t="str">
        <f>OF!C70</f>
        <v>&lt;300 ft, but no uninterrupted natural land corridor</v>
      </c>
      <c r="D41" s="46">
        <f>OF!D70</f>
        <v>0</v>
      </c>
      <c r="E41" s="48">
        <v>4</v>
      </c>
      <c r="F41" s="388">
        <f t="shared" si="2"/>
        <v>0</v>
      </c>
      <c r="G41" s="552"/>
      <c r="H41" s="1710"/>
    </row>
    <row r="42" spans="1:9" ht="15" customHeight="1" x14ac:dyDescent="0.2">
      <c r="A42" s="1952"/>
      <c r="B42" s="1710"/>
      <c r="C42" s="6" t="str">
        <f>OF!C71</f>
        <v>300-1000 ft, and connected with a natural land corridor</v>
      </c>
      <c r="D42" s="46">
        <f>OF!D71</f>
        <v>0</v>
      </c>
      <c r="E42" s="48">
        <v>3</v>
      </c>
      <c r="F42" s="388">
        <f t="shared" si="2"/>
        <v>0</v>
      </c>
      <c r="G42" s="552"/>
      <c r="H42" s="1710"/>
    </row>
    <row r="43" spans="1:9" ht="15" customHeight="1" x14ac:dyDescent="0.2">
      <c r="A43" s="1952"/>
      <c r="B43" s="1710"/>
      <c r="C43" s="6" t="str">
        <f>OF!C72</f>
        <v>300-1000 ft, but no uninterrupted natural land corridor</v>
      </c>
      <c r="D43" s="46">
        <f>OF!D72</f>
        <v>0</v>
      </c>
      <c r="E43" s="48">
        <v>2</v>
      </c>
      <c r="F43" s="388">
        <f t="shared" si="2"/>
        <v>0</v>
      </c>
      <c r="G43" s="552"/>
      <c r="H43" s="1710"/>
    </row>
    <row r="44" spans="1:9" ht="15" customHeight="1" x14ac:dyDescent="0.2">
      <c r="A44" s="1952"/>
      <c r="B44" s="1710"/>
      <c r="C44" s="6" t="str">
        <f>OF!C73</f>
        <v>&gt;1000 ft, and connected with a natural land corridor</v>
      </c>
      <c r="D44" s="46">
        <f>OF!D73</f>
        <v>0</v>
      </c>
      <c r="E44" s="48">
        <v>1</v>
      </c>
      <c r="F44" s="388">
        <f t="shared" si="2"/>
        <v>0</v>
      </c>
      <c r="G44" s="552"/>
      <c r="H44" s="1710"/>
    </row>
    <row r="45" spans="1:9" ht="15.6" customHeight="1" thickBot="1" x14ac:dyDescent="0.25">
      <c r="A45" s="1952"/>
      <c r="B45" s="1710"/>
      <c r="C45" s="470" t="str">
        <f>OF!C74</f>
        <v>&gt;1000 ft, but no uninterrupted natural land corridor</v>
      </c>
      <c r="D45" s="20">
        <f>OF!D74</f>
        <v>0</v>
      </c>
      <c r="E45" s="47">
        <v>0</v>
      </c>
      <c r="F45" s="391">
        <f t="shared" si="2"/>
        <v>0</v>
      </c>
      <c r="G45" s="563"/>
      <c r="H45" s="1710"/>
    </row>
    <row r="46" spans="1:9" ht="21" customHeight="1" thickBot="1" x14ac:dyDescent="0.25">
      <c r="A46" s="1868" t="str">
        <f>OF!A80</f>
        <v>OF13</v>
      </c>
      <c r="B46" s="1687" t="str">
        <f>OF!B80</f>
        <v>Tidal Proximity</v>
      </c>
      <c r="C46" s="231" t="str">
        <f>OF!C80</f>
        <v>The distance from the AA edge to the closest tidal water body is:</v>
      </c>
      <c r="D46" s="422"/>
      <c r="E46" s="253"/>
      <c r="F46" s="393"/>
      <c r="G46" s="550">
        <f>MAX(F47:F51)/MAX(E47:E51)</f>
        <v>0</v>
      </c>
      <c r="H46" s="1687" t="s">
        <v>219</v>
      </c>
      <c r="I46" s="4" t="s">
        <v>416</v>
      </c>
    </row>
    <row r="47" spans="1:9" ht="15" customHeight="1" x14ac:dyDescent="0.2">
      <c r="A47" s="1869"/>
      <c r="B47" s="1688"/>
      <c r="C47" s="21" t="str">
        <f>OF!C81</f>
        <v>&lt;300 ft</v>
      </c>
      <c r="D47" s="280">
        <f>OF!D81</f>
        <v>0</v>
      </c>
      <c r="E47" s="51">
        <v>5</v>
      </c>
      <c r="F47" s="388">
        <f t="shared" si="2"/>
        <v>0</v>
      </c>
      <c r="G47" s="551"/>
      <c r="H47" s="1688"/>
    </row>
    <row r="48" spans="1:9" ht="15" customHeight="1" x14ac:dyDescent="0.2">
      <c r="A48" s="1869"/>
      <c r="B48" s="1688"/>
      <c r="C48" s="6" t="str">
        <f>OF!C82</f>
        <v>300-1000 ft</v>
      </c>
      <c r="D48" s="46">
        <f>OF!D82</f>
        <v>0</v>
      </c>
      <c r="E48" s="51">
        <v>4</v>
      </c>
      <c r="F48" s="388">
        <f t="shared" si="2"/>
        <v>0</v>
      </c>
      <c r="G48" s="551"/>
      <c r="H48" s="1688"/>
    </row>
    <row r="49" spans="1:9" ht="15" customHeight="1" x14ac:dyDescent="0.2">
      <c r="A49" s="1869"/>
      <c r="B49" s="1688"/>
      <c r="C49" s="6" t="str">
        <f>OF!C83</f>
        <v>1000 ft - 1 mile</v>
      </c>
      <c r="D49" s="46">
        <f>OF!D83</f>
        <v>0</v>
      </c>
      <c r="E49" s="51">
        <v>3</v>
      </c>
      <c r="F49" s="388">
        <f t="shared" si="2"/>
        <v>0</v>
      </c>
      <c r="G49" s="551"/>
      <c r="H49" s="1688"/>
    </row>
    <row r="50" spans="1:9" ht="15" customHeight="1" x14ac:dyDescent="0.2">
      <c r="A50" s="1869"/>
      <c r="B50" s="1688"/>
      <c r="C50" s="6" t="str">
        <f>OF!C84</f>
        <v>1-5 miles</v>
      </c>
      <c r="D50" s="46">
        <f>OF!D84</f>
        <v>0</v>
      </c>
      <c r="E50" s="51">
        <v>2</v>
      </c>
      <c r="F50" s="388">
        <f t="shared" si="2"/>
        <v>0</v>
      </c>
      <c r="G50" s="551"/>
      <c r="H50" s="1688"/>
    </row>
    <row r="51" spans="1:9" ht="15.6" customHeight="1" thickBot="1" x14ac:dyDescent="0.25">
      <c r="A51" s="1870"/>
      <c r="B51" s="1689"/>
      <c r="C51" s="214" t="str">
        <f>OF!C85</f>
        <v>&gt;5 miles</v>
      </c>
      <c r="D51" s="213">
        <f>OF!D85</f>
        <v>0</v>
      </c>
      <c r="E51" s="846">
        <v>0</v>
      </c>
      <c r="F51" s="389">
        <f t="shared" si="2"/>
        <v>0</v>
      </c>
      <c r="G51" s="553"/>
      <c r="H51" s="1689"/>
    </row>
    <row r="52" spans="1:9" ht="21" customHeight="1" thickBot="1" x14ac:dyDescent="0.25">
      <c r="A52" s="1845" t="str">
        <f>OF!A93</f>
        <v>OF16</v>
      </c>
      <c r="B52" s="1873" t="str">
        <f>OF!B93</f>
        <v>Glacier Fed</v>
      </c>
      <c r="C52" s="381" t="str">
        <f>OF!C93</f>
        <v>Refer to the Glaciers map in the online WESPAK-SE Wetlands Module.  Select the first applicable choice:</v>
      </c>
      <c r="D52" s="422"/>
      <c r="E52" s="51"/>
      <c r="F52" s="390"/>
      <c r="G52" s="556" t="str">
        <f>IF((D52=1),0,"")</f>
        <v/>
      </c>
      <c r="H52" s="1688" t="s">
        <v>1859</v>
      </c>
      <c r="I52" s="4" t="s">
        <v>1088</v>
      </c>
    </row>
    <row r="53" spans="1:9" ht="15" customHeight="1" x14ac:dyDescent="0.2">
      <c r="A53" s="1845"/>
      <c r="B53" s="1702"/>
      <c r="C53" s="384" t="str">
        <f>OF!C94</f>
        <v>No upstream glacier feeds surface water to the AA, not even seasonally.</v>
      </c>
      <c r="D53" s="280">
        <f>OF!D94</f>
        <v>0</v>
      </c>
      <c r="E53" s="51">
        <v>5</v>
      </c>
      <c r="F53" s="391">
        <f t="shared" si="2"/>
        <v>0</v>
      </c>
      <c r="G53" s="551"/>
      <c r="H53" s="1688"/>
    </row>
    <row r="54" spans="1:9" ht="42" customHeight="1" x14ac:dyDescent="0.2">
      <c r="A54" s="1845"/>
      <c r="B54" s="1702"/>
      <c r="C54" s="384"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54" s="280">
        <f>OF!D95</f>
        <v>0</v>
      </c>
      <c r="E54" s="51">
        <v>0</v>
      </c>
      <c r="F54" s="391">
        <f t="shared" si="2"/>
        <v>0</v>
      </c>
      <c r="G54" s="552"/>
      <c r="H54" s="1688"/>
    </row>
    <row r="55" spans="1:9" ht="27" customHeight="1" thickBot="1" x14ac:dyDescent="0.25">
      <c r="A55" s="1845"/>
      <c r="B55" s="1703"/>
      <c r="C55" s="383" t="str">
        <f>OF!C96</f>
        <v>A glacier feeds streamflow or other surface water to the AA, but there is little or no resultant reduction in water clarity.</v>
      </c>
      <c r="D55" s="380">
        <f>OF!D96</f>
        <v>0</v>
      </c>
      <c r="E55" s="261">
        <v>1</v>
      </c>
      <c r="F55" s="391">
        <f t="shared" si="2"/>
        <v>0</v>
      </c>
      <c r="G55" s="563"/>
      <c r="H55" s="1688"/>
    </row>
    <row r="56" spans="1:9" ht="30" customHeight="1" thickBot="1" x14ac:dyDescent="0.25">
      <c r="A56" s="1687" t="str">
        <f>OF!A97</f>
        <v>OF17</v>
      </c>
      <c r="B56" s="1687" t="str">
        <f>OF!B97</f>
        <v>Fish Access or Use</v>
      </c>
      <c r="C56" s="111" t="str">
        <f>OF!C97</f>
        <v>Refer to the map in the online WESPAK-SE Wetlands Module: Habitat Layers &gt; Anadromous Waters Catalog, and preferably verify by contacting a local ADFG biologist.  Mark just the first choice that is true.  The AA:</v>
      </c>
      <c r="D56" s="422"/>
      <c r="E56" s="253"/>
      <c r="F56" s="393"/>
      <c r="G56" s="550">
        <f>IF((D61=1),"",MAX(F57:F60)/MAX(E57:E60))</f>
        <v>0</v>
      </c>
      <c r="H56" s="1687" t="s">
        <v>2226</v>
      </c>
      <c r="I56" s="4" t="s">
        <v>417</v>
      </c>
    </row>
    <row r="57" spans="1:9" ht="15" customHeight="1" x14ac:dyDescent="0.2">
      <c r="A57" s="1688"/>
      <c r="B57" s="1688"/>
      <c r="C57" s="384" t="str">
        <f>OF!C98</f>
        <v>a) is known to support anadromous fish feeding and/or spawning (some ADFG Class 1 streams).</v>
      </c>
      <c r="D57" s="280">
        <f>OF!D98</f>
        <v>0</v>
      </c>
      <c r="E57" s="51">
        <v>0</v>
      </c>
      <c r="F57" s="391">
        <f>D57*E57</f>
        <v>0</v>
      </c>
      <c r="G57" s="551"/>
      <c r="H57" s="1688"/>
    </row>
    <row r="58" spans="1:9" ht="27" customHeight="1" x14ac:dyDescent="0.2">
      <c r="A58" s="1688"/>
      <c r="B58" s="1688"/>
      <c r="C58" s="487" t="str">
        <f>OF!C99</f>
        <v>b) is probably accessible to anadromous and other fish (at least seasonally, at least for feeding, partially or entirely), but anadromous fish have not been documented (some Class 1 streams).</v>
      </c>
      <c r="D58" s="46">
        <f>OF!D99</f>
        <v>0</v>
      </c>
      <c r="E58" s="51">
        <v>1</v>
      </c>
      <c r="F58" s="391">
        <f>D58*E58</f>
        <v>0</v>
      </c>
      <c r="G58" s="552"/>
      <c r="H58" s="1688"/>
    </row>
    <row r="59" spans="1:9" ht="27" customHeight="1" x14ac:dyDescent="0.2">
      <c r="A59" s="1688"/>
      <c r="B59" s="1688"/>
      <c r="C59" s="487" t="str">
        <f>OF!C100</f>
        <v>c) is not accessible to anadromous fish, but other resident fish are known (or can be assumed) present (Class 2).</v>
      </c>
      <c r="D59" s="46">
        <f>OF!D100</f>
        <v>0</v>
      </c>
      <c r="E59" s="51">
        <v>2</v>
      </c>
      <c r="F59" s="391">
        <f>D59*E59</f>
        <v>0</v>
      </c>
      <c r="G59" s="552"/>
      <c r="H59" s="1688"/>
    </row>
    <row r="60" spans="1:9" ht="27" customHeight="1" x14ac:dyDescent="0.2">
      <c r="A60" s="1688"/>
      <c r="B60" s="1688"/>
      <c r="C60" s="487" t="str">
        <f>OF!C101</f>
        <v>d) is fishless (i.e., not accessible to anadromous fish and is known or can be assumed to have no resident fish).  (Class 3, 4)</v>
      </c>
      <c r="D60" s="46">
        <f>OF!D101</f>
        <v>0</v>
      </c>
      <c r="E60" s="51">
        <v>4</v>
      </c>
      <c r="F60" s="391">
        <f>D60*E60</f>
        <v>0</v>
      </c>
      <c r="G60" s="552"/>
      <c r="H60" s="1688"/>
    </row>
    <row r="61" spans="1:9" ht="15.6" customHeight="1" thickBot="1" x14ac:dyDescent="0.25">
      <c r="A61" s="1689"/>
      <c r="B61" s="1689"/>
      <c r="C61" s="486" t="str">
        <f>OF!C102</f>
        <v>e) fish presence and potential fish access are unknown and undeterminable.</v>
      </c>
      <c r="D61" s="213">
        <f>OF!D102</f>
        <v>0</v>
      </c>
      <c r="E61" s="255"/>
      <c r="F61" s="389"/>
      <c r="G61" s="553"/>
      <c r="H61" s="1689"/>
    </row>
    <row r="62" spans="1:9" ht="30" customHeight="1" thickBot="1" x14ac:dyDescent="0.25">
      <c r="A62" s="1839" t="str">
        <f>OF!A113</f>
        <v>OF21</v>
      </c>
      <c r="B62" s="1837" t="str">
        <f>OF!B113</f>
        <v>Temperature, Mean Annual</v>
      </c>
      <c r="C62" s="615" t="str">
        <f>OF!C113</f>
        <v>Refer to the Temperature layer in the online WESPAK-SE Wetlands Module. The mean annual temperature in the vicinity of the AA was modeled as (rounded to the nearest whole number):</v>
      </c>
      <c r="D62" s="422"/>
      <c r="E62" s="394"/>
      <c r="F62" s="395"/>
      <c r="G62" s="512">
        <f>IF((D68=1),"",MAX(F63:F67)/MAX(E63:E67))</f>
        <v>0</v>
      </c>
      <c r="H62" s="1688" t="s">
        <v>1900</v>
      </c>
      <c r="I62" s="4" t="s">
        <v>419</v>
      </c>
    </row>
    <row r="63" spans="1:9" ht="15" customHeight="1" x14ac:dyDescent="0.2">
      <c r="A63" s="1839"/>
      <c r="B63" s="1837"/>
      <c r="C63" s="144" t="str">
        <f>OF!C114</f>
        <v>&lt;38 degrees F</v>
      </c>
      <c r="D63" s="286">
        <f>OF!D114</f>
        <v>0</v>
      </c>
      <c r="E63" s="396">
        <v>0</v>
      </c>
      <c r="F63" s="397">
        <f>D63*E63</f>
        <v>0</v>
      </c>
      <c r="G63" s="521"/>
      <c r="H63" s="1688"/>
    </row>
    <row r="64" spans="1:9" ht="15" customHeight="1" x14ac:dyDescent="0.2">
      <c r="A64" s="1839"/>
      <c r="B64" s="1837"/>
      <c r="C64" s="50" t="str">
        <f>OF!C115</f>
        <v>38-40 degrees F</v>
      </c>
      <c r="D64" s="271">
        <f>OF!D115</f>
        <v>0</v>
      </c>
      <c r="E64" s="396">
        <v>1</v>
      </c>
      <c r="F64" s="397">
        <f>D64*E64</f>
        <v>0</v>
      </c>
      <c r="G64" s="521"/>
      <c r="H64" s="1688"/>
    </row>
    <row r="65" spans="1:9" ht="15" customHeight="1" x14ac:dyDescent="0.2">
      <c r="A65" s="1839"/>
      <c r="B65" s="1837"/>
      <c r="C65" s="50" t="str">
        <f>OF!C116</f>
        <v>41-42 degrees F</v>
      </c>
      <c r="D65" s="271">
        <f>OF!D116</f>
        <v>0</v>
      </c>
      <c r="E65" s="396">
        <v>2</v>
      </c>
      <c r="F65" s="397">
        <f>D65*E65</f>
        <v>0</v>
      </c>
      <c r="G65" s="521"/>
      <c r="H65" s="1688"/>
    </row>
    <row r="66" spans="1:9" ht="15" customHeight="1" x14ac:dyDescent="0.2">
      <c r="A66" s="1839"/>
      <c r="B66" s="1837"/>
      <c r="C66" s="50" t="str">
        <f>OF!C117</f>
        <v>43-44 degrees F</v>
      </c>
      <c r="D66" s="271">
        <f>OF!D117</f>
        <v>0</v>
      </c>
      <c r="E66" s="396">
        <v>3</v>
      </c>
      <c r="F66" s="397">
        <f>D66*E66</f>
        <v>0</v>
      </c>
      <c r="G66" s="521"/>
      <c r="H66" s="1688"/>
    </row>
    <row r="67" spans="1:9" ht="15" customHeight="1" x14ac:dyDescent="0.2">
      <c r="A67" s="1839"/>
      <c r="B67" s="1837"/>
      <c r="C67" s="50" t="str">
        <f>OF!C118</f>
        <v>&gt; 44 degrees F</v>
      </c>
      <c r="D67" s="271">
        <f>OF!D118</f>
        <v>0</v>
      </c>
      <c r="E67" s="396">
        <v>4</v>
      </c>
      <c r="F67" s="397">
        <f>D67*E67</f>
        <v>0</v>
      </c>
      <c r="G67" s="515"/>
      <c r="H67" s="1688"/>
    </row>
    <row r="68" spans="1:9" ht="15.6" customHeight="1" thickBot="1" x14ac:dyDescent="0.25">
      <c r="A68" s="1839"/>
      <c r="B68" s="1837"/>
      <c r="C68" s="204" t="str">
        <f>OF!C119</f>
        <v>no information available</v>
      </c>
      <c r="D68" s="288">
        <f>OF!D119</f>
        <v>0</v>
      </c>
      <c r="E68" s="398"/>
      <c r="F68" s="399"/>
      <c r="G68" s="500"/>
      <c r="H68" s="1688"/>
    </row>
    <row r="69" spans="1:9" ht="72" customHeight="1" thickBot="1" x14ac:dyDescent="0.25">
      <c r="A69" s="217" t="str">
        <f>OF!A120</f>
        <v>OF22</v>
      </c>
      <c r="B69" s="5" t="str">
        <f>OF!B120</f>
        <v>Basic pH or Karst</v>
      </c>
      <c r="C69" s="205"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69" s="258">
        <f>OF!D120</f>
        <v>0</v>
      </c>
      <c r="E69" s="259"/>
      <c r="F69" s="847"/>
      <c r="G69" s="600" t="str">
        <f>IF((D69=0),"",1)</f>
        <v/>
      </c>
      <c r="H69" s="49" t="s">
        <v>1870</v>
      </c>
      <c r="I69" s="4" t="s">
        <v>2040</v>
      </c>
    </row>
    <row r="70" spans="1:9" ht="64.5" customHeight="1" thickBot="1" x14ac:dyDescent="0.25">
      <c r="A70" s="1952" t="str">
        <f>OF!A127</f>
        <v>OF25</v>
      </c>
      <c r="B70" s="1688" t="str">
        <f>OF!B127</f>
        <v xml:space="preserve">Toxicity Documented Upstream </v>
      </c>
      <c r="C70" s="381"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70" s="422"/>
      <c r="E70" s="418"/>
      <c r="F70" s="390"/>
      <c r="G70" s="556">
        <f>IF((D74=1),"", IF((D73=1),1, IF((D72=1),0.2, 0)))</f>
        <v>0</v>
      </c>
      <c r="H70" s="1688" t="s">
        <v>913</v>
      </c>
      <c r="I70" s="4" t="s">
        <v>421</v>
      </c>
    </row>
    <row r="71" spans="1:9" ht="15" customHeight="1" x14ac:dyDescent="0.2">
      <c r="A71" s="1952"/>
      <c r="B71" s="1688"/>
      <c r="C71" s="384" t="str">
        <f>OF!C128</f>
        <v>within the AA</v>
      </c>
      <c r="D71" s="280">
        <f>OF!D128</f>
        <v>0</v>
      </c>
      <c r="E71" s="412"/>
      <c r="F71" s="388"/>
      <c r="G71" s="551"/>
      <c r="H71" s="1688"/>
    </row>
    <row r="72" spans="1:9" ht="15" customHeight="1" x14ac:dyDescent="0.2">
      <c r="A72" s="1952"/>
      <c r="B72" s="1688"/>
      <c r="C72" s="384" t="str">
        <f>OF!C129</f>
        <v>in waters within 1 mile that flow into the AA.</v>
      </c>
      <c r="D72" s="280">
        <f>OF!D129</f>
        <v>0</v>
      </c>
      <c r="E72" s="412"/>
      <c r="F72" s="388"/>
      <c r="G72" s="552"/>
      <c r="H72" s="1688"/>
    </row>
    <row r="73" spans="1:9" ht="15" customHeight="1" x14ac:dyDescent="0.2">
      <c r="A73" s="1952"/>
      <c r="B73" s="1688"/>
      <c r="C73" s="384" t="str">
        <f>OF!C130</f>
        <v>Sampling (not just absence of map symbols) indicates no problems.</v>
      </c>
      <c r="D73" s="280">
        <f>OF!D130</f>
        <v>0</v>
      </c>
      <c r="E73" s="412"/>
      <c r="F73" s="388"/>
      <c r="G73" s="552"/>
      <c r="H73" s="1688"/>
    </row>
    <row r="74" spans="1:9" ht="15.6" customHeight="1" thickBot="1" x14ac:dyDescent="0.25">
      <c r="A74" s="1952"/>
      <c r="B74" s="1688"/>
      <c r="C74" s="383" t="str">
        <f>OF!C131</f>
        <v>insufficient data (no map symbols &amp; no sampling, or &gt;1 mile upstream).</v>
      </c>
      <c r="D74" s="380">
        <f>OF!D131</f>
        <v>0</v>
      </c>
      <c r="E74" s="414"/>
      <c r="F74" s="391"/>
      <c r="G74" s="563"/>
      <c r="H74" s="1688"/>
    </row>
    <row r="75" spans="1:9" ht="77.25" customHeight="1" thickBot="1" x14ac:dyDescent="0.25">
      <c r="A75" s="1868" t="str">
        <f>OF!A147</f>
        <v>OF28</v>
      </c>
      <c r="B75" s="1687" t="str">
        <f>OF!B147</f>
        <v>Elevation in Multi-scale Watersheds</v>
      </c>
      <c r="C75" s="231"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75" s="422"/>
      <c r="E75" s="549"/>
      <c r="F75" s="393"/>
      <c r="G75" s="550" t="str">
        <f>IF((D76=0),"", (4-D76)/3)</f>
        <v/>
      </c>
      <c r="H75" s="1687" t="s">
        <v>1206</v>
      </c>
      <c r="I75" s="4" t="s">
        <v>420</v>
      </c>
    </row>
    <row r="76" spans="1:9" ht="42.6" customHeight="1" thickBot="1" x14ac:dyDescent="0.25">
      <c r="A76" s="1870"/>
      <c r="B76" s="1689"/>
      <c r="C76" s="702" t="str">
        <f>OF!C150</f>
        <v>In its HUC6 (the 8-digit* watershed) the AA's elevation puts it in (enter one of the following): 3= upper one-third, 2= middle one-third, 1= lower one-third, 0= no data.  [The 8-digit HUC is obtained by deleting the last 4 digits of the 12-digit HUC code]</v>
      </c>
      <c r="D76" s="317">
        <f>OF!D150</f>
        <v>0</v>
      </c>
      <c r="E76" s="416"/>
      <c r="F76" s="389"/>
      <c r="G76" s="553"/>
      <c r="H76" s="1689"/>
    </row>
    <row r="77" spans="1:9" ht="24" customHeight="1" thickBot="1" x14ac:dyDescent="0.25">
      <c r="A77" s="1868" t="str">
        <f>OF!A165</f>
        <v>OF33</v>
      </c>
      <c r="B77" s="1687" t="str">
        <f>OF!B165</f>
        <v>Aspect</v>
      </c>
      <c r="C77" s="111" t="str">
        <f>OF!C165</f>
        <v>The overland flow direction of most surface water (in streams or runoff) that enters the AA is:</v>
      </c>
      <c r="D77" s="422"/>
      <c r="E77" s="549"/>
      <c r="F77" s="393"/>
      <c r="G77" s="550">
        <f>IF((NoCA=1),"", MAX(F78:F80)/MAX(E78:E80))</f>
        <v>0</v>
      </c>
      <c r="H77" s="1687" t="s">
        <v>1860</v>
      </c>
      <c r="I77" s="4" t="s">
        <v>423</v>
      </c>
    </row>
    <row r="78" spans="1:9" ht="15" customHeight="1" x14ac:dyDescent="0.2">
      <c r="A78" s="1869"/>
      <c r="B78" s="1688"/>
      <c r="C78" s="384" t="str">
        <f>OF!C166</f>
        <v>Northward (N, NE).  north-facing CA.</v>
      </c>
      <c r="D78" s="280">
        <f>OF!D166</f>
        <v>0</v>
      </c>
      <c r="E78" s="412">
        <v>0</v>
      </c>
      <c r="F78" s="388">
        <f>D78*E78</f>
        <v>0</v>
      </c>
      <c r="G78" s="551"/>
      <c r="H78" s="1688"/>
    </row>
    <row r="79" spans="1:9" ht="15" customHeight="1" x14ac:dyDescent="0.2">
      <c r="A79" s="1869"/>
      <c r="B79" s="1688"/>
      <c r="C79" s="487" t="str">
        <f>OF!C167</f>
        <v>Southward (S, SW).  south-facing CA.</v>
      </c>
      <c r="D79" s="46">
        <f>OF!D167</f>
        <v>0</v>
      </c>
      <c r="E79" s="412">
        <v>2</v>
      </c>
      <c r="F79" s="388">
        <f>D79*E79</f>
        <v>0</v>
      </c>
      <c r="G79" s="552"/>
      <c r="H79" s="1688"/>
    </row>
    <row r="80" spans="1:9" ht="15.6" customHeight="1" thickBot="1" x14ac:dyDescent="0.25">
      <c r="A80" s="1870"/>
      <c r="B80" s="1689"/>
      <c r="C80" s="486" t="str">
        <f>OF!C168</f>
        <v>other (E, SE, W, NW), or no detectable uphill slope or input channel (flat)</v>
      </c>
      <c r="D80" s="213">
        <f>OF!D168</f>
        <v>0</v>
      </c>
      <c r="E80" s="416">
        <v>1</v>
      </c>
      <c r="F80" s="389">
        <f>D80*E80</f>
        <v>0</v>
      </c>
      <c r="G80" s="553"/>
      <c r="H80" s="1689"/>
    </row>
    <row r="81" spans="1:65" s="13" customFormat="1" ht="21" customHeight="1" thickBot="1" x14ac:dyDescent="0.25">
      <c r="A81" s="1687" t="str">
        <f>OF!A169</f>
        <v>OF34</v>
      </c>
      <c r="B81" s="1709" t="str">
        <f>OF!B169</f>
        <v>Internal Gradient</v>
      </c>
      <c r="C81" s="231" t="str">
        <f>OF!C169</f>
        <v>The gradient along most of the flow path within the AA is:</v>
      </c>
      <c r="D81" s="422"/>
      <c r="E81" s="549"/>
      <c r="F81" s="410"/>
      <c r="G81" s="550">
        <f>MAX(F82:F85)/MAX(E82:E85)</f>
        <v>0</v>
      </c>
      <c r="H81" s="2016" t="s">
        <v>111</v>
      </c>
      <c r="I81" s="4" t="s">
        <v>402</v>
      </c>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14"/>
    </row>
    <row r="82" spans="1:65" s="13" customFormat="1" ht="15" customHeight="1" x14ac:dyDescent="0.2">
      <c r="A82" s="1688"/>
      <c r="B82" s="1710"/>
      <c r="C82" s="21" t="str">
        <f>OF!C170</f>
        <v>&lt;2%, or, no slope is ever apparent (i.e., flat).  Includes most depressional sites and ponds.</v>
      </c>
      <c r="D82" s="280">
        <f>OF!D170</f>
        <v>0</v>
      </c>
      <c r="E82" s="412">
        <v>4</v>
      </c>
      <c r="F82" s="388">
        <f>D82*E82</f>
        <v>0</v>
      </c>
      <c r="G82" s="551"/>
      <c r="H82" s="1961"/>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14"/>
    </row>
    <row r="83" spans="1:65" s="13" customFormat="1" ht="15" customHeight="1" x14ac:dyDescent="0.2">
      <c r="A83" s="1688"/>
      <c r="B83" s="1710"/>
      <c r="C83" s="6" t="str">
        <f>OF!C171</f>
        <v>2-5%</v>
      </c>
      <c r="D83" s="46">
        <f>OF!D171</f>
        <v>0</v>
      </c>
      <c r="E83" s="412">
        <v>3</v>
      </c>
      <c r="F83" s="388">
        <f>D83*E83</f>
        <v>0</v>
      </c>
      <c r="G83" s="552"/>
      <c r="H83" s="1961"/>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14"/>
    </row>
    <row r="84" spans="1:65" s="13" customFormat="1" ht="15" customHeight="1" x14ac:dyDescent="0.2">
      <c r="A84" s="1688"/>
      <c r="B84" s="1710"/>
      <c r="C84" s="6" t="str">
        <f>OF!C172</f>
        <v>6-10%</v>
      </c>
      <c r="D84" s="46">
        <f>OF!D172</f>
        <v>0</v>
      </c>
      <c r="E84" s="412">
        <v>2</v>
      </c>
      <c r="F84" s="388">
        <f>D84*E84</f>
        <v>0</v>
      </c>
      <c r="G84" s="552"/>
      <c r="H84" s="1961"/>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14"/>
    </row>
    <row r="85" spans="1:65" ht="15.6" customHeight="1" thickBot="1" x14ac:dyDescent="0.25">
      <c r="A85" s="1689"/>
      <c r="B85" s="1711"/>
      <c r="C85" s="214" t="str">
        <f>OF!C173</f>
        <v>&gt;10%</v>
      </c>
      <c r="D85" s="213">
        <f>OF!D173</f>
        <v>0</v>
      </c>
      <c r="E85" s="416">
        <v>0</v>
      </c>
      <c r="F85" s="389">
        <f>D85*E85</f>
        <v>0</v>
      </c>
      <c r="G85" s="553"/>
      <c r="H85" s="2017"/>
    </row>
    <row r="86" spans="1:65" ht="60" customHeight="1" thickBot="1" x14ac:dyDescent="0.25">
      <c r="A86" s="1952" t="str">
        <f>OF!A193</f>
        <v>OF41</v>
      </c>
      <c r="B86" s="1688" t="str">
        <f>OF!B193</f>
        <v>Amphibian Use</v>
      </c>
      <c r="C86" s="381" t="str">
        <f>OF!C193</f>
        <v>A native amphibian (Wood Frog, Western Toad, Columbia Spotted Frog, Northwestern Salamander, Long-toed Salamander, Rough-skinned Newt) has been detected under conditions similar to what now occur, by a qualified observer, or as indicated in the online Wetlands Module: Habitat Layers &gt; Amphibian Sites.  Mark just the first choice that is true.</v>
      </c>
      <c r="D86" s="848"/>
      <c r="E86" s="51"/>
      <c r="F86" s="390"/>
      <c r="G86" s="556">
        <f>IF((D90=1),"",MAX(F87:F89)/MAX(E87:E89))</f>
        <v>0</v>
      </c>
      <c r="H86" s="1688" t="s">
        <v>824</v>
      </c>
      <c r="I86" s="4" t="s">
        <v>418</v>
      </c>
    </row>
    <row r="87" spans="1:65" ht="15" customHeight="1" x14ac:dyDescent="0.2">
      <c r="A87" s="1952"/>
      <c r="B87" s="1688"/>
      <c r="C87" s="384" t="str">
        <f>OF!C194</f>
        <v xml:space="preserve">in the AA </v>
      </c>
      <c r="D87" s="280">
        <f>OF!D194</f>
        <v>0</v>
      </c>
      <c r="E87" s="48">
        <v>5</v>
      </c>
      <c r="F87" s="391">
        <f>D87*E87</f>
        <v>0</v>
      </c>
      <c r="G87" s="551"/>
      <c r="H87" s="1688"/>
    </row>
    <row r="88" spans="1:65" ht="15" customHeight="1" x14ac:dyDescent="0.2">
      <c r="A88" s="1952"/>
      <c r="B88" s="1688"/>
      <c r="C88" s="487" t="str">
        <f>OF!C195</f>
        <v>outside the AA only, but within 0.5 mile and at nearly the same elevation (+ or - 500 ft).</v>
      </c>
      <c r="D88" s="46">
        <f>OF!D195</f>
        <v>0</v>
      </c>
      <c r="E88" s="48">
        <v>2</v>
      </c>
      <c r="F88" s="391">
        <f>D88*E88</f>
        <v>0</v>
      </c>
      <c r="G88" s="552"/>
      <c r="H88" s="1688"/>
    </row>
    <row r="89" spans="1:65" ht="15" customHeight="1" x14ac:dyDescent="0.2">
      <c r="A89" s="1952"/>
      <c r="B89" s="1688"/>
      <c r="C89" s="487" t="str">
        <f>OF!C196</f>
        <v xml:space="preserve">outside the AA only, and 0.5 to 2 miles away and at nearly the same elevation. </v>
      </c>
      <c r="D89" s="46">
        <f>OF!D196</f>
        <v>0</v>
      </c>
      <c r="E89" s="48">
        <v>1</v>
      </c>
      <c r="F89" s="391">
        <f>D89*E89</f>
        <v>0</v>
      </c>
      <c r="G89" s="552"/>
      <c r="H89" s="1688"/>
    </row>
    <row r="90" spans="1:65" ht="15.6" customHeight="1" thickBot="1" x14ac:dyDescent="0.25">
      <c r="A90" s="1952"/>
      <c r="B90" s="1688"/>
      <c r="C90" s="379" t="str">
        <f>OF!C197</f>
        <v>other conditions, or no data</v>
      </c>
      <c r="D90" s="20">
        <f>OF!D197</f>
        <v>0</v>
      </c>
      <c r="E90" s="47"/>
      <c r="F90" s="391"/>
      <c r="G90" s="563"/>
      <c r="H90" s="1688"/>
    </row>
    <row r="91" spans="1:65" ht="21" customHeight="1" thickBot="1" x14ac:dyDescent="0.25">
      <c r="A91" s="798" t="str">
        <f>F!A4</f>
        <v>F1</v>
      </c>
      <c r="B91" s="1687" t="str">
        <f>F!B4</f>
        <v>Wetland Type</v>
      </c>
      <c r="C91" s="231" t="str">
        <f>F!C4</f>
        <v>Most of the vegetated part of the AA (wetland Assessment Area) is a (select ONE):</v>
      </c>
      <c r="D91" s="422"/>
      <c r="E91" s="549"/>
      <c r="F91" s="410"/>
      <c r="G91" s="550">
        <f>IF((D97=1),"",MAX(F92:F96)/MAX(E92:E96))</f>
        <v>0</v>
      </c>
      <c r="H91" s="1687" t="s">
        <v>1861</v>
      </c>
      <c r="I91" s="4" t="s">
        <v>388</v>
      </c>
    </row>
    <row r="92" spans="1:65" ht="15" customHeight="1" x14ac:dyDescent="0.2">
      <c r="A92" s="742" t="str">
        <f>F!A5</f>
        <v>F1.1</v>
      </c>
      <c r="B92" s="1688"/>
      <c r="C92" s="21" t="str">
        <f>F!C5</f>
        <v>Forested Peatland</v>
      </c>
      <c r="D92" s="280">
        <f>F!D5</f>
        <v>0</v>
      </c>
      <c r="E92" s="412">
        <v>3</v>
      </c>
      <c r="F92" s="388">
        <f>D92*E92</f>
        <v>0</v>
      </c>
      <c r="G92" s="551"/>
      <c r="H92" s="1688"/>
    </row>
    <row r="93" spans="1:65" ht="15" customHeight="1" x14ac:dyDescent="0.2">
      <c r="A93" s="742" t="str">
        <f>F!A6</f>
        <v>F1.2</v>
      </c>
      <c r="B93" s="1688"/>
      <c r="C93" s="6" t="str">
        <f>F!C6</f>
        <v>Open Peatland</v>
      </c>
      <c r="D93" s="46">
        <f>F!D6</f>
        <v>0</v>
      </c>
      <c r="E93" s="412">
        <v>2</v>
      </c>
      <c r="F93" s="388">
        <f>D93*E93</f>
        <v>0</v>
      </c>
      <c r="G93" s="552"/>
      <c r="H93" s="1688"/>
    </row>
    <row r="94" spans="1:65" ht="15" customHeight="1" x14ac:dyDescent="0.2">
      <c r="A94" s="742" t="str">
        <f>F!A7</f>
        <v>F1.3</v>
      </c>
      <c r="B94" s="1688"/>
      <c r="C94" s="6" t="str">
        <f>F!C7</f>
        <v>Fen/ Marsh</v>
      </c>
      <c r="D94" s="46">
        <f>F!D7</f>
        <v>0</v>
      </c>
      <c r="E94" s="412">
        <v>5</v>
      </c>
      <c r="F94" s="388">
        <f>D94*E94</f>
        <v>0</v>
      </c>
      <c r="G94" s="552"/>
      <c r="H94" s="1688"/>
    </row>
    <row r="95" spans="1:65" ht="15" customHeight="1" x14ac:dyDescent="0.2">
      <c r="A95" s="742" t="str">
        <f>F!A8</f>
        <v>F1.4</v>
      </c>
      <c r="B95" s="1688"/>
      <c r="C95" s="6" t="str">
        <f>F!C8</f>
        <v>Floodplain Wetland</v>
      </c>
      <c r="D95" s="46">
        <f>F!D8</f>
        <v>0</v>
      </c>
      <c r="E95" s="412">
        <v>1</v>
      </c>
      <c r="F95" s="388">
        <f>D95*E95</f>
        <v>0</v>
      </c>
      <c r="G95" s="552"/>
      <c r="H95" s="1688"/>
    </row>
    <row r="96" spans="1:65" ht="15" customHeight="1" x14ac:dyDescent="0.2">
      <c r="A96" s="742" t="str">
        <f>F!A9</f>
        <v>F1.5</v>
      </c>
      <c r="B96" s="1688"/>
      <c r="C96" s="6" t="str">
        <f>F!C9</f>
        <v>Uplift Meadow</v>
      </c>
      <c r="D96" s="46">
        <f>F!D9</f>
        <v>0</v>
      </c>
      <c r="E96" s="412">
        <v>4</v>
      </c>
      <c r="F96" s="388">
        <f>D96*E96</f>
        <v>0</v>
      </c>
      <c r="G96" s="552"/>
      <c r="H96" s="1688"/>
    </row>
    <row r="97" spans="1:9" ht="15.6" customHeight="1" thickBot="1" x14ac:dyDescent="0.25">
      <c r="A97" s="743" t="str">
        <f>F!A10</f>
        <v>F1.6</v>
      </c>
      <c r="B97" s="1689"/>
      <c r="C97" s="214" t="str">
        <f>F!C10</f>
        <v>Tidal Marsh or Tidal Swamp.  Do not continue.  Use other spreadsheet.</v>
      </c>
      <c r="D97" s="213">
        <f>F!D10</f>
        <v>0</v>
      </c>
      <c r="E97" s="416"/>
      <c r="F97" s="416"/>
      <c r="G97" s="553"/>
      <c r="H97" s="1689"/>
    </row>
    <row r="98" spans="1:9" s="3" customFormat="1" ht="30" customHeight="1" thickBot="1" x14ac:dyDescent="0.25">
      <c r="A98" s="1845" t="str">
        <f>F!A11</f>
        <v>F2</v>
      </c>
      <c r="B98" s="1688" t="str">
        <f>F!B11</f>
        <v>% Saturated Only</v>
      </c>
      <c r="C98" s="385" t="str">
        <f>F!C11</f>
        <v>The percentage of the AA that lacks surface water during an average year (that is, except perhaps for a few hours after snowmelt or rainstorms), but which is still a wetland, is:</v>
      </c>
      <c r="D98" s="422"/>
      <c r="E98" s="406"/>
      <c r="F98" s="407"/>
      <c r="G98" s="556">
        <f>MAX(F99:F104)/MAX(E99:E104)</f>
        <v>0</v>
      </c>
      <c r="H98" s="1688" t="s">
        <v>239</v>
      </c>
      <c r="I98" s="3" t="s">
        <v>1326</v>
      </c>
    </row>
    <row r="99" spans="1:9" s="3" customFormat="1" ht="27" customHeight="1" x14ac:dyDescent="0.2">
      <c r="A99" s="1845"/>
      <c r="B99" s="1688"/>
      <c r="C99" s="700" t="str">
        <f>F!C12</f>
        <v>less than 1%, or &lt;0.01 acre (about 20 ft on a side) never has surface water.  In other words, all or nearly all of the AA is inundated permanently or at least seasonally.</v>
      </c>
      <c r="D99" s="304">
        <f>F!D12</f>
        <v>0</v>
      </c>
      <c r="E99" s="388">
        <v>5</v>
      </c>
      <c r="F99" s="388">
        <f t="shared" ref="F99:F104" si="3">D99*E99</f>
        <v>0</v>
      </c>
      <c r="G99" s="709"/>
      <c r="H99" s="1688"/>
    </row>
    <row r="100" spans="1:9" s="3" customFormat="1" ht="15" customHeight="1" x14ac:dyDescent="0.2">
      <c r="A100" s="1845"/>
      <c r="B100" s="1688"/>
      <c r="C100" s="700" t="str">
        <f>F!C13</f>
        <v xml:space="preserve">1-25% of the AA never contains surface water.  </v>
      </c>
      <c r="D100" s="304">
        <f>F!D13</f>
        <v>0</v>
      </c>
      <c r="E100" s="388">
        <v>6</v>
      </c>
      <c r="F100" s="388">
        <f t="shared" si="3"/>
        <v>0</v>
      </c>
      <c r="G100" s="709"/>
      <c r="H100" s="1688"/>
    </row>
    <row r="101" spans="1:9" s="3" customFormat="1" ht="15" customHeight="1" x14ac:dyDescent="0.2">
      <c r="A101" s="1845"/>
      <c r="B101" s="1688"/>
      <c r="C101" s="700" t="str">
        <f>F!C14</f>
        <v>25-50% of the AA never contains surface water.</v>
      </c>
      <c r="D101" s="304">
        <f>F!D14</f>
        <v>0</v>
      </c>
      <c r="E101" s="388">
        <v>4</v>
      </c>
      <c r="F101" s="388">
        <f t="shared" si="3"/>
        <v>0</v>
      </c>
      <c r="G101" s="709"/>
      <c r="H101" s="1688"/>
    </row>
    <row r="102" spans="1:9" s="3" customFormat="1" ht="15" customHeight="1" x14ac:dyDescent="0.2">
      <c r="A102" s="1845"/>
      <c r="B102" s="1688"/>
      <c r="C102" s="700" t="str">
        <f>F!C15</f>
        <v>50-99% of the AA never contains surface water.</v>
      </c>
      <c r="D102" s="304">
        <f>F!D15</f>
        <v>0</v>
      </c>
      <c r="E102" s="388">
        <v>3</v>
      </c>
      <c r="F102" s="388">
        <f t="shared" si="3"/>
        <v>0</v>
      </c>
      <c r="G102" s="709"/>
      <c r="H102" s="1688"/>
    </row>
    <row r="103" spans="1:9" s="3" customFormat="1" ht="27" customHeight="1" x14ac:dyDescent="0.2">
      <c r="A103" s="1845"/>
      <c r="B103" s="1688"/>
      <c r="C103" s="700" t="str">
        <f>F!C16</f>
        <v>&gt;99% of the AA never contains surface water, except for water flowing in channels and/or in pools that occupy &lt;1% of the AA. SKIP to F30.</v>
      </c>
      <c r="D103" s="304">
        <f>F!D16</f>
        <v>0</v>
      </c>
      <c r="E103" s="388">
        <v>2</v>
      </c>
      <c r="F103" s="388">
        <f t="shared" si="3"/>
        <v>0</v>
      </c>
      <c r="G103" s="709"/>
      <c r="H103" s="1688"/>
    </row>
    <row r="104" spans="1:9" s="3" customFormat="1" ht="30" customHeight="1" thickBot="1" x14ac:dyDescent="0.25">
      <c r="A104" s="1845"/>
      <c r="B104" s="1688"/>
      <c r="C104" s="3" t="str">
        <f>F!C17</f>
        <v>&gt;99% of the AA never contains surface water, and AA is not intersected by channels that have flow, not even for a few days per year. SKIP to F28.</v>
      </c>
      <c r="D104" s="282">
        <f>F!D17</f>
        <v>0</v>
      </c>
      <c r="E104" s="391">
        <v>1</v>
      </c>
      <c r="F104" s="391">
        <f t="shared" si="3"/>
        <v>0</v>
      </c>
      <c r="G104" s="718"/>
      <c r="H104" s="1688"/>
    </row>
    <row r="105" spans="1:9" ht="30" customHeight="1" thickBot="1" x14ac:dyDescent="0.25">
      <c r="A105" s="1868" t="str">
        <f>F!A18</f>
        <v>F3</v>
      </c>
      <c r="B105" s="1687" t="str">
        <f>F!B18</f>
        <v>% with Persistent Surface Water</v>
      </c>
      <c r="C105" s="231" t="str">
        <f>F!C18</f>
        <v>The percentage of the AA that has surface water (either ponded or flowing, either open or obscured by vegetation) during all of the growing season during most years is:</v>
      </c>
      <c r="D105" s="422"/>
      <c r="E105" s="392"/>
      <c r="F105" s="393"/>
      <c r="G105" s="550">
        <f>IF((AllSat+AllSat1&gt;0),"",MAX(F106:F111)/MAX(E106:E111))</f>
        <v>0</v>
      </c>
      <c r="H105" s="1709" t="s">
        <v>5391</v>
      </c>
      <c r="I105" s="4" t="s">
        <v>390</v>
      </c>
    </row>
    <row r="106" spans="1:9" ht="15" customHeight="1" x14ac:dyDescent="0.2">
      <c r="A106" s="1869"/>
      <c r="B106" s="1688"/>
      <c r="C106" s="19" t="str">
        <f>F!C19</f>
        <v>less than 1%, or &lt;0.01 acre (whichever is less).  SKIP to F7.</v>
      </c>
      <c r="D106" s="380">
        <f>F!D19</f>
        <v>0</v>
      </c>
      <c r="E106" s="388">
        <v>1</v>
      </c>
      <c r="F106" s="388">
        <f t="shared" ref="F106:F111" si="4">D106*E106</f>
        <v>0</v>
      </c>
      <c r="G106" s="551"/>
      <c r="H106" s="1710"/>
    </row>
    <row r="107" spans="1:9" ht="15" customHeight="1" x14ac:dyDescent="0.2">
      <c r="A107" s="1869"/>
      <c r="B107" s="1688"/>
      <c r="C107" s="470" t="str">
        <f>F!C20</f>
        <v>1-25% of the AA, and mostly in narrow channels and/or small scattered pools.</v>
      </c>
      <c r="D107" s="20">
        <f>F!D20</f>
        <v>0</v>
      </c>
      <c r="E107" s="388">
        <v>2</v>
      </c>
      <c r="F107" s="388">
        <f t="shared" si="4"/>
        <v>0</v>
      </c>
      <c r="G107" s="552"/>
      <c r="H107" s="1710"/>
    </row>
    <row r="108" spans="1:9" ht="15" customHeight="1" x14ac:dyDescent="0.2">
      <c r="A108" s="1869"/>
      <c r="B108" s="1688"/>
      <c r="C108" s="470" t="str">
        <f>F!C21</f>
        <v>1-25% of the AA, and mostly in a single large pool, pond, and/or channel.</v>
      </c>
      <c r="D108" s="20">
        <f>F!D21</f>
        <v>0</v>
      </c>
      <c r="E108" s="388">
        <v>2</v>
      </c>
      <c r="F108" s="388">
        <f t="shared" si="4"/>
        <v>0</v>
      </c>
      <c r="G108" s="552"/>
      <c r="H108" s="1710"/>
    </row>
    <row r="109" spans="1:9" ht="15" customHeight="1" x14ac:dyDescent="0.2">
      <c r="A109" s="1869"/>
      <c r="B109" s="1688"/>
      <c r="C109" s="470" t="str">
        <f>F!C22</f>
        <v>25-50% of the AA</v>
      </c>
      <c r="D109" s="20">
        <f>F!D22</f>
        <v>0</v>
      </c>
      <c r="E109" s="388">
        <v>2</v>
      </c>
      <c r="F109" s="388">
        <f t="shared" si="4"/>
        <v>0</v>
      </c>
      <c r="G109" s="552"/>
      <c r="H109" s="1710"/>
    </row>
    <row r="110" spans="1:9" ht="15" customHeight="1" x14ac:dyDescent="0.2">
      <c r="A110" s="1869"/>
      <c r="B110" s="1688"/>
      <c r="C110" s="470" t="str">
        <f>F!C23</f>
        <v>50-95% of the AA</v>
      </c>
      <c r="D110" s="20">
        <f>F!D23</f>
        <v>0</v>
      </c>
      <c r="E110" s="388">
        <v>2</v>
      </c>
      <c r="F110" s="388">
        <f t="shared" si="4"/>
        <v>0</v>
      </c>
      <c r="G110" s="552"/>
      <c r="H110" s="1710"/>
    </row>
    <row r="111" spans="1:9" ht="15.6" customHeight="1" thickBot="1" x14ac:dyDescent="0.25">
      <c r="A111" s="1870"/>
      <c r="B111" s="1689"/>
      <c r="C111" s="214" t="str">
        <f>F!C24</f>
        <v>&gt;95% of the AA</v>
      </c>
      <c r="D111" s="213">
        <f>F!D24</f>
        <v>0</v>
      </c>
      <c r="E111" s="389">
        <v>1</v>
      </c>
      <c r="F111" s="389">
        <f t="shared" si="4"/>
        <v>0</v>
      </c>
      <c r="G111" s="553"/>
      <c r="H111" s="1711"/>
    </row>
    <row r="112" spans="1:9" ht="21" customHeight="1" thickBot="1" x14ac:dyDescent="0.25">
      <c r="A112" s="1952" t="str">
        <f>F!A39</f>
        <v>F8</v>
      </c>
      <c r="B112" s="1710" t="str">
        <f>F!B39</f>
        <v>Annual Water Fluctuation Range</v>
      </c>
      <c r="C112" s="385" t="str">
        <f>F!C39</f>
        <v>The maximum annual fluctuation in surface water within the AA is:</v>
      </c>
      <c r="D112" s="422"/>
      <c r="E112" s="387"/>
      <c r="F112" s="409"/>
      <c r="G112" s="556">
        <f>IF((AllSat+AllSat1&gt;0),"",IF((NoSeasonal=1),"",MAX(F113:F116)/MAX(E113:E116)))</f>
        <v>0</v>
      </c>
      <c r="H112" s="1710" t="s">
        <v>5390</v>
      </c>
      <c r="I112" s="4" t="s">
        <v>389</v>
      </c>
    </row>
    <row r="113" spans="1:9" ht="15" customHeight="1" x14ac:dyDescent="0.2">
      <c r="A113" s="1952"/>
      <c r="B113" s="1710"/>
      <c r="C113" s="21" t="str">
        <f>F!C40</f>
        <v xml:space="preserve">&lt;0.5 ft </v>
      </c>
      <c r="D113" s="280">
        <f>F!D40</f>
        <v>0</v>
      </c>
      <c r="E113" s="388">
        <v>5</v>
      </c>
      <c r="F113" s="388">
        <f>D113*E113</f>
        <v>0</v>
      </c>
      <c r="G113" s="551"/>
      <c r="H113" s="1710"/>
    </row>
    <row r="114" spans="1:9" ht="15" customHeight="1" x14ac:dyDescent="0.2">
      <c r="A114" s="1952"/>
      <c r="B114" s="1710"/>
      <c r="C114" s="6" t="str">
        <f>F!C41</f>
        <v>0.5 - 1 ft</v>
      </c>
      <c r="D114" s="46">
        <f>F!D41</f>
        <v>0</v>
      </c>
      <c r="E114" s="388">
        <v>4</v>
      </c>
      <c r="F114" s="388">
        <f>D114*E114</f>
        <v>0</v>
      </c>
      <c r="G114" s="552"/>
      <c r="H114" s="1710"/>
    </row>
    <row r="115" spans="1:9" ht="15" customHeight="1" x14ac:dyDescent="0.2">
      <c r="A115" s="1952"/>
      <c r="B115" s="1710"/>
      <c r="C115" s="6" t="str">
        <f>F!C42</f>
        <v>1-3 ft</v>
      </c>
      <c r="D115" s="46">
        <f>F!D42</f>
        <v>0</v>
      </c>
      <c r="E115" s="388">
        <v>3</v>
      </c>
      <c r="F115" s="388">
        <f>D115*E115</f>
        <v>0</v>
      </c>
      <c r="G115" s="552"/>
      <c r="H115" s="1710"/>
    </row>
    <row r="116" spans="1:9" ht="15.6" customHeight="1" thickBot="1" x14ac:dyDescent="0.25">
      <c r="A116" s="1952"/>
      <c r="B116" s="1710"/>
      <c r="C116" s="470" t="str">
        <f>F!C43</f>
        <v xml:space="preserve">&gt; 3 ft </v>
      </c>
      <c r="D116" s="20">
        <f>F!D43</f>
        <v>0</v>
      </c>
      <c r="E116" s="391">
        <v>1</v>
      </c>
      <c r="F116" s="391">
        <f>D116*E116</f>
        <v>0</v>
      </c>
      <c r="G116" s="563"/>
      <c r="H116" s="1710"/>
    </row>
    <row r="117" spans="1:9" ht="30" customHeight="1" thickBot="1" x14ac:dyDescent="0.25">
      <c r="A117" s="2018" t="str">
        <f>F!A61</f>
        <v>F13</v>
      </c>
      <c r="B117" s="1692" t="str">
        <f>F!B61</f>
        <v>Width of AA's Vegetated Zone</v>
      </c>
      <c r="C117" s="586" t="str">
        <f>F!C61</f>
        <v>At the driest time of year (or lowest water level), the width of vegetated area in the AA that separates adjoining uplands from most of the open water within or adjoining the AA is:</v>
      </c>
      <c r="D117" s="422"/>
      <c r="E117" s="784"/>
      <c r="F117" s="849"/>
      <c r="G117" s="550" t="str">
        <f>IF((AllSat+AllSat1&gt;0),"", IF((OpenW=0),"",MAX(F118:F122)/MAX(E118:E122)))</f>
        <v/>
      </c>
      <c r="H117" s="1687" t="s">
        <v>5468</v>
      </c>
      <c r="I117" s="4" t="s">
        <v>396</v>
      </c>
    </row>
    <row r="118" spans="1:9" ht="15" customHeight="1" x14ac:dyDescent="0.2">
      <c r="A118" s="2019"/>
      <c r="B118" s="1713"/>
      <c r="C118" s="751" t="str">
        <f>F!C62</f>
        <v xml:space="preserve">1-5 ft </v>
      </c>
      <c r="D118" s="316">
        <f>F!D62</f>
        <v>0</v>
      </c>
      <c r="E118" s="418">
        <v>0</v>
      </c>
      <c r="F118" s="388">
        <f>D118*E118</f>
        <v>0</v>
      </c>
      <c r="G118" s="551"/>
      <c r="H118" s="2078"/>
    </row>
    <row r="119" spans="1:9" ht="15" customHeight="1" x14ac:dyDescent="0.2">
      <c r="A119" s="2019"/>
      <c r="B119" s="1713"/>
      <c r="C119" s="589" t="str">
        <f>F!C63</f>
        <v>5-25 ft</v>
      </c>
      <c r="D119" s="285">
        <f>F!D63</f>
        <v>0</v>
      </c>
      <c r="E119" s="418">
        <v>1</v>
      </c>
      <c r="F119" s="388">
        <f>D119*E119</f>
        <v>0</v>
      </c>
      <c r="G119" s="552"/>
      <c r="H119" s="2078"/>
    </row>
    <row r="120" spans="1:9" ht="15" customHeight="1" x14ac:dyDescent="0.2">
      <c r="A120" s="2019"/>
      <c r="B120" s="1713"/>
      <c r="C120" s="589" t="str">
        <f>F!C64</f>
        <v>25-100 ft</v>
      </c>
      <c r="D120" s="285">
        <f>F!D64</f>
        <v>0</v>
      </c>
      <c r="E120" s="418">
        <v>2</v>
      </c>
      <c r="F120" s="388">
        <f>D120*E120</f>
        <v>0</v>
      </c>
      <c r="G120" s="552"/>
      <c r="H120" s="2078"/>
    </row>
    <row r="121" spans="1:9" ht="15" customHeight="1" x14ac:dyDescent="0.2">
      <c r="A121" s="2019"/>
      <c r="B121" s="1713"/>
      <c r="C121" s="589" t="str">
        <f>F!C65</f>
        <v>100-300 ft</v>
      </c>
      <c r="D121" s="285">
        <f>F!D65</f>
        <v>0</v>
      </c>
      <c r="E121" s="418">
        <v>3</v>
      </c>
      <c r="F121" s="388">
        <f>D121*E121</f>
        <v>0</v>
      </c>
      <c r="G121" s="563"/>
      <c r="H121" s="2078"/>
    </row>
    <row r="122" spans="1:9" ht="15.6" customHeight="1" thickBot="1" x14ac:dyDescent="0.25">
      <c r="A122" s="2020"/>
      <c r="B122" s="1714"/>
      <c r="C122" s="748" t="str">
        <f>F!C66</f>
        <v>&gt;300 ft</v>
      </c>
      <c r="D122" s="313">
        <f>F!D66</f>
        <v>0</v>
      </c>
      <c r="E122" s="848">
        <v>4</v>
      </c>
      <c r="F122" s="389">
        <f>D122*E122</f>
        <v>0</v>
      </c>
      <c r="G122" s="553"/>
      <c r="H122" s="2079"/>
    </row>
    <row r="123" spans="1:9" ht="45" customHeight="1" thickBot="1" x14ac:dyDescent="0.25">
      <c r="A123" s="1952" t="str">
        <f>F!A67</f>
        <v>F14</v>
      </c>
      <c r="B123" s="1710" t="str">
        <f>F!B67</f>
        <v>Non-vegetated Aquatic Cover</v>
      </c>
      <c r="C123" s="385" t="str">
        <f>F!C67</f>
        <v>The cover for fish, aquatic invertebrates, and/or amphibians that is provided by horizontally incised banks, water deeper than 2 ft, and/or partly-submerged accumulations of wood thicker than 4 inches (NOT by living vegetation) is:</v>
      </c>
      <c r="D123" s="1599"/>
      <c r="E123" s="387"/>
      <c r="F123" s="409"/>
      <c r="G123" s="556" t="str">
        <f>IF((AllSat+AllSat1&gt;0),"",IF((OpenW=0),"",MAX(F124:F126)/MAX(E124:E126)))</f>
        <v/>
      </c>
      <c r="H123" s="1710" t="s">
        <v>5469</v>
      </c>
      <c r="I123" s="4" t="s">
        <v>391</v>
      </c>
    </row>
    <row r="124" spans="1:9" ht="15" customHeight="1" x14ac:dyDescent="0.2">
      <c r="A124" s="1952"/>
      <c r="B124" s="1710"/>
      <c r="C124" s="21" t="str">
        <f>F!C68</f>
        <v>Little or none, or all water is shallower than 2 ft most of the year.</v>
      </c>
      <c r="D124" s="46">
        <f>F!D68</f>
        <v>0</v>
      </c>
      <c r="E124" s="388">
        <v>0</v>
      </c>
      <c r="F124" s="388">
        <f>D124*E124</f>
        <v>0</v>
      </c>
      <c r="G124" s="551"/>
      <c r="H124" s="1710"/>
    </row>
    <row r="125" spans="1:9" ht="15" customHeight="1" x14ac:dyDescent="0.2">
      <c r="A125" s="1952"/>
      <c r="B125" s="1710"/>
      <c r="C125" s="6" t="str">
        <f>F!C69</f>
        <v>Intermediate, e.g., 500 - 2500 cu. ft of instream wood per 1000 ft of channel.</v>
      </c>
      <c r="D125" s="46">
        <f>F!D69</f>
        <v>0</v>
      </c>
      <c r="E125" s="388">
        <v>1</v>
      </c>
      <c r="F125" s="388">
        <f>D125*E125</f>
        <v>0</v>
      </c>
      <c r="G125" s="782"/>
      <c r="H125" s="1710"/>
    </row>
    <row r="126" spans="1:9" ht="27.6" customHeight="1" thickBot="1" x14ac:dyDescent="0.25">
      <c r="A126" s="1952"/>
      <c r="B126" s="1710"/>
      <c r="C126" s="470" t="str">
        <f>F!C70</f>
        <v>Extensive:  &gt;8 pieces of wood per stream reach (reach= 10x channel width), or &gt;2700 cu.ft of instream wood per 1000 ft of channel, or &gt;10% of bank length is incised.</v>
      </c>
      <c r="D126" s="20">
        <f>F!D70</f>
        <v>0</v>
      </c>
      <c r="E126" s="391">
        <v>2</v>
      </c>
      <c r="F126" s="391">
        <f>D126*E126</f>
        <v>0</v>
      </c>
      <c r="G126" s="563"/>
      <c r="H126" s="1710"/>
    </row>
    <row r="127" spans="1:9" s="3" customFormat="1" ht="45" customHeight="1" thickBot="1" x14ac:dyDescent="0.25">
      <c r="A127" s="2018" t="str">
        <f>F!A71</f>
        <v>F15</v>
      </c>
      <c r="B127" s="2035" t="str">
        <f>F!B71</f>
        <v>All Ponded Water - Extent</v>
      </c>
      <c r="C127" s="231" t="str">
        <f>F!C71</f>
        <v>During most of the growing season, the percentage of the AA that has ponded surface water (stagnant, or flows so slowly that fine sediment is not held in suspension) which is either open or shaded by emergent vegetation is:</v>
      </c>
      <c r="D127" s="392"/>
      <c r="E127" s="392"/>
      <c r="F127" s="393"/>
      <c r="G127" s="600">
        <f>IF((AllSat+AllSat1&gt;0),"", MAX(F128:F134)/MAX(E128:E134))</f>
        <v>0</v>
      </c>
      <c r="H127" s="1709" t="s">
        <v>5470</v>
      </c>
      <c r="I127" s="3" t="s">
        <v>394</v>
      </c>
    </row>
    <row r="128" spans="1:9" s="3" customFormat="1" ht="15" customHeight="1" x14ac:dyDescent="0.2">
      <c r="A128" s="1955"/>
      <c r="B128" s="1710"/>
      <c r="C128" s="21" t="str">
        <f>F!C72</f>
        <v>&lt;1% or none, or occupies &lt;100 sq. ft cumulatively.  Enter "1" and SKIP to F19.</v>
      </c>
      <c r="D128" s="280">
        <f>F!D72</f>
        <v>0</v>
      </c>
      <c r="E128" s="388">
        <v>0</v>
      </c>
      <c r="F128" s="388">
        <f t="shared" ref="F128:F134" si="5">D128*E128</f>
        <v>0</v>
      </c>
      <c r="G128" s="709"/>
      <c r="H128" s="1710"/>
    </row>
    <row r="129" spans="1:9" s="3" customFormat="1" ht="15" customHeight="1" x14ac:dyDescent="0.2">
      <c r="A129" s="1955"/>
      <c r="B129" s="1710"/>
      <c r="C129" s="6" t="str">
        <f>F!C73</f>
        <v>1-25% of the AA, and mainly in small fishless pools. Enter "1" and SKIP to F19.</v>
      </c>
      <c r="D129" s="46">
        <f>F!D73</f>
        <v>0</v>
      </c>
      <c r="E129" s="388">
        <v>2</v>
      </c>
      <c r="F129" s="388">
        <f t="shared" si="5"/>
        <v>0</v>
      </c>
      <c r="G129" s="709"/>
      <c r="H129" s="1710"/>
    </row>
    <row r="130" spans="1:9" s="3" customFormat="1" ht="15" customHeight="1" x14ac:dyDescent="0.2">
      <c r="A130" s="1955"/>
      <c r="B130" s="1710"/>
      <c r="C130" s="6" t="str">
        <f>F!C74</f>
        <v>1-25% of the AA, and mainly in a single large pool or pond, with or without fish access.</v>
      </c>
      <c r="D130" s="46">
        <f>F!D74</f>
        <v>0</v>
      </c>
      <c r="E130" s="388">
        <v>1</v>
      </c>
      <c r="F130" s="388">
        <f t="shared" si="5"/>
        <v>0</v>
      </c>
      <c r="G130" s="709"/>
      <c r="H130" s="1710"/>
    </row>
    <row r="131" spans="1:9" s="3" customFormat="1" ht="15" customHeight="1" x14ac:dyDescent="0.2">
      <c r="A131" s="1955"/>
      <c r="B131" s="1710"/>
      <c r="C131" s="6" t="str">
        <f>F!C75</f>
        <v>5-30% of the AA.</v>
      </c>
      <c r="D131" s="46">
        <f>F!D75</f>
        <v>0</v>
      </c>
      <c r="E131" s="388">
        <v>3</v>
      </c>
      <c r="F131" s="388">
        <f t="shared" si="5"/>
        <v>0</v>
      </c>
      <c r="G131" s="709"/>
      <c r="H131" s="1710"/>
    </row>
    <row r="132" spans="1:9" s="3" customFormat="1" ht="15" customHeight="1" x14ac:dyDescent="0.2">
      <c r="A132" s="1955"/>
      <c r="B132" s="1710"/>
      <c r="C132" s="6" t="str">
        <f>F!C76</f>
        <v>30-70% of the AA.</v>
      </c>
      <c r="D132" s="46">
        <f>F!D76</f>
        <v>0</v>
      </c>
      <c r="E132" s="388">
        <v>4</v>
      </c>
      <c r="F132" s="388">
        <f t="shared" si="5"/>
        <v>0</v>
      </c>
      <c r="G132" s="718"/>
      <c r="H132" s="1710"/>
    </row>
    <row r="133" spans="1:9" s="3" customFormat="1" ht="15" customHeight="1" x14ac:dyDescent="0.2">
      <c r="A133" s="1955"/>
      <c r="B133" s="1710"/>
      <c r="C133" s="6" t="str">
        <f>F!C77</f>
        <v>70-95% of the AA.</v>
      </c>
      <c r="D133" s="46">
        <f>F!D77</f>
        <v>0</v>
      </c>
      <c r="E133" s="388">
        <v>5</v>
      </c>
      <c r="F133" s="388">
        <f t="shared" si="5"/>
        <v>0</v>
      </c>
      <c r="G133" s="718"/>
      <c r="H133" s="1710"/>
    </row>
    <row r="134" spans="1:9" s="3" customFormat="1" ht="15.6" customHeight="1" thickBot="1" x14ac:dyDescent="0.25">
      <c r="A134" s="1956"/>
      <c r="B134" s="1711"/>
      <c r="C134" s="214" t="str">
        <f>F!C78</f>
        <v>&gt;95% of the AA.</v>
      </c>
      <c r="D134" s="213">
        <f>F!D78</f>
        <v>0</v>
      </c>
      <c r="E134" s="389">
        <v>6</v>
      </c>
      <c r="F134" s="389">
        <f t="shared" si="5"/>
        <v>0</v>
      </c>
      <c r="G134" s="710"/>
      <c r="H134" s="1711"/>
    </row>
    <row r="135" spans="1:9" ht="30" customHeight="1" thickBot="1" x14ac:dyDescent="0.25">
      <c r="A135" s="2008" t="str">
        <f>F!A79</f>
        <v>F16</v>
      </c>
      <c r="B135" s="1868" t="str">
        <f>F!B79</f>
        <v>Open Ponded Water - Extent</v>
      </c>
      <c r="C135" s="5" t="str">
        <f>F!C79</f>
        <v>The percentage of the ponded water that is open (lacking emergent vegetation during most of the growing season, and unhidden by a forest or shrub canopy) is:</v>
      </c>
      <c r="D135" s="716"/>
      <c r="E135" s="392"/>
      <c r="F135" s="410"/>
      <c r="G135" s="547">
        <f>IF((AllSat+AllSat1&gt;0),"",IF((OR(puddles=1,NoPonded=1)),"", MAX(F136:F141)/MAX(E136:E141)))</f>
        <v>0</v>
      </c>
      <c r="H135" s="1710" t="s">
        <v>5471</v>
      </c>
      <c r="I135" s="4" t="s">
        <v>392</v>
      </c>
    </row>
    <row r="136" spans="1:9" ht="15" customHeight="1" x14ac:dyDescent="0.2">
      <c r="A136" s="1970"/>
      <c r="B136" s="1869"/>
      <c r="C136" s="1589" t="str">
        <f>F!C80</f>
        <v>&lt;1% or none, or largest pool occupies &lt;100 sq. ft.  Enter "1" and SKIP to F19.</v>
      </c>
      <c r="D136" s="46">
        <f>F!D80</f>
        <v>0</v>
      </c>
      <c r="E136" s="48">
        <v>5</v>
      </c>
      <c r="F136" s="388">
        <f t="shared" ref="F136:F141" si="6">D136*E136</f>
        <v>0</v>
      </c>
      <c r="G136" s="853"/>
      <c r="H136" s="1710"/>
    </row>
    <row r="137" spans="1:9" ht="15" customHeight="1" x14ac:dyDescent="0.2">
      <c r="A137" s="1970"/>
      <c r="B137" s="1869"/>
      <c r="C137" s="1587" t="str">
        <f>F!C81</f>
        <v>1-5% of the ponded water.  Enter "1" and SKIP to F19.</v>
      </c>
      <c r="D137" s="46">
        <f>F!D81</f>
        <v>0</v>
      </c>
      <c r="E137" s="48">
        <v>4</v>
      </c>
      <c r="F137" s="388">
        <f t="shared" si="6"/>
        <v>0</v>
      </c>
      <c r="G137" s="854"/>
      <c r="H137" s="1710"/>
    </row>
    <row r="138" spans="1:9" ht="15" customHeight="1" x14ac:dyDescent="0.2">
      <c r="A138" s="1970"/>
      <c r="B138" s="1869"/>
      <c r="C138" s="1587" t="str">
        <f>F!C82</f>
        <v>5-30% of the ponded water.</v>
      </c>
      <c r="D138" s="46">
        <f>F!D82</f>
        <v>0</v>
      </c>
      <c r="E138" s="48">
        <v>3</v>
      </c>
      <c r="F138" s="388">
        <f t="shared" si="6"/>
        <v>0</v>
      </c>
      <c r="G138" s="854"/>
      <c r="H138" s="1710"/>
    </row>
    <row r="139" spans="1:9" ht="15" customHeight="1" x14ac:dyDescent="0.2">
      <c r="A139" s="1970"/>
      <c r="B139" s="1869"/>
      <c r="C139" s="1587" t="str">
        <f>F!C83</f>
        <v>30-70% of the ponded water.</v>
      </c>
      <c r="D139" s="46">
        <f>F!D83</f>
        <v>0</v>
      </c>
      <c r="E139" s="48">
        <v>2</v>
      </c>
      <c r="F139" s="388">
        <f t="shared" si="6"/>
        <v>0</v>
      </c>
      <c r="G139" s="854"/>
      <c r="H139" s="1710"/>
    </row>
    <row r="140" spans="1:9" ht="15" customHeight="1" x14ac:dyDescent="0.2">
      <c r="A140" s="1970"/>
      <c r="B140" s="1869"/>
      <c r="C140" s="1587" t="str">
        <f>F!C84</f>
        <v>70-99% of the ponded water.</v>
      </c>
      <c r="D140" s="46">
        <f>F!D84</f>
        <v>0</v>
      </c>
      <c r="E140" s="48">
        <v>1</v>
      </c>
      <c r="F140" s="388">
        <f t="shared" si="6"/>
        <v>0</v>
      </c>
      <c r="G140" s="1597"/>
      <c r="H140" s="1710"/>
    </row>
    <row r="141" spans="1:9" ht="15.6" customHeight="1" thickBot="1" x14ac:dyDescent="0.25">
      <c r="A141" s="1971"/>
      <c r="B141" s="1870"/>
      <c r="C141" s="1598" t="str">
        <f>F!C85</f>
        <v>100% of the ponded water. SKIP to F18.</v>
      </c>
      <c r="D141" s="317">
        <f>F!D85</f>
        <v>0</v>
      </c>
      <c r="E141" s="255">
        <v>0</v>
      </c>
      <c r="F141" s="389">
        <f t="shared" si="6"/>
        <v>0</v>
      </c>
      <c r="G141" s="855"/>
      <c r="H141" s="1710"/>
    </row>
    <row r="142" spans="1:9" ht="30" customHeight="1" thickBot="1" x14ac:dyDescent="0.25">
      <c r="A142" s="1896" t="str">
        <f>F!A86</f>
        <v>F17</v>
      </c>
      <c r="B142" s="1692" t="str">
        <f>F!B86</f>
        <v>Emergent Vegetation - Distribution</v>
      </c>
      <c r="C142" s="231" t="str">
        <f>F!C86</f>
        <v>During most of the growing season, the spatial pattern of herbaceous vegetation that has surface water beneath it (emergent vegetation -- NOT floating-leaved plants) is mostly:</v>
      </c>
      <c r="D142" s="422"/>
      <c r="E142" s="784"/>
      <c r="F142" s="849"/>
      <c r="G142" s="550">
        <f>IF((AllSat+AllSat1&gt;0),"",IF((OR(puddles=1,NoPonded=1)),"",IF((NoOpenPonded+NoOpenPonded1&gt;0),"",IF((AllOpenPond=1),"",MAX(F143:F145)/MAX(E143:E145)))))</f>
        <v>0</v>
      </c>
      <c r="H142" s="1687" t="s">
        <v>5472</v>
      </c>
      <c r="I142" s="4" t="s">
        <v>395</v>
      </c>
    </row>
    <row r="143" spans="1:9" ht="15" customHeight="1" x14ac:dyDescent="0.2">
      <c r="A143" s="1869"/>
      <c r="B143" s="1688"/>
      <c r="C143" s="21" t="str">
        <f>F!C87</f>
        <v>scattered in small clumps, islands, or patches throughout the surface water area.</v>
      </c>
      <c r="D143" s="280">
        <f>F!D87</f>
        <v>0</v>
      </c>
      <c r="E143" s="418">
        <v>3</v>
      </c>
      <c r="F143" s="391">
        <f>D143*E143</f>
        <v>0</v>
      </c>
      <c r="G143" s="551"/>
      <c r="H143" s="1688"/>
    </row>
    <row r="144" spans="1:9" ht="15" customHeight="1" x14ac:dyDescent="0.2">
      <c r="A144" s="1869"/>
      <c r="B144" s="1688"/>
      <c r="C144" s="6" t="str">
        <f>F!C88</f>
        <v>intermediate</v>
      </c>
      <c r="D144" s="46">
        <f>F!D88</f>
        <v>0</v>
      </c>
      <c r="E144" s="418">
        <v>2</v>
      </c>
      <c r="F144" s="391">
        <f>D144*E144</f>
        <v>0</v>
      </c>
      <c r="G144" s="551"/>
      <c r="H144" s="1688"/>
    </row>
    <row r="145" spans="1:65" ht="30" customHeight="1" thickBot="1" x14ac:dyDescent="0.25">
      <c r="A145" s="1870"/>
      <c r="B145" s="1689"/>
      <c r="C145" s="214" t="str">
        <f>F!C89</f>
        <v>clumped along the margin of the surface water area, or mostly surrounds a channel or central area of open water, or such vegetation covers &lt;100 sq ft and &lt;1% of the AA.</v>
      </c>
      <c r="D145" s="213">
        <f>F!D89</f>
        <v>0</v>
      </c>
      <c r="E145" s="848">
        <v>1</v>
      </c>
      <c r="F145" s="389">
        <f>D145*E145</f>
        <v>0</v>
      </c>
      <c r="G145" s="850"/>
      <c r="H145" s="1689"/>
    </row>
    <row r="146" spans="1:65" s="3" customFormat="1" ht="45" customHeight="1" thickBot="1" x14ac:dyDescent="0.25">
      <c r="A146" s="217" t="str">
        <f>F!A91</f>
        <v>F19</v>
      </c>
      <c r="B146" s="5" t="str">
        <f>F!B91</f>
        <v>Ice Cover</v>
      </c>
      <c r="C146" s="205" t="str">
        <f>F!C91</f>
        <v>Ice (not just snow) covers nearly all of the AA's water surface for more than 4 continuous weeks during most years, potentially altering the air-water exchange.  If true, enter "1" in next column.  If untrue, enter "0".</v>
      </c>
      <c r="D146" s="258">
        <f>F!D91</f>
        <v>0</v>
      </c>
      <c r="E146" s="400"/>
      <c r="F146" s="400"/>
      <c r="G146" s="600">
        <f>IF((AllSat+AllSat1&gt;0),"", IF((D146=0),1,0))</f>
        <v>1</v>
      </c>
      <c r="H146" s="5" t="s">
        <v>5473</v>
      </c>
      <c r="I146" s="3" t="s">
        <v>393</v>
      </c>
    </row>
    <row r="147" spans="1:65" s="13" customFormat="1" ht="21" customHeight="1" thickBot="1" x14ac:dyDescent="0.25">
      <c r="A147" s="1868" t="str">
        <f>F!A130</f>
        <v>F30</v>
      </c>
      <c r="B147" s="1687" t="str">
        <f>F!B130</f>
        <v>Groundwater: Strength of Evidence</v>
      </c>
      <c r="C147" s="231" t="str">
        <f>F!C130</f>
        <v>Select first applicable choice.  In the AA:</v>
      </c>
      <c r="D147" s="422"/>
      <c r="E147" s="549"/>
      <c r="F147" s="393"/>
      <c r="G147" s="550">
        <f>IF((D150=1),"",MAX(F147:F150)/MAX(E148:E150))</f>
        <v>0</v>
      </c>
      <c r="H147" s="1709" t="s">
        <v>5474</v>
      </c>
      <c r="I147" s="4" t="s">
        <v>403</v>
      </c>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14"/>
    </row>
    <row r="148" spans="1:65" s="13" customFormat="1" ht="72" customHeight="1" x14ac:dyDescent="0.2">
      <c r="A148" s="1869"/>
      <c r="B148" s="1688"/>
      <c r="C148"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48" s="380">
        <f>F!D131</f>
        <v>0</v>
      </c>
      <c r="E148" s="412">
        <v>3</v>
      </c>
      <c r="F148" s="388">
        <f>D148*E148</f>
        <v>0</v>
      </c>
      <c r="G148" s="551"/>
      <c r="H148" s="1710"/>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14"/>
    </row>
    <row r="149" spans="1:65" s="13" customFormat="1" ht="84" customHeight="1" x14ac:dyDescent="0.2">
      <c r="A149" s="1869"/>
      <c r="B149" s="1688"/>
      <c r="C149" s="470"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49" s="20">
        <f>F!D132</f>
        <v>0</v>
      </c>
      <c r="E149" s="412">
        <v>2</v>
      </c>
      <c r="F149" s="388">
        <f>D149*E149</f>
        <v>0</v>
      </c>
      <c r="G149" s="552"/>
      <c r="H149" s="1710"/>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14"/>
    </row>
    <row r="150" spans="1:65" s="13" customFormat="1" ht="27.6" customHeight="1" thickBot="1" x14ac:dyDescent="0.25">
      <c r="A150" s="1870"/>
      <c r="B150" s="1689"/>
      <c r="C150" s="214" t="str">
        <f>F!C133</f>
        <v>Neither of above is true, although some groundwater may discharge to or flow through the AA, or groundwater influx is unknown.</v>
      </c>
      <c r="D150" s="213">
        <f>F!D133</f>
        <v>0</v>
      </c>
      <c r="E150" s="416">
        <v>0</v>
      </c>
      <c r="F150" s="389">
        <f>D150*E150</f>
        <v>0</v>
      </c>
      <c r="G150" s="553"/>
      <c r="H150" s="1711"/>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14"/>
    </row>
    <row r="151" spans="1:65" ht="30" customHeight="1" thickBot="1" x14ac:dyDescent="0.25">
      <c r="A151" s="1954" t="str">
        <f>F!A152</f>
        <v>F34</v>
      </c>
      <c r="B151" s="1709" t="str">
        <f>F!B152</f>
        <v>Woody Diameter Classes</v>
      </c>
      <c r="C151" s="231" t="str">
        <f>F!C152</f>
        <v>Mark all the classes of woody plants within the AA, but only IF they comprise more than 5% of the woody canopy within the AA.  Do not count trees that adjoin but are not within the AA.</v>
      </c>
      <c r="D151" s="422"/>
      <c r="E151" s="392"/>
      <c r="F151" s="410"/>
      <c r="G151" s="550">
        <f>IF((NoTrees=1),"",((SUM(D152:D159)/8+ MAX(F152:F159)/MAX(E152:E159))/2))</f>
        <v>0</v>
      </c>
      <c r="H151" s="1709" t="s">
        <v>5475</v>
      </c>
      <c r="I151" s="4" t="s">
        <v>397</v>
      </c>
    </row>
    <row r="152" spans="1:65" ht="15" customHeight="1" x14ac:dyDescent="0.2">
      <c r="A152" s="1955"/>
      <c r="B152" s="1710"/>
      <c r="C152" s="21" t="str">
        <f>F!C153</f>
        <v>evergreen 1-4" diameter and &gt;3 ft tall</v>
      </c>
      <c r="D152" s="280">
        <f>F!D153</f>
        <v>0</v>
      </c>
      <c r="E152" s="388">
        <v>1</v>
      </c>
      <c r="F152" s="388">
        <f t="shared" ref="F152:F159" si="7">D152*E152</f>
        <v>0</v>
      </c>
      <c r="G152" s="551"/>
      <c r="H152" s="1710"/>
    </row>
    <row r="153" spans="1:65" ht="15" customHeight="1" x14ac:dyDescent="0.2">
      <c r="A153" s="1955"/>
      <c r="B153" s="1710"/>
      <c r="C153" s="6" t="str">
        <f>F!C154</f>
        <v>deciduous 1-4" diameter and &gt;3 ft tall</v>
      </c>
      <c r="D153" s="46">
        <f>F!D154</f>
        <v>0</v>
      </c>
      <c r="E153" s="388">
        <v>1</v>
      </c>
      <c r="F153" s="388">
        <f t="shared" si="7"/>
        <v>0</v>
      </c>
      <c r="G153" s="552"/>
      <c r="H153" s="1710"/>
    </row>
    <row r="154" spans="1:65" ht="15" customHeight="1" x14ac:dyDescent="0.2">
      <c r="A154" s="1955"/>
      <c r="B154" s="1710"/>
      <c r="C154" s="6" t="str">
        <f>F!C155</f>
        <v>evergreen 4-9" diameter</v>
      </c>
      <c r="D154" s="46">
        <f>F!D155</f>
        <v>0</v>
      </c>
      <c r="E154" s="388">
        <v>2</v>
      </c>
      <c r="F154" s="388">
        <f t="shared" si="7"/>
        <v>0</v>
      </c>
      <c r="G154" s="552"/>
      <c r="H154" s="1710"/>
    </row>
    <row r="155" spans="1:65" ht="15" customHeight="1" x14ac:dyDescent="0.2">
      <c r="A155" s="1955"/>
      <c r="B155" s="1710"/>
      <c r="C155" s="6" t="str">
        <f>F!C156</f>
        <v>deciduous 4-9" diameter</v>
      </c>
      <c r="D155" s="46">
        <f>F!D156</f>
        <v>0</v>
      </c>
      <c r="E155" s="388">
        <v>2</v>
      </c>
      <c r="F155" s="388">
        <f t="shared" si="7"/>
        <v>0</v>
      </c>
      <c r="G155" s="552"/>
      <c r="H155" s="1710"/>
    </row>
    <row r="156" spans="1:65" ht="15" customHeight="1" x14ac:dyDescent="0.2">
      <c r="A156" s="1955"/>
      <c r="B156" s="1710"/>
      <c r="C156" s="6" t="str">
        <f>F!C157</f>
        <v>evergreen 9-21" diameter</v>
      </c>
      <c r="D156" s="46">
        <f>F!D157</f>
        <v>0</v>
      </c>
      <c r="E156" s="388">
        <v>3</v>
      </c>
      <c r="F156" s="388">
        <f t="shared" si="7"/>
        <v>0</v>
      </c>
      <c r="G156" s="552"/>
      <c r="H156" s="1710"/>
    </row>
    <row r="157" spans="1:65" ht="15" customHeight="1" x14ac:dyDescent="0.2">
      <c r="A157" s="1955"/>
      <c r="B157" s="1710"/>
      <c r="C157" s="6" t="str">
        <f>F!C158</f>
        <v>deciduous 9-21" diameter</v>
      </c>
      <c r="D157" s="46">
        <f>F!D158</f>
        <v>0</v>
      </c>
      <c r="E157" s="388">
        <v>3</v>
      </c>
      <c r="F157" s="388">
        <f t="shared" si="7"/>
        <v>0</v>
      </c>
      <c r="G157" s="552"/>
      <c r="H157" s="1710"/>
    </row>
    <row r="158" spans="1:65" ht="15" customHeight="1" x14ac:dyDescent="0.2">
      <c r="A158" s="1955"/>
      <c r="B158" s="1710"/>
      <c r="C158" s="6" t="str">
        <f>F!C159</f>
        <v>evergreen &gt;21" diameter</v>
      </c>
      <c r="D158" s="46">
        <f>F!D159</f>
        <v>0</v>
      </c>
      <c r="E158" s="388">
        <v>4</v>
      </c>
      <c r="F158" s="388">
        <f t="shared" si="7"/>
        <v>0</v>
      </c>
      <c r="G158" s="552"/>
      <c r="H158" s="1710"/>
    </row>
    <row r="159" spans="1:65" ht="15.6" customHeight="1" thickBot="1" x14ac:dyDescent="0.25">
      <c r="A159" s="1956"/>
      <c r="B159" s="1711"/>
      <c r="C159" s="214" t="str">
        <f>F!C160</f>
        <v>deciduous &gt;21" diameter</v>
      </c>
      <c r="D159" s="213">
        <f>F!D160</f>
        <v>0</v>
      </c>
      <c r="E159" s="389">
        <v>4</v>
      </c>
      <c r="F159" s="389">
        <f t="shared" si="7"/>
        <v>0</v>
      </c>
      <c r="G159" s="553"/>
      <c r="H159" s="1711"/>
    </row>
    <row r="160" spans="1:65" ht="30" customHeight="1" thickBot="1" x14ac:dyDescent="0.25">
      <c r="A160" s="1954" t="str">
        <f>F!A165</f>
        <v>F36</v>
      </c>
      <c r="B160" s="1709" t="str">
        <f>F!B165</f>
        <v>Downed Wood</v>
      </c>
      <c r="C160" s="231" t="str">
        <f>F!C165</f>
        <v>The number of downed wood pieces longer than 6 ft and with diameter &gt;6", and not persistently submerged, is:</v>
      </c>
      <c r="D160" s="422"/>
      <c r="E160" s="392"/>
      <c r="F160" s="410"/>
      <c r="G160" s="550">
        <f>IF((NoWoodyVeg=1),"",IF((NoTrees=1),"", MAX(F161:F162)))</f>
        <v>0</v>
      </c>
      <c r="H160" s="2016" t="s">
        <v>5476</v>
      </c>
      <c r="I160" s="4" t="s">
        <v>398</v>
      </c>
    </row>
    <row r="161" spans="1:51" ht="15" customHeight="1" x14ac:dyDescent="0.2">
      <c r="A161" s="1955"/>
      <c r="B161" s="1710"/>
      <c r="C161" s="21" t="str">
        <f>F!C166</f>
        <v>Several ( &gt;5 if AA is &gt;10 acres, or &gt;2 for smaller AAs)</v>
      </c>
      <c r="D161" s="280">
        <f>F!D166</f>
        <v>0</v>
      </c>
      <c r="E161" s="388">
        <v>1</v>
      </c>
      <c r="F161" s="388">
        <f>D161*E161</f>
        <v>0</v>
      </c>
      <c r="G161" s="551"/>
      <c r="H161" s="1961"/>
    </row>
    <row r="162" spans="1:51" ht="15.6" customHeight="1" thickBot="1" x14ac:dyDescent="0.25">
      <c r="A162" s="1956"/>
      <c r="B162" s="1711"/>
      <c r="C162" s="214" t="str">
        <f>F!C167</f>
        <v xml:space="preserve">Few or none </v>
      </c>
      <c r="D162" s="213">
        <f>F!D167</f>
        <v>0</v>
      </c>
      <c r="E162" s="389">
        <v>0</v>
      </c>
      <c r="F162" s="389">
        <f>D162*E162</f>
        <v>0</v>
      </c>
      <c r="G162" s="553"/>
      <c r="H162" s="2017"/>
    </row>
    <row r="163" spans="1:51" ht="21" customHeight="1" thickBot="1" x14ac:dyDescent="0.25">
      <c r="A163" s="1899" t="str">
        <f>F!A168</f>
        <v>F37</v>
      </c>
      <c r="B163" s="1713" t="str">
        <f>F!B168</f>
        <v>Exposed Shrub Canopy</v>
      </c>
      <c r="C163" s="770" t="str">
        <f>F!C168</f>
        <v>Woody vegetation 3 to 20 ft tall that is not under the drip line of trees is:</v>
      </c>
      <c r="D163" s="422"/>
      <c r="E163" s="418"/>
      <c r="F163" s="390"/>
      <c r="G163" s="556">
        <f>IF((NoWoodyVeg=1),"",MAX(F164:F168)/MAX(E164:E168))</f>
        <v>0</v>
      </c>
      <c r="H163" s="1688" t="s">
        <v>5392</v>
      </c>
      <c r="I163" s="4" t="s">
        <v>653</v>
      </c>
    </row>
    <row r="164" spans="1:51" ht="15" customHeight="1" x14ac:dyDescent="0.2">
      <c r="A164" s="1899"/>
      <c r="B164" s="1713"/>
      <c r="C164" s="587" t="str">
        <f>F!C169</f>
        <v>&lt;5% of the vegetated AA and (if a fringe wetland) &lt;5% of its water edge.  Or &lt;0.01 acre.  SKIP to F41.</v>
      </c>
      <c r="D164" s="283">
        <f>F!D169</f>
        <v>0</v>
      </c>
      <c r="E164" s="412">
        <v>0</v>
      </c>
      <c r="F164" s="388">
        <f>D164*E164</f>
        <v>0</v>
      </c>
      <c r="G164" s="551"/>
      <c r="H164" s="1688"/>
    </row>
    <row r="165" spans="1:51" ht="15" customHeight="1" x14ac:dyDescent="0.2">
      <c r="A165" s="1899"/>
      <c r="B165" s="1713"/>
      <c r="C165" s="588" t="str">
        <f>F!C170</f>
        <v>5-25% of the vegetated AA or (if a fringe wetland) 5-25% of the water edge  -- whichever is greater.</v>
      </c>
      <c r="D165" s="284">
        <f>F!D170</f>
        <v>0</v>
      </c>
      <c r="E165" s="412">
        <v>1</v>
      </c>
      <c r="F165" s="388">
        <f>D165*E165</f>
        <v>0</v>
      </c>
      <c r="G165" s="552"/>
      <c r="H165" s="1688"/>
    </row>
    <row r="166" spans="1:51" ht="15" customHeight="1" x14ac:dyDescent="0.2">
      <c r="A166" s="1899"/>
      <c r="B166" s="1713"/>
      <c r="C166" s="588" t="str">
        <f>F!C171</f>
        <v xml:space="preserve">25-50% of the vegetated AA or the water edge, whichever is greater. </v>
      </c>
      <c r="D166" s="284">
        <f>F!D171</f>
        <v>0</v>
      </c>
      <c r="E166" s="412">
        <v>2</v>
      </c>
      <c r="F166" s="388">
        <f>D166*E166</f>
        <v>0</v>
      </c>
      <c r="G166" s="552"/>
      <c r="H166" s="1688"/>
    </row>
    <row r="167" spans="1:51" ht="15" customHeight="1" x14ac:dyDescent="0.2">
      <c r="A167" s="1899"/>
      <c r="B167" s="1713"/>
      <c r="C167" s="588" t="str">
        <f>F!C172</f>
        <v>50-95% of the vegetated AA or the water edge, whichever is greater.</v>
      </c>
      <c r="D167" s="284">
        <f>F!D172</f>
        <v>0</v>
      </c>
      <c r="E167" s="412">
        <v>4</v>
      </c>
      <c r="F167" s="388">
        <f>D167*E167</f>
        <v>0</v>
      </c>
      <c r="G167" s="552"/>
      <c r="H167" s="1688"/>
    </row>
    <row r="168" spans="1:51" ht="15.6" customHeight="1" thickBot="1" x14ac:dyDescent="0.25">
      <c r="A168" s="1899"/>
      <c r="B168" s="1713"/>
      <c r="C168" s="589" t="str">
        <f>F!C173</f>
        <v>&gt;95% of the vegetated part of the AA or the water edge, whichever is greater.</v>
      </c>
      <c r="D168" s="285">
        <f>F!D173</f>
        <v>0</v>
      </c>
      <c r="E168" s="414">
        <v>3</v>
      </c>
      <c r="F168" s="391">
        <f>D168*E168</f>
        <v>0</v>
      </c>
      <c r="G168" s="563"/>
      <c r="H168" s="1688"/>
    </row>
    <row r="169" spans="1:51" ht="60" customHeight="1" thickBot="1" x14ac:dyDescent="0.25">
      <c r="A169" s="1954" t="str">
        <f>F!A200</f>
        <v>F43</v>
      </c>
      <c r="B169" s="1709" t="str">
        <f>F!B200</f>
        <v>Bare Ground &amp; Accumulated Plant Litter</v>
      </c>
      <c r="C169" s="231" t="str">
        <f>F!C200</f>
        <v>As viewed from above at mid-summer, the extent of bare ground (unvegetated mineral or organic soil or rock) within the AA, excluding parts not visible because under water, snow, or dense thatch) is:</v>
      </c>
      <c r="D169" s="422"/>
      <c r="E169" s="392"/>
      <c r="F169" s="410"/>
      <c r="G169" s="550">
        <f>MAX(F170:F173)/MAX(E170:E173)</f>
        <v>0</v>
      </c>
      <c r="H169" s="1709" t="s">
        <v>921</v>
      </c>
      <c r="I169" s="4" t="s">
        <v>399</v>
      </c>
    </row>
    <row r="170" spans="1:51" ht="42" customHeight="1" x14ac:dyDescent="0.2">
      <c r="A170" s="1955"/>
      <c r="B170" s="1710"/>
      <c r="C170" s="21" t="str">
        <f>F!C201</f>
        <v xml:space="preserve">little or no (&lt;5%) bare ground is visible between erect stems or under canopy and ground surface is extensively blanketed by moss, lichens, graminoids with great stem densities, or plants with ground-hugging foliage.  </v>
      </c>
      <c r="D170" s="280">
        <f>F!D201</f>
        <v>0</v>
      </c>
      <c r="E170" s="48">
        <v>2</v>
      </c>
      <c r="F170" s="388">
        <f>D170*E170</f>
        <v>0</v>
      </c>
      <c r="G170" s="551"/>
      <c r="H170" s="1710"/>
    </row>
    <row r="171" spans="1:51" ht="27" customHeight="1" x14ac:dyDescent="0.2">
      <c r="A171" s="1955"/>
      <c r="B171" s="1710"/>
      <c r="C171" s="6" t="str">
        <f>F!C202</f>
        <v>Slightly bare ground (5-20% bare between plants) is visible in places, but those areas comprise less than 5% of the unflooded parts of the AA.</v>
      </c>
      <c r="D171" s="46">
        <f>F!D202</f>
        <v>0</v>
      </c>
      <c r="E171" s="48">
        <v>3</v>
      </c>
      <c r="F171" s="388">
        <f>D171*E171</f>
        <v>0</v>
      </c>
      <c r="G171" s="552"/>
      <c r="H171" s="1710"/>
    </row>
    <row r="172" spans="1:51" ht="27" customHeight="1" x14ac:dyDescent="0.2">
      <c r="A172" s="1955"/>
      <c r="B172" s="1710"/>
      <c r="C172" s="6" t="str">
        <f>F!C203</f>
        <v>Much bare ground (20-50% bare between plants) is visible in places, and those areas comprise more than 5% of the unflooded parts of the AA. </v>
      </c>
      <c r="D172" s="46">
        <f>F!D203</f>
        <v>0</v>
      </c>
      <c r="E172" s="48">
        <v>1</v>
      </c>
      <c r="F172" s="388">
        <f>D172*E172</f>
        <v>0</v>
      </c>
      <c r="G172" s="552"/>
      <c r="H172" s="1710"/>
    </row>
    <row r="173" spans="1:51" ht="15.6" customHeight="1" thickBot="1" x14ac:dyDescent="0.25">
      <c r="A173" s="1956"/>
      <c r="B173" s="1711"/>
      <c r="C173" s="214" t="str">
        <f>F!C204</f>
        <v>mostly (&gt;50%) bare ground or ground covered only with thatch.</v>
      </c>
      <c r="D173" s="213">
        <f>F!D204</f>
        <v>0</v>
      </c>
      <c r="E173" s="255">
        <v>0</v>
      </c>
      <c r="F173" s="389">
        <f>D173*E173</f>
        <v>0</v>
      </c>
      <c r="G173" s="553"/>
      <c r="H173" s="1711"/>
    </row>
    <row r="174" spans="1:51" s="13" customFormat="1" ht="45" customHeight="1" thickBot="1" x14ac:dyDescent="0.25">
      <c r="A174" s="1952" t="str">
        <f>F!A206</f>
        <v>F44</v>
      </c>
      <c r="B174" s="1710" t="str">
        <f>F!B206</f>
        <v>Ground Irregularity</v>
      </c>
      <c r="C174" s="385"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74" s="422"/>
      <c r="E174" s="387"/>
      <c r="F174" s="409"/>
      <c r="G174" s="556">
        <f>MAX(F175:F177)/MAX(E175:E177)</f>
        <v>0</v>
      </c>
      <c r="H174" s="1953" t="s">
        <v>869</v>
      </c>
      <c r="I174" s="4" t="s">
        <v>400</v>
      </c>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14"/>
    </row>
    <row r="175" spans="1:51" s="13" customFormat="1" ht="15" customHeight="1" x14ac:dyDescent="0.2">
      <c r="A175" s="1952"/>
      <c r="B175" s="1710"/>
      <c r="C175" s="21" t="str">
        <f>F!C207</f>
        <v xml:space="preserve">Few or none (minimal microtopography; &lt;1% of that area) </v>
      </c>
      <c r="D175" s="280">
        <f>F!D207</f>
        <v>0</v>
      </c>
      <c r="E175" s="48">
        <v>0</v>
      </c>
      <c r="F175" s="388">
        <f>D175*E175</f>
        <v>0</v>
      </c>
      <c r="G175" s="551"/>
      <c r="H175" s="1961"/>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14"/>
    </row>
    <row r="176" spans="1:51" s="13" customFormat="1" ht="15" customHeight="1" x14ac:dyDescent="0.2">
      <c r="A176" s="1952"/>
      <c r="B176" s="1710"/>
      <c r="C176" s="6" t="str">
        <f>F!C208</f>
        <v>Intermediate</v>
      </c>
      <c r="D176" s="46">
        <f>F!D208</f>
        <v>0</v>
      </c>
      <c r="E176" s="388">
        <v>1</v>
      </c>
      <c r="F176" s="388">
        <f>D176*E176</f>
        <v>0</v>
      </c>
      <c r="G176" s="552"/>
      <c r="H176" s="1961"/>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14"/>
    </row>
    <row r="177" spans="1:51" s="13" customFormat="1" ht="15.6" customHeight="1" thickBot="1" x14ac:dyDescent="0.25">
      <c r="A177" s="1952"/>
      <c r="B177" s="1710"/>
      <c r="C177" s="470" t="str">
        <f>F!C209</f>
        <v>Several (extensive micro-topography)</v>
      </c>
      <c r="D177" s="20">
        <f>F!D209</f>
        <v>0</v>
      </c>
      <c r="E177" s="391">
        <v>2</v>
      </c>
      <c r="F177" s="391">
        <f>D177*E177</f>
        <v>0</v>
      </c>
      <c r="G177" s="563"/>
      <c r="H177" s="1959"/>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14"/>
    </row>
    <row r="178" spans="1:51" ht="21" customHeight="1" thickBot="1" x14ac:dyDescent="0.25">
      <c r="A178" s="1868" t="str">
        <f>F!A210</f>
        <v>F45</v>
      </c>
      <c r="B178" s="1687" t="str">
        <f>F!B210</f>
        <v>Upland Inclusions</v>
      </c>
      <c r="C178" s="231" t="str">
        <f>F!C210</f>
        <v>Within the AA, inclusions of upland that individually are &gt;100 sq. ft. are:</v>
      </c>
      <c r="D178" s="422"/>
      <c r="E178" s="392"/>
      <c r="F178" s="393"/>
      <c r="G178" s="550">
        <f>IF((D179=1),"", MAX(F179:F181)/MAX(E179:E181))</f>
        <v>0</v>
      </c>
      <c r="H178" s="1709" t="s">
        <v>870</v>
      </c>
      <c r="I178" s="4" t="s">
        <v>401</v>
      </c>
    </row>
    <row r="179" spans="1:51" ht="15" customHeight="1" x14ac:dyDescent="0.2">
      <c r="A179" s="1869"/>
      <c r="B179" s="1688"/>
      <c r="C179" s="21" t="str">
        <f>F!C211</f>
        <v>Few or none</v>
      </c>
      <c r="D179" s="280">
        <f>F!D211</f>
        <v>0</v>
      </c>
      <c r="E179" s="388">
        <v>0</v>
      </c>
      <c r="F179" s="388">
        <f>D179*E179</f>
        <v>0</v>
      </c>
      <c r="G179" s="551"/>
      <c r="H179" s="1710"/>
    </row>
    <row r="180" spans="1:51" ht="15" customHeight="1" x14ac:dyDescent="0.2">
      <c r="A180" s="1869"/>
      <c r="B180" s="1688"/>
      <c r="C180" s="6" t="str">
        <f>F!C212</f>
        <v>Intermediate (1 - 10% of vegetated part of the AA).</v>
      </c>
      <c r="D180" s="46">
        <f>F!D212</f>
        <v>0</v>
      </c>
      <c r="E180" s="388">
        <v>1</v>
      </c>
      <c r="F180" s="388">
        <f>D180*E180</f>
        <v>0</v>
      </c>
      <c r="G180" s="551"/>
      <c r="H180" s="1710"/>
    </row>
    <row r="181" spans="1:51" ht="15.6" customHeight="1" thickBot="1" x14ac:dyDescent="0.25">
      <c r="A181" s="1870"/>
      <c r="B181" s="1689"/>
      <c r="C181" s="214" t="str">
        <f>F!C213</f>
        <v>Many (e.g., wetland-upland "mosaic", &gt;10% of the vegetated AA).</v>
      </c>
      <c r="D181" s="213">
        <f>F!D213</f>
        <v>0</v>
      </c>
      <c r="E181" s="389">
        <v>2</v>
      </c>
      <c r="F181" s="389">
        <f>D181*E181</f>
        <v>0</v>
      </c>
      <c r="G181" s="553"/>
      <c r="H181" s="1711"/>
    </row>
    <row r="182" spans="1:51" ht="63" customHeight="1" thickBot="1" x14ac:dyDescent="0.25">
      <c r="A182" s="1952" t="str">
        <f>F!A264</f>
        <v>F55</v>
      </c>
      <c r="B182" s="1710" t="str">
        <f>F!B264</f>
        <v>Natural Cover in Buffer</v>
      </c>
      <c r="C182" s="385" t="str">
        <f>F!C264</f>
        <v>Along the wetland-upland edge and extending 100 ft upslope, the percentage of the upland that contains natural (not necessarily native -- see column E) land cover taller than 6 inches is:</v>
      </c>
      <c r="D182" s="422"/>
      <c r="E182" s="387"/>
      <c r="F182" s="409"/>
      <c r="G182" s="556">
        <f>MAX(F183:F187)/MAX(E183:E187)</f>
        <v>0</v>
      </c>
      <c r="H182" s="1710" t="s">
        <v>1260</v>
      </c>
      <c r="I182" s="4" t="s">
        <v>406</v>
      </c>
    </row>
    <row r="183" spans="1:51" ht="21" customHeight="1" x14ac:dyDescent="0.2">
      <c r="A183" s="1952"/>
      <c r="B183" s="1710"/>
      <c r="C183" s="21" t="str">
        <f>F!C265</f>
        <v xml:space="preserve">&lt;5% </v>
      </c>
      <c r="D183" s="280">
        <f>F!D265</f>
        <v>0</v>
      </c>
      <c r="E183" s="48">
        <v>0</v>
      </c>
      <c r="F183" s="388">
        <f>D183*E183</f>
        <v>0</v>
      </c>
      <c r="G183" s="551"/>
      <c r="H183" s="1710"/>
    </row>
    <row r="184" spans="1:51" ht="21" customHeight="1" x14ac:dyDescent="0.2">
      <c r="A184" s="1952"/>
      <c r="B184" s="1710"/>
      <c r="C184" s="6" t="str">
        <f>F!C266</f>
        <v>5 to 30%</v>
      </c>
      <c r="D184" s="46">
        <f>F!D266</f>
        <v>0</v>
      </c>
      <c r="E184" s="48">
        <v>3</v>
      </c>
      <c r="F184" s="388">
        <f>D184*E184</f>
        <v>0</v>
      </c>
      <c r="G184" s="552"/>
      <c r="H184" s="1710"/>
    </row>
    <row r="185" spans="1:51" ht="21" customHeight="1" x14ac:dyDescent="0.2">
      <c r="A185" s="1952"/>
      <c r="B185" s="1710"/>
      <c r="C185" s="6" t="str">
        <f>F!C267</f>
        <v>30 to 60%</v>
      </c>
      <c r="D185" s="46">
        <f>F!D267</f>
        <v>0</v>
      </c>
      <c r="E185" s="48">
        <v>4</v>
      </c>
      <c r="F185" s="388">
        <f>D185*E185</f>
        <v>0</v>
      </c>
      <c r="G185" s="552"/>
      <c r="H185" s="1710"/>
    </row>
    <row r="186" spans="1:51" ht="21" customHeight="1" x14ac:dyDescent="0.2">
      <c r="A186" s="1952"/>
      <c r="B186" s="1710"/>
      <c r="C186" s="6" t="str">
        <f>F!C268</f>
        <v>60 to 90%</v>
      </c>
      <c r="D186" s="46">
        <f>F!D268</f>
        <v>0</v>
      </c>
      <c r="E186" s="48">
        <v>7</v>
      </c>
      <c r="F186" s="388">
        <f>D186*E186</f>
        <v>0</v>
      </c>
      <c r="G186" s="552"/>
      <c r="H186" s="1710"/>
    </row>
    <row r="187" spans="1:51" ht="21" customHeight="1" thickBot="1" x14ac:dyDescent="0.25">
      <c r="A187" s="1952"/>
      <c r="B187" s="1710"/>
      <c r="C187" s="470" t="str">
        <f>F!C269</f>
        <v>&gt;90%.  SKIP to F58.</v>
      </c>
      <c r="D187" s="20">
        <f>F!D269</f>
        <v>0</v>
      </c>
      <c r="E187" s="47">
        <v>10</v>
      </c>
      <c r="F187" s="391">
        <f>D187*E187</f>
        <v>0</v>
      </c>
      <c r="G187" s="563"/>
      <c r="H187" s="1710"/>
    </row>
    <row r="188" spans="1:51" ht="30" customHeight="1" thickBot="1" x14ac:dyDescent="0.25">
      <c r="A188" s="1954" t="str">
        <f>F!A270</f>
        <v>F56</v>
      </c>
      <c r="B188" s="1709" t="str">
        <f>F!B270</f>
        <v>Type of Cover in Buffer</v>
      </c>
      <c r="C188" s="231" t="str">
        <f>F!C270</f>
        <v>Within 100 ft upslope of the wetland-upland edge closest to the AA, the upland land cover that is NOT unmanaged vegetation or water is mostly (mark ONE):</v>
      </c>
      <c r="D188" s="422"/>
      <c r="E188" s="392"/>
      <c r="F188" s="410"/>
      <c r="G188" s="550">
        <f>IF((BuffAllNat=1),"", MAX(F189:F190)/MAX(E189:E190))</f>
        <v>0</v>
      </c>
      <c r="H188" s="1709" t="s">
        <v>5393</v>
      </c>
      <c r="I188" s="4" t="s">
        <v>407</v>
      </c>
    </row>
    <row r="189" spans="1:51" ht="15" customHeight="1" x14ac:dyDescent="0.2">
      <c r="A189" s="1955"/>
      <c r="B189" s="1710"/>
      <c r="C189" s="21" t="str">
        <f>F!C271</f>
        <v>impervious surface, e.g., paved road, parking lot, building, exposed rock.</v>
      </c>
      <c r="D189" s="280">
        <f>F!D271</f>
        <v>0</v>
      </c>
      <c r="E189" s="48">
        <v>0</v>
      </c>
      <c r="F189" s="388">
        <f>D189*E189</f>
        <v>0</v>
      </c>
      <c r="G189" s="551"/>
      <c r="H189" s="1710"/>
    </row>
    <row r="190" spans="1:51" ht="27.6" customHeight="1" thickBot="1" x14ac:dyDescent="0.25">
      <c r="A190" s="1956"/>
      <c r="B190" s="1711"/>
      <c r="C190" s="214" t="str">
        <f>F!C272</f>
        <v>bare or nearly bare pervious surface or managed vegetation, e.g., lawn, mostly-unvegetated clearcut, landslide, unpaved road, dike.</v>
      </c>
      <c r="D190" s="213">
        <f>F!D272</f>
        <v>0</v>
      </c>
      <c r="E190" s="255">
        <v>1</v>
      </c>
      <c r="F190" s="389">
        <f>D190*E190</f>
        <v>0</v>
      </c>
      <c r="G190" s="553"/>
      <c r="H190" s="1711"/>
    </row>
    <row r="191" spans="1:51" ht="60" customHeight="1" thickBot="1" x14ac:dyDescent="0.25">
      <c r="A191" s="1952" t="str">
        <f>F!A300</f>
        <v>F63</v>
      </c>
      <c r="B191" s="1710" t="str">
        <f>F!B300</f>
        <v>Core Area 1</v>
      </c>
      <c r="C191" s="385"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91" s="422"/>
      <c r="E191" s="418"/>
      <c r="F191" s="409"/>
      <c r="G191" s="556">
        <f>MAX(F192:F197)/MAX(E192:E197)</f>
        <v>0</v>
      </c>
      <c r="H191" s="1710" t="s">
        <v>112</v>
      </c>
      <c r="I191" s="4" t="s">
        <v>404</v>
      </c>
    </row>
    <row r="192" spans="1:51" ht="15" customHeight="1" x14ac:dyDescent="0.2">
      <c r="A192" s="1952"/>
      <c r="B192" s="1710"/>
      <c r="C192" s="21" t="str">
        <f>F!C301</f>
        <v>&lt;5% and no inhabited building is within 300 ft of the AA</v>
      </c>
      <c r="D192" s="280">
        <f>F!D301</f>
        <v>0</v>
      </c>
      <c r="E192" s="412">
        <v>1</v>
      </c>
      <c r="F192" s="388">
        <f t="shared" ref="F192:F197" si="8">D192*E192</f>
        <v>0</v>
      </c>
      <c r="G192" s="551"/>
      <c r="H192" s="1710"/>
    </row>
    <row r="193" spans="1:9" ht="15" customHeight="1" x14ac:dyDescent="0.2">
      <c r="A193" s="1952"/>
      <c r="B193" s="1710"/>
      <c r="C193" s="6" t="str">
        <f>F!C302</f>
        <v>&lt;5% and inhabited building is within 300 ft of the AA</v>
      </c>
      <c r="D193" s="46">
        <f>F!D302</f>
        <v>0</v>
      </c>
      <c r="E193" s="412">
        <v>0</v>
      </c>
      <c r="F193" s="388">
        <f t="shared" si="8"/>
        <v>0</v>
      </c>
      <c r="G193" s="552"/>
      <c r="H193" s="1710"/>
    </row>
    <row r="194" spans="1:9" ht="15" customHeight="1" x14ac:dyDescent="0.2">
      <c r="A194" s="1952"/>
      <c r="B194" s="1710"/>
      <c r="C194" s="6" t="str">
        <f>F!C303</f>
        <v>5-50% and no inhabited building is within 300 ft of the AA</v>
      </c>
      <c r="D194" s="46">
        <f>F!D303</f>
        <v>0</v>
      </c>
      <c r="E194" s="412">
        <v>3</v>
      </c>
      <c r="F194" s="388">
        <f t="shared" si="8"/>
        <v>0</v>
      </c>
      <c r="G194" s="552"/>
      <c r="H194" s="1710"/>
    </row>
    <row r="195" spans="1:9" ht="15" customHeight="1" x14ac:dyDescent="0.2">
      <c r="A195" s="1952"/>
      <c r="B195" s="1710"/>
      <c r="C195" s="6" t="str">
        <f>F!C304</f>
        <v>5-50% and inhabited building is within 300 ft of the AA</v>
      </c>
      <c r="D195" s="46">
        <f>F!D304</f>
        <v>0</v>
      </c>
      <c r="E195" s="412">
        <v>2</v>
      </c>
      <c r="F195" s="388">
        <f t="shared" si="8"/>
        <v>0</v>
      </c>
      <c r="G195" s="552"/>
      <c r="H195" s="1710"/>
    </row>
    <row r="196" spans="1:9" ht="15" customHeight="1" x14ac:dyDescent="0.2">
      <c r="A196" s="1952"/>
      <c r="B196" s="1710"/>
      <c r="C196" s="6" t="str">
        <f>F!C305</f>
        <v>50-95%</v>
      </c>
      <c r="D196" s="46">
        <f>F!D305</f>
        <v>0</v>
      </c>
      <c r="E196" s="412">
        <v>4</v>
      </c>
      <c r="F196" s="388">
        <f t="shared" si="8"/>
        <v>0</v>
      </c>
      <c r="G196" s="552"/>
      <c r="H196" s="1710"/>
    </row>
    <row r="197" spans="1:9" ht="15.6" customHeight="1" thickBot="1" x14ac:dyDescent="0.25">
      <c r="A197" s="1952"/>
      <c r="B197" s="1710"/>
      <c r="C197" s="470" t="str">
        <f>F!C306</f>
        <v>&gt;95% of the AA</v>
      </c>
      <c r="D197" s="20">
        <f>F!D306</f>
        <v>0</v>
      </c>
      <c r="E197" s="414">
        <v>5</v>
      </c>
      <c r="F197" s="391">
        <f t="shared" si="8"/>
        <v>0</v>
      </c>
      <c r="G197" s="563"/>
      <c r="H197" s="1710"/>
    </row>
    <row r="198" spans="1:9" ht="60" customHeight="1" thickBot="1" x14ac:dyDescent="0.25">
      <c r="A198" s="1954" t="str">
        <f>F!A307</f>
        <v>F64</v>
      </c>
      <c r="B198" s="1709" t="str">
        <f>F!B307</f>
        <v>Core Area 2</v>
      </c>
      <c r="C198" s="231"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198" s="422"/>
      <c r="E198" s="549"/>
      <c r="F198" s="410"/>
      <c r="G198" s="550">
        <f>MAX(F199:F202)/MAX(E199:E202)</f>
        <v>0</v>
      </c>
      <c r="H198" s="1709" t="s">
        <v>287</v>
      </c>
      <c r="I198" s="4" t="s">
        <v>405</v>
      </c>
    </row>
    <row r="199" spans="1:9" ht="15" customHeight="1" x14ac:dyDescent="0.2">
      <c r="A199" s="1955"/>
      <c r="B199" s="1710"/>
      <c r="C199" s="21" t="str">
        <f>F!C308</f>
        <v>&lt;5%.  If F63 was answered "&gt;95%", SKIP to F67.</v>
      </c>
      <c r="D199" s="280">
        <f>F!D308</f>
        <v>0</v>
      </c>
      <c r="E199" s="412">
        <v>2</v>
      </c>
      <c r="F199" s="388">
        <f>D199*E199</f>
        <v>0</v>
      </c>
      <c r="G199" s="551"/>
      <c r="H199" s="1710"/>
    </row>
    <row r="200" spans="1:9" ht="15" customHeight="1" x14ac:dyDescent="0.2">
      <c r="A200" s="1955"/>
      <c r="B200" s="1710"/>
      <c r="C200" s="6" t="str">
        <f>F!C309</f>
        <v>5-50%</v>
      </c>
      <c r="D200" s="46">
        <f>F!D309</f>
        <v>0</v>
      </c>
      <c r="E200" s="412">
        <v>1</v>
      </c>
      <c r="F200" s="388">
        <f>D200*E200</f>
        <v>0</v>
      </c>
      <c r="G200" s="552"/>
      <c r="H200" s="1710"/>
    </row>
    <row r="201" spans="1:9" ht="15" customHeight="1" x14ac:dyDescent="0.2">
      <c r="A201" s="1955"/>
      <c r="B201" s="1710"/>
      <c r="C201" s="6" t="str">
        <f>F!C310</f>
        <v>50-95%</v>
      </c>
      <c r="D201" s="46">
        <f>F!D310</f>
        <v>0</v>
      </c>
      <c r="E201" s="412">
        <v>0</v>
      </c>
      <c r="F201" s="388">
        <f>D201*E201</f>
        <v>0</v>
      </c>
      <c r="G201" s="552"/>
      <c r="H201" s="1710"/>
    </row>
    <row r="202" spans="1:9" ht="15.6" customHeight="1" thickBot="1" x14ac:dyDescent="0.25">
      <c r="A202" s="1956"/>
      <c r="B202" s="1711"/>
      <c r="C202" s="214" t="str">
        <f>F!C311</f>
        <v>&gt;95% of the AA</v>
      </c>
      <c r="D202" s="213">
        <f>F!D311</f>
        <v>0</v>
      </c>
      <c r="E202" s="416">
        <v>0</v>
      </c>
      <c r="F202" s="389">
        <f>D202*E202</f>
        <v>0</v>
      </c>
      <c r="G202" s="553"/>
      <c r="H202" s="1711"/>
    </row>
    <row r="203" spans="1:9" ht="52.5" customHeight="1" thickBot="1" x14ac:dyDescent="0.25">
      <c r="A203" s="9" t="str">
        <f>F!A313</f>
        <v>F66</v>
      </c>
      <c r="B203" s="611" t="str">
        <f>F!B313</f>
        <v>BMP - Wildlife Protection</v>
      </c>
      <c r="C203" s="21" t="str">
        <f>F!C313</f>
        <v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v>
      </c>
      <c r="D203" s="280">
        <f>F!D313</f>
        <v>0</v>
      </c>
      <c r="E203" s="418"/>
      <c r="F203" s="387"/>
      <c r="G203" s="556">
        <f>IF((D197+D199&gt;1),"",D203)</f>
        <v>0</v>
      </c>
      <c r="H203" s="121" t="s">
        <v>2227</v>
      </c>
      <c r="I203" s="4" t="s">
        <v>2075</v>
      </c>
    </row>
    <row r="204" spans="1:9" ht="30" customHeight="1" thickBot="1" x14ac:dyDescent="0.25">
      <c r="A204" s="483" t="s">
        <v>290</v>
      </c>
      <c r="B204" s="488" t="s">
        <v>5449</v>
      </c>
      <c r="C204" s="475" t="s">
        <v>2606</v>
      </c>
      <c r="D204" s="474" t="s">
        <v>117</v>
      </c>
      <c r="E204" s="626" t="s">
        <v>5438</v>
      </c>
      <c r="F204" s="627" t="s">
        <v>5439</v>
      </c>
      <c r="G204" s="628" t="s">
        <v>5825</v>
      </c>
      <c r="H204" s="488" t="s">
        <v>919</v>
      </c>
    </row>
    <row r="205" spans="1:9" ht="60" customHeight="1" thickBot="1" x14ac:dyDescent="0.25">
      <c r="A205" s="1868" t="str">
        <f>OF!A39</f>
        <v>OF8</v>
      </c>
      <c r="B205" s="1687" t="str">
        <f>OF!B39</f>
        <v xml:space="preserve">Wetland Local Uniqueness </v>
      </c>
      <c r="C205" s="231"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205" s="422"/>
      <c r="E205" s="549"/>
      <c r="F205" s="851"/>
      <c r="G205" s="572">
        <f>IF(MAX(D206, D207,D209, D210, D211, D212, D213, D214,D215,D216, D218)=2,1, 0)</f>
        <v>0</v>
      </c>
      <c r="H205" s="1687" t="s">
        <v>2516</v>
      </c>
      <c r="I205" s="4" t="s">
        <v>809</v>
      </c>
    </row>
    <row r="206" spans="1:9" ht="15" customHeight="1" x14ac:dyDescent="0.2">
      <c r="A206" s="1869"/>
      <c r="B206" s="1688"/>
      <c r="C206" s="21" t="str">
        <f>OF!C40</f>
        <v>Fresh Water</v>
      </c>
      <c r="D206" s="280">
        <f>OF!D40</f>
        <v>0</v>
      </c>
      <c r="E206" s="412"/>
      <c r="F206" s="388"/>
      <c r="G206" s="551"/>
      <c r="H206" s="1688"/>
    </row>
    <row r="207" spans="1:9" ht="15" customHeight="1" x14ac:dyDescent="0.2">
      <c r="A207" s="1869"/>
      <c r="B207" s="1688"/>
      <c r="C207" s="21" t="str">
        <f>OF!C41</f>
        <v>Wetland</v>
      </c>
      <c r="D207" s="280">
        <f>OF!D41</f>
        <v>0</v>
      </c>
      <c r="E207" s="412"/>
      <c r="F207" s="388"/>
      <c r="G207" s="552"/>
      <c r="H207" s="1688"/>
    </row>
    <row r="208" spans="1:9" ht="15" customHeight="1" x14ac:dyDescent="0.2">
      <c r="A208" s="1869"/>
      <c r="B208" s="1688"/>
      <c r="C208" s="21" t="str">
        <f>OF!C42</f>
        <v>Muskeg</v>
      </c>
      <c r="D208" s="280">
        <f>OF!D42</f>
        <v>0</v>
      </c>
      <c r="E208" s="412"/>
      <c r="F208" s="388"/>
      <c r="G208" s="552"/>
      <c r="H208" s="1688"/>
    </row>
    <row r="209" spans="1:9" ht="15" customHeight="1" x14ac:dyDescent="0.2">
      <c r="A209" s="1869"/>
      <c r="B209" s="1688"/>
      <c r="C209" s="21" t="str">
        <f>OF!C43</f>
        <v>Herbaceous</v>
      </c>
      <c r="D209" s="280">
        <f>OF!D43</f>
        <v>0</v>
      </c>
      <c r="E209" s="412"/>
      <c r="F209" s="388"/>
      <c r="G209" s="552"/>
      <c r="H209" s="1688"/>
    </row>
    <row r="210" spans="1:9" ht="15" customHeight="1" x14ac:dyDescent="0.2">
      <c r="A210" s="1869"/>
      <c r="B210" s="1688"/>
      <c r="C210" s="21" t="str">
        <f>OF!C44</f>
        <v>Shrubland (Low)</v>
      </c>
      <c r="D210" s="280">
        <f>OF!D44</f>
        <v>0</v>
      </c>
      <c r="E210" s="412"/>
      <c r="F210" s="388"/>
      <c r="G210" s="552"/>
      <c r="H210" s="1688"/>
    </row>
    <row r="211" spans="1:9" ht="15" customHeight="1" x14ac:dyDescent="0.2">
      <c r="A211" s="1869"/>
      <c r="B211" s="1688"/>
      <c r="C211" s="21" t="str">
        <f>OF!C45</f>
        <v>Shrubland (Tall)</v>
      </c>
      <c r="D211" s="280">
        <f>OF!D45</f>
        <v>0</v>
      </c>
      <c r="E211" s="412"/>
      <c r="F211" s="388"/>
      <c r="G211" s="552"/>
      <c r="H211" s="1688"/>
    </row>
    <row r="212" spans="1:9" ht="15" customHeight="1" x14ac:dyDescent="0.2">
      <c r="A212" s="1869"/>
      <c r="B212" s="1688"/>
      <c r="C212" s="21" t="str">
        <f>OF!C46</f>
        <v>Deciduous/Mixed Forest</v>
      </c>
      <c r="D212" s="280">
        <f>OF!D46</f>
        <v>0</v>
      </c>
      <c r="E212" s="412"/>
      <c r="F212" s="388"/>
      <c r="G212" s="552"/>
      <c r="H212" s="1688"/>
    </row>
    <row r="213" spans="1:9" ht="15" customHeight="1" x14ac:dyDescent="0.2">
      <c r="A213" s="1869"/>
      <c r="B213" s="1688"/>
      <c r="C213" s="21" t="str">
        <f>OF!C47</f>
        <v>Conifer Forest - Young or Small</v>
      </c>
      <c r="D213" s="280">
        <f>OF!D47</f>
        <v>0</v>
      </c>
      <c r="E213" s="412"/>
      <c r="F213" s="388"/>
      <c r="G213" s="552"/>
      <c r="H213" s="1688"/>
    </row>
    <row r="214" spans="1:9" ht="15" customHeight="1" x14ac:dyDescent="0.2">
      <c r="A214" s="1869"/>
      <c r="B214" s="1688"/>
      <c r="C214" s="21" t="str">
        <f>OF!C48</f>
        <v>Conifer Forest - Medium</v>
      </c>
      <c r="D214" s="280">
        <f>OF!D48</f>
        <v>0</v>
      </c>
      <c r="E214" s="412"/>
      <c r="F214" s="388"/>
      <c r="G214" s="552"/>
      <c r="H214" s="1688"/>
    </row>
    <row r="215" spans="1:9" ht="15" customHeight="1" x14ac:dyDescent="0.2">
      <c r="A215" s="1869"/>
      <c r="B215" s="1688"/>
      <c r="C215" s="21" t="str">
        <f>OF!C49</f>
        <v>Conifer Forest - Large</v>
      </c>
      <c r="D215" s="280">
        <f>OF!D49</f>
        <v>0</v>
      </c>
      <c r="E215" s="412"/>
      <c r="F215" s="388"/>
      <c r="G215" s="552"/>
      <c r="H215" s="1688"/>
    </row>
    <row r="216" spans="1:9" ht="15" customHeight="1" x14ac:dyDescent="0.2">
      <c r="A216" s="1869"/>
      <c r="B216" s="1688"/>
      <c r="C216" s="21" t="str">
        <f>OF!C50</f>
        <v>Wetland Shrub Forest</v>
      </c>
      <c r="D216" s="280">
        <f>OF!D50</f>
        <v>0</v>
      </c>
      <c r="E216" s="412"/>
      <c r="F216" s="388"/>
      <c r="G216" s="552"/>
      <c r="H216" s="1688"/>
    </row>
    <row r="217" spans="1:9" ht="15" customHeight="1" x14ac:dyDescent="0.2">
      <c r="A217" s="1869"/>
      <c r="B217" s="1688"/>
      <c r="C217" s="21" t="str">
        <f>OF!C51</f>
        <v>other</v>
      </c>
      <c r="D217" s="280">
        <f>OF!D51</f>
        <v>0</v>
      </c>
      <c r="E217" s="412"/>
      <c r="F217" s="388"/>
      <c r="G217" s="552"/>
      <c r="H217" s="1688"/>
    </row>
    <row r="218" spans="1:9" ht="42" customHeight="1" x14ac:dyDescent="0.2">
      <c r="A218" s="1869"/>
      <c r="B218" s="1688"/>
      <c r="C218" s="21" t="str">
        <f>OF!C52</f>
        <v>no Level 3 cover type maps available for this area, but from aerial imagery it appears that the AA contains a cover type (list above) that is absent from 90% of the landscape outside of the AA and within 2 miles.  Enter "2" in the next column.</v>
      </c>
      <c r="D218" s="280">
        <f>OF!D52</f>
        <v>0</v>
      </c>
      <c r="E218" s="412"/>
      <c r="F218" s="388"/>
      <c r="G218" s="552"/>
      <c r="H218" s="1688"/>
    </row>
    <row r="219" spans="1:9" ht="42" customHeight="1" thickBot="1" x14ac:dyDescent="0.25">
      <c r="A219" s="1870"/>
      <c r="B219" s="1689"/>
      <c r="C219" s="702" t="str">
        <f>OF!C53</f>
        <v>no Level 3 cover type maps available for this area, but from aerial imagery it appears that the AA does NOT contain a cover type that is absent from 90% of the landscape outside of the AA and within 2 miles.  Enter "1" in the next column.</v>
      </c>
      <c r="D219" s="317">
        <f>OF!D53</f>
        <v>0</v>
      </c>
      <c r="E219" s="416"/>
      <c r="F219" s="389"/>
      <c r="G219" s="553"/>
      <c r="H219" s="1689"/>
    </row>
    <row r="220" spans="1:9" ht="29.25" customHeight="1" thickBot="1" x14ac:dyDescent="0.25">
      <c r="A220" s="1868" t="str">
        <f>OF!A54</f>
        <v>OF9</v>
      </c>
      <c r="B220" s="1687" t="str">
        <f>OF!B54</f>
        <v>Distance to Locally Uncommon Cover Type</v>
      </c>
      <c r="C220" s="231" t="str">
        <f>OF!C54</f>
        <v>If any of the above were marked "2", the distance from the AA edge to the closest one that was so marked is:</v>
      </c>
      <c r="D220" s="422"/>
      <c r="E220" s="549"/>
      <c r="F220" s="392"/>
      <c r="G220" s="548">
        <f>IF((D219=1),"",IF((D226=1),"",MAX(F221:F225)/MAX(E221:E225)))</f>
        <v>0</v>
      </c>
      <c r="H220" s="1687" t="s">
        <v>2517</v>
      </c>
      <c r="I220" s="4" t="s">
        <v>2518</v>
      </c>
    </row>
    <row r="221" spans="1:9" ht="15" customHeight="1" x14ac:dyDescent="0.2">
      <c r="A221" s="1869"/>
      <c r="B221" s="1688"/>
      <c r="C221" s="21" t="str">
        <f>OF!C55</f>
        <v>&lt;150 ft</v>
      </c>
      <c r="D221" s="280">
        <f>OF!D55</f>
        <v>0</v>
      </c>
      <c r="E221" s="412">
        <v>6</v>
      </c>
      <c r="F221" s="388">
        <f>D221*E221</f>
        <v>0</v>
      </c>
      <c r="G221" s="552"/>
      <c r="H221" s="1688"/>
    </row>
    <row r="222" spans="1:9" ht="15" customHeight="1" x14ac:dyDescent="0.2">
      <c r="A222" s="1869"/>
      <c r="B222" s="1688"/>
      <c r="C222" s="6" t="str">
        <f>OF!C56</f>
        <v>150 - 500 ft</v>
      </c>
      <c r="D222" s="46">
        <f>OF!D56</f>
        <v>0</v>
      </c>
      <c r="E222" s="414">
        <v>4</v>
      </c>
      <c r="F222" s="388">
        <f>D222*E222</f>
        <v>0</v>
      </c>
      <c r="G222" s="563"/>
      <c r="H222" s="1688"/>
    </row>
    <row r="223" spans="1:9" ht="15" customHeight="1" x14ac:dyDescent="0.2">
      <c r="A223" s="1869"/>
      <c r="B223" s="1688"/>
      <c r="C223" s="6" t="str">
        <f>OF!C57</f>
        <v>500 - 1000 ft</v>
      </c>
      <c r="D223" s="46">
        <f>OF!D57</f>
        <v>0</v>
      </c>
      <c r="E223" s="414">
        <v>2</v>
      </c>
      <c r="F223" s="388">
        <f>D223*E223</f>
        <v>0</v>
      </c>
      <c r="G223" s="563"/>
      <c r="H223" s="1688"/>
    </row>
    <row r="224" spans="1:9" ht="15" customHeight="1" x14ac:dyDescent="0.2">
      <c r="A224" s="1869"/>
      <c r="B224" s="1688"/>
      <c r="C224" s="6" t="str">
        <f>OF!C58</f>
        <v>1000 ft - 1 mile</v>
      </c>
      <c r="D224" s="46">
        <f>OF!D58</f>
        <v>0</v>
      </c>
      <c r="E224" s="414">
        <v>1</v>
      </c>
      <c r="F224" s="388">
        <f>D224*E224</f>
        <v>0</v>
      </c>
      <c r="G224" s="563"/>
      <c r="H224" s="1688"/>
    </row>
    <row r="225" spans="1:9" ht="15" customHeight="1" x14ac:dyDescent="0.2">
      <c r="A225" s="1869"/>
      <c r="B225" s="1688"/>
      <c r="C225" s="6" t="str">
        <f>OF!C59</f>
        <v>1-2 miles</v>
      </c>
      <c r="D225" s="46">
        <f>OF!D59</f>
        <v>0</v>
      </c>
      <c r="E225" s="414">
        <v>0</v>
      </c>
      <c r="F225" s="388">
        <f>D225*E225</f>
        <v>0</v>
      </c>
      <c r="G225" s="563"/>
      <c r="H225" s="1688"/>
    </row>
    <row r="226" spans="1:9" ht="15.6" customHeight="1" thickBot="1" x14ac:dyDescent="0.25">
      <c r="A226" s="1870"/>
      <c r="B226" s="1689"/>
      <c r="C226" s="214" t="str">
        <f>OF!C60</f>
        <v>none of the above land cover classes were marked "2"</v>
      </c>
      <c r="D226" s="213">
        <f>OF!D60</f>
        <v>0</v>
      </c>
      <c r="E226" s="416"/>
      <c r="F226" s="389"/>
      <c r="G226" s="553"/>
      <c r="H226" s="1689"/>
    </row>
    <row r="227" spans="1:9" ht="43.5" customHeight="1" thickBot="1" x14ac:dyDescent="0.25">
      <c r="A227" s="1907" t="str">
        <f>OF!A61</f>
        <v>OF10</v>
      </c>
      <c r="B227" s="1703" t="str">
        <f>OF!B61</f>
        <v>Ponded Water in Landscape</v>
      </c>
      <c r="C227" s="111" t="str">
        <f>OF!C61</f>
        <v>Draw a circle of radius of 2 miles centered on the AA.  Including water ponded in the AA itself or in a fringing non-marine water body, the amount of water that is ponded (standing) during most of the year is:</v>
      </c>
      <c r="D227" s="852"/>
      <c r="E227" s="412"/>
      <c r="F227" s="388"/>
      <c r="G227" s="572">
        <f>MAX(F228:F233)/MAX(E228:E233)</f>
        <v>0</v>
      </c>
      <c r="H227" s="1687" t="s">
        <v>2568</v>
      </c>
      <c r="I227" s="4" t="s">
        <v>2569</v>
      </c>
    </row>
    <row r="228" spans="1:9" ht="15" customHeight="1" x14ac:dyDescent="0.2">
      <c r="A228" s="1845"/>
      <c r="B228" s="1688"/>
      <c r="C228" s="384">
        <f>OF!C62</f>
        <v>0</v>
      </c>
      <c r="D228" s="46">
        <f>OF!D62</f>
        <v>0</v>
      </c>
      <c r="E228" s="412">
        <v>6</v>
      </c>
      <c r="F228" s="388">
        <f t="shared" ref="F228:F233" si="9">D228*E228</f>
        <v>0</v>
      </c>
      <c r="G228" s="552"/>
      <c r="H228" s="1688"/>
    </row>
    <row r="229" spans="1:9" ht="15" customHeight="1" x14ac:dyDescent="0.2">
      <c r="A229" s="1845"/>
      <c r="B229" s="1688"/>
      <c r="C229" s="842" t="str">
        <f>OF!C63</f>
        <v>1 or 2</v>
      </c>
      <c r="D229" s="46">
        <f>OF!D63</f>
        <v>0</v>
      </c>
      <c r="E229" s="412">
        <v>4</v>
      </c>
      <c r="F229" s="388">
        <f t="shared" si="9"/>
        <v>0</v>
      </c>
      <c r="G229" s="552"/>
      <c r="H229" s="1688"/>
    </row>
    <row r="230" spans="1:9" ht="15" customHeight="1" x14ac:dyDescent="0.2">
      <c r="A230" s="1845"/>
      <c r="B230" s="1688"/>
      <c r="C230" s="487" t="str">
        <f>OF!C64</f>
        <v>3 to 6</v>
      </c>
      <c r="D230" s="46">
        <f>OF!D64</f>
        <v>0</v>
      </c>
      <c r="E230" s="412">
        <v>3</v>
      </c>
      <c r="F230" s="388">
        <f t="shared" si="9"/>
        <v>0</v>
      </c>
      <c r="G230" s="552"/>
      <c r="H230" s="1688"/>
    </row>
    <row r="231" spans="1:9" ht="15" customHeight="1" x14ac:dyDescent="0.2">
      <c r="A231" s="1845"/>
      <c r="B231" s="1688"/>
      <c r="C231" s="487" t="str">
        <f>OF!C65</f>
        <v>7 to 9</v>
      </c>
      <c r="D231" s="46">
        <f>OF!D65</f>
        <v>0</v>
      </c>
      <c r="E231" s="412">
        <v>2</v>
      </c>
      <c r="F231" s="388">
        <f t="shared" si="9"/>
        <v>0</v>
      </c>
      <c r="G231" s="552"/>
      <c r="H231" s="1688"/>
    </row>
    <row r="232" spans="1:9" ht="15" customHeight="1" x14ac:dyDescent="0.2">
      <c r="A232" s="1845"/>
      <c r="B232" s="1688"/>
      <c r="C232" s="487" t="str">
        <f>OF!C66</f>
        <v>10 to 12</v>
      </c>
      <c r="D232" s="46">
        <f>OF!D66</f>
        <v>0</v>
      </c>
      <c r="E232" s="412">
        <v>1</v>
      </c>
      <c r="F232" s="388">
        <f t="shared" si="9"/>
        <v>0</v>
      </c>
      <c r="G232" s="552"/>
      <c r="H232" s="1688"/>
    </row>
    <row r="233" spans="1:9" ht="15.6" customHeight="1" thickBot="1" x14ac:dyDescent="0.25">
      <c r="A233" s="1845"/>
      <c r="B233" s="1688"/>
      <c r="C233" s="379" t="str">
        <f>OF!C67</f>
        <v>&gt;12</v>
      </c>
      <c r="D233" s="20">
        <f>OF!D67</f>
        <v>0</v>
      </c>
      <c r="E233" s="414">
        <v>0</v>
      </c>
      <c r="F233" s="391">
        <f t="shared" si="9"/>
        <v>0</v>
      </c>
      <c r="G233" s="563"/>
      <c r="H233" s="1689"/>
    </row>
    <row r="234" spans="1:9" ht="75" customHeight="1" thickBot="1" x14ac:dyDescent="0.25">
      <c r="A234" s="217" t="str">
        <f>OF!A151</f>
        <v>OF29</v>
      </c>
      <c r="B234" s="5" t="str">
        <f>OF!B151</f>
        <v>Wetland Class Scarcity in HUC6</v>
      </c>
      <c r="C234" s="205"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234" s="258">
        <f>OF!D151</f>
        <v>0</v>
      </c>
      <c r="E234" s="422"/>
      <c r="F234" s="411"/>
      <c r="G234" s="548">
        <f>IF((D234=""),"",D234)</f>
        <v>0</v>
      </c>
      <c r="H234" s="143" t="s">
        <v>2088</v>
      </c>
      <c r="I234" s="4" t="s">
        <v>2085</v>
      </c>
    </row>
    <row r="235" spans="1:9" ht="21" customHeight="1" thickBot="1" x14ac:dyDescent="0.25">
      <c r="A235" s="1868" t="str">
        <f>OF!A188</f>
        <v>OF39</v>
      </c>
      <c r="B235" s="1687" t="str">
        <f>OF!B188</f>
        <v>Geography</v>
      </c>
      <c r="C235" s="231" t="str">
        <f>OF!C188</f>
        <v>Mark ALL that are true.  The AA is located:</v>
      </c>
      <c r="D235" s="422"/>
      <c r="E235" s="549"/>
      <c r="F235" s="393"/>
      <c r="G235" s="548">
        <f>MAX(F236:F238)</f>
        <v>0</v>
      </c>
      <c r="H235" s="1687" t="s">
        <v>2087</v>
      </c>
      <c r="I235" s="4" t="s">
        <v>1108</v>
      </c>
    </row>
    <row r="236" spans="1:9" ht="15" customHeight="1" x14ac:dyDescent="0.2">
      <c r="A236" s="1869"/>
      <c r="B236" s="1688"/>
      <c r="C236" s="21" t="str">
        <f>OF!C189</f>
        <v>in the Stikine, Alsek, Taiya-Chilkat-Skagway, or Taku deltas or floodplains.</v>
      </c>
      <c r="D236" s="280">
        <f>OF!D189</f>
        <v>0</v>
      </c>
      <c r="E236" s="412">
        <v>0</v>
      </c>
      <c r="F236" s="388">
        <f>D236*E236</f>
        <v>0</v>
      </c>
      <c r="G236" s="853"/>
      <c r="H236" s="1688"/>
    </row>
    <row r="237" spans="1:9" ht="15" customHeight="1" x14ac:dyDescent="0.2">
      <c r="A237" s="1869"/>
      <c r="B237" s="1688"/>
      <c r="C237" s="21" t="str">
        <f>OF!C190</f>
        <v>in another mainland area or on an island larger than 20 square miles.</v>
      </c>
      <c r="D237" s="280">
        <f>OF!D190</f>
        <v>0</v>
      </c>
      <c r="E237" s="412">
        <v>0</v>
      </c>
      <c r="F237" s="388">
        <f>D237*E237</f>
        <v>0</v>
      </c>
      <c r="G237" s="854"/>
      <c r="H237" s="1688"/>
    </row>
    <row r="238" spans="1:9" ht="30" customHeight="1" thickBot="1" x14ac:dyDescent="0.25">
      <c r="A238" s="1870"/>
      <c r="B238" s="1689"/>
      <c r="C238" s="702" t="str">
        <f>OF!C191</f>
        <v>on an island smaller than 20 sq. mi. and separated completely from other lands by a gap wider than 150 feet created by tidal or marine waters.</v>
      </c>
      <c r="D238" s="317">
        <f>OF!D191</f>
        <v>0</v>
      </c>
      <c r="E238" s="416">
        <v>1</v>
      </c>
      <c r="F238" s="389">
        <f>D238*E238</f>
        <v>0</v>
      </c>
      <c r="G238" s="855"/>
      <c r="H238" s="1689"/>
    </row>
    <row r="239" spans="1:9" ht="39" customHeight="1" thickBot="1" x14ac:dyDescent="0.25">
      <c r="A239" s="1877"/>
      <c r="B239" s="844" t="str">
        <f>WBF!C193</f>
        <v>Function Score for Feeding Waterbird Habitat</v>
      </c>
      <c r="C239" s="843"/>
      <c r="D239" s="570"/>
      <c r="E239" s="570"/>
      <c r="F239" s="856"/>
      <c r="G239" s="566">
        <f>WBF!G193/10</f>
        <v>0</v>
      </c>
      <c r="H239" s="1687" t="s">
        <v>920</v>
      </c>
      <c r="I239" s="4" t="s">
        <v>1083</v>
      </c>
    </row>
    <row r="240" spans="1:9" ht="45" customHeight="1" thickBot="1" x14ac:dyDescent="0.25">
      <c r="A240" s="1879"/>
      <c r="B240" s="845" t="str">
        <f>SBM!C250</f>
        <v>Function Score for Songbird, Raptor, &amp; Mammal Habitat</v>
      </c>
      <c r="C240" s="706"/>
      <c r="D240" s="573"/>
      <c r="E240" s="578"/>
      <c r="F240" s="857"/>
      <c r="G240" s="572">
        <f>SBM!G250/10</f>
        <v>1.6666666666666666E-2</v>
      </c>
      <c r="H240" s="1689"/>
      <c r="I240" s="4" t="s">
        <v>1084</v>
      </c>
    </row>
    <row r="241" spans="1:8" ht="21" customHeight="1" thickBot="1" x14ac:dyDescent="0.25">
      <c r="A241" s="1889"/>
      <c r="B241" s="1889"/>
      <c r="C241" s="1889"/>
      <c r="D241" s="2049"/>
      <c r="E241" s="2049"/>
      <c r="F241" s="2049"/>
      <c r="G241" s="2049"/>
      <c r="H241" s="2049"/>
    </row>
    <row r="242" spans="1:8" ht="21" customHeight="1" x14ac:dyDescent="0.2">
      <c r="A242" s="1862"/>
      <c r="B242" s="1862"/>
      <c r="C242" s="1862"/>
      <c r="D242" s="2021" t="s">
        <v>1249</v>
      </c>
      <c r="E242" s="2022"/>
      <c r="F242" s="2022"/>
      <c r="G242" s="790">
        <f>AVERAGE(Fluctu11, SatPct11,PermWpct11, ISOwet11, GroundW11)</f>
        <v>0</v>
      </c>
      <c r="H242" s="228" t="s">
        <v>2039</v>
      </c>
    </row>
    <row r="243" spans="1:8" ht="21" customHeight="1" x14ac:dyDescent="0.2">
      <c r="A243" s="1862"/>
      <c r="B243" s="1862"/>
      <c r="C243" s="1862"/>
      <c r="D243" s="2025" t="s">
        <v>654</v>
      </c>
      <c r="E243" s="2026"/>
      <c r="F243" s="2026"/>
      <c r="G243" s="791">
        <f>IFERROR(IF((AllSat+AllSat1)&gt;0,"", IF((NoPonded=1),"", AVERAGE(ABpct11,WoodAbove11, Interspers11, Vwidth11))),"")</f>
        <v>0</v>
      </c>
      <c r="H243" s="216" t="s">
        <v>2493</v>
      </c>
    </row>
    <row r="244" spans="1:8" ht="21" customHeight="1" x14ac:dyDescent="0.2">
      <c r="A244" s="1862"/>
      <c r="B244" s="1862"/>
      <c r="C244" s="1862"/>
      <c r="D244" s="2025" t="s">
        <v>655</v>
      </c>
      <c r="E244" s="2026"/>
      <c r="F244" s="2026"/>
      <c r="G244" s="791">
        <f>AVERAGE(WoodDown11, ShrubSun11, Gcover11, Girreg11,Inclus11a)</f>
        <v>0</v>
      </c>
      <c r="H244" s="216" t="s">
        <v>2495</v>
      </c>
    </row>
    <row r="245" spans="1:8" ht="21" customHeight="1" x14ac:dyDescent="0.2">
      <c r="A245" s="1862"/>
      <c r="B245" s="1862"/>
      <c r="C245" s="1862"/>
      <c r="D245" s="2025" t="s">
        <v>372</v>
      </c>
      <c r="E245" s="2026"/>
      <c r="F245" s="2026"/>
      <c r="G245" s="791">
        <f>AVERAGE(Wettype11, Aspect11, Gradient11, Karst11,TreeVar11)</f>
        <v>0</v>
      </c>
      <c r="H245" s="216" t="s">
        <v>2601</v>
      </c>
    </row>
    <row r="246" spans="1:8" ht="21" customHeight="1" x14ac:dyDescent="0.2">
      <c r="A246" s="1862"/>
      <c r="B246" s="1862"/>
      <c r="C246" s="1862"/>
      <c r="D246" s="2023" t="s">
        <v>425</v>
      </c>
      <c r="E246" s="2024"/>
      <c r="F246" s="2024"/>
      <c r="G246" s="791">
        <f>AVERAGE(_Ice11, TidalProx11, _GDD11, Elev11)</f>
        <v>0.33333333333333331</v>
      </c>
      <c r="H246" s="216" t="s">
        <v>1906</v>
      </c>
    </row>
    <row r="247" spans="1:8" ht="21" customHeight="1" x14ac:dyDescent="0.2">
      <c r="A247" s="1862"/>
      <c r="B247" s="1862"/>
      <c r="C247" s="1862"/>
      <c r="D247" s="2025" t="s">
        <v>327</v>
      </c>
      <c r="E247" s="2026"/>
      <c r="F247" s="2026"/>
      <c r="G247" s="791">
        <f>AVERAGE(NatVegPct11, BuffLU11, NatVegProx11, NatCov2mi11, ScapeLU11, NatVegSize11,RoadCirc11)</f>
        <v>0</v>
      </c>
      <c r="H247" s="216" t="s">
        <v>2076</v>
      </c>
    </row>
    <row r="248" spans="1:8" ht="21" customHeight="1" x14ac:dyDescent="0.2">
      <c r="A248" s="1862"/>
      <c r="B248" s="1862"/>
      <c r="C248" s="1862"/>
      <c r="D248" s="2023" t="s">
        <v>426</v>
      </c>
      <c r="E248" s="2024"/>
      <c r="F248" s="2024"/>
      <c r="G248" s="791">
        <f>AVERAGE(PondPctScape11, PondProx11)</f>
        <v>0</v>
      </c>
      <c r="H248" s="216" t="s">
        <v>427</v>
      </c>
    </row>
    <row r="249" spans="1:8" ht="21" customHeight="1" thickBot="1" x14ac:dyDescent="0.25">
      <c r="A249" s="1862"/>
      <c r="B249" s="1862"/>
      <c r="C249" s="1862"/>
      <c r="D249" s="2027" t="s">
        <v>2421</v>
      </c>
      <c r="E249" s="2028"/>
      <c r="F249" s="2028"/>
      <c r="G249" s="792">
        <f>AVERAGE(FishAcc11, AVERAGE(RdDis11, Toxic11, Glacier11,Core1_11,Core2_11,_BMP11))</f>
        <v>0</v>
      </c>
      <c r="H249" s="229" t="s">
        <v>2494</v>
      </c>
    </row>
    <row r="250" spans="1:8" ht="21" customHeight="1" thickBot="1" x14ac:dyDescent="0.25">
      <c r="A250" s="1862"/>
      <c r="B250" s="1862"/>
      <c r="C250" s="1862"/>
      <c r="D250" s="2049"/>
      <c r="E250" s="2049"/>
      <c r="F250" s="2049"/>
      <c r="G250" s="2049"/>
      <c r="H250" s="2049"/>
    </row>
    <row r="251" spans="1:8" ht="30" customHeight="1" thickBot="1" x14ac:dyDescent="0.25">
      <c r="A251" s="1862"/>
      <c r="B251" s="1863"/>
      <c r="C251" s="1874" t="s">
        <v>1705</v>
      </c>
      <c r="D251" s="1875"/>
      <c r="E251" s="1876"/>
      <c r="F251" s="546" t="s">
        <v>141</v>
      </c>
      <c r="G251" s="547">
        <f>10*AVERAGE(AmPres11,Wettype11, (AVERAGE(Hydro11,AqStruc11,TerrStruc11,Produc11,Climate11,Lscape11,Waterscape11,Stress11)))</f>
        <v>0.1388888888888889</v>
      </c>
      <c r="H251" s="49" t="s">
        <v>2602</v>
      </c>
    </row>
    <row r="252" spans="1:8" ht="30" customHeight="1" thickBot="1" x14ac:dyDescent="0.25">
      <c r="A252" s="1862"/>
      <c r="B252" s="1863"/>
      <c r="C252" s="1874" t="s">
        <v>571</v>
      </c>
      <c r="D252" s="1875"/>
      <c r="E252" s="1876"/>
      <c r="F252" s="546" t="s">
        <v>142</v>
      </c>
      <c r="G252" s="548">
        <f>10*MAX((AVERAGE(UniqPatch11,DistRareTyp11,Geog11,PondNum11v)),(AVERAGE(WBFscore10,SBMscore10)))</f>
        <v>8.3333333333333329E-2</v>
      </c>
      <c r="H252" s="49" t="s">
        <v>2584</v>
      </c>
    </row>
    <row r="253" spans="1:8" ht="21" customHeight="1" thickBot="1" x14ac:dyDescent="0.25">
      <c r="A253" s="1862"/>
      <c r="B253" s="1862"/>
      <c r="C253" s="1862"/>
      <c r="D253" s="1862"/>
      <c r="E253" s="1862"/>
      <c r="F253" s="1862"/>
      <c r="G253" s="1862"/>
    </row>
    <row r="254" spans="1:8" ht="21" customHeight="1" thickBot="1" x14ac:dyDescent="0.25">
      <c r="A254" s="1862"/>
      <c r="B254" s="1862"/>
      <c r="C254" s="1862"/>
      <c r="D254" s="1862"/>
      <c r="E254" s="1862"/>
      <c r="F254" s="1862"/>
      <c r="G254" s="1862"/>
      <c r="H254" s="80" t="s">
        <v>1345</v>
      </c>
    </row>
    <row r="255" spans="1:8" ht="42" customHeight="1" x14ac:dyDescent="0.2">
      <c r="A255" s="1862"/>
      <c r="B255" s="1862"/>
      <c r="C255" s="1862"/>
      <c r="D255" s="1862"/>
      <c r="E255" s="1862"/>
      <c r="F255" s="1862"/>
      <c r="G255" s="1862"/>
      <c r="H255" s="145" t="s">
        <v>1613</v>
      </c>
    </row>
    <row r="256" spans="1:8" ht="42" customHeight="1" x14ac:dyDescent="0.2">
      <c r="A256" s="1862"/>
      <c r="B256" s="1862"/>
      <c r="C256" s="1862"/>
      <c r="D256" s="1862"/>
      <c r="E256" s="1862"/>
      <c r="F256" s="1862"/>
      <c r="G256" s="1862"/>
      <c r="H256" s="116" t="s">
        <v>1413</v>
      </c>
    </row>
    <row r="257" spans="1:8" ht="42" customHeight="1" x14ac:dyDescent="0.2">
      <c r="A257" s="1862"/>
      <c r="B257" s="1862"/>
      <c r="C257" s="1862"/>
      <c r="D257" s="1862"/>
      <c r="E257" s="1862"/>
      <c r="F257" s="1862"/>
      <c r="G257" s="1862"/>
      <c r="H257" s="116" t="s">
        <v>1419</v>
      </c>
    </row>
    <row r="258" spans="1:8" ht="27" customHeight="1" x14ac:dyDescent="0.2">
      <c r="A258" s="1862"/>
      <c r="B258" s="1862"/>
      <c r="C258" s="1862"/>
      <c r="D258" s="1862"/>
      <c r="E258" s="1862"/>
      <c r="F258" s="1862"/>
      <c r="G258" s="1862"/>
      <c r="H258" s="116" t="s">
        <v>1614</v>
      </c>
    </row>
    <row r="259" spans="1:8" ht="27" customHeight="1" x14ac:dyDescent="0.2">
      <c r="A259" s="1862"/>
      <c r="B259" s="1862"/>
      <c r="C259" s="1862"/>
      <c r="D259" s="1862"/>
      <c r="E259" s="1862"/>
      <c r="F259" s="1862"/>
      <c r="G259" s="1862"/>
      <c r="H259" s="116" t="s">
        <v>1615</v>
      </c>
    </row>
    <row r="260" spans="1:8" ht="27" customHeight="1" x14ac:dyDescent="0.2">
      <c r="A260" s="1862"/>
      <c r="B260" s="1862"/>
      <c r="C260" s="1862"/>
      <c r="D260" s="1862"/>
      <c r="E260" s="1862"/>
      <c r="F260" s="1862"/>
      <c r="G260" s="1862"/>
      <c r="H260" s="116" t="s">
        <v>1616</v>
      </c>
    </row>
    <row r="261" spans="1:8" ht="27" customHeight="1" x14ac:dyDescent="0.2">
      <c r="A261" s="1862"/>
      <c r="B261" s="1862"/>
      <c r="C261" s="1862"/>
      <c r="D261" s="1862"/>
      <c r="E261" s="1862"/>
      <c r="F261" s="1862"/>
      <c r="G261" s="1862"/>
      <c r="H261" s="116" t="s">
        <v>1617</v>
      </c>
    </row>
    <row r="262" spans="1:8" ht="27" customHeight="1" x14ac:dyDescent="0.2">
      <c r="A262" s="1862"/>
      <c r="B262" s="1862"/>
      <c r="C262" s="1862"/>
      <c r="D262" s="1862"/>
      <c r="E262" s="1862"/>
      <c r="F262" s="1862"/>
      <c r="G262" s="1862"/>
      <c r="H262" s="116" t="s">
        <v>1618</v>
      </c>
    </row>
    <row r="263" spans="1:8" ht="42" customHeight="1" x14ac:dyDescent="0.2">
      <c r="A263" s="1862"/>
      <c r="B263" s="1862"/>
      <c r="C263" s="1862"/>
      <c r="D263" s="1862"/>
      <c r="E263" s="1862"/>
      <c r="F263" s="1862"/>
      <c r="G263" s="1862"/>
      <c r="H263" s="116" t="s">
        <v>1619</v>
      </c>
    </row>
    <row r="264" spans="1:8" ht="27" customHeight="1" x14ac:dyDescent="0.2">
      <c r="A264" s="1862"/>
      <c r="B264" s="1862"/>
      <c r="C264" s="1862"/>
      <c r="D264" s="1862"/>
      <c r="E264" s="1862"/>
      <c r="F264" s="1862"/>
      <c r="G264" s="1862"/>
      <c r="H264" s="116" t="s">
        <v>1620</v>
      </c>
    </row>
    <row r="265" spans="1:8" ht="57" customHeight="1" x14ac:dyDescent="0.2">
      <c r="A265" s="1862"/>
      <c r="B265" s="1862"/>
      <c r="C265" s="1862"/>
      <c r="D265" s="1862"/>
      <c r="E265" s="1862"/>
      <c r="F265" s="1862"/>
      <c r="G265" s="1862"/>
      <c r="H265" s="116" t="s">
        <v>1488</v>
      </c>
    </row>
    <row r="266" spans="1:8" ht="27" customHeight="1" x14ac:dyDescent="0.2">
      <c r="A266" s="1862"/>
      <c r="B266" s="1862"/>
      <c r="C266" s="1862"/>
      <c r="D266" s="1862"/>
      <c r="E266" s="1862"/>
      <c r="F266" s="1862"/>
      <c r="G266" s="1862"/>
      <c r="H266" s="116" t="s">
        <v>1621</v>
      </c>
    </row>
    <row r="267" spans="1:8" ht="27" customHeight="1" x14ac:dyDescent="0.2">
      <c r="A267" s="1862"/>
      <c r="B267" s="1862"/>
      <c r="C267" s="1862"/>
      <c r="D267" s="1862"/>
      <c r="E267" s="1862"/>
      <c r="F267" s="1862"/>
      <c r="G267" s="1862"/>
      <c r="H267" s="116" t="s">
        <v>5467</v>
      </c>
    </row>
    <row r="268" spans="1:8" ht="42" customHeight="1" x14ac:dyDescent="0.2">
      <c r="A268" s="1862"/>
      <c r="B268" s="1862"/>
      <c r="C268" s="1862"/>
      <c r="D268" s="1862"/>
      <c r="E268" s="1862"/>
      <c r="F268" s="1862"/>
      <c r="G268" s="1862"/>
      <c r="H268" s="116" t="s">
        <v>1622</v>
      </c>
    </row>
    <row r="269" spans="1:8" ht="27" customHeight="1" x14ac:dyDescent="0.2">
      <c r="A269" s="1862"/>
      <c r="B269" s="1862"/>
      <c r="C269" s="1862"/>
      <c r="D269" s="1862"/>
      <c r="E269" s="1862"/>
      <c r="F269" s="1862"/>
      <c r="G269" s="1862"/>
      <c r="H269" s="116" t="s">
        <v>1623</v>
      </c>
    </row>
    <row r="270" spans="1:8" ht="42" customHeight="1" x14ac:dyDescent="0.2">
      <c r="A270" s="1862"/>
      <c r="B270" s="1862"/>
      <c r="C270" s="1862"/>
      <c r="D270" s="1862"/>
      <c r="E270" s="1862"/>
      <c r="F270" s="1862"/>
      <c r="G270" s="1862"/>
      <c r="H270" s="116" t="s">
        <v>1624</v>
      </c>
    </row>
    <row r="271" spans="1:8" ht="42" customHeight="1" thickBot="1" x14ac:dyDescent="0.25">
      <c r="A271" s="1862"/>
      <c r="B271" s="1862"/>
      <c r="C271" s="1862"/>
      <c r="D271" s="1862"/>
      <c r="E271" s="1862"/>
      <c r="F271" s="1862"/>
      <c r="G271" s="1862"/>
      <c r="H271" s="142" t="s">
        <v>1857</v>
      </c>
    </row>
    <row r="272" spans="1:8" x14ac:dyDescent="0.2">
      <c r="C272" s="11"/>
      <c r="D272" s="724"/>
      <c r="E272" s="724"/>
      <c r="F272" s="386"/>
      <c r="G272" s="858"/>
    </row>
    <row r="273" spans="3:7" x14ac:dyDescent="0.2">
      <c r="C273" s="11"/>
      <c r="D273" s="724"/>
      <c r="E273" s="724"/>
      <c r="F273" s="386"/>
      <c r="G273" s="858"/>
    </row>
    <row r="274" spans="3:7" x14ac:dyDescent="0.2">
      <c r="C274" s="11"/>
      <c r="D274" s="724"/>
      <c r="E274" s="724"/>
      <c r="F274" s="386"/>
      <c r="G274" s="858"/>
    </row>
    <row r="275" spans="3:7" x14ac:dyDescent="0.2">
      <c r="C275" s="11"/>
      <c r="D275" s="724"/>
      <c r="E275" s="724"/>
      <c r="F275" s="386"/>
      <c r="G275" s="858"/>
    </row>
    <row r="276" spans="3:7" x14ac:dyDescent="0.2">
      <c r="C276" s="11"/>
      <c r="D276" s="724"/>
      <c r="E276" s="724"/>
      <c r="F276" s="386"/>
      <c r="G276" s="858"/>
    </row>
    <row r="277" spans="3:7" x14ac:dyDescent="0.2">
      <c r="C277" s="11"/>
      <c r="D277" s="724"/>
      <c r="E277" s="724"/>
      <c r="F277" s="386"/>
      <c r="G277" s="858"/>
    </row>
    <row r="278" spans="3:7" x14ac:dyDescent="0.2">
      <c r="C278" s="11"/>
      <c r="D278" s="724"/>
      <c r="E278" s="724"/>
      <c r="F278" s="386"/>
      <c r="G278" s="858"/>
    </row>
    <row r="279" spans="3:7" x14ac:dyDescent="0.2">
      <c r="C279" s="11"/>
      <c r="D279" s="724"/>
      <c r="E279" s="724"/>
      <c r="F279" s="386"/>
      <c r="G279" s="858"/>
    </row>
    <row r="280" spans="3:7" x14ac:dyDescent="0.2">
      <c r="C280" s="11"/>
      <c r="D280" s="724"/>
      <c r="E280" s="724"/>
      <c r="F280" s="386"/>
      <c r="G280" s="858"/>
    </row>
    <row r="281" spans="3:7" x14ac:dyDescent="0.2">
      <c r="C281" s="11"/>
      <c r="D281" s="724"/>
      <c r="E281" s="724"/>
      <c r="F281" s="386"/>
      <c r="G281" s="858"/>
    </row>
    <row r="282" spans="3:7" x14ac:dyDescent="0.2">
      <c r="C282" s="11"/>
      <c r="D282" s="724"/>
      <c r="E282" s="724"/>
      <c r="F282" s="386"/>
      <c r="G282" s="858"/>
    </row>
    <row r="283" spans="3:7" x14ac:dyDescent="0.2">
      <c r="C283" s="11"/>
      <c r="D283" s="724"/>
      <c r="E283" s="724"/>
      <c r="F283" s="386"/>
      <c r="G283" s="858"/>
    </row>
    <row r="284" spans="3:7" x14ac:dyDescent="0.2">
      <c r="C284" s="11"/>
      <c r="D284" s="724"/>
      <c r="E284" s="724"/>
      <c r="F284" s="386"/>
      <c r="G284" s="858"/>
    </row>
    <row r="285" spans="3:7" x14ac:dyDescent="0.2">
      <c r="C285" s="11"/>
      <c r="D285" s="724"/>
      <c r="E285" s="724"/>
      <c r="F285" s="386"/>
      <c r="G285" s="858"/>
    </row>
    <row r="286" spans="3:7" x14ac:dyDescent="0.2">
      <c r="C286" s="11"/>
      <c r="D286" s="724"/>
      <c r="E286" s="724"/>
      <c r="F286" s="386"/>
      <c r="G286" s="858"/>
    </row>
    <row r="287" spans="3:7" x14ac:dyDescent="0.2">
      <c r="C287" s="11"/>
      <c r="D287" s="724"/>
      <c r="E287" s="724"/>
    </row>
    <row r="288" spans="3:7" x14ac:dyDescent="0.2">
      <c r="C288" s="11"/>
      <c r="D288" s="724"/>
      <c r="E288" s="724"/>
    </row>
    <row r="289" spans="3:5" x14ac:dyDescent="0.2">
      <c r="C289" s="11"/>
      <c r="D289" s="724"/>
      <c r="E289" s="724"/>
    </row>
    <row r="290" spans="3:5" x14ac:dyDescent="0.2">
      <c r="C290" s="11"/>
      <c r="D290" s="724"/>
      <c r="E290" s="724"/>
    </row>
    <row r="291" spans="3:5" x14ac:dyDescent="0.2">
      <c r="C291" s="11"/>
      <c r="D291" s="724"/>
      <c r="E291" s="724"/>
    </row>
    <row r="292" spans="3:5" x14ac:dyDescent="0.2">
      <c r="C292" s="11"/>
      <c r="D292" s="724"/>
      <c r="E292" s="724"/>
    </row>
    <row r="293" spans="3:5" x14ac:dyDescent="0.2">
      <c r="C293" s="11"/>
      <c r="D293" s="724"/>
      <c r="E293" s="724"/>
    </row>
    <row r="294" spans="3:5" x14ac:dyDescent="0.2">
      <c r="C294" s="11"/>
      <c r="D294" s="724"/>
      <c r="E294" s="724"/>
    </row>
    <row r="295" spans="3:5" x14ac:dyDescent="0.2">
      <c r="C295" s="11"/>
      <c r="D295" s="724"/>
      <c r="E295" s="724"/>
    </row>
    <row r="296" spans="3:5" x14ac:dyDescent="0.2">
      <c r="C296" s="11"/>
      <c r="D296" s="724"/>
      <c r="E296" s="724"/>
    </row>
    <row r="297" spans="3:5" x14ac:dyDescent="0.2">
      <c r="C297" s="11"/>
      <c r="D297" s="724"/>
      <c r="E297" s="724"/>
    </row>
    <row r="298" spans="3:5" x14ac:dyDescent="0.2">
      <c r="C298" s="11"/>
      <c r="D298" s="724"/>
      <c r="E298" s="724"/>
    </row>
    <row r="299" spans="3:5" x14ac:dyDescent="0.2">
      <c r="C299" s="11"/>
      <c r="D299" s="724"/>
      <c r="E299" s="724"/>
    </row>
    <row r="300" spans="3:5" x14ac:dyDescent="0.2">
      <c r="C300" s="11"/>
      <c r="D300" s="724"/>
      <c r="E300" s="724"/>
    </row>
    <row r="301" spans="3:5" x14ac:dyDescent="0.2">
      <c r="C301" s="11"/>
      <c r="D301" s="724"/>
      <c r="E301" s="724"/>
    </row>
    <row r="302" spans="3:5" x14ac:dyDescent="0.2">
      <c r="C302" s="11"/>
      <c r="D302" s="724"/>
      <c r="E302" s="724"/>
    </row>
    <row r="303" spans="3:5" x14ac:dyDescent="0.2">
      <c r="C303" s="11"/>
      <c r="D303" s="724"/>
      <c r="E303" s="724"/>
    </row>
    <row r="304" spans="3:5" x14ac:dyDescent="0.2">
      <c r="C304" s="11"/>
      <c r="D304" s="724"/>
      <c r="E304" s="724"/>
    </row>
    <row r="305" spans="3:5" x14ac:dyDescent="0.2">
      <c r="C305" s="11"/>
      <c r="D305" s="724"/>
      <c r="E305" s="724"/>
    </row>
    <row r="306" spans="3:5" x14ac:dyDescent="0.2">
      <c r="C306" s="11"/>
      <c r="D306" s="724"/>
      <c r="E306" s="724"/>
    </row>
    <row r="307" spans="3:5" x14ac:dyDescent="0.2">
      <c r="C307" s="11"/>
      <c r="D307" s="724"/>
      <c r="E307" s="724"/>
    </row>
    <row r="308" spans="3:5" x14ac:dyDescent="0.2">
      <c r="C308" s="11"/>
      <c r="D308" s="724"/>
      <c r="E308" s="724"/>
    </row>
    <row r="309" spans="3:5" x14ac:dyDescent="0.2">
      <c r="C309" s="11"/>
      <c r="D309" s="724"/>
      <c r="E309" s="724"/>
    </row>
    <row r="310" spans="3:5" x14ac:dyDescent="0.2">
      <c r="C310" s="11"/>
      <c r="D310" s="724"/>
      <c r="E310" s="724"/>
    </row>
    <row r="311" spans="3:5" x14ac:dyDescent="0.2">
      <c r="C311" s="11"/>
      <c r="D311" s="724"/>
      <c r="E311" s="724"/>
    </row>
    <row r="312" spans="3:5" x14ac:dyDescent="0.2">
      <c r="C312" s="11"/>
      <c r="D312" s="724"/>
      <c r="E312" s="724"/>
    </row>
    <row r="313" spans="3:5" x14ac:dyDescent="0.2">
      <c r="C313" s="11"/>
      <c r="D313" s="724"/>
      <c r="E313" s="724"/>
    </row>
    <row r="314" spans="3:5" x14ac:dyDescent="0.2">
      <c r="C314" s="11"/>
      <c r="D314" s="724"/>
      <c r="E314" s="724"/>
    </row>
    <row r="315" spans="3:5" x14ac:dyDescent="0.2">
      <c r="C315" s="11"/>
      <c r="D315" s="724"/>
      <c r="E315" s="724"/>
    </row>
    <row r="316" spans="3:5" x14ac:dyDescent="0.2">
      <c r="C316" s="11"/>
      <c r="D316" s="724"/>
      <c r="E316" s="724"/>
    </row>
    <row r="317" spans="3:5" x14ac:dyDescent="0.2">
      <c r="C317" s="11"/>
      <c r="D317" s="724"/>
      <c r="E317" s="724"/>
    </row>
    <row r="318" spans="3:5" x14ac:dyDescent="0.2">
      <c r="C318" s="11"/>
      <c r="D318" s="724"/>
      <c r="E318" s="724"/>
    </row>
    <row r="319" spans="3:5" x14ac:dyDescent="0.2">
      <c r="C319" s="11"/>
      <c r="D319" s="724"/>
      <c r="E319" s="724"/>
    </row>
    <row r="320" spans="3:5" x14ac:dyDescent="0.2">
      <c r="C320" s="11"/>
      <c r="D320" s="724"/>
      <c r="E320" s="724"/>
    </row>
    <row r="321" spans="3:5" x14ac:dyDescent="0.2">
      <c r="C321" s="11"/>
      <c r="D321" s="724"/>
      <c r="E321" s="724"/>
    </row>
    <row r="322" spans="3:5" x14ac:dyDescent="0.2">
      <c r="C322" s="11"/>
      <c r="D322" s="724"/>
      <c r="E322" s="724"/>
    </row>
    <row r="323" spans="3:5" x14ac:dyDescent="0.2">
      <c r="C323" s="11"/>
      <c r="D323" s="724"/>
      <c r="E323" s="724"/>
    </row>
    <row r="324" spans="3:5" x14ac:dyDescent="0.2">
      <c r="C324" s="11"/>
      <c r="D324" s="724"/>
      <c r="E324" s="724"/>
    </row>
    <row r="325" spans="3:5" x14ac:dyDescent="0.2">
      <c r="C325" s="11"/>
      <c r="D325" s="724"/>
      <c r="E325" s="724"/>
    </row>
    <row r="326" spans="3:5" x14ac:dyDescent="0.2">
      <c r="C326" s="11"/>
      <c r="D326" s="724"/>
      <c r="E326" s="724"/>
    </row>
    <row r="327" spans="3:5" x14ac:dyDescent="0.2">
      <c r="C327" s="11"/>
      <c r="D327" s="724"/>
      <c r="E327" s="724"/>
    </row>
    <row r="328" spans="3:5" x14ac:dyDescent="0.2">
      <c r="C328" s="11"/>
      <c r="D328" s="724"/>
      <c r="E328" s="724"/>
    </row>
    <row r="329" spans="3:5" x14ac:dyDescent="0.2">
      <c r="C329" s="11"/>
      <c r="D329" s="724"/>
      <c r="E329" s="724"/>
    </row>
    <row r="330" spans="3:5" x14ac:dyDescent="0.2">
      <c r="C330" s="11"/>
      <c r="D330" s="724"/>
      <c r="E330" s="724"/>
    </row>
    <row r="331" spans="3:5" x14ac:dyDescent="0.2">
      <c r="C331" s="11"/>
      <c r="D331" s="724"/>
      <c r="E331" s="724"/>
    </row>
    <row r="332" spans="3:5" x14ac:dyDescent="0.2">
      <c r="C332" s="11"/>
      <c r="D332" s="724"/>
      <c r="E332" s="724"/>
    </row>
    <row r="333" spans="3:5" x14ac:dyDescent="0.2">
      <c r="C333" s="11"/>
      <c r="D333" s="724"/>
      <c r="E333" s="724"/>
    </row>
    <row r="334" spans="3:5" x14ac:dyDescent="0.2">
      <c r="C334" s="11"/>
      <c r="D334" s="724"/>
      <c r="E334" s="724"/>
    </row>
    <row r="335" spans="3:5" x14ac:dyDescent="0.2">
      <c r="C335" s="11"/>
      <c r="D335" s="724"/>
      <c r="E335" s="724"/>
    </row>
    <row r="336" spans="3:5" x14ac:dyDescent="0.2">
      <c r="C336" s="11"/>
      <c r="D336" s="724"/>
      <c r="E336" s="724"/>
    </row>
    <row r="337" spans="3:5" x14ac:dyDescent="0.2">
      <c r="C337" s="11"/>
      <c r="D337" s="724"/>
      <c r="E337" s="724"/>
    </row>
    <row r="338" spans="3:5" x14ac:dyDescent="0.2">
      <c r="C338" s="11"/>
      <c r="D338" s="724"/>
      <c r="E338" s="724"/>
    </row>
    <row r="339" spans="3:5" x14ac:dyDescent="0.2">
      <c r="C339" s="11"/>
      <c r="D339" s="724"/>
      <c r="E339" s="724"/>
    </row>
  </sheetData>
  <sheetProtection algorithmName="SHA-512" hashValue="j33GZUp69fNazSU/s8JU+FgHaBDohdW2KGa8T8Ql4lgF58bwyxLZsxK+OGfgcyc+YLduBNdBmjhjjGLfn5eO1w==" saltValue="x0Nng9F11Pvm0Ozmsarc0w==" spinCount="100000" sheet="1" formatCells="0" formatColumns="0" formatRows="0"/>
  <customSheetViews>
    <customSheetView guid="{B8E02330-2419-4DE6-AD01-7ACC7A5D18DD}" scale="75" topLeftCell="A245">
      <selection activeCell="A2" sqref="A2:H260"/>
      <pageMargins left="0.75" right="0.75" top="1" bottom="1" header="0.5" footer="0.5"/>
      <pageSetup orientation="portrait" r:id="rId1"/>
      <headerFooter alignWithMargins="0"/>
    </customSheetView>
  </customSheetViews>
  <mergeCells count="138">
    <mergeCell ref="H220:H226"/>
    <mergeCell ref="H227:H233"/>
    <mergeCell ref="A220:A226"/>
    <mergeCell ref="A239:A240"/>
    <mergeCell ref="E1:H1"/>
    <mergeCell ref="A135:A141"/>
    <mergeCell ref="B135:B141"/>
    <mergeCell ref="A251:B252"/>
    <mergeCell ref="H163:H168"/>
    <mergeCell ref="H160:H162"/>
    <mergeCell ref="B169:B173"/>
    <mergeCell ref="C252:E252"/>
    <mergeCell ref="D242:F242"/>
    <mergeCell ref="D243:F243"/>
    <mergeCell ref="D244:F244"/>
    <mergeCell ref="D245:F245"/>
    <mergeCell ref="D246:F246"/>
    <mergeCell ref="D247:F247"/>
    <mergeCell ref="D248:F248"/>
    <mergeCell ref="D249:F249"/>
    <mergeCell ref="H239:H240"/>
    <mergeCell ref="A235:A238"/>
    <mergeCell ref="C251:E251"/>
    <mergeCell ref="B4:B10"/>
    <mergeCell ref="H4:H10"/>
    <mergeCell ref="B62:B68"/>
    <mergeCell ref="H98:H104"/>
    <mergeCell ref="A198:A202"/>
    <mergeCell ref="A182:A187"/>
    <mergeCell ref="B182:B187"/>
    <mergeCell ref="H188:H190"/>
    <mergeCell ref="B191:B197"/>
    <mergeCell ref="H191:H197"/>
    <mergeCell ref="B46:B51"/>
    <mergeCell ref="H77:H80"/>
    <mergeCell ref="B163:B168"/>
    <mergeCell ref="B56:B61"/>
    <mergeCell ref="B98:B104"/>
    <mergeCell ref="B91:B97"/>
    <mergeCell ref="B160:B162"/>
    <mergeCell ref="H62:H68"/>
    <mergeCell ref="H56:H61"/>
    <mergeCell ref="H169:H173"/>
    <mergeCell ref="H151:H159"/>
    <mergeCell ref="B123:B126"/>
    <mergeCell ref="H11:H16"/>
    <mergeCell ref="B151:B159"/>
    <mergeCell ref="B32:B38"/>
    <mergeCell ref="B23:B25"/>
    <mergeCell ref="H26:H31"/>
    <mergeCell ref="H135:H141"/>
    <mergeCell ref="H81:H85"/>
    <mergeCell ref="H32:H38"/>
    <mergeCell ref="B112:B116"/>
    <mergeCell ref="B86:B90"/>
    <mergeCell ref="B81:B85"/>
    <mergeCell ref="H91:H97"/>
    <mergeCell ref="B75:B76"/>
    <mergeCell ref="B127:B134"/>
    <mergeCell ref="B77:B80"/>
    <mergeCell ref="B105:B111"/>
    <mergeCell ref="H86:H90"/>
    <mergeCell ref="H39:H45"/>
    <mergeCell ref="H46:H51"/>
    <mergeCell ref="B39:B45"/>
    <mergeCell ref="H75:H76"/>
    <mergeCell ref="H147:H150"/>
    <mergeCell ref="B147:B150"/>
    <mergeCell ref="B142:B145"/>
    <mergeCell ref="B117:B122"/>
    <mergeCell ref="A163:A168"/>
    <mergeCell ref="A23:A25"/>
    <mergeCell ref="A169:A173"/>
    <mergeCell ref="A151:A159"/>
    <mergeCell ref="A98:A104"/>
    <mergeCell ref="A70:A74"/>
    <mergeCell ref="A86:A90"/>
    <mergeCell ref="A142:A145"/>
    <mergeCell ref="A127:A134"/>
    <mergeCell ref="A81:A85"/>
    <mergeCell ref="A112:A116"/>
    <mergeCell ref="A123:A126"/>
    <mergeCell ref="A52:A55"/>
    <mergeCell ref="A56:A61"/>
    <mergeCell ref="A75:A76"/>
    <mergeCell ref="A77:A80"/>
    <mergeCell ref="A105:A111"/>
    <mergeCell ref="A160:A162"/>
    <mergeCell ref="A46:A51"/>
    <mergeCell ref="A117:A122"/>
    <mergeCell ref="A1:B1"/>
    <mergeCell ref="B70:B74"/>
    <mergeCell ref="H52:H55"/>
    <mergeCell ref="H127:H134"/>
    <mergeCell ref="A147:A150"/>
    <mergeCell ref="H117:H122"/>
    <mergeCell ref="H105:H111"/>
    <mergeCell ref="H123:H126"/>
    <mergeCell ref="H112:H116"/>
    <mergeCell ref="H23:H25"/>
    <mergeCell ref="A39:A45"/>
    <mergeCell ref="A26:A31"/>
    <mergeCell ref="A17:A22"/>
    <mergeCell ref="B26:B31"/>
    <mergeCell ref="B17:B22"/>
    <mergeCell ref="H17:H22"/>
    <mergeCell ref="A62:A68"/>
    <mergeCell ref="A4:A10"/>
    <mergeCell ref="A32:A38"/>
    <mergeCell ref="A11:A16"/>
    <mergeCell ref="B11:B16"/>
    <mergeCell ref="H142:H145"/>
    <mergeCell ref="B52:B55"/>
    <mergeCell ref="H70:H74"/>
    <mergeCell ref="D241:H241"/>
    <mergeCell ref="D250:H250"/>
    <mergeCell ref="A241:C250"/>
    <mergeCell ref="A253:G271"/>
    <mergeCell ref="A174:A177"/>
    <mergeCell ref="B188:B190"/>
    <mergeCell ref="H182:H187"/>
    <mergeCell ref="H198:H202"/>
    <mergeCell ref="B174:B177"/>
    <mergeCell ref="B178:B181"/>
    <mergeCell ref="H205:H219"/>
    <mergeCell ref="A205:A219"/>
    <mergeCell ref="B205:B219"/>
    <mergeCell ref="A178:A181"/>
    <mergeCell ref="A191:A197"/>
    <mergeCell ref="A188:A190"/>
    <mergeCell ref="B198:B202"/>
    <mergeCell ref="H178:H181"/>
    <mergeCell ref="H174:H177"/>
    <mergeCell ref="B220:B226"/>
    <mergeCell ref="A227:A233"/>
    <mergeCell ref="B227:B233"/>
    <mergeCell ref="H235:H238"/>
    <mergeCell ref="B235:B238"/>
  </mergeCells>
  <phoneticPr fontId="3" type="noConversion"/>
  <pageMargins left="0.75" right="0.75" top="1" bottom="1" header="0.5" footer="0.5"/>
  <pageSetup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I443"/>
  <sheetViews>
    <sheetView zoomScaleNormal="100" workbookViewId="0">
      <selection activeCell="E1" sqref="E1:H1"/>
    </sheetView>
  </sheetViews>
  <sheetFormatPr defaultColWidth="9.33203125" defaultRowHeight="12.75" x14ac:dyDescent="0.2"/>
  <cols>
    <col min="1" max="1" width="5.83203125" style="3" customWidth="1"/>
    <col min="2" max="2" width="18.83203125" style="3" customWidth="1"/>
    <col min="3" max="3" width="75.83203125" style="3" customWidth="1"/>
    <col min="4" max="4" width="6.83203125" style="724" customWidth="1"/>
    <col min="5" max="5" width="8.33203125" style="724" customWidth="1"/>
    <col min="6" max="6" width="8.1640625" style="724" customWidth="1"/>
    <col min="7" max="7" width="9.83203125" style="727" customWidth="1"/>
    <col min="8" max="8" width="75.83203125" style="15" customWidth="1"/>
    <col min="9" max="9" width="17.6640625" style="15" customWidth="1"/>
    <col min="10" max="16384" width="9.33203125" style="3"/>
  </cols>
  <sheetData>
    <row r="1" spans="1:9" s="91" customFormat="1" ht="60" customHeight="1" thickBot="1" x14ac:dyDescent="0.25">
      <c r="A1" s="1933" t="s">
        <v>5477</v>
      </c>
      <c r="B1" s="2081"/>
      <c r="C1" s="87" t="s">
        <v>2162</v>
      </c>
      <c r="D1" s="132" t="s">
        <v>2163</v>
      </c>
      <c r="E1" s="1921"/>
      <c r="F1" s="1922"/>
      <c r="G1" s="1922"/>
      <c r="H1" s="1922"/>
      <c r="I1" s="93"/>
    </row>
    <row r="2" spans="1:9" ht="30" customHeight="1" thickBot="1" x14ac:dyDescent="0.25">
      <c r="A2" s="451" t="s">
        <v>290</v>
      </c>
      <c r="B2" s="450" t="s">
        <v>5435</v>
      </c>
      <c r="C2" s="484" t="s">
        <v>2606</v>
      </c>
      <c r="D2" s="450" t="s">
        <v>117</v>
      </c>
      <c r="E2" s="592" t="s">
        <v>5438</v>
      </c>
      <c r="F2" s="472" t="s">
        <v>5439</v>
      </c>
      <c r="G2" s="593" t="s">
        <v>5825</v>
      </c>
      <c r="H2" s="450" t="s">
        <v>919</v>
      </c>
    </row>
    <row r="3" spans="1:9" ht="30" customHeight="1" thickBot="1" x14ac:dyDescent="0.25">
      <c r="A3" s="1954" t="str">
        <f>OF!A61</f>
        <v>OF10</v>
      </c>
      <c r="B3" s="1709" t="str">
        <f>OF!B61</f>
        <v>Ponded Water in Landscape</v>
      </c>
      <c r="C3" s="231" t="str">
        <f>OF!C61</f>
        <v>Draw a circle of radius of 2 miles centered on the AA.  Including water ponded in the AA itself or in a fringing non-marine water body, the amount of water that is ponded (standing) during most of the year is:</v>
      </c>
      <c r="D3" s="392"/>
      <c r="E3" s="392"/>
      <c r="F3" s="410"/>
      <c r="G3" s="745" t="str">
        <f>IF((FenMarsh=1),MAX(F4:F9)/MAX(E4:E9),"")</f>
        <v/>
      </c>
      <c r="H3" s="1710" t="s">
        <v>1343</v>
      </c>
      <c r="I3" s="15" t="s">
        <v>444</v>
      </c>
    </row>
    <row r="4" spans="1:9" ht="15" customHeight="1" x14ac:dyDescent="0.2">
      <c r="A4" s="1955"/>
      <c r="B4" s="1710"/>
      <c r="C4" s="384">
        <f>OF!C62</f>
        <v>0</v>
      </c>
      <c r="D4" s="280">
        <f>OF!D62</f>
        <v>0</v>
      </c>
      <c r="E4" s="388">
        <v>0</v>
      </c>
      <c r="F4" s="412">
        <f t="shared" ref="F4:F9" si="0">D4*E4</f>
        <v>0</v>
      </c>
      <c r="G4" s="863"/>
      <c r="H4" s="1710"/>
    </row>
    <row r="5" spans="1:9" ht="15" customHeight="1" x14ac:dyDescent="0.2">
      <c r="A5" s="1955"/>
      <c r="B5" s="1710"/>
      <c r="C5" s="6" t="str">
        <f>OF!C63</f>
        <v>1 or 2</v>
      </c>
      <c r="D5" s="46">
        <f>OF!D63</f>
        <v>0</v>
      </c>
      <c r="E5" s="388">
        <v>1</v>
      </c>
      <c r="F5" s="412">
        <f t="shared" si="0"/>
        <v>0</v>
      </c>
      <c r="G5" s="864"/>
      <c r="H5" s="1710"/>
    </row>
    <row r="6" spans="1:9" ht="15" customHeight="1" x14ac:dyDescent="0.2">
      <c r="A6" s="1955"/>
      <c r="B6" s="1710"/>
      <c r="C6" s="6" t="str">
        <f>OF!C64</f>
        <v>3 to 6</v>
      </c>
      <c r="D6" s="46">
        <f>OF!D64</f>
        <v>0</v>
      </c>
      <c r="E6" s="388">
        <v>2</v>
      </c>
      <c r="F6" s="412">
        <f t="shared" si="0"/>
        <v>0</v>
      </c>
      <c r="G6" s="864"/>
      <c r="H6" s="1710"/>
    </row>
    <row r="7" spans="1:9" ht="15" customHeight="1" x14ac:dyDescent="0.2">
      <c r="A7" s="1955"/>
      <c r="B7" s="1710"/>
      <c r="C7" s="6" t="str">
        <f>OF!C65</f>
        <v>7 to 9</v>
      </c>
      <c r="D7" s="46">
        <f>OF!D65</f>
        <v>0</v>
      </c>
      <c r="E7" s="388">
        <v>3</v>
      </c>
      <c r="F7" s="412">
        <f t="shared" si="0"/>
        <v>0</v>
      </c>
      <c r="G7" s="864"/>
      <c r="H7" s="1710"/>
    </row>
    <row r="8" spans="1:9" ht="15" customHeight="1" x14ac:dyDescent="0.2">
      <c r="A8" s="1955"/>
      <c r="B8" s="1710"/>
      <c r="C8" s="6" t="str">
        <f>OF!C66</f>
        <v>10 to 12</v>
      </c>
      <c r="D8" s="46">
        <f>OF!D66</f>
        <v>0</v>
      </c>
      <c r="E8" s="388">
        <v>4</v>
      </c>
      <c r="F8" s="412">
        <f t="shared" si="0"/>
        <v>0</v>
      </c>
      <c r="G8" s="864"/>
      <c r="H8" s="1710"/>
    </row>
    <row r="9" spans="1:9" ht="15.6" customHeight="1" thickBot="1" x14ac:dyDescent="0.25">
      <c r="A9" s="1956"/>
      <c r="B9" s="1711"/>
      <c r="C9" s="214" t="str">
        <f>OF!C67</f>
        <v>&gt;12</v>
      </c>
      <c r="D9" s="213">
        <f>OF!D67</f>
        <v>0</v>
      </c>
      <c r="E9" s="389">
        <v>5</v>
      </c>
      <c r="F9" s="416">
        <f t="shared" si="0"/>
        <v>0</v>
      </c>
      <c r="G9" s="865"/>
      <c r="H9" s="1710"/>
    </row>
    <row r="10" spans="1:9" ht="30" customHeight="1" thickBot="1" x14ac:dyDescent="0.25">
      <c r="A10" s="1954" t="str">
        <f>OF!A68</f>
        <v>OF11</v>
      </c>
      <c r="B10" s="1709" t="str">
        <f>OF!B68</f>
        <v>Ponded Water Proximity</v>
      </c>
      <c r="C10" s="231" t="str">
        <f>OF!C68</f>
        <v>The distance from the AA edge to the closest pond or lake that is larger than 1 acre and is not part of the same wetland, pond, or lake to which the AA is contiguous is:</v>
      </c>
      <c r="D10" s="392"/>
      <c r="E10" s="392"/>
      <c r="F10" s="410"/>
      <c r="G10" s="600" t="str">
        <f>IF((FenMarsh=1),MAX(F11:F16)/MAX(E11:E16),"")</f>
        <v/>
      </c>
      <c r="H10" s="1709" t="s">
        <v>287</v>
      </c>
      <c r="I10" s="15" t="s">
        <v>445</v>
      </c>
    </row>
    <row r="11" spans="1:9" ht="15" customHeight="1" x14ac:dyDescent="0.2">
      <c r="A11" s="1955"/>
      <c r="B11" s="1710"/>
      <c r="C11" s="21" t="str">
        <f>OF!C69</f>
        <v>&lt;300 ft, and connected with a natural land corridor</v>
      </c>
      <c r="D11" s="280">
        <f>OF!D69</f>
        <v>0</v>
      </c>
      <c r="E11" s="388">
        <v>2</v>
      </c>
      <c r="F11" s="412">
        <f t="shared" ref="F11:F16" si="1">D11*E11</f>
        <v>0</v>
      </c>
      <c r="G11" s="708"/>
      <c r="H11" s="1710"/>
    </row>
    <row r="12" spans="1:9" ht="15" customHeight="1" x14ac:dyDescent="0.2">
      <c r="A12" s="1955"/>
      <c r="B12" s="1710"/>
      <c r="C12" s="6" t="str">
        <f>OF!C70</f>
        <v>&lt;300 ft, but no uninterrupted natural land corridor</v>
      </c>
      <c r="D12" s="46">
        <f>OF!D70</f>
        <v>0</v>
      </c>
      <c r="E12" s="388">
        <v>2</v>
      </c>
      <c r="F12" s="412">
        <f t="shared" si="1"/>
        <v>0</v>
      </c>
      <c r="G12" s="709"/>
      <c r="H12" s="1710"/>
    </row>
    <row r="13" spans="1:9" ht="15" customHeight="1" x14ac:dyDescent="0.2">
      <c r="A13" s="1955"/>
      <c r="B13" s="1710"/>
      <c r="C13" s="6" t="str">
        <f>OF!C71</f>
        <v>300-1000 ft, and connected with a natural land corridor</v>
      </c>
      <c r="D13" s="46">
        <f>OF!D71</f>
        <v>0</v>
      </c>
      <c r="E13" s="388">
        <v>1</v>
      </c>
      <c r="F13" s="412">
        <f t="shared" si="1"/>
        <v>0</v>
      </c>
      <c r="G13" s="709"/>
      <c r="H13" s="1710"/>
    </row>
    <row r="14" spans="1:9" ht="15" customHeight="1" x14ac:dyDescent="0.2">
      <c r="A14" s="1955"/>
      <c r="B14" s="1710"/>
      <c r="C14" s="6" t="str">
        <f>OF!C72</f>
        <v>300-1000 ft, but no uninterrupted natural land corridor</v>
      </c>
      <c r="D14" s="46">
        <f>OF!D72</f>
        <v>0</v>
      </c>
      <c r="E14" s="388">
        <v>1</v>
      </c>
      <c r="F14" s="412">
        <f t="shared" si="1"/>
        <v>0</v>
      </c>
      <c r="G14" s="709"/>
      <c r="H14" s="1710"/>
    </row>
    <row r="15" spans="1:9" ht="15" customHeight="1" x14ac:dyDescent="0.2">
      <c r="A15" s="1955"/>
      <c r="B15" s="1710"/>
      <c r="C15" s="6" t="str">
        <f>OF!C73</f>
        <v>&gt;1000 ft, and connected with a natural land corridor</v>
      </c>
      <c r="D15" s="46">
        <f>OF!D73</f>
        <v>0</v>
      </c>
      <c r="E15" s="388">
        <v>0</v>
      </c>
      <c r="F15" s="412">
        <f t="shared" si="1"/>
        <v>0</v>
      </c>
      <c r="G15" s="709"/>
      <c r="H15" s="1710"/>
    </row>
    <row r="16" spans="1:9" ht="15.6" customHeight="1" thickBot="1" x14ac:dyDescent="0.25">
      <c r="A16" s="1956"/>
      <c r="B16" s="1711"/>
      <c r="C16" s="214" t="str">
        <f>OF!C74</f>
        <v>&gt;1000 ft, but no uninterrupted natural land corridor</v>
      </c>
      <c r="D16" s="213">
        <f>OF!D74</f>
        <v>0</v>
      </c>
      <c r="E16" s="389">
        <v>0</v>
      </c>
      <c r="F16" s="416">
        <f t="shared" si="1"/>
        <v>0</v>
      </c>
      <c r="G16" s="710"/>
      <c r="H16" s="1711"/>
    </row>
    <row r="17" spans="1:9" ht="45" customHeight="1" thickBot="1" x14ac:dyDescent="0.25">
      <c r="A17" s="1952" t="str">
        <f>OF!A75</f>
        <v>OF12</v>
      </c>
      <c r="B17" s="1710" t="str">
        <f>OF!B75</f>
        <v>Distance to Lake</v>
      </c>
      <c r="C17" s="385" t="str">
        <f>OF!C75</f>
        <v>The distance from the AA edge to the closest (but separate) lake (a non-tidal body of water that is ponded during most of the year and is larger than 20 acres or about 1000 ft on a side) during most of a normal year is:</v>
      </c>
      <c r="D17" s="392"/>
      <c r="E17" s="387"/>
      <c r="F17" s="409"/>
      <c r="G17" s="601" t="str">
        <f>IF((FenMarsh=1),MAX(F18:F21)/MAX(E18:E21),"")</f>
        <v/>
      </c>
      <c r="H17" s="1710" t="s">
        <v>116</v>
      </c>
      <c r="I17" s="15" t="s">
        <v>446</v>
      </c>
    </row>
    <row r="18" spans="1:9" ht="15" customHeight="1" x14ac:dyDescent="0.2">
      <c r="A18" s="1952"/>
      <c r="B18" s="1710"/>
      <c r="C18" s="21" t="str">
        <f>OF!C76</f>
        <v>&lt;1 mile</v>
      </c>
      <c r="D18" s="280">
        <f>OF!D76</f>
        <v>0</v>
      </c>
      <c r="E18" s="388">
        <v>4</v>
      </c>
      <c r="F18" s="412">
        <f>D18*E18</f>
        <v>0</v>
      </c>
      <c r="G18" s="708"/>
      <c r="H18" s="1710"/>
    </row>
    <row r="19" spans="1:9" ht="15" customHeight="1" x14ac:dyDescent="0.2">
      <c r="A19" s="1952"/>
      <c r="B19" s="1710"/>
      <c r="C19" s="6" t="str">
        <f>OF!C77</f>
        <v>1-5 miles</v>
      </c>
      <c r="D19" s="46">
        <f>OF!D77</f>
        <v>0</v>
      </c>
      <c r="E19" s="388">
        <v>3</v>
      </c>
      <c r="F19" s="412">
        <f>D19*E19</f>
        <v>0</v>
      </c>
      <c r="G19" s="709"/>
      <c r="H19" s="1710"/>
    </row>
    <row r="20" spans="1:9" ht="15" customHeight="1" x14ac:dyDescent="0.2">
      <c r="A20" s="1952"/>
      <c r="B20" s="1710"/>
      <c r="C20" s="6" t="str">
        <f>OF!C78</f>
        <v>&gt;5 miles and on the mainland or the same island</v>
      </c>
      <c r="D20" s="46">
        <f>OF!D78</f>
        <v>0</v>
      </c>
      <c r="E20" s="388">
        <v>1</v>
      </c>
      <c r="F20" s="412">
        <f>D20*E20</f>
        <v>0</v>
      </c>
      <c r="G20" s="718"/>
      <c r="H20" s="1710"/>
    </row>
    <row r="21" spans="1:9" ht="15.6" customHeight="1" thickBot="1" x14ac:dyDescent="0.25">
      <c r="A21" s="1952"/>
      <c r="B21" s="1710"/>
      <c r="C21" s="470" t="str">
        <f>OF!C79</f>
        <v>&gt;5 miles and on a different island</v>
      </c>
      <c r="D21" s="20">
        <f>OF!D79</f>
        <v>0</v>
      </c>
      <c r="E21" s="391">
        <v>0</v>
      </c>
      <c r="F21" s="414">
        <f>D21*E21</f>
        <v>0</v>
      </c>
      <c r="G21" s="718"/>
      <c r="H21" s="1710"/>
    </row>
    <row r="22" spans="1:9" ht="21" customHeight="1" thickBot="1" x14ac:dyDescent="0.25">
      <c r="A22" s="1954" t="str">
        <f>OF!A80</f>
        <v>OF13</v>
      </c>
      <c r="B22" s="1709" t="str">
        <f>OF!B80</f>
        <v>Tidal Proximity</v>
      </c>
      <c r="C22" s="231" t="str">
        <f>OF!C80</f>
        <v>The distance from the AA edge to the closest tidal water body is:</v>
      </c>
      <c r="D22" s="392"/>
      <c r="E22" s="392"/>
      <c r="F22" s="410"/>
      <c r="G22" s="600">
        <f>IF((D27=1),"",(MAX(F23:F27)/MAX(E23:E27)))</f>
        <v>0</v>
      </c>
      <c r="H22" s="1709" t="s">
        <v>5793</v>
      </c>
      <c r="I22" s="15" t="s">
        <v>447</v>
      </c>
    </row>
    <row r="23" spans="1:9" ht="15" customHeight="1" x14ac:dyDescent="0.2">
      <c r="A23" s="1955"/>
      <c r="B23" s="1710"/>
      <c r="C23" s="21" t="str">
        <f>OF!C81</f>
        <v>&lt;300 ft</v>
      </c>
      <c r="D23" s="280">
        <f>OF!D81</f>
        <v>0</v>
      </c>
      <c r="E23" s="388">
        <v>9</v>
      </c>
      <c r="F23" s="412">
        <f>D23*E23</f>
        <v>0</v>
      </c>
      <c r="G23" s="708"/>
      <c r="H23" s="1710"/>
    </row>
    <row r="24" spans="1:9" ht="15" customHeight="1" x14ac:dyDescent="0.2">
      <c r="A24" s="1955"/>
      <c r="B24" s="1710"/>
      <c r="C24" s="6" t="str">
        <f>OF!C82</f>
        <v>300-1000 ft</v>
      </c>
      <c r="D24" s="46">
        <f>OF!D82</f>
        <v>0</v>
      </c>
      <c r="E24" s="388">
        <v>7</v>
      </c>
      <c r="F24" s="412">
        <f>D24*E24</f>
        <v>0</v>
      </c>
      <c r="G24" s="709"/>
      <c r="H24" s="1710"/>
    </row>
    <row r="25" spans="1:9" ht="15" customHeight="1" x14ac:dyDescent="0.2">
      <c r="A25" s="1955"/>
      <c r="B25" s="1710"/>
      <c r="C25" s="6" t="str">
        <f>OF!C83</f>
        <v>1000 ft - 1 mile</v>
      </c>
      <c r="D25" s="46">
        <f>OF!D83</f>
        <v>0</v>
      </c>
      <c r="E25" s="388">
        <v>6</v>
      </c>
      <c r="F25" s="412">
        <f>D25*E25</f>
        <v>0</v>
      </c>
      <c r="G25" s="709"/>
      <c r="H25" s="1710"/>
    </row>
    <row r="26" spans="1:9" ht="15" customHeight="1" x14ac:dyDescent="0.2">
      <c r="A26" s="1955"/>
      <c r="B26" s="1710"/>
      <c r="C26" s="6" t="str">
        <f>OF!C84</f>
        <v>1-5 miles</v>
      </c>
      <c r="D26" s="46">
        <f>OF!D84</f>
        <v>0</v>
      </c>
      <c r="E26" s="388">
        <v>4</v>
      </c>
      <c r="F26" s="412">
        <f>D26*E26</f>
        <v>0</v>
      </c>
      <c r="G26" s="709"/>
      <c r="H26" s="1710"/>
    </row>
    <row r="27" spans="1:9" ht="15.6" customHeight="1" thickBot="1" x14ac:dyDescent="0.25">
      <c r="A27" s="1956"/>
      <c r="B27" s="1711"/>
      <c r="C27" s="214" t="str">
        <f>OF!C85</f>
        <v>&gt;5 miles</v>
      </c>
      <c r="D27" s="213">
        <f>OF!D85</f>
        <v>0</v>
      </c>
      <c r="E27" s="389">
        <v>0</v>
      </c>
      <c r="F27" s="416">
        <f>D27*E27</f>
        <v>0</v>
      </c>
      <c r="G27" s="710"/>
      <c r="H27" s="1711"/>
    </row>
    <row r="28" spans="1:9" ht="40.5" customHeight="1" thickBot="1" x14ac:dyDescent="0.25">
      <c r="A28" s="1872" t="str">
        <f>OF!A97</f>
        <v>OF17</v>
      </c>
      <c r="B28" s="1873" t="str">
        <f>OF!B97</f>
        <v>Fish Access or Use</v>
      </c>
      <c r="C28" s="385" t="str">
        <f>OF!C97</f>
        <v>Refer to the map in the online WESPAK-SE Wetlands Module: Habitat Layers &gt; Anadromous Waters Catalog, and preferably verify by contacting a local ADFG biologist.  Mark just the first choice that is true.  The AA:</v>
      </c>
      <c r="D28" s="392"/>
      <c r="E28" s="387"/>
      <c r="F28" s="409"/>
      <c r="G28" s="601">
        <f>IF((D33=1),"",MAX(F29:F32)/MAX(E29:E32))</f>
        <v>0</v>
      </c>
      <c r="H28" s="1688" t="s">
        <v>2202</v>
      </c>
      <c r="I28" s="15" t="s">
        <v>448</v>
      </c>
    </row>
    <row r="29" spans="1:9" ht="27" customHeight="1" x14ac:dyDescent="0.2">
      <c r="A29" s="1872"/>
      <c r="B29" s="1702"/>
      <c r="C29" s="21" t="str">
        <f>OF!C98</f>
        <v>a) is known to support anadromous fish feeding and/or spawning (some ADFG Class 1 streams).</v>
      </c>
      <c r="D29" s="280">
        <f>OF!D98</f>
        <v>0</v>
      </c>
      <c r="E29" s="388">
        <v>3</v>
      </c>
      <c r="F29" s="412">
        <f>D29*E29</f>
        <v>0</v>
      </c>
      <c r="G29" s="708"/>
      <c r="H29" s="1688"/>
    </row>
    <row r="30" spans="1:9" ht="27" customHeight="1" x14ac:dyDescent="0.2">
      <c r="A30" s="1872"/>
      <c r="B30" s="1702"/>
      <c r="C30" s="6" t="str">
        <f>OF!C99</f>
        <v>b) is probably accessible to anadromous and other fish (at least seasonally, at least for feeding, partially or entirely), but anadromous fish have not been documented (some Class 1 streams).</v>
      </c>
      <c r="D30" s="46">
        <f>OF!D99</f>
        <v>0</v>
      </c>
      <c r="E30" s="388">
        <v>2</v>
      </c>
      <c r="F30" s="412">
        <f>D30*E30</f>
        <v>0</v>
      </c>
      <c r="G30" s="709"/>
      <c r="H30" s="1688"/>
    </row>
    <row r="31" spans="1:9" ht="27" customHeight="1" x14ac:dyDescent="0.2">
      <c r="A31" s="1872"/>
      <c r="B31" s="1702"/>
      <c r="C31" s="6" t="str">
        <f>OF!C100</f>
        <v>c) is not accessible to anadromous fish, but other resident fish are known (or can be assumed) present (Class 2).</v>
      </c>
      <c r="D31" s="46">
        <f>OF!D100</f>
        <v>0</v>
      </c>
      <c r="E31" s="388">
        <v>2</v>
      </c>
      <c r="F31" s="412">
        <f>D31*E31</f>
        <v>0</v>
      </c>
      <c r="G31" s="709"/>
      <c r="H31" s="1688"/>
    </row>
    <row r="32" spans="1:9" ht="27" customHeight="1" x14ac:dyDescent="0.2">
      <c r="A32" s="1872"/>
      <c r="B32" s="1702"/>
      <c r="C32" s="6" t="str">
        <f>OF!C101</f>
        <v>d) is fishless (i.e., not accessible to anadromous fish and is known or can be assumed to have no resident fish).  (Class 3, 4)</v>
      </c>
      <c r="D32" s="46">
        <f>OF!D101</f>
        <v>0</v>
      </c>
      <c r="E32" s="388">
        <v>0</v>
      </c>
      <c r="F32" s="412">
        <f>D32*E32</f>
        <v>0</v>
      </c>
      <c r="G32" s="709"/>
      <c r="H32" s="1688"/>
    </row>
    <row r="33" spans="1:9" ht="15.6" customHeight="1" thickBot="1" x14ac:dyDescent="0.25">
      <c r="A33" s="1872"/>
      <c r="B33" s="1703"/>
      <c r="C33" s="470" t="str">
        <f>OF!C102</f>
        <v>e) fish presence and potential fish access are unknown and undeterminable.</v>
      </c>
      <c r="D33" s="20">
        <f>OF!D102</f>
        <v>0</v>
      </c>
      <c r="E33" s="391"/>
      <c r="F33" s="414"/>
      <c r="G33" s="718"/>
      <c r="H33" s="1688"/>
    </row>
    <row r="34" spans="1:9" ht="30" customHeight="1" thickBot="1" x14ac:dyDescent="0.25">
      <c r="A34" s="1831" t="str">
        <f>OF!A113</f>
        <v>OF21</v>
      </c>
      <c r="B34" s="1836" t="str">
        <f>OF!B113</f>
        <v>Temperature, Mean Annual</v>
      </c>
      <c r="C34" s="454" t="str">
        <f>OF!C113</f>
        <v>Refer to the Temperature layer in the online WESPAK-SE Wetlands Module. The mean annual temperature in the vicinity of the AA was modeled as (rounded to the nearest whole number):</v>
      </c>
      <c r="D34" s="392"/>
      <c r="E34" s="635"/>
      <c r="F34" s="639"/>
      <c r="G34" s="496">
        <f>IF((D40=1),"",MAX(F35:F39)/MAX(E35:E39))</f>
        <v>0</v>
      </c>
      <c r="H34" s="1687" t="s">
        <v>1901</v>
      </c>
      <c r="I34" s="15" t="s">
        <v>1928</v>
      </c>
    </row>
    <row r="35" spans="1:9" ht="15" customHeight="1" x14ac:dyDescent="0.2">
      <c r="A35" s="1832"/>
      <c r="B35" s="1837"/>
      <c r="C35" s="144" t="str">
        <f>OF!C114</f>
        <v>&lt;38 degrees F</v>
      </c>
      <c r="D35" s="286">
        <f>OF!D114</f>
        <v>0</v>
      </c>
      <c r="E35" s="396">
        <v>0</v>
      </c>
      <c r="F35" s="397">
        <f>D35*E35</f>
        <v>0</v>
      </c>
      <c r="G35" s="521"/>
      <c r="H35" s="1688"/>
    </row>
    <row r="36" spans="1:9" ht="15" customHeight="1" x14ac:dyDescent="0.2">
      <c r="A36" s="1832"/>
      <c r="B36" s="1837"/>
      <c r="C36" s="50" t="str">
        <f>OF!C115</f>
        <v>38-40 degrees F</v>
      </c>
      <c r="D36" s="271">
        <f>OF!D115</f>
        <v>0</v>
      </c>
      <c r="E36" s="396">
        <v>1</v>
      </c>
      <c r="F36" s="397">
        <f>D36*E36</f>
        <v>0</v>
      </c>
      <c r="G36" s="521"/>
      <c r="H36" s="1688"/>
    </row>
    <row r="37" spans="1:9" ht="15" customHeight="1" x14ac:dyDescent="0.2">
      <c r="A37" s="1832"/>
      <c r="B37" s="1837"/>
      <c r="C37" s="50" t="str">
        <f>OF!C116</f>
        <v>41-42 degrees F</v>
      </c>
      <c r="D37" s="271">
        <f>OF!D116</f>
        <v>0</v>
      </c>
      <c r="E37" s="396">
        <v>2</v>
      </c>
      <c r="F37" s="397">
        <f>D37*E37</f>
        <v>0</v>
      </c>
      <c r="G37" s="521"/>
      <c r="H37" s="1688"/>
    </row>
    <row r="38" spans="1:9" ht="15" customHeight="1" x14ac:dyDescent="0.2">
      <c r="A38" s="1832"/>
      <c r="B38" s="1837"/>
      <c r="C38" s="50" t="str">
        <f>OF!C117</f>
        <v>43-44 degrees F</v>
      </c>
      <c r="D38" s="271">
        <f>OF!D117</f>
        <v>0</v>
      </c>
      <c r="E38" s="396">
        <v>3</v>
      </c>
      <c r="F38" s="397">
        <f>D38*E38</f>
        <v>0</v>
      </c>
      <c r="G38" s="521"/>
      <c r="H38" s="1688"/>
    </row>
    <row r="39" spans="1:9" ht="15" customHeight="1" x14ac:dyDescent="0.2">
      <c r="A39" s="1832"/>
      <c r="B39" s="1837"/>
      <c r="C39" s="50" t="str">
        <f>OF!C118</f>
        <v>&gt; 44 degrees F</v>
      </c>
      <c r="D39" s="271">
        <f>OF!D118</f>
        <v>0</v>
      </c>
      <c r="E39" s="396">
        <v>4</v>
      </c>
      <c r="F39" s="397">
        <f>D39*E39</f>
        <v>0</v>
      </c>
      <c r="G39" s="515"/>
      <c r="H39" s="1688"/>
    </row>
    <row r="40" spans="1:9" ht="15.6" customHeight="1" thickBot="1" x14ac:dyDescent="0.25">
      <c r="A40" s="1833"/>
      <c r="B40" s="1838"/>
      <c r="C40" s="462" t="str">
        <f>OF!C119</f>
        <v>no information available</v>
      </c>
      <c r="D40" s="272">
        <f>OF!D119</f>
        <v>0</v>
      </c>
      <c r="E40" s="637"/>
      <c r="F40" s="638"/>
      <c r="G40" s="504"/>
      <c r="H40" s="1689"/>
    </row>
    <row r="41" spans="1:9" ht="75" customHeight="1" thickBot="1" x14ac:dyDescent="0.25">
      <c r="A41" s="1845" t="str">
        <f>OF!A127</f>
        <v>OF25</v>
      </c>
      <c r="B41" s="1688" t="str">
        <f>OF!B127</f>
        <v xml:space="preserve">Toxicity Documented Upstream </v>
      </c>
      <c r="C41" s="385"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41" s="392"/>
      <c r="E41" s="418"/>
      <c r="F41" s="787"/>
      <c r="G41" s="601">
        <f>IF((D45=1),"", IF((D44=1),1, IF((D43=1),0.2, 0)))</f>
        <v>0</v>
      </c>
      <c r="H41" s="1710" t="s">
        <v>2264</v>
      </c>
      <c r="I41" s="15" t="s">
        <v>450</v>
      </c>
    </row>
    <row r="42" spans="1:9" ht="15" customHeight="1" x14ac:dyDescent="0.2">
      <c r="A42" s="1845"/>
      <c r="B42" s="1688"/>
      <c r="C42" s="19" t="str">
        <f>OF!C128</f>
        <v>within the AA</v>
      </c>
      <c r="D42" s="380">
        <f>OF!D128</f>
        <v>0</v>
      </c>
      <c r="E42" s="412"/>
      <c r="F42" s="412"/>
      <c r="G42" s="708"/>
      <c r="H42" s="1710"/>
    </row>
    <row r="43" spans="1:9" ht="15" customHeight="1" x14ac:dyDescent="0.2">
      <c r="A43" s="1845"/>
      <c r="B43" s="1688"/>
      <c r="C43" s="470" t="str">
        <f>OF!C129</f>
        <v>in waters within 1 mile that flow into the AA.</v>
      </c>
      <c r="D43" s="20">
        <f>OF!D129</f>
        <v>0</v>
      </c>
      <c r="E43" s="412"/>
      <c r="F43" s="412"/>
      <c r="G43" s="709"/>
      <c r="H43" s="1710"/>
    </row>
    <row r="44" spans="1:9" ht="15" customHeight="1" x14ac:dyDescent="0.2">
      <c r="A44" s="1845"/>
      <c r="B44" s="1688"/>
      <c r="C44" s="470" t="str">
        <f>OF!C130</f>
        <v>Sampling (not just absence of map symbols) indicates no problems.</v>
      </c>
      <c r="D44" s="20">
        <f>OF!D130</f>
        <v>0</v>
      </c>
      <c r="E44" s="412"/>
      <c r="F44" s="412"/>
      <c r="G44" s="709"/>
      <c r="H44" s="1710"/>
    </row>
    <row r="45" spans="1:9" ht="15.6" customHeight="1" thickBot="1" x14ac:dyDescent="0.25">
      <c r="A45" s="1845"/>
      <c r="B45" s="1688"/>
      <c r="C45" s="470" t="str">
        <f>OF!C131</f>
        <v>insufficient data (no map symbols &amp; no sampling, or &gt;1 mile upstream).</v>
      </c>
      <c r="D45" s="20">
        <f>OF!D131</f>
        <v>0</v>
      </c>
      <c r="E45" s="414"/>
      <c r="F45" s="414"/>
      <c r="G45" s="718"/>
      <c r="H45" s="1710"/>
    </row>
    <row r="46" spans="1:9" ht="79.5" customHeight="1" thickBot="1" x14ac:dyDescent="0.25">
      <c r="A46" s="1868" t="str">
        <f>OF!A147</f>
        <v>OF28</v>
      </c>
      <c r="B46" s="1687" t="str">
        <f>OF!B147</f>
        <v>Elevation in Multi-scale Watersheds</v>
      </c>
      <c r="C46" s="231"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46" s="392"/>
      <c r="E46" s="392"/>
      <c r="F46" s="410"/>
      <c r="G46" s="600" t="str">
        <f>IF((D47=0),"", (4-D47)/3)</f>
        <v/>
      </c>
      <c r="H46" s="1687" t="s">
        <v>220</v>
      </c>
      <c r="I46" s="15" t="s">
        <v>449</v>
      </c>
    </row>
    <row r="47" spans="1:9" ht="42.6" customHeight="1" thickBot="1" x14ac:dyDescent="0.25">
      <c r="A47" s="1870"/>
      <c r="B47" s="1689"/>
      <c r="C47" s="702" t="str">
        <f>OF!C150</f>
        <v>In its HUC6 (the 8-digit* watershed) the AA's elevation puts it in (enter one of the following): 3= upper one-third, 2= middle one-third, 1= lower one-third, 0= no data.  [The 8-digit HUC is obtained by deleting the last 4 digits of the 12-digit HUC code]</v>
      </c>
      <c r="D47" s="317">
        <f>OF!D150</f>
        <v>0</v>
      </c>
      <c r="E47" s="389"/>
      <c r="F47" s="416"/>
      <c r="G47" s="710"/>
      <c r="H47" s="1689"/>
    </row>
    <row r="48" spans="1:9" ht="21" customHeight="1" thickBot="1" x14ac:dyDescent="0.25">
      <c r="A48" s="1868" t="str">
        <f>OF!A169</f>
        <v>OF34</v>
      </c>
      <c r="B48" s="1709" t="str">
        <f>OF!B169</f>
        <v>Internal Gradient</v>
      </c>
      <c r="C48" s="231" t="str">
        <f>OF!C169</f>
        <v>The gradient along most of the flow path within the AA is:</v>
      </c>
      <c r="D48" s="392"/>
      <c r="E48" s="392"/>
      <c r="F48" s="410"/>
      <c r="G48" s="600">
        <f>MAX(F49:F52)/MAX(E49:E52)</f>
        <v>0</v>
      </c>
      <c r="H48" s="1709" t="s">
        <v>25</v>
      </c>
      <c r="I48" s="15" t="s">
        <v>440</v>
      </c>
    </row>
    <row r="49" spans="1:9" ht="15" customHeight="1" x14ac:dyDescent="0.2">
      <c r="A49" s="1869"/>
      <c r="B49" s="1710"/>
      <c r="C49" s="21" t="str">
        <f>OF!C170</f>
        <v>&lt;2%, or, no slope is ever apparent (i.e., flat).  Includes most depressional sites and ponds.</v>
      </c>
      <c r="D49" s="280">
        <f>OF!D170</f>
        <v>0</v>
      </c>
      <c r="E49" s="388">
        <v>4</v>
      </c>
      <c r="F49" s="412">
        <f>D49*E49</f>
        <v>0</v>
      </c>
      <c r="G49" s="568"/>
      <c r="H49" s="1710"/>
    </row>
    <row r="50" spans="1:9" ht="15" customHeight="1" x14ac:dyDescent="0.2">
      <c r="A50" s="1869"/>
      <c r="B50" s="1710"/>
      <c r="C50" s="6" t="str">
        <f>OF!C171</f>
        <v>2-5%</v>
      </c>
      <c r="D50" s="46">
        <f>OF!D171</f>
        <v>0</v>
      </c>
      <c r="E50" s="388">
        <v>2</v>
      </c>
      <c r="F50" s="412">
        <f>D50*E50</f>
        <v>0</v>
      </c>
      <c r="G50" s="559"/>
      <c r="H50" s="1710"/>
    </row>
    <row r="51" spans="1:9" ht="15" customHeight="1" x14ac:dyDescent="0.2">
      <c r="A51" s="1869"/>
      <c r="B51" s="1710"/>
      <c r="C51" s="6" t="str">
        <f>OF!C172</f>
        <v>6-10%</v>
      </c>
      <c r="D51" s="46">
        <f>OF!D172</f>
        <v>0</v>
      </c>
      <c r="E51" s="388">
        <v>1</v>
      </c>
      <c r="F51" s="412">
        <f>D51*E51</f>
        <v>0</v>
      </c>
      <c r="G51" s="559"/>
      <c r="H51" s="1710"/>
    </row>
    <row r="52" spans="1:9" ht="15.6" customHeight="1" thickBot="1" x14ac:dyDescent="0.25">
      <c r="A52" s="1870"/>
      <c r="B52" s="1711"/>
      <c r="C52" s="214" t="str">
        <f>OF!C173</f>
        <v>&gt;10%</v>
      </c>
      <c r="D52" s="213">
        <f>OF!D173</f>
        <v>0</v>
      </c>
      <c r="E52" s="389">
        <v>0</v>
      </c>
      <c r="F52" s="416">
        <f>D52*E52</f>
        <v>0</v>
      </c>
      <c r="G52" s="574"/>
      <c r="H52" s="1711"/>
    </row>
    <row r="53" spans="1:9" ht="21" customHeight="1" thickBot="1" x14ac:dyDescent="0.25">
      <c r="A53" s="1872" t="str">
        <f>OF!A188</f>
        <v>OF39</v>
      </c>
      <c r="B53" s="1688" t="str">
        <f>OF!B188</f>
        <v>Geography</v>
      </c>
      <c r="C53" s="381" t="str">
        <f>OF!C188</f>
        <v>Mark ALL that are true.  The AA is located:</v>
      </c>
      <c r="D53" s="392"/>
      <c r="E53" s="866"/>
      <c r="F53" s="409"/>
      <c r="G53" s="601">
        <f>MAX(F54:F56)/MAX(E54:E56)</f>
        <v>0</v>
      </c>
      <c r="H53" s="1873" t="s">
        <v>1151</v>
      </c>
      <c r="I53" s="15" t="s">
        <v>454</v>
      </c>
    </row>
    <row r="54" spans="1:9" ht="15" customHeight="1" x14ac:dyDescent="0.2">
      <c r="A54" s="1872"/>
      <c r="B54" s="1688"/>
      <c r="C54" s="384" t="str">
        <f>OF!C189</f>
        <v>in the Stikine, Alsek, Taiya-Chilkat-Skagway, or Taku deltas or floodplains.</v>
      </c>
      <c r="D54" s="280">
        <f>OF!D189</f>
        <v>0</v>
      </c>
      <c r="E54" s="867">
        <v>2</v>
      </c>
      <c r="F54" s="412">
        <f>D54*E54</f>
        <v>0</v>
      </c>
      <c r="G54" s="708"/>
      <c r="H54" s="1702"/>
    </row>
    <row r="55" spans="1:9" ht="15" customHeight="1" x14ac:dyDescent="0.2">
      <c r="A55" s="1872"/>
      <c r="B55" s="1688"/>
      <c r="C55" s="487" t="str">
        <f>OF!C190</f>
        <v>in another mainland area or on an island larger than 20 square miles.</v>
      </c>
      <c r="D55" s="46">
        <f>OF!D190</f>
        <v>0</v>
      </c>
      <c r="E55" s="867">
        <v>1</v>
      </c>
      <c r="F55" s="412">
        <f>D55*E55</f>
        <v>0</v>
      </c>
      <c r="G55" s="709"/>
      <c r="H55" s="1702"/>
    </row>
    <row r="56" spans="1:9" ht="27.6" customHeight="1" thickBot="1" x14ac:dyDescent="0.25">
      <c r="A56" s="1872"/>
      <c r="B56" s="1688"/>
      <c r="C56" s="379" t="str">
        <f>OF!C191</f>
        <v>on an island smaller than 20 sq. mi. and separated completely from other lands by a gap wider than 150 feet created by tidal or marine waters.</v>
      </c>
      <c r="D56" s="20">
        <f>OF!D191</f>
        <v>0</v>
      </c>
      <c r="E56" s="868">
        <v>0</v>
      </c>
      <c r="F56" s="414">
        <f>D56*E56</f>
        <v>0</v>
      </c>
      <c r="G56" s="718"/>
      <c r="H56" s="1703"/>
    </row>
    <row r="57" spans="1:9" ht="21" customHeight="1" thickBot="1" x14ac:dyDescent="0.25">
      <c r="A57" s="736" t="str">
        <f>F!A4</f>
        <v>F1</v>
      </c>
      <c r="B57" s="1687" t="str">
        <f>F!B4</f>
        <v>Wetland Type</v>
      </c>
      <c r="C57" s="111" t="str">
        <f>F!C4</f>
        <v>Most of the vegetated part of the AA (wetland Assessment Area) is a (select ONE):</v>
      </c>
      <c r="D57" s="392"/>
      <c r="E57" s="549"/>
      <c r="F57" s="410"/>
      <c r="G57" s="550">
        <f>IF((D63=1),"",MAX(F58:F62)/MAX(E58:E62))</f>
        <v>0</v>
      </c>
      <c r="H57" s="1687" t="s">
        <v>1880</v>
      </c>
      <c r="I57" s="15" t="s">
        <v>456</v>
      </c>
    </row>
    <row r="58" spans="1:9" ht="15" customHeight="1" x14ac:dyDescent="0.2">
      <c r="A58" s="862" t="str">
        <f>F!A5</f>
        <v>F1.1</v>
      </c>
      <c r="B58" s="1688"/>
      <c r="C58" s="383" t="str">
        <f>F!C5</f>
        <v>Forested Peatland</v>
      </c>
      <c r="D58" s="380">
        <f>F!D5</f>
        <v>0</v>
      </c>
      <c r="E58" s="418">
        <v>0</v>
      </c>
      <c r="F58" s="412">
        <f>D58*E58</f>
        <v>0</v>
      </c>
      <c r="G58" s="551"/>
      <c r="H58" s="1688"/>
    </row>
    <row r="59" spans="1:9" ht="15" customHeight="1" x14ac:dyDescent="0.2">
      <c r="A59" s="862" t="str">
        <f>F!A6</f>
        <v>F1.2</v>
      </c>
      <c r="B59" s="1688"/>
      <c r="C59" s="379" t="str">
        <f>F!C6</f>
        <v>Open Peatland</v>
      </c>
      <c r="D59" s="20">
        <f>F!D6</f>
        <v>0</v>
      </c>
      <c r="E59" s="418">
        <v>1</v>
      </c>
      <c r="F59" s="412">
        <f>D59*E59</f>
        <v>0</v>
      </c>
      <c r="G59" s="551"/>
      <c r="H59" s="1688"/>
    </row>
    <row r="60" spans="1:9" ht="15" customHeight="1" x14ac:dyDescent="0.2">
      <c r="A60" s="862" t="str">
        <f>F!A7</f>
        <v>F1.3</v>
      </c>
      <c r="B60" s="1688"/>
      <c r="C60" s="379" t="str">
        <f>F!C7</f>
        <v>Fen/ Marsh</v>
      </c>
      <c r="D60" s="20">
        <f>F!D7</f>
        <v>0</v>
      </c>
      <c r="E60" s="418">
        <v>3</v>
      </c>
      <c r="F60" s="412">
        <f>D60*E60</f>
        <v>0</v>
      </c>
      <c r="G60" s="551"/>
      <c r="H60" s="1688"/>
    </row>
    <row r="61" spans="1:9" ht="15" customHeight="1" x14ac:dyDescent="0.2">
      <c r="A61" s="862" t="str">
        <f>F!A8</f>
        <v>F1.4</v>
      </c>
      <c r="B61" s="1688"/>
      <c r="C61" s="379" t="str">
        <f>F!C8</f>
        <v>Floodplain Wetland</v>
      </c>
      <c r="D61" s="20">
        <f>F!D8</f>
        <v>0</v>
      </c>
      <c r="E61" s="418">
        <v>4</v>
      </c>
      <c r="F61" s="412">
        <f>D61*E61</f>
        <v>0</v>
      </c>
      <c r="G61" s="551"/>
      <c r="H61" s="1688"/>
    </row>
    <row r="62" spans="1:9" ht="15" customHeight="1" x14ac:dyDescent="0.2">
      <c r="A62" s="862" t="str">
        <f>F!A9</f>
        <v>F1.5</v>
      </c>
      <c r="B62" s="1688"/>
      <c r="C62" s="379" t="str">
        <f>F!C9</f>
        <v>Uplift Meadow</v>
      </c>
      <c r="D62" s="20">
        <f>F!D9</f>
        <v>0</v>
      </c>
      <c r="E62" s="418">
        <v>2</v>
      </c>
      <c r="F62" s="418">
        <f>D62*E62</f>
        <v>0</v>
      </c>
      <c r="G62" s="551"/>
      <c r="H62" s="1688"/>
    </row>
    <row r="63" spans="1:9" ht="15.6" customHeight="1" thickBot="1" x14ac:dyDescent="0.25">
      <c r="A63" s="743" t="str">
        <f>F!A10</f>
        <v>F1.6</v>
      </c>
      <c r="B63" s="1689"/>
      <c r="C63" s="486" t="str">
        <f>F!C10</f>
        <v>Tidal Marsh or Tidal Swamp.  Do not continue.  Use other spreadsheet.</v>
      </c>
      <c r="D63" s="213">
        <f>F!D10</f>
        <v>0</v>
      </c>
      <c r="E63" s="848"/>
      <c r="F63" s="848"/>
      <c r="G63" s="850"/>
      <c r="H63" s="1689"/>
    </row>
    <row r="64" spans="1:9" ht="30" customHeight="1" thickBot="1" x14ac:dyDescent="0.25">
      <c r="A64" s="1845" t="str">
        <f>F!A11</f>
        <v>F2</v>
      </c>
      <c r="B64" s="1688" t="str">
        <f>F!B11</f>
        <v>% Saturated Only</v>
      </c>
      <c r="C64" s="385" t="str">
        <f>F!C11</f>
        <v>The percentage of the AA that lacks surface water during an average year (that is, except perhaps for a few hours after snowmelt or rainstorms), but which is still a wetland, is:</v>
      </c>
      <c r="D64" s="392"/>
      <c r="E64" s="406"/>
      <c r="F64" s="418"/>
      <c r="G64" s="601">
        <f>MAX(F65:F70)/MAX(E65:E70)</f>
        <v>0</v>
      </c>
      <c r="H64" s="1688" t="s">
        <v>191</v>
      </c>
      <c r="I64" s="15" t="s">
        <v>1327</v>
      </c>
    </row>
    <row r="65" spans="1:9" ht="27" customHeight="1" x14ac:dyDescent="0.2">
      <c r="A65" s="1845"/>
      <c r="B65" s="1688"/>
      <c r="C65" s="700" t="str">
        <f>F!C12</f>
        <v>less than 1%, or &lt;0.01 acre (about 20 ft on a side) never has surface water.  In other words, all or nearly all of the AA is inundated permanently or at least seasonally.</v>
      </c>
      <c r="D65" s="304">
        <f>F!D12</f>
        <v>0</v>
      </c>
      <c r="E65" s="388">
        <v>4</v>
      </c>
      <c r="F65" s="412">
        <f t="shared" ref="F65:F70" si="2">D65*E65</f>
        <v>0</v>
      </c>
      <c r="G65" s="708"/>
      <c r="H65" s="1688"/>
    </row>
    <row r="66" spans="1:9" ht="15" customHeight="1" x14ac:dyDescent="0.2">
      <c r="A66" s="1845"/>
      <c r="B66" s="1688"/>
      <c r="C66" s="434" t="str">
        <f>F!C13</f>
        <v xml:space="preserve">1-25% of the AA never contains surface water.  </v>
      </c>
      <c r="D66" s="305">
        <f>F!D13</f>
        <v>0</v>
      </c>
      <c r="E66" s="388">
        <v>5</v>
      </c>
      <c r="F66" s="412">
        <f t="shared" si="2"/>
        <v>0</v>
      </c>
      <c r="G66" s="708"/>
      <c r="H66" s="1688"/>
    </row>
    <row r="67" spans="1:9" ht="15" customHeight="1" x14ac:dyDescent="0.2">
      <c r="A67" s="1845"/>
      <c r="B67" s="1688"/>
      <c r="C67" s="434" t="str">
        <f>F!C14</f>
        <v>25-50% of the AA never contains surface water.</v>
      </c>
      <c r="D67" s="305">
        <f>F!D14</f>
        <v>0</v>
      </c>
      <c r="E67" s="388">
        <v>3</v>
      </c>
      <c r="F67" s="412">
        <f t="shared" si="2"/>
        <v>0</v>
      </c>
      <c r="G67" s="708"/>
      <c r="H67" s="1688"/>
    </row>
    <row r="68" spans="1:9" ht="15" customHeight="1" x14ac:dyDescent="0.2">
      <c r="A68" s="1845"/>
      <c r="B68" s="1688"/>
      <c r="C68" s="434" t="str">
        <f>F!C15</f>
        <v>50-99% of the AA never contains surface water.</v>
      </c>
      <c r="D68" s="305">
        <f>F!D15</f>
        <v>0</v>
      </c>
      <c r="E68" s="388">
        <v>2</v>
      </c>
      <c r="F68" s="412">
        <f t="shared" si="2"/>
        <v>0</v>
      </c>
      <c r="G68" s="708"/>
      <c r="H68" s="1688"/>
    </row>
    <row r="69" spans="1:9" ht="27" customHeight="1" x14ac:dyDescent="0.2">
      <c r="A69" s="1845"/>
      <c r="B69" s="1688"/>
      <c r="C69" s="434" t="str">
        <f>F!C16</f>
        <v>&gt;99% of the AA never contains surface water, except for water flowing in channels and/or in pools that occupy &lt;1% of the AA. SKIP to F30.</v>
      </c>
      <c r="D69" s="305">
        <f>F!D16</f>
        <v>0</v>
      </c>
      <c r="E69" s="388">
        <v>1</v>
      </c>
      <c r="F69" s="412">
        <f t="shared" si="2"/>
        <v>0</v>
      </c>
      <c r="G69" s="708"/>
      <c r="H69" s="1688"/>
    </row>
    <row r="70" spans="1:9" ht="27.6" customHeight="1" thickBot="1" x14ac:dyDescent="0.25">
      <c r="A70" s="1845"/>
      <c r="B70" s="1688"/>
      <c r="C70" s="701" t="str">
        <f>F!C17</f>
        <v>&gt;99% of the AA never contains surface water, and AA is not intersected by channels that have flow, not even for a few days per year. SKIP to F28.</v>
      </c>
      <c r="D70" s="306">
        <f>F!D17</f>
        <v>0</v>
      </c>
      <c r="E70" s="391">
        <v>0</v>
      </c>
      <c r="F70" s="414">
        <f t="shared" si="2"/>
        <v>0</v>
      </c>
      <c r="G70" s="720"/>
      <c r="H70" s="1688"/>
    </row>
    <row r="71" spans="1:9" ht="30" customHeight="1" thickBot="1" x14ac:dyDescent="0.25">
      <c r="A71" s="1868" t="str">
        <f>F!A18</f>
        <v>F3</v>
      </c>
      <c r="B71" s="1687" t="str">
        <f>F!B18</f>
        <v>% with Persistent Surface Water</v>
      </c>
      <c r="C71" s="231" t="str">
        <f>F!C18</f>
        <v>The percentage of the AA that has surface water (either ponded or flowing, either open or obscured by vegetation) during all of the growing season during most years is:</v>
      </c>
      <c r="D71" s="392"/>
      <c r="E71" s="392"/>
      <c r="F71" s="410"/>
      <c r="G71" s="600">
        <f>IF((AllSat+AllSat1&gt;0),"",MAX(F72:F77)/MAX(E72:E77))</f>
        <v>0</v>
      </c>
      <c r="H71" s="1709" t="s">
        <v>5478</v>
      </c>
      <c r="I71" s="15" t="s">
        <v>431</v>
      </c>
    </row>
    <row r="72" spans="1:9" ht="15" customHeight="1" x14ac:dyDescent="0.2">
      <c r="A72" s="1869"/>
      <c r="B72" s="1688"/>
      <c r="C72" s="19" t="str">
        <f>F!C19</f>
        <v>less than 1%, or &lt;0.01 acre (whichever is less).  SKIP to F7.</v>
      </c>
      <c r="D72" s="380">
        <f>F!D19</f>
        <v>0</v>
      </c>
      <c r="E72" s="388">
        <v>1</v>
      </c>
      <c r="F72" s="412">
        <f t="shared" ref="F72:F77" si="3">D72*E72</f>
        <v>0</v>
      </c>
      <c r="G72" s="708"/>
      <c r="H72" s="1710"/>
    </row>
    <row r="73" spans="1:9" ht="15" customHeight="1" x14ac:dyDescent="0.2">
      <c r="A73" s="1869"/>
      <c r="B73" s="1688"/>
      <c r="C73" s="470" t="str">
        <f>F!C20</f>
        <v>1-25% of the AA, and mostly in narrow channels and/or small scattered pools.</v>
      </c>
      <c r="D73" s="20">
        <f>F!D20</f>
        <v>0</v>
      </c>
      <c r="E73" s="388">
        <v>2</v>
      </c>
      <c r="F73" s="412">
        <f t="shared" si="3"/>
        <v>0</v>
      </c>
      <c r="G73" s="709"/>
      <c r="H73" s="1710"/>
    </row>
    <row r="74" spans="1:9" ht="15" customHeight="1" x14ac:dyDescent="0.2">
      <c r="A74" s="1869"/>
      <c r="B74" s="1688"/>
      <c r="C74" s="470" t="str">
        <f>F!C21</f>
        <v>1-25% of the AA, and mostly in a single large pool, pond, and/or channel.</v>
      </c>
      <c r="D74" s="20">
        <f>F!D21</f>
        <v>0</v>
      </c>
      <c r="E74" s="388">
        <v>2</v>
      </c>
      <c r="F74" s="412">
        <f t="shared" si="3"/>
        <v>0</v>
      </c>
      <c r="G74" s="709"/>
      <c r="H74" s="1710"/>
    </row>
    <row r="75" spans="1:9" ht="15" customHeight="1" x14ac:dyDescent="0.2">
      <c r="A75" s="1869"/>
      <c r="B75" s="1688"/>
      <c r="C75" s="470" t="str">
        <f>F!C22</f>
        <v>25-50% of the AA</v>
      </c>
      <c r="D75" s="20">
        <f>F!D22</f>
        <v>0</v>
      </c>
      <c r="E75" s="388">
        <v>3</v>
      </c>
      <c r="F75" s="412">
        <f t="shared" si="3"/>
        <v>0</v>
      </c>
      <c r="G75" s="709"/>
      <c r="H75" s="1710"/>
    </row>
    <row r="76" spans="1:9" ht="15" customHeight="1" x14ac:dyDescent="0.2">
      <c r="A76" s="1869"/>
      <c r="B76" s="1688"/>
      <c r="C76" s="470" t="str">
        <f>F!C23</f>
        <v>50-95% of the AA</v>
      </c>
      <c r="D76" s="20">
        <f>F!D23</f>
        <v>0</v>
      </c>
      <c r="E76" s="388">
        <v>4</v>
      </c>
      <c r="F76" s="412">
        <f t="shared" si="3"/>
        <v>0</v>
      </c>
      <c r="G76" s="709"/>
      <c r="H76" s="1710"/>
    </row>
    <row r="77" spans="1:9" ht="15.6" customHeight="1" thickBot="1" x14ac:dyDescent="0.25">
      <c r="A77" s="1870"/>
      <c r="B77" s="1689"/>
      <c r="C77" s="214" t="str">
        <f>F!C24</f>
        <v>&gt;95% of the AA</v>
      </c>
      <c r="D77" s="213">
        <f>F!D24</f>
        <v>0</v>
      </c>
      <c r="E77" s="389">
        <v>2</v>
      </c>
      <c r="F77" s="416">
        <f t="shared" si="3"/>
        <v>0</v>
      </c>
      <c r="G77" s="710"/>
      <c r="H77" s="1711"/>
    </row>
    <row r="78" spans="1:9" ht="60" customHeight="1" thickBot="1" x14ac:dyDescent="0.25">
      <c r="A78" s="735" t="str">
        <f>F!A31</f>
        <v>F5</v>
      </c>
      <c r="B78" s="143" t="str">
        <f>F!B31</f>
        <v>Fringe Wetland</v>
      </c>
      <c r="C78" s="3" t="str">
        <f>F!C31</f>
        <v>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v>
      </c>
      <c r="D78" s="282">
        <f>F!D31</f>
        <v>0</v>
      </c>
      <c r="E78" s="407"/>
      <c r="F78" s="783"/>
      <c r="G78" s="424" t="str">
        <f>IF((AllSat+AllSat1&gt;0),"", IF((NoPersis=1),"", IF((D78=0),"",1)))</f>
        <v/>
      </c>
      <c r="H78" s="109" t="s">
        <v>5479</v>
      </c>
      <c r="I78" s="15" t="s">
        <v>429</v>
      </c>
    </row>
    <row r="79" spans="1:9" ht="30" customHeight="1" thickBot="1" x14ac:dyDescent="0.25">
      <c r="A79" s="217" t="str">
        <f>F!A32</f>
        <v>F6</v>
      </c>
      <c r="B79" s="5" t="str">
        <f>F!B32</f>
        <v>Lacustrine Wetland</v>
      </c>
      <c r="C79" s="222" t="str">
        <f>F!C32</f>
        <v>The AA borders a body of ponded open water whose size (not counting the AA's wetland) exceeds 20 acres during most of the growing season.  Enter "1" if true, "0" if false.</v>
      </c>
      <c r="D79" s="314">
        <f>F!D32</f>
        <v>0</v>
      </c>
      <c r="E79" s="411"/>
      <c r="F79" s="411"/>
      <c r="G79" s="600" t="str">
        <f>IF((AllSat+AllSat1&gt;0),"", IF((NoPersis=1),"", IF((D79=0),"",1)))</f>
        <v/>
      </c>
      <c r="H79" s="49" t="s">
        <v>922</v>
      </c>
      <c r="I79" s="15" t="s">
        <v>455</v>
      </c>
    </row>
    <row r="80" spans="1:9" ht="30" customHeight="1" thickBot="1" x14ac:dyDescent="0.25">
      <c r="A80" s="1845" t="str">
        <f>F!A33</f>
        <v>F7</v>
      </c>
      <c r="B80" s="1688" t="str">
        <f>F!B33</f>
        <v>% Flooded Only Seasonally</v>
      </c>
      <c r="C80" s="385" t="str">
        <f>F!C33</f>
        <v>The percentage of the AA soil that is covered by surface water only during the wettest time of year, and for &gt;2 continuous weeks during that time, is:</v>
      </c>
      <c r="D80" s="387"/>
      <c r="E80" s="387"/>
      <c r="F80" s="409"/>
      <c r="G80" s="601">
        <f>IF((AllSat+AllSat1&gt;0),"",MAX(F81:F85)/MAX(E81:E85))</f>
        <v>0</v>
      </c>
      <c r="H80" s="1710" t="s">
        <v>5480</v>
      </c>
      <c r="I80" s="15" t="s">
        <v>430</v>
      </c>
    </row>
    <row r="81" spans="1:9" ht="15" customHeight="1" x14ac:dyDescent="0.2">
      <c r="A81" s="1845"/>
      <c r="B81" s="1688"/>
      <c r="C81" s="19" t="str">
        <f>F!C34</f>
        <v>&lt;1% or &lt;0.01 acre, whichever is less.  SKIP to F9.</v>
      </c>
      <c r="D81" s="380">
        <f>F!D34</f>
        <v>0</v>
      </c>
      <c r="E81" s="388">
        <v>3</v>
      </c>
      <c r="F81" s="412">
        <f>D81*E81</f>
        <v>0</v>
      </c>
      <c r="G81" s="708"/>
      <c r="H81" s="1710"/>
    </row>
    <row r="82" spans="1:9" ht="15" customHeight="1" x14ac:dyDescent="0.2">
      <c r="A82" s="1845"/>
      <c r="B82" s="1688"/>
      <c r="C82" s="470" t="str">
        <f>F!C35</f>
        <v xml:space="preserve">1-25% </v>
      </c>
      <c r="D82" s="20">
        <f>F!D35</f>
        <v>0</v>
      </c>
      <c r="E82" s="388">
        <v>4</v>
      </c>
      <c r="F82" s="412">
        <f>D82*E82</f>
        <v>0</v>
      </c>
      <c r="G82" s="709"/>
      <c r="H82" s="1710"/>
    </row>
    <row r="83" spans="1:9" ht="15" customHeight="1" x14ac:dyDescent="0.2">
      <c r="A83" s="1845"/>
      <c r="B83" s="1688"/>
      <c r="C83" s="470" t="str">
        <f>F!C36</f>
        <v xml:space="preserve">25-50% </v>
      </c>
      <c r="D83" s="20">
        <f>F!D36</f>
        <v>0</v>
      </c>
      <c r="E83" s="388">
        <v>3</v>
      </c>
      <c r="F83" s="412">
        <f>D83*E83</f>
        <v>0</v>
      </c>
      <c r="G83" s="709"/>
      <c r="H83" s="1710"/>
    </row>
    <row r="84" spans="1:9" ht="15" customHeight="1" x14ac:dyDescent="0.2">
      <c r="A84" s="1845"/>
      <c r="B84" s="1688"/>
      <c r="C84" s="470" t="str">
        <f>F!C37</f>
        <v xml:space="preserve">50-95% </v>
      </c>
      <c r="D84" s="20">
        <f>F!D37</f>
        <v>0</v>
      </c>
      <c r="E84" s="388">
        <v>2</v>
      </c>
      <c r="F84" s="412">
        <f>D84*E84</f>
        <v>0</v>
      </c>
      <c r="G84" s="709"/>
      <c r="H84" s="1710"/>
    </row>
    <row r="85" spans="1:9" ht="15.6" customHeight="1" thickBot="1" x14ac:dyDescent="0.25">
      <c r="A85" s="1845"/>
      <c r="B85" s="1688"/>
      <c r="C85" s="470" t="str">
        <f>F!C38</f>
        <v xml:space="preserve">&gt;95% </v>
      </c>
      <c r="D85" s="20">
        <f>F!D38</f>
        <v>0</v>
      </c>
      <c r="E85" s="391">
        <v>1</v>
      </c>
      <c r="F85" s="414">
        <f>D85*E85</f>
        <v>0</v>
      </c>
      <c r="G85" s="718"/>
      <c r="H85" s="1710"/>
    </row>
    <row r="86" spans="1:9" ht="30" customHeight="1" thickBot="1" x14ac:dyDescent="0.25">
      <c r="A86" s="1954" t="str">
        <f>F!A44</f>
        <v>F9</v>
      </c>
      <c r="B86" s="1709" t="str">
        <f>F!B44</f>
        <v>Predominant Depth Class</v>
      </c>
      <c r="C86" s="231" t="str">
        <f>F!C44</f>
        <v>During most of the growing season, surface water depth in most of the area where it is present is: [Note: This is not asking for the maximum depth.]</v>
      </c>
      <c r="D86" s="392"/>
      <c r="E86" s="392"/>
      <c r="F86" s="410"/>
      <c r="G86" s="600">
        <f>IF((AllSat+AllSat1&gt;0),"", MAX(F87:F91)/MAX(E87:E91))</f>
        <v>0</v>
      </c>
      <c r="H86" s="1709" t="s">
        <v>5481</v>
      </c>
      <c r="I86" s="15" t="s">
        <v>435</v>
      </c>
    </row>
    <row r="87" spans="1:9" ht="15" customHeight="1" x14ac:dyDescent="0.2">
      <c r="A87" s="1955"/>
      <c r="B87" s="1710"/>
      <c r="C87" s="21" t="str">
        <f>F!C45</f>
        <v>&lt;0.5 ft deep (but &gt;0)</v>
      </c>
      <c r="D87" s="280">
        <f>F!D45</f>
        <v>0</v>
      </c>
      <c r="E87" s="54">
        <v>1</v>
      </c>
      <c r="F87" s="412">
        <f t="shared" ref="F87:F95" si="4">D87*E87</f>
        <v>0</v>
      </c>
      <c r="G87" s="708"/>
      <c r="H87" s="1710"/>
    </row>
    <row r="88" spans="1:9" ht="15" customHeight="1" x14ac:dyDescent="0.2">
      <c r="A88" s="1955"/>
      <c r="B88" s="1710"/>
      <c r="C88" s="6" t="str">
        <f>F!C46</f>
        <v>0.5 - 1 ft deep</v>
      </c>
      <c r="D88" s="46">
        <f>F!D46</f>
        <v>0</v>
      </c>
      <c r="E88" s="58">
        <v>3</v>
      </c>
      <c r="F88" s="412">
        <f t="shared" si="4"/>
        <v>0</v>
      </c>
      <c r="G88" s="709"/>
      <c r="H88" s="1710"/>
    </row>
    <row r="89" spans="1:9" ht="15" customHeight="1" x14ac:dyDescent="0.2">
      <c r="A89" s="1955"/>
      <c r="B89" s="1710"/>
      <c r="C89" s="6" t="str">
        <f>F!C47</f>
        <v>1-2 ft deep</v>
      </c>
      <c r="D89" s="46">
        <f>F!D47</f>
        <v>0</v>
      </c>
      <c r="E89" s="58">
        <v>7</v>
      </c>
      <c r="F89" s="412">
        <f t="shared" si="4"/>
        <v>0</v>
      </c>
      <c r="G89" s="709"/>
      <c r="H89" s="1710"/>
    </row>
    <row r="90" spans="1:9" ht="15" customHeight="1" x14ac:dyDescent="0.2">
      <c r="A90" s="1955"/>
      <c r="B90" s="1710"/>
      <c r="C90" s="6" t="str">
        <f>F!C48</f>
        <v>2-6 ft deep</v>
      </c>
      <c r="D90" s="46">
        <f>F!D48</f>
        <v>0</v>
      </c>
      <c r="E90" s="58">
        <v>5</v>
      </c>
      <c r="F90" s="412">
        <f t="shared" si="4"/>
        <v>0</v>
      </c>
      <c r="G90" s="709"/>
      <c r="H90" s="1710"/>
    </row>
    <row r="91" spans="1:9" ht="15.6" customHeight="1" thickBot="1" x14ac:dyDescent="0.25">
      <c r="A91" s="1956"/>
      <c r="B91" s="1711"/>
      <c r="C91" s="214" t="str">
        <f>F!C49</f>
        <v>&gt;6 ft deep.  True for many fringe wetlands.</v>
      </c>
      <c r="D91" s="213">
        <f>F!D49</f>
        <v>0</v>
      </c>
      <c r="E91" s="244">
        <v>2</v>
      </c>
      <c r="F91" s="416">
        <f t="shared" si="4"/>
        <v>0</v>
      </c>
      <c r="G91" s="710"/>
      <c r="H91" s="1711"/>
    </row>
    <row r="92" spans="1:9" ht="21" customHeight="1" thickBot="1" x14ac:dyDescent="0.25">
      <c r="A92" s="1952" t="str">
        <f>F!A50</f>
        <v>F10</v>
      </c>
      <c r="B92" s="1710" t="str">
        <f>F!B50</f>
        <v>Depth Class Distribution</v>
      </c>
      <c r="C92" s="385" t="str">
        <f>F!C50</f>
        <v>When present, surface water in most of the AA usually consists of (select one):</v>
      </c>
      <c r="D92" s="392"/>
      <c r="E92" s="387"/>
      <c r="F92" s="761"/>
      <c r="G92" s="601">
        <f>IF((AllSat+AllSat1&gt;0),"", MAX(F93:F95)/MAX(E93:E95))</f>
        <v>0</v>
      </c>
      <c r="H92" s="1710" t="s">
        <v>5482</v>
      </c>
      <c r="I92" s="15" t="s">
        <v>436</v>
      </c>
    </row>
    <row r="93" spans="1:9" ht="15" customHeight="1" x14ac:dyDescent="0.2">
      <c r="A93" s="1952"/>
      <c r="B93" s="1710"/>
      <c r="C93" s="21" t="str">
        <f>F!C51</f>
        <v>One depth class that comprises &gt;90% of the AA’s inundated area (use the classes in the question above).</v>
      </c>
      <c r="D93" s="280">
        <f>F!D51</f>
        <v>0</v>
      </c>
      <c r="E93" s="388">
        <v>0</v>
      </c>
      <c r="F93" s="869">
        <f>D92*E92</f>
        <v>0</v>
      </c>
      <c r="G93" s="708"/>
      <c r="H93" s="1710"/>
    </row>
    <row r="94" spans="1:9" ht="15" customHeight="1" x14ac:dyDescent="0.2">
      <c r="A94" s="1952"/>
      <c r="B94" s="1710"/>
      <c r="C94" s="6" t="str">
        <f>F!C52</f>
        <v>One depth class that comprises 50-90% of the AA's inundated area.</v>
      </c>
      <c r="D94" s="46">
        <f>F!D52</f>
        <v>0</v>
      </c>
      <c r="E94" s="48">
        <v>1</v>
      </c>
      <c r="F94" s="412">
        <f t="shared" si="4"/>
        <v>0</v>
      </c>
      <c r="G94" s="709"/>
      <c r="H94" s="1710"/>
    </row>
    <row r="95" spans="1:9" ht="15.6" customHeight="1" thickBot="1" x14ac:dyDescent="0.25">
      <c r="A95" s="1952"/>
      <c r="B95" s="1710"/>
      <c r="C95" s="470" t="str">
        <f>F!C53</f>
        <v>Neither of above.  Multiple depth classes; none occupy more than 50% of the AA.</v>
      </c>
      <c r="D95" s="20">
        <f>F!D53</f>
        <v>0</v>
      </c>
      <c r="E95" s="47">
        <v>2</v>
      </c>
      <c r="F95" s="414">
        <f t="shared" si="4"/>
        <v>0</v>
      </c>
      <c r="G95" s="718"/>
      <c r="H95" s="1710"/>
    </row>
    <row r="96" spans="1:9" ht="45" customHeight="1" thickBot="1" x14ac:dyDescent="0.25">
      <c r="A96" s="2018" t="str">
        <f>F!A71</f>
        <v>F15</v>
      </c>
      <c r="B96" s="1709" t="str">
        <f>F!B71</f>
        <v>All Ponded Water - Extent</v>
      </c>
      <c r="C96" s="231" t="str">
        <f>F!C71</f>
        <v>During most of the growing season, the percentage of the AA that has ponded surface water (stagnant, or flows so slowly that fine sediment is not held in suspension) which is either open or shaded by emergent vegetation is:</v>
      </c>
      <c r="D96" s="392"/>
      <c r="E96" s="392"/>
      <c r="F96" s="410"/>
      <c r="G96" s="600">
        <f>IF((AllSat+AllSat1&gt;0),"", MAX(F97:F103)/MAX(E97:E103))</f>
        <v>0</v>
      </c>
      <c r="H96" s="1709" t="s">
        <v>5483</v>
      </c>
      <c r="I96" s="15" t="s">
        <v>433</v>
      </c>
    </row>
    <row r="97" spans="1:9" ht="15" customHeight="1" x14ac:dyDescent="0.2">
      <c r="A97" s="1955"/>
      <c r="B97" s="1710"/>
      <c r="C97" s="21" t="str">
        <f>F!C72</f>
        <v>&lt;1% or none, or occupies &lt;100 sq. ft cumulatively.  Enter "1" and SKIP to F19.</v>
      </c>
      <c r="D97" s="280">
        <f>F!D72</f>
        <v>0</v>
      </c>
      <c r="E97" s="388">
        <v>0</v>
      </c>
      <c r="F97" s="412">
        <f t="shared" ref="F97:F103" si="5">D97*E97</f>
        <v>0</v>
      </c>
      <c r="G97" s="708"/>
      <c r="H97" s="1710"/>
    </row>
    <row r="98" spans="1:9" ht="15" customHeight="1" x14ac:dyDescent="0.2">
      <c r="A98" s="1955"/>
      <c r="B98" s="1710"/>
      <c r="C98" s="6" t="str">
        <f>F!C73</f>
        <v>1-25% of the AA, and mainly in small fishless pools. Enter "1" and SKIP to F19.</v>
      </c>
      <c r="D98" s="46">
        <f>F!D73</f>
        <v>0</v>
      </c>
      <c r="E98" s="388">
        <v>1</v>
      </c>
      <c r="F98" s="412">
        <f t="shared" si="5"/>
        <v>0</v>
      </c>
      <c r="G98" s="709"/>
      <c r="H98" s="1710"/>
    </row>
    <row r="99" spans="1:9" ht="15" customHeight="1" x14ac:dyDescent="0.2">
      <c r="A99" s="1955"/>
      <c r="B99" s="1710"/>
      <c r="C99" s="6" t="str">
        <f>F!C74</f>
        <v>1-25% of the AA, and mainly in a single large pool or pond, with or without fish access.</v>
      </c>
      <c r="D99" s="46">
        <f>F!D74</f>
        <v>0</v>
      </c>
      <c r="E99" s="388">
        <v>2</v>
      </c>
      <c r="F99" s="412">
        <f t="shared" si="5"/>
        <v>0</v>
      </c>
      <c r="G99" s="709"/>
      <c r="H99" s="1710"/>
    </row>
    <row r="100" spans="1:9" ht="15" customHeight="1" x14ac:dyDescent="0.2">
      <c r="A100" s="1955"/>
      <c r="B100" s="1710"/>
      <c r="C100" s="6" t="str">
        <f>F!C75</f>
        <v>5-30% of the AA.</v>
      </c>
      <c r="D100" s="46">
        <f>F!D75</f>
        <v>0</v>
      </c>
      <c r="E100" s="388">
        <v>3</v>
      </c>
      <c r="F100" s="412">
        <f t="shared" si="5"/>
        <v>0</v>
      </c>
      <c r="G100" s="709"/>
      <c r="H100" s="1710"/>
    </row>
    <row r="101" spans="1:9" ht="15" customHeight="1" x14ac:dyDescent="0.2">
      <c r="A101" s="1955"/>
      <c r="B101" s="1710"/>
      <c r="C101" s="6" t="str">
        <f>F!C76</f>
        <v>30-70% of the AA.</v>
      </c>
      <c r="D101" s="46">
        <f>F!D76</f>
        <v>0</v>
      </c>
      <c r="E101" s="388">
        <v>4</v>
      </c>
      <c r="F101" s="412">
        <f t="shared" si="5"/>
        <v>0</v>
      </c>
      <c r="G101" s="718"/>
      <c r="H101" s="1710"/>
    </row>
    <row r="102" spans="1:9" ht="15" customHeight="1" x14ac:dyDescent="0.2">
      <c r="A102" s="1955"/>
      <c r="B102" s="1710"/>
      <c r="C102" s="6" t="str">
        <f>F!C77</f>
        <v>70-95% of the AA.</v>
      </c>
      <c r="D102" s="46">
        <f>F!D77</f>
        <v>0</v>
      </c>
      <c r="E102" s="388">
        <v>5</v>
      </c>
      <c r="F102" s="412">
        <f t="shared" si="5"/>
        <v>0</v>
      </c>
      <c r="G102" s="718"/>
      <c r="H102" s="1710"/>
    </row>
    <row r="103" spans="1:9" ht="15.6" customHeight="1" thickBot="1" x14ac:dyDescent="0.25">
      <c r="A103" s="1956"/>
      <c r="B103" s="1711"/>
      <c r="C103" s="214" t="str">
        <f>F!C78</f>
        <v>&gt;95% of the AA.</v>
      </c>
      <c r="D103" s="213">
        <f>F!D78</f>
        <v>0</v>
      </c>
      <c r="E103" s="389">
        <v>6</v>
      </c>
      <c r="F103" s="416">
        <f t="shared" si="5"/>
        <v>0</v>
      </c>
      <c r="G103" s="710"/>
      <c r="H103" s="1711"/>
    </row>
    <row r="104" spans="1:9" ht="30" customHeight="1" thickBot="1" x14ac:dyDescent="0.25">
      <c r="A104" s="2083" t="str">
        <f>F!A79</f>
        <v>F16</v>
      </c>
      <c r="B104" s="1687" t="str">
        <f>F!B79</f>
        <v>Open Ponded Water - Extent</v>
      </c>
      <c r="C104" s="214" t="str">
        <f>F!C79</f>
        <v>The percentage of the ponded water that is open (lacking emergent vegetation during most of the growing season, and unhidden by a forest or shrub canopy) is:</v>
      </c>
      <c r="D104" s="392"/>
      <c r="E104" s="387"/>
      <c r="F104" s="409"/>
      <c r="G104" s="601">
        <f>IF((AllSat+AllSat1&gt;0),"",IF((OR(puddles=1,NoPonded=1)),"", MAX(F105:F110)/MAX(E105:E110)))</f>
        <v>0</v>
      </c>
      <c r="H104" s="1710" t="s">
        <v>5484</v>
      </c>
      <c r="I104" s="15" t="s">
        <v>432</v>
      </c>
    </row>
    <row r="105" spans="1:9" ht="15" customHeight="1" x14ac:dyDescent="0.2">
      <c r="A105" s="1845"/>
      <c r="B105" s="1688"/>
      <c r="C105" s="1588" t="str">
        <f>F!C80</f>
        <v>&lt;1% or none, or largest pool occupies &lt;100 sq. ft.  Enter "1" and SKIP to F19.</v>
      </c>
      <c r="D105" s="46">
        <f>F!D80</f>
        <v>0</v>
      </c>
      <c r="E105" s="388">
        <v>1</v>
      </c>
      <c r="F105" s="412">
        <f t="shared" ref="F105:F110" si="6">D105*E105</f>
        <v>0</v>
      </c>
      <c r="G105" s="708"/>
      <c r="H105" s="1710"/>
    </row>
    <row r="106" spans="1:9" ht="15" customHeight="1" x14ac:dyDescent="0.2">
      <c r="A106" s="1845"/>
      <c r="B106" s="1688"/>
      <c r="C106" s="1587" t="str">
        <f>F!C81</f>
        <v>1-5% of the ponded water.  Enter "1" and SKIP to F19.</v>
      </c>
      <c r="D106" s="46">
        <f>F!D81</f>
        <v>0</v>
      </c>
      <c r="E106" s="388">
        <v>2</v>
      </c>
      <c r="F106" s="412">
        <f t="shared" si="6"/>
        <v>0</v>
      </c>
      <c r="G106" s="709"/>
      <c r="H106" s="1710"/>
    </row>
    <row r="107" spans="1:9" ht="15" customHeight="1" x14ac:dyDescent="0.2">
      <c r="A107" s="1845"/>
      <c r="B107" s="1688"/>
      <c r="C107" s="1587" t="str">
        <f>F!C82</f>
        <v>5-30% of the ponded water.</v>
      </c>
      <c r="D107" s="280">
        <f>F!D82</f>
        <v>0</v>
      </c>
      <c r="E107" s="388">
        <v>5</v>
      </c>
      <c r="F107" s="412">
        <f t="shared" si="6"/>
        <v>0</v>
      </c>
      <c r="G107" s="709"/>
      <c r="H107" s="1710"/>
    </row>
    <row r="108" spans="1:9" ht="15" customHeight="1" x14ac:dyDescent="0.2">
      <c r="A108" s="1845"/>
      <c r="B108" s="1688"/>
      <c r="C108" s="1589" t="str">
        <f>F!C83</f>
        <v>30-70% of the ponded water.</v>
      </c>
      <c r="D108" s="280">
        <f>F!D83</f>
        <v>0</v>
      </c>
      <c r="E108" s="388">
        <v>7</v>
      </c>
      <c r="F108" s="412">
        <f t="shared" si="6"/>
        <v>0</v>
      </c>
      <c r="G108" s="709"/>
      <c r="H108" s="1710"/>
    </row>
    <row r="109" spans="1:9" ht="15" customHeight="1" x14ac:dyDescent="0.2">
      <c r="A109" s="1845"/>
      <c r="B109" s="1688"/>
      <c r="C109" s="1589" t="str">
        <f>F!C84</f>
        <v>70-99% of the ponded water.</v>
      </c>
      <c r="D109" s="280">
        <f>F!D84</f>
        <v>0</v>
      </c>
      <c r="E109" s="388">
        <v>4</v>
      </c>
      <c r="F109" s="412">
        <f t="shared" si="6"/>
        <v>0</v>
      </c>
      <c r="G109" s="718"/>
      <c r="H109" s="1710"/>
    </row>
    <row r="110" spans="1:9" ht="15.6" customHeight="1" thickBot="1" x14ac:dyDescent="0.25">
      <c r="A110" s="1900"/>
      <c r="B110" s="1689"/>
      <c r="C110" s="702" t="str">
        <f>F!C85</f>
        <v>100% of the ponded water. SKIP to F18.</v>
      </c>
      <c r="D110" s="317">
        <f>F!D85</f>
        <v>0</v>
      </c>
      <c r="E110" s="407">
        <v>3</v>
      </c>
      <c r="F110" s="414">
        <f t="shared" si="6"/>
        <v>0</v>
      </c>
      <c r="G110" s="718"/>
      <c r="H110" s="1710"/>
    </row>
    <row r="111" spans="1:9" ht="32.25" customHeight="1" thickBot="1" x14ac:dyDescent="0.25">
      <c r="A111" s="1896" t="str">
        <f>F!A86</f>
        <v>F17</v>
      </c>
      <c r="B111" s="1692" t="str">
        <f>F!B86</f>
        <v>Emergent Vegetation - Distribution</v>
      </c>
      <c r="C111" s="231" t="str">
        <f>F!C86</f>
        <v>During most of the growing season, the spatial pattern of herbaceous vegetation that has surface water beneath it (emergent vegetation -- NOT floating-leaved plants) is mostly:</v>
      </c>
      <c r="D111" s="392"/>
      <c r="E111" s="392"/>
      <c r="F111" s="410"/>
      <c r="G111" s="600">
        <f>IF((AllSat+AllSat1&gt;0),"",IF((OR(puddles=1,NoPonded=1)),"",IF((NoOpenPonded+NoOpenPonded1&gt;0),"",IF((AllOpenPond=1),"",MAX(F112:F114)/MAX(E112:E114)))))</f>
        <v>0</v>
      </c>
      <c r="H111" s="1687" t="s">
        <v>5485</v>
      </c>
      <c r="I111" s="15" t="s">
        <v>437</v>
      </c>
    </row>
    <row r="112" spans="1:9" ht="15" customHeight="1" x14ac:dyDescent="0.2">
      <c r="A112" s="1869"/>
      <c r="B112" s="1688"/>
      <c r="C112" s="21" t="str">
        <f>F!C87</f>
        <v>scattered in small clumps, islands, or patches throughout the surface water area.</v>
      </c>
      <c r="D112" s="280">
        <f>F!D87</f>
        <v>0</v>
      </c>
      <c r="E112" s="388">
        <v>3</v>
      </c>
      <c r="F112" s="412">
        <f>D112*E112</f>
        <v>0</v>
      </c>
      <c r="G112" s="869"/>
      <c r="H112" s="1688"/>
    </row>
    <row r="113" spans="1:9" ht="15" customHeight="1" x14ac:dyDescent="0.2">
      <c r="A113" s="1869"/>
      <c r="B113" s="1688"/>
      <c r="C113" s="6" t="str">
        <f>F!C88</f>
        <v>intermediate</v>
      </c>
      <c r="D113" s="46">
        <f>F!D88</f>
        <v>0</v>
      </c>
      <c r="E113" s="388">
        <v>2</v>
      </c>
      <c r="F113" s="412">
        <f>D113*E113</f>
        <v>0</v>
      </c>
      <c r="G113" s="869"/>
      <c r="H113" s="1688"/>
    </row>
    <row r="114" spans="1:9" ht="27.6" customHeight="1" thickBot="1" x14ac:dyDescent="0.25">
      <c r="A114" s="1870"/>
      <c r="B114" s="1689"/>
      <c r="C114" s="214" t="str">
        <f>F!C89</f>
        <v>clumped along the margin of the surface water area, or mostly surrounds a channel or central area of open water, or such vegetation covers &lt;100 sq ft and &lt;1% of the AA.</v>
      </c>
      <c r="D114" s="213">
        <f>F!D89</f>
        <v>0</v>
      </c>
      <c r="E114" s="389">
        <v>1</v>
      </c>
      <c r="F114" s="416">
        <f>D114*E114</f>
        <v>0</v>
      </c>
      <c r="G114" s="870"/>
      <c r="H114" s="1689"/>
    </row>
    <row r="115" spans="1:9" ht="60" customHeight="1" thickBot="1" x14ac:dyDescent="0.25">
      <c r="A115" s="217" t="str">
        <f>F!A90</f>
        <v>F18</v>
      </c>
      <c r="B115" s="5" t="str">
        <f>F!B90</f>
        <v>Floating Algae &amp; Duckweed</v>
      </c>
      <c r="C115" s="205" t="str">
        <f>F!C90</f>
        <v>At some time of the year, mats of algae and/or duckweed cover most of the AA's otherwise-unshaded water surface or blanket the underwater substrate.  If true, enter "1" in next column.  If untrue or uncertain, enter "0".</v>
      </c>
      <c r="D115" s="258">
        <f>F!D90</f>
        <v>0</v>
      </c>
      <c r="E115" s="411"/>
      <c r="F115" s="422"/>
      <c r="G115" s="600" t="str">
        <f>IF((AllSat+AllSat1&gt;0),"",IF((OR(puddles=1,NoPonded=1)),"",IF((OR(NoOpenPonded=1,NoOpenPonded1=1)),"",IF((D115=0),"",1))))</f>
        <v/>
      </c>
      <c r="H115" s="5" t="s">
        <v>5486</v>
      </c>
      <c r="I115" s="15" t="s">
        <v>2043</v>
      </c>
    </row>
    <row r="116" spans="1:9" ht="45" customHeight="1" thickBot="1" x14ac:dyDescent="0.25">
      <c r="A116" s="149" t="str">
        <f>F!A91</f>
        <v>F19</v>
      </c>
      <c r="B116" s="143" t="str">
        <f>F!B91</f>
        <v>Ice Cover</v>
      </c>
      <c r="C116" s="19" t="str">
        <f>F!C91</f>
        <v>Ice (not just snow) covers nearly all of the AA's water surface for more than 4 continuous weeks during most years, potentially altering the air-water exchange.  If true, enter "1" in next column.  If untrue, enter "0".</v>
      </c>
      <c r="D116" s="380">
        <f>F!D91</f>
        <v>0</v>
      </c>
      <c r="E116" s="407">
        <v>1</v>
      </c>
      <c r="F116" s="787">
        <f>D116*E116</f>
        <v>0</v>
      </c>
      <c r="G116" s="424">
        <f>IF((AllSat+AllSat1&gt;0),"", 1-D116)</f>
        <v>1</v>
      </c>
      <c r="H116" s="109" t="s">
        <v>5487</v>
      </c>
      <c r="I116" s="15" t="s">
        <v>428</v>
      </c>
    </row>
    <row r="117" spans="1:9" ht="21" customHeight="1" thickBot="1" x14ac:dyDescent="0.25">
      <c r="A117" s="1868" t="str">
        <f>F!A94</f>
        <v>F22</v>
      </c>
      <c r="B117" s="1687" t="str">
        <f>F!B94</f>
        <v>Beaver</v>
      </c>
      <c r="C117" s="231" t="str">
        <f>F!C94</f>
        <v>Use of the AA by beaver during the past 5 years is (select most applicable ONE):</v>
      </c>
      <c r="D117" s="392"/>
      <c r="E117" s="392"/>
      <c r="F117" s="410"/>
      <c r="G117" s="600">
        <f>IF((AllSat+AllSat1&gt;0),"", MAX(F118:F121)/MAX(E118:E121))</f>
        <v>0</v>
      </c>
      <c r="H117" s="1701" t="s">
        <v>5394</v>
      </c>
      <c r="I117" s="15" t="s">
        <v>453</v>
      </c>
    </row>
    <row r="118" spans="1:9" ht="27" customHeight="1" x14ac:dyDescent="0.2">
      <c r="A118" s="1869"/>
      <c r="B118" s="1688"/>
      <c r="C118" s="21" t="str">
        <f>F!C95</f>
        <v>evident from direct observation or presence of gnawed limbs, dams, tracks, dens, lodges, or extensive stands of water-killed trees (snags).</v>
      </c>
      <c r="D118" s="280">
        <f>F!D95</f>
        <v>0</v>
      </c>
      <c r="E118" s="387">
        <v>4</v>
      </c>
      <c r="F118" s="412">
        <f>D118*E118</f>
        <v>0</v>
      </c>
      <c r="G118" s="708"/>
      <c r="H118" s="1702"/>
    </row>
    <row r="119" spans="1:9" ht="42" customHeight="1" x14ac:dyDescent="0.2">
      <c r="A119" s="1869"/>
      <c r="B119" s="1688"/>
      <c r="C119" s="6"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19" s="46">
        <f>F!D96</f>
        <v>0</v>
      </c>
      <c r="E119" s="387">
        <v>2</v>
      </c>
      <c r="F119" s="412">
        <f>D119*E119</f>
        <v>0</v>
      </c>
      <c r="G119" s="709"/>
      <c r="H119" s="1702"/>
    </row>
    <row r="120" spans="1:9" ht="27" customHeight="1" x14ac:dyDescent="0.2">
      <c r="A120" s="1869"/>
      <c r="B120" s="1688"/>
      <c r="C120" s="6" t="str">
        <f>F!C97</f>
        <v>unlikely because site characteristics above are deficient, and/or this is a settled area or other area where beaver are routinely removed.  But beaver occur in the region (i.e., within 10 miles, or on same island).</v>
      </c>
      <c r="D120" s="46">
        <f>F!D97</f>
        <v>0</v>
      </c>
      <c r="E120" s="387">
        <v>1</v>
      </c>
      <c r="F120" s="412">
        <f>D120*E120</f>
        <v>0</v>
      </c>
      <c r="G120" s="709"/>
      <c r="H120" s="1702"/>
    </row>
    <row r="121" spans="1:9" ht="16.899999999999999" customHeight="1" thickBot="1" x14ac:dyDescent="0.25">
      <c r="A121" s="1870"/>
      <c r="B121" s="1689"/>
      <c r="C121" s="214" t="str">
        <f>F!C98</f>
        <v>none.  Beaver are absent from the region and/or the island.</v>
      </c>
      <c r="D121" s="213">
        <f>F!D98</f>
        <v>0</v>
      </c>
      <c r="E121" s="402">
        <v>0</v>
      </c>
      <c r="F121" s="416">
        <f>D121*E121</f>
        <v>0</v>
      </c>
      <c r="G121" s="710"/>
      <c r="H121" s="1712"/>
    </row>
    <row r="122" spans="1:9" ht="30" customHeight="1" thickBot="1" x14ac:dyDescent="0.25">
      <c r="A122" s="1845" t="str">
        <f>F!A134</f>
        <v>F31</v>
      </c>
      <c r="B122" s="1688" t="str">
        <f>F!B134</f>
        <v>Woody Cover Extent</v>
      </c>
      <c r="C122" s="385" t="str">
        <f>F!C134</f>
        <v>Within the entire vegetated part of the AA, the percentage occupied by woody plants taller than 3 feet (shrubs, trees) is:</v>
      </c>
      <c r="D122" s="392"/>
      <c r="E122" s="387"/>
      <c r="F122" s="418"/>
      <c r="G122" s="601">
        <f>MAX(F123:F127)/MAX(E123:E127)</f>
        <v>0</v>
      </c>
      <c r="H122" s="1688" t="s">
        <v>2228</v>
      </c>
      <c r="I122" s="15" t="s">
        <v>2114</v>
      </c>
    </row>
    <row r="123" spans="1:9" ht="15" customHeight="1" x14ac:dyDescent="0.2">
      <c r="A123" s="1845"/>
      <c r="B123" s="1688"/>
      <c r="C123" s="21" t="str">
        <f>F!C135</f>
        <v>&lt;5% of the vegetated AA, or there is no woody vegetation in the AA.  SKIP to F41.</v>
      </c>
      <c r="D123" s="280">
        <f>F!D135</f>
        <v>0</v>
      </c>
      <c r="E123" s="388">
        <v>4</v>
      </c>
      <c r="F123" s="414">
        <f>D123*E123</f>
        <v>0</v>
      </c>
      <c r="G123" s="559"/>
      <c r="H123" s="1688"/>
    </row>
    <row r="124" spans="1:9" ht="15" customHeight="1" x14ac:dyDescent="0.2">
      <c r="A124" s="1845"/>
      <c r="B124" s="1688"/>
      <c r="C124" s="6" t="str">
        <f>F!C136</f>
        <v xml:space="preserve">5-25%.  </v>
      </c>
      <c r="D124" s="46">
        <f>F!D136</f>
        <v>0</v>
      </c>
      <c r="E124" s="388">
        <v>3</v>
      </c>
      <c r="F124" s="414">
        <f>D124*E124</f>
        <v>0</v>
      </c>
      <c r="G124" s="559"/>
      <c r="H124" s="1688"/>
    </row>
    <row r="125" spans="1:9" ht="15" customHeight="1" x14ac:dyDescent="0.2">
      <c r="A125" s="1845"/>
      <c r="B125" s="1688"/>
      <c r="C125" s="6" t="str">
        <f>F!C137</f>
        <v>25-50%</v>
      </c>
      <c r="D125" s="46">
        <f>F!D137</f>
        <v>0</v>
      </c>
      <c r="E125" s="388">
        <v>2</v>
      </c>
      <c r="F125" s="414">
        <f>D125*E125</f>
        <v>0</v>
      </c>
      <c r="G125" s="559"/>
      <c r="H125" s="1688"/>
    </row>
    <row r="126" spans="1:9" ht="15" customHeight="1" x14ac:dyDescent="0.2">
      <c r="A126" s="1845"/>
      <c r="B126" s="1688"/>
      <c r="C126" s="6" t="str">
        <f>F!C138</f>
        <v>50-75%</v>
      </c>
      <c r="D126" s="46">
        <f>F!D138</f>
        <v>0</v>
      </c>
      <c r="E126" s="388">
        <v>1</v>
      </c>
      <c r="F126" s="414">
        <f>D126*E126</f>
        <v>0</v>
      </c>
      <c r="G126" s="559"/>
      <c r="H126" s="1688"/>
    </row>
    <row r="127" spans="1:9" ht="15.6" customHeight="1" thickBot="1" x14ac:dyDescent="0.25">
      <c r="A127" s="1845"/>
      <c r="B127" s="1688"/>
      <c r="C127" s="470" t="str">
        <f>F!C139</f>
        <v>&gt;75%</v>
      </c>
      <c r="D127" s="20">
        <f>F!D139</f>
        <v>0</v>
      </c>
      <c r="E127" s="391">
        <v>0</v>
      </c>
      <c r="F127" s="414">
        <f>D127*E127</f>
        <v>0</v>
      </c>
      <c r="G127" s="562"/>
      <c r="H127" s="1688"/>
    </row>
    <row r="128" spans="1:9" ht="30" customHeight="1" thickBot="1" x14ac:dyDescent="0.25">
      <c r="A128" s="1954" t="str">
        <f>F!A221</f>
        <v>F47</v>
      </c>
      <c r="B128" s="1709" t="str">
        <f>F!B221</f>
        <v>Shorebird Feeding Habitats</v>
      </c>
      <c r="C128" s="231" t="str">
        <f>F!C221</f>
        <v>During any 2 consecutive weeks of the growing season, the extent of waters shallower than 2 inches plus bare saturated substrate (e.g., mudflat), neither obscured by a vegetation canopy, is:</v>
      </c>
      <c r="D128" s="392"/>
      <c r="E128" s="392"/>
      <c r="F128" s="410"/>
      <c r="G128" s="600">
        <f>MAX(F129:F132)/MAX(E129:E132)</f>
        <v>0</v>
      </c>
      <c r="H128" s="1709" t="s">
        <v>105</v>
      </c>
      <c r="I128" s="15" t="s">
        <v>439</v>
      </c>
    </row>
    <row r="129" spans="1:9" ht="15" customHeight="1" x14ac:dyDescent="0.2">
      <c r="A129" s="1955"/>
      <c r="B129" s="1710"/>
      <c r="C129" s="21" t="str">
        <f>F!C222</f>
        <v>none, or &lt;100 sq. ft within the AA.</v>
      </c>
      <c r="D129" s="280">
        <f>F!D222</f>
        <v>0</v>
      </c>
      <c r="E129" s="388">
        <v>0</v>
      </c>
      <c r="F129" s="412">
        <f>D129*E129</f>
        <v>0</v>
      </c>
      <c r="G129" s="708"/>
      <c r="H129" s="1710"/>
    </row>
    <row r="130" spans="1:9" ht="15" customHeight="1" x14ac:dyDescent="0.2">
      <c r="A130" s="1955"/>
      <c r="B130" s="1710"/>
      <c r="C130" s="6" t="str">
        <f>F!C223</f>
        <v>100-1000 sq. ft. within the AA.</v>
      </c>
      <c r="D130" s="46">
        <f>F!D223</f>
        <v>0</v>
      </c>
      <c r="E130" s="388">
        <v>2</v>
      </c>
      <c r="F130" s="412">
        <f>D130*E130</f>
        <v>0</v>
      </c>
      <c r="G130" s="709"/>
      <c r="H130" s="1710"/>
    </row>
    <row r="131" spans="1:9" ht="15" customHeight="1" x14ac:dyDescent="0.2">
      <c r="A131" s="1955"/>
      <c r="B131" s="1710"/>
      <c r="C131" s="6" t="str">
        <f>F!C224</f>
        <v>1000 – 10,000 sq. ft. within the AA.</v>
      </c>
      <c r="D131" s="46">
        <f>F!D224</f>
        <v>0</v>
      </c>
      <c r="E131" s="388">
        <v>3</v>
      </c>
      <c r="F131" s="412">
        <f>D131*E131</f>
        <v>0</v>
      </c>
      <c r="G131" s="709"/>
      <c r="H131" s="1710"/>
    </row>
    <row r="132" spans="1:9" ht="15.6" customHeight="1" thickBot="1" x14ac:dyDescent="0.25">
      <c r="A132" s="1956"/>
      <c r="B132" s="1711"/>
      <c r="C132" s="214" t="str">
        <f>F!C225</f>
        <v>&gt;10,000 sq. ft within the AA.</v>
      </c>
      <c r="D132" s="213">
        <f>F!D225</f>
        <v>0</v>
      </c>
      <c r="E132" s="389">
        <v>4</v>
      </c>
      <c r="F132" s="416">
        <f>D132*E132</f>
        <v>0</v>
      </c>
      <c r="G132" s="710"/>
      <c r="H132" s="1711"/>
    </row>
    <row r="133" spans="1:9" ht="54" customHeight="1" thickBot="1" x14ac:dyDescent="0.25">
      <c r="A133" s="1954" t="str">
        <f>F!A226</f>
        <v>F48</v>
      </c>
      <c r="B133" s="1709" t="str">
        <f>F!B226</f>
        <v>Largest Herbaceous Patch</v>
      </c>
      <c r="C133" s="231"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133" s="392"/>
      <c r="E133" s="392"/>
      <c r="F133" s="410"/>
      <c r="G133" s="600">
        <f>MAX(F134:F139)/MAX(E134:E139)</f>
        <v>0</v>
      </c>
      <c r="H133" s="1709" t="s">
        <v>283</v>
      </c>
      <c r="I133" s="15" t="s">
        <v>443</v>
      </c>
    </row>
    <row r="134" spans="1:9" ht="15" customHeight="1" x14ac:dyDescent="0.2">
      <c r="A134" s="1955"/>
      <c r="B134" s="1710"/>
      <c r="C134" s="21" t="str">
        <f>F!C227</f>
        <v>&lt;0.1 acre.  SKIP to F54.</v>
      </c>
      <c r="D134" s="280">
        <f>F!D227</f>
        <v>0</v>
      </c>
      <c r="E134" s="388">
        <v>0</v>
      </c>
      <c r="F134" s="412">
        <f t="shared" ref="F134:F139" si="7">D134*E134</f>
        <v>0</v>
      </c>
      <c r="G134" s="708"/>
      <c r="H134" s="1710"/>
    </row>
    <row r="135" spans="1:9" ht="15" customHeight="1" x14ac:dyDescent="0.2">
      <c r="A135" s="1955"/>
      <c r="B135" s="1710"/>
      <c r="C135" s="6" t="str">
        <f>F!C228</f>
        <v>0.1 - 1 acre</v>
      </c>
      <c r="D135" s="46">
        <f>F!D228</f>
        <v>0</v>
      </c>
      <c r="E135" s="388">
        <v>2</v>
      </c>
      <c r="F135" s="412">
        <f t="shared" si="7"/>
        <v>0</v>
      </c>
      <c r="G135" s="709"/>
      <c r="H135" s="1710"/>
    </row>
    <row r="136" spans="1:9" ht="15" customHeight="1" x14ac:dyDescent="0.2">
      <c r="A136" s="1955"/>
      <c r="B136" s="1710"/>
      <c r="C136" s="6" t="str">
        <f>F!C229</f>
        <v>1 to 10 acres</v>
      </c>
      <c r="D136" s="46">
        <f>F!D229</f>
        <v>0</v>
      </c>
      <c r="E136" s="388">
        <v>5</v>
      </c>
      <c r="F136" s="412">
        <f t="shared" si="7"/>
        <v>0</v>
      </c>
      <c r="G136" s="709"/>
      <c r="H136" s="1710"/>
    </row>
    <row r="137" spans="1:9" ht="15" customHeight="1" x14ac:dyDescent="0.2">
      <c r="A137" s="1955"/>
      <c r="B137" s="1710"/>
      <c r="C137" s="6" t="str">
        <f>F!C230</f>
        <v>10 to 100 acres</v>
      </c>
      <c r="D137" s="46">
        <f>F!D230</f>
        <v>0</v>
      </c>
      <c r="E137" s="388">
        <v>7</v>
      </c>
      <c r="F137" s="412">
        <f t="shared" si="7"/>
        <v>0</v>
      </c>
      <c r="G137" s="709"/>
      <c r="H137" s="1710"/>
    </row>
    <row r="138" spans="1:9" ht="15" customHeight="1" x14ac:dyDescent="0.2">
      <c r="A138" s="1955"/>
      <c r="B138" s="1710"/>
      <c r="C138" s="6" t="str">
        <f>F!C231</f>
        <v>100 to 1000 acres</v>
      </c>
      <c r="D138" s="46">
        <f>F!D231</f>
        <v>0</v>
      </c>
      <c r="E138" s="388">
        <v>9</v>
      </c>
      <c r="F138" s="412">
        <f t="shared" si="7"/>
        <v>0</v>
      </c>
      <c r="G138" s="709"/>
      <c r="H138" s="1710"/>
    </row>
    <row r="139" spans="1:9" ht="15.6" customHeight="1" thickBot="1" x14ac:dyDescent="0.25">
      <c r="A139" s="1956"/>
      <c r="B139" s="1711"/>
      <c r="C139" s="214" t="str">
        <f>F!C232</f>
        <v>&gt;1000 acres</v>
      </c>
      <c r="D139" s="213">
        <f>F!D232</f>
        <v>0</v>
      </c>
      <c r="E139" s="389">
        <v>10</v>
      </c>
      <c r="F139" s="416">
        <f t="shared" si="7"/>
        <v>0</v>
      </c>
      <c r="G139" s="710"/>
      <c r="H139" s="1711"/>
    </row>
    <row r="140" spans="1:9" ht="30" customHeight="1" thickBot="1" x14ac:dyDescent="0.25">
      <c r="A140" s="1952" t="str">
        <f>F!A233</f>
        <v>F49</v>
      </c>
      <c r="B140" s="1710" t="str">
        <f>F!B233</f>
        <v>Unshaded Herbaceous Extent</v>
      </c>
      <c r="C140" s="385" t="str">
        <f>F!C233</f>
        <v>As visible in birds-eye view, herbaceous vegetation (excluding mosses and submerged and floating aquatics) comprises:</v>
      </c>
      <c r="D140" s="392"/>
      <c r="E140" s="387"/>
      <c r="F140" s="409"/>
      <c r="G140" s="601">
        <f>IF((NoHerbCov=1),"",MAX(F141:F145)/MAX(E141:E145))</f>
        <v>0</v>
      </c>
      <c r="H140" s="1710" t="s">
        <v>1328</v>
      </c>
      <c r="I140" s="15" t="s">
        <v>438</v>
      </c>
    </row>
    <row r="141" spans="1:9" ht="15" customHeight="1" x14ac:dyDescent="0.2">
      <c r="A141" s="1952"/>
      <c r="B141" s="1710"/>
      <c r="C141" s="21" t="str">
        <f>F!C234</f>
        <v>&lt;5% of the vegetated part of the AA.  Mark "1" here and SKIP to F54.</v>
      </c>
      <c r="D141" s="280">
        <f>F!D234</f>
        <v>0</v>
      </c>
      <c r="E141" s="388">
        <v>0</v>
      </c>
      <c r="F141" s="412">
        <f>D141*E141</f>
        <v>0</v>
      </c>
      <c r="G141" s="708"/>
      <c r="H141" s="1710"/>
    </row>
    <row r="142" spans="1:9" ht="15" customHeight="1" x14ac:dyDescent="0.2">
      <c r="A142" s="1952"/>
      <c r="B142" s="1710"/>
      <c r="C142" s="6" t="str">
        <f>F!C235</f>
        <v xml:space="preserve">5-25% of the vegetated AA </v>
      </c>
      <c r="D142" s="46">
        <f>F!D235</f>
        <v>0</v>
      </c>
      <c r="E142" s="388">
        <v>2</v>
      </c>
      <c r="F142" s="412">
        <f>D142*E142</f>
        <v>0</v>
      </c>
      <c r="G142" s="709"/>
      <c r="H142" s="1710"/>
    </row>
    <row r="143" spans="1:9" ht="15" customHeight="1" x14ac:dyDescent="0.2">
      <c r="A143" s="1952"/>
      <c r="B143" s="1710"/>
      <c r="C143" s="6" t="str">
        <f>F!C236</f>
        <v xml:space="preserve">25-50% of the vegetated AA </v>
      </c>
      <c r="D143" s="46">
        <f>F!D236</f>
        <v>0</v>
      </c>
      <c r="E143" s="388">
        <v>3</v>
      </c>
      <c r="F143" s="412">
        <f>D143*E143</f>
        <v>0</v>
      </c>
      <c r="G143" s="709"/>
      <c r="H143" s="1710"/>
    </row>
    <row r="144" spans="1:9" ht="15" customHeight="1" x14ac:dyDescent="0.2">
      <c r="A144" s="1952"/>
      <c r="B144" s="1710"/>
      <c r="C144" s="6" t="str">
        <f>F!C237</f>
        <v xml:space="preserve">50-95% of the vegetated AA </v>
      </c>
      <c r="D144" s="46">
        <f>F!D237</f>
        <v>0</v>
      </c>
      <c r="E144" s="388">
        <v>4</v>
      </c>
      <c r="F144" s="412">
        <f>D144*E144</f>
        <v>0</v>
      </c>
      <c r="G144" s="709"/>
      <c r="H144" s="1710"/>
    </row>
    <row r="145" spans="1:9" ht="15.6" customHeight="1" thickBot="1" x14ac:dyDescent="0.25">
      <c r="A145" s="1952"/>
      <c r="B145" s="1710"/>
      <c r="C145" s="470" t="str">
        <f>F!C238</f>
        <v>&gt;95% of the vegetated AA</v>
      </c>
      <c r="D145" s="20">
        <f>F!D238</f>
        <v>0</v>
      </c>
      <c r="E145" s="391">
        <v>5</v>
      </c>
      <c r="F145" s="414">
        <f>D145*E145</f>
        <v>0</v>
      </c>
      <c r="G145" s="718"/>
      <c r="H145" s="1710"/>
    </row>
    <row r="146" spans="1:9" ht="60" customHeight="1" thickBot="1" x14ac:dyDescent="0.25">
      <c r="A146" s="1954" t="str">
        <f>F!A300</f>
        <v>F63</v>
      </c>
      <c r="B146" s="1709" t="str">
        <f>F!B300</f>
        <v>Core Area 1</v>
      </c>
      <c r="C146" s="231"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46" s="392"/>
      <c r="E146" s="549"/>
      <c r="F146" s="410"/>
      <c r="G146" s="600">
        <f>MAX(F147:F152)/MAX(E147:E152)</f>
        <v>0</v>
      </c>
      <c r="H146" s="1709" t="s">
        <v>203</v>
      </c>
      <c r="I146" s="15" t="s">
        <v>441</v>
      </c>
    </row>
    <row r="147" spans="1:9" ht="15" customHeight="1" x14ac:dyDescent="0.2">
      <c r="A147" s="1955"/>
      <c r="B147" s="1710"/>
      <c r="C147" s="21" t="str">
        <f>F!C301</f>
        <v>&lt;5% and no inhabited building is within 300 ft of the AA</v>
      </c>
      <c r="D147" s="280">
        <f>F!D301</f>
        <v>0</v>
      </c>
      <c r="E147" s="412">
        <v>1</v>
      </c>
      <c r="F147" s="412">
        <f t="shared" ref="F147:F152" si="8">D147*E147</f>
        <v>0</v>
      </c>
      <c r="G147" s="551"/>
      <c r="H147" s="1710"/>
    </row>
    <row r="148" spans="1:9" ht="15" customHeight="1" x14ac:dyDescent="0.2">
      <c r="A148" s="1955"/>
      <c r="B148" s="1710"/>
      <c r="C148" s="6" t="str">
        <f>F!C302</f>
        <v>&lt;5% and inhabited building is within 300 ft of the AA</v>
      </c>
      <c r="D148" s="46">
        <f>F!D302</f>
        <v>0</v>
      </c>
      <c r="E148" s="412">
        <v>0</v>
      </c>
      <c r="F148" s="412">
        <f t="shared" si="8"/>
        <v>0</v>
      </c>
      <c r="G148" s="552"/>
      <c r="H148" s="1710"/>
    </row>
    <row r="149" spans="1:9" ht="15" customHeight="1" x14ac:dyDescent="0.2">
      <c r="A149" s="1955"/>
      <c r="B149" s="1710"/>
      <c r="C149" s="6" t="str">
        <f>F!C303</f>
        <v>5-50% and no inhabited building is within 300 ft of the AA</v>
      </c>
      <c r="D149" s="46">
        <f>F!D303</f>
        <v>0</v>
      </c>
      <c r="E149" s="412">
        <v>3</v>
      </c>
      <c r="F149" s="412">
        <f t="shared" si="8"/>
        <v>0</v>
      </c>
      <c r="G149" s="552"/>
      <c r="H149" s="1710"/>
    </row>
    <row r="150" spans="1:9" ht="15" customHeight="1" x14ac:dyDescent="0.2">
      <c r="A150" s="1955"/>
      <c r="B150" s="1710"/>
      <c r="C150" s="6" t="str">
        <f>F!C304</f>
        <v>5-50% and inhabited building is within 300 ft of the AA</v>
      </c>
      <c r="D150" s="46">
        <f>F!D304</f>
        <v>0</v>
      </c>
      <c r="E150" s="412">
        <v>2</v>
      </c>
      <c r="F150" s="412">
        <f t="shared" si="8"/>
        <v>0</v>
      </c>
      <c r="G150" s="552"/>
      <c r="H150" s="1710"/>
    </row>
    <row r="151" spans="1:9" ht="15" customHeight="1" x14ac:dyDescent="0.2">
      <c r="A151" s="1955"/>
      <c r="B151" s="1710"/>
      <c r="C151" s="6" t="str">
        <f>F!C305</f>
        <v>50-95%</v>
      </c>
      <c r="D151" s="46">
        <f>F!D305</f>
        <v>0</v>
      </c>
      <c r="E151" s="412">
        <v>4</v>
      </c>
      <c r="F151" s="412">
        <f t="shared" si="8"/>
        <v>0</v>
      </c>
      <c r="G151" s="552"/>
      <c r="H151" s="1710"/>
    </row>
    <row r="152" spans="1:9" ht="15.6" customHeight="1" thickBot="1" x14ac:dyDescent="0.25">
      <c r="A152" s="1956"/>
      <c r="B152" s="1711"/>
      <c r="C152" s="214" t="str">
        <f>F!C306</f>
        <v>&gt;95% of the AA</v>
      </c>
      <c r="D152" s="213">
        <f>F!D306</f>
        <v>0</v>
      </c>
      <c r="E152" s="416">
        <v>5</v>
      </c>
      <c r="F152" s="416">
        <f t="shared" si="8"/>
        <v>0</v>
      </c>
      <c r="G152" s="553"/>
      <c r="H152" s="1711"/>
    </row>
    <row r="153" spans="1:9" ht="60" customHeight="1" thickBot="1" x14ac:dyDescent="0.25">
      <c r="A153" s="1952" t="str">
        <f>F!A307</f>
        <v>F64</v>
      </c>
      <c r="B153" s="1710" t="str">
        <f>F!B307</f>
        <v>Core Area 2</v>
      </c>
      <c r="C153" s="385"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153" s="392"/>
      <c r="E153" s="418"/>
      <c r="F153" s="409"/>
      <c r="G153" s="601">
        <f>MAX(F154:F157)/MAX(E154:E157)</f>
        <v>0</v>
      </c>
      <c r="H153" s="1710" t="s">
        <v>287</v>
      </c>
      <c r="I153" s="15" t="s">
        <v>442</v>
      </c>
    </row>
    <row r="154" spans="1:9" ht="15" customHeight="1" x14ac:dyDescent="0.2">
      <c r="A154" s="1952"/>
      <c r="B154" s="1710"/>
      <c r="C154" s="21" t="str">
        <f>F!C308</f>
        <v>&lt;5%.  If F63 was answered "&gt;95%", SKIP to F67.</v>
      </c>
      <c r="D154" s="280">
        <f>F!D308</f>
        <v>0</v>
      </c>
      <c r="E154" s="412">
        <v>2</v>
      </c>
      <c r="F154" s="412">
        <f>D154*E154</f>
        <v>0</v>
      </c>
      <c r="G154" s="551"/>
      <c r="H154" s="1710"/>
    </row>
    <row r="155" spans="1:9" ht="15" customHeight="1" x14ac:dyDescent="0.2">
      <c r="A155" s="1952"/>
      <c r="B155" s="1710"/>
      <c r="C155" s="6" t="str">
        <f>F!C309</f>
        <v>5-50%</v>
      </c>
      <c r="D155" s="46">
        <f>F!D309</f>
        <v>0</v>
      </c>
      <c r="E155" s="412">
        <v>1</v>
      </c>
      <c r="F155" s="412">
        <f>D155*E155</f>
        <v>0</v>
      </c>
      <c r="G155" s="552"/>
      <c r="H155" s="1710"/>
    </row>
    <row r="156" spans="1:9" ht="15" customHeight="1" x14ac:dyDescent="0.2">
      <c r="A156" s="1952"/>
      <c r="B156" s="1710"/>
      <c r="C156" s="6" t="str">
        <f>F!C310</f>
        <v>50-95%</v>
      </c>
      <c r="D156" s="46">
        <f>F!D310</f>
        <v>0</v>
      </c>
      <c r="E156" s="412">
        <v>0</v>
      </c>
      <c r="F156" s="412">
        <f>D156*E156</f>
        <v>0</v>
      </c>
      <c r="G156" s="552"/>
      <c r="H156" s="1710"/>
    </row>
    <row r="157" spans="1:9" ht="15.6" customHeight="1" thickBot="1" x14ac:dyDescent="0.25">
      <c r="A157" s="1952"/>
      <c r="B157" s="1710"/>
      <c r="C157" s="470" t="str">
        <f>F!C311</f>
        <v>&gt;95% of the AA</v>
      </c>
      <c r="D157" s="20">
        <f>F!D311</f>
        <v>0</v>
      </c>
      <c r="E157" s="414">
        <v>0</v>
      </c>
      <c r="F157" s="414">
        <f>D157*E157</f>
        <v>0</v>
      </c>
      <c r="G157" s="563"/>
      <c r="H157" s="1710"/>
    </row>
    <row r="158" spans="1:9" ht="55.5" customHeight="1" thickBot="1" x14ac:dyDescent="0.25">
      <c r="A158" s="217" t="str">
        <f>F!A313</f>
        <v>F66</v>
      </c>
      <c r="B158" s="5" t="str">
        <f>F!B313</f>
        <v>BMP - Wildlife Protection</v>
      </c>
      <c r="C158" s="205" t="str">
        <f>F!C313</f>
        <v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v>
      </c>
      <c r="D158" s="258">
        <f>F!D313</f>
        <v>0</v>
      </c>
      <c r="E158" s="422"/>
      <c r="F158" s="422"/>
      <c r="G158" s="600">
        <f>IF((D152+D154&gt;1),"", D158)</f>
        <v>0</v>
      </c>
      <c r="H158" s="5" t="s">
        <v>2232</v>
      </c>
      <c r="I158" s="15" t="s">
        <v>2078</v>
      </c>
    </row>
    <row r="159" spans="1:9" ht="30" customHeight="1" thickBot="1" x14ac:dyDescent="0.25">
      <c r="A159" s="483" t="s">
        <v>290</v>
      </c>
      <c r="B159" s="488" t="s">
        <v>2613</v>
      </c>
      <c r="C159" s="475" t="s">
        <v>2606</v>
      </c>
      <c r="D159" s="474" t="s">
        <v>117</v>
      </c>
      <c r="E159" s="626" t="s">
        <v>5438</v>
      </c>
      <c r="F159" s="627" t="s">
        <v>5439</v>
      </c>
      <c r="G159" s="628" t="s">
        <v>5825</v>
      </c>
      <c r="H159" s="488" t="s">
        <v>919</v>
      </c>
    </row>
    <row r="160" spans="1:9" s="4" customFormat="1" ht="30" customHeight="1" thickBot="1" x14ac:dyDescent="0.25">
      <c r="A160" s="1868" t="str">
        <f>OF!A4</f>
        <v>OF1</v>
      </c>
      <c r="B160" s="1687" t="str">
        <f>OF!B4</f>
        <v>Distance by Road to Nearest Population Center</v>
      </c>
      <c r="C160" s="231" t="str">
        <f>OF!C4</f>
        <v>Measured along the maintained road or boat landing that is nearest the AA, the distance to the nearest population center is:</v>
      </c>
      <c r="D160" s="392"/>
      <c r="E160" s="419"/>
      <c r="F160" s="393"/>
      <c r="G160" s="871">
        <f>MAX(F161:F165)/MAX(E161:E165)</f>
        <v>0</v>
      </c>
      <c r="H160" s="1687" t="s">
        <v>2204</v>
      </c>
      <c r="I160" s="4" t="s">
        <v>1927</v>
      </c>
    </row>
    <row r="161" spans="1:9" s="4" customFormat="1" ht="15" customHeight="1" x14ac:dyDescent="0.2">
      <c r="A161" s="1869"/>
      <c r="B161" s="1688"/>
      <c r="C161" s="21" t="str">
        <f>OF!C5</f>
        <v>&lt;0.5 mile</v>
      </c>
      <c r="D161" s="280">
        <f>OF!D5</f>
        <v>0</v>
      </c>
      <c r="E161" s="801">
        <v>4</v>
      </c>
      <c r="F161" s="412">
        <f>D161*E161</f>
        <v>0</v>
      </c>
      <c r="G161" s="551"/>
      <c r="H161" s="1688"/>
    </row>
    <row r="162" spans="1:9" s="4" customFormat="1" ht="15" customHeight="1" x14ac:dyDescent="0.2">
      <c r="A162" s="1869"/>
      <c r="B162" s="1688"/>
      <c r="C162" s="6" t="str">
        <f>OF!C6</f>
        <v>0.5 - 2 miles</v>
      </c>
      <c r="D162" s="46">
        <f>OF!D6</f>
        <v>0</v>
      </c>
      <c r="E162" s="801">
        <v>3</v>
      </c>
      <c r="F162" s="412">
        <f>D162*E162</f>
        <v>0</v>
      </c>
      <c r="G162" s="551"/>
      <c r="H162" s="1688"/>
    </row>
    <row r="163" spans="1:9" s="4" customFormat="1" ht="15" customHeight="1" x14ac:dyDescent="0.2">
      <c r="A163" s="1869"/>
      <c r="B163" s="1688"/>
      <c r="C163" s="6" t="str">
        <f>OF!C7</f>
        <v>2-5 miles</v>
      </c>
      <c r="D163" s="46">
        <f>OF!D7</f>
        <v>0</v>
      </c>
      <c r="E163" s="801">
        <v>2</v>
      </c>
      <c r="F163" s="412">
        <f>D163*E163</f>
        <v>0</v>
      </c>
      <c r="G163" s="551"/>
      <c r="H163" s="1688"/>
    </row>
    <row r="164" spans="1:9" s="4" customFormat="1" ht="15" customHeight="1" x14ac:dyDescent="0.2">
      <c r="A164" s="1869"/>
      <c r="B164" s="1688"/>
      <c r="C164" s="6" t="str">
        <f>OF!C8</f>
        <v>5-10 miles</v>
      </c>
      <c r="D164" s="46">
        <f>OF!D8</f>
        <v>0</v>
      </c>
      <c r="E164" s="801">
        <v>1</v>
      </c>
      <c r="F164" s="412">
        <f>D164*E164</f>
        <v>0</v>
      </c>
      <c r="G164" s="551"/>
      <c r="H164" s="1688"/>
    </row>
    <row r="165" spans="1:9" s="4" customFormat="1" ht="15.6" customHeight="1" thickBot="1" x14ac:dyDescent="0.25">
      <c r="A165" s="1870"/>
      <c r="B165" s="1689"/>
      <c r="C165" s="214" t="str">
        <f>OF!C9</f>
        <v>&gt;10 miles</v>
      </c>
      <c r="D165" s="213">
        <f>OF!D9</f>
        <v>0</v>
      </c>
      <c r="E165" s="872">
        <v>0</v>
      </c>
      <c r="F165" s="416">
        <f>D165*E165</f>
        <v>0</v>
      </c>
      <c r="G165" s="850"/>
      <c r="H165" s="1689"/>
    </row>
    <row r="166" spans="1:9" s="4" customFormat="1" ht="41.25" customHeight="1" thickBot="1" x14ac:dyDescent="0.25">
      <c r="A166" s="1896" t="str">
        <f>OF!A61</f>
        <v>OF10</v>
      </c>
      <c r="B166" s="1687" t="str">
        <f>OF!B61</f>
        <v>Ponded Water in Landscape</v>
      </c>
      <c r="C166" s="111" t="str">
        <f>OF!C61</f>
        <v>Draw a circle of radius of 2 miles centered on the AA.  Including water ponded in the AA itself or in a fringing non-marine water body, the amount of water that is ponded (standing) during most of the year is:</v>
      </c>
      <c r="D166" s="419"/>
      <c r="E166" s="549"/>
      <c r="F166" s="549"/>
      <c r="G166" s="871">
        <f>MAX(F167:F172)/MAX(E167:E172)</f>
        <v>0</v>
      </c>
      <c r="H166" s="2008" t="s">
        <v>2570</v>
      </c>
      <c r="I166" s="4" t="s">
        <v>2571</v>
      </c>
    </row>
    <row r="167" spans="1:9" s="4" customFormat="1" ht="15" customHeight="1" x14ac:dyDescent="0.2">
      <c r="A167" s="1869"/>
      <c r="B167" s="1688"/>
      <c r="C167" s="384">
        <f>OF!C62</f>
        <v>0</v>
      </c>
      <c r="D167" s="46">
        <f>OF!D62</f>
        <v>0</v>
      </c>
      <c r="E167" s="412">
        <v>6</v>
      </c>
      <c r="F167" s="414">
        <f t="shared" ref="F167:F172" si="9">D167*E167</f>
        <v>0</v>
      </c>
      <c r="G167" s="873"/>
      <c r="H167" s="1970"/>
    </row>
    <row r="168" spans="1:9" s="4" customFormat="1" ht="15" customHeight="1" x14ac:dyDescent="0.2">
      <c r="A168" s="1869"/>
      <c r="B168" s="1688"/>
      <c r="C168" s="842" t="str">
        <f>OF!C63</f>
        <v>1 or 2</v>
      </c>
      <c r="D168" s="46">
        <f>OF!D63</f>
        <v>0</v>
      </c>
      <c r="E168" s="412">
        <v>4</v>
      </c>
      <c r="F168" s="414">
        <f t="shared" si="9"/>
        <v>0</v>
      </c>
      <c r="G168" s="873"/>
      <c r="H168" s="1970"/>
    </row>
    <row r="169" spans="1:9" s="4" customFormat="1" ht="15" customHeight="1" x14ac:dyDescent="0.2">
      <c r="A169" s="1869"/>
      <c r="B169" s="1688"/>
      <c r="C169" s="487" t="str">
        <f>OF!C64</f>
        <v>3 to 6</v>
      </c>
      <c r="D169" s="46">
        <f>OF!D64</f>
        <v>0</v>
      </c>
      <c r="E169" s="412">
        <v>3</v>
      </c>
      <c r="F169" s="414">
        <f t="shared" si="9"/>
        <v>0</v>
      </c>
      <c r="G169" s="873"/>
      <c r="H169" s="1970"/>
    </row>
    <row r="170" spans="1:9" s="4" customFormat="1" ht="15" customHeight="1" x14ac:dyDescent="0.2">
      <c r="A170" s="1869"/>
      <c r="B170" s="1688"/>
      <c r="C170" s="487" t="str">
        <f>OF!C65</f>
        <v>7 to 9</v>
      </c>
      <c r="D170" s="46">
        <f>OF!D65</f>
        <v>0</v>
      </c>
      <c r="E170" s="412">
        <v>2</v>
      </c>
      <c r="F170" s="414">
        <f t="shared" si="9"/>
        <v>0</v>
      </c>
      <c r="G170" s="873"/>
      <c r="H170" s="1970"/>
    </row>
    <row r="171" spans="1:9" s="4" customFormat="1" ht="15" customHeight="1" x14ac:dyDescent="0.2">
      <c r="A171" s="1869"/>
      <c r="B171" s="1688"/>
      <c r="C171" s="487" t="str">
        <f>OF!C66</f>
        <v>10 to 12</v>
      </c>
      <c r="D171" s="46">
        <f>OF!D66</f>
        <v>0</v>
      </c>
      <c r="E171" s="412">
        <v>1</v>
      </c>
      <c r="F171" s="414">
        <f t="shared" si="9"/>
        <v>0</v>
      </c>
      <c r="G171" s="873"/>
      <c r="H171" s="1970"/>
    </row>
    <row r="172" spans="1:9" s="4" customFormat="1" ht="15.6" customHeight="1" thickBot="1" x14ac:dyDescent="0.25">
      <c r="A172" s="1870"/>
      <c r="B172" s="1689"/>
      <c r="C172" s="486" t="str">
        <f>OF!C67</f>
        <v>&gt;12</v>
      </c>
      <c r="D172" s="213">
        <f>OF!D67</f>
        <v>0</v>
      </c>
      <c r="E172" s="416">
        <v>0</v>
      </c>
      <c r="F172" s="416">
        <f t="shared" si="9"/>
        <v>0</v>
      </c>
      <c r="G172" s="874"/>
      <c r="H172" s="1971"/>
    </row>
    <row r="173" spans="1:9" ht="45" customHeight="1" thickBot="1" x14ac:dyDescent="0.25">
      <c r="A173" s="217" t="str">
        <f>OF!A103</f>
        <v>OF18</v>
      </c>
      <c r="B173" s="5" t="str">
        <f>OF!B103</f>
        <v>Designated IBA</v>
      </c>
      <c r="C173" s="222" t="str">
        <f>OF!C103</f>
        <v xml:space="preserve">See list in last column.  Then if necessary refer to the map in the online WESPAK-SE Wetlands Module: Habitat Layers &gt; Important Bird Areas (IBAs). The AA is within or contains part of an IBA.  Enter 1= yes, 0= no. </v>
      </c>
      <c r="D173" s="314">
        <f>OF!D103</f>
        <v>0</v>
      </c>
      <c r="E173" s="422"/>
      <c r="F173" s="422"/>
      <c r="G173" s="572">
        <f>D173</f>
        <v>0</v>
      </c>
      <c r="H173" s="49" t="s">
        <v>284</v>
      </c>
      <c r="I173" s="15" t="s">
        <v>2590</v>
      </c>
    </row>
    <row r="174" spans="1:9" ht="75" customHeight="1" thickBot="1" x14ac:dyDescent="0.25">
      <c r="A174" s="149" t="str">
        <f>OF!A151</f>
        <v>OF29</v>
      </c>
      <c r="B174" s="143" t="str">
        <f>OF!B151</f>
        <v>Wetland Class Scarcity in HUC6</v>
      </c>
      <c r="C174" s="19"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174" s="380">
        <f>OF!D151</f>
        <v>0</v>
      </c>
      <c r="E174" s="420"/>
      <c r="F174" s="783"/>
      <c r="G174" s="875">
        <f>IF((D174=""),"",IF((ForestedPeat=1),"",D174))</f>
        <v>0</v>
      </c>
      <c r="H174" s="109" t="s">
        <v>2093</v>
      </c>
      <c r="I174" s="15" t="s">
        <v>2089</v>
      </c>
    </row>
    <row r="175" spans="1:9" s="4" customFormat="1" ht="45" customHeight="1" thickBot="1" x14ac:dyDescent="0.25">
      <c r="A175" s="2051" t="str">
        <f>OF!A204</f>
        <v>OF43</v>
      </c>
      <c r="B175" s="2016" t="str">
        <f>OF!B204</f>
        <v>Non-breeding (Feeding) Waterbird Species of Conservation Concern</v>
      </c>
      <c r="C175" s="231" t="str">
        <f>OF!C204</f>
        <v xml:space="preserve">One or more of these species -- Pacific Loon, Yellow-billed Loon, Red-necked Grebe, Horned Grebe, Trumpeter Swan -- has been detected feeding semi-annually under conditions similar to what now occur, by a qualified observer.  Mark just the first choice that is true: </v>
      </c>
      <c r="D175" s="392"/>
      <c r="E175" s="549"/>
      <c r="F175" s="410"/>
      <c r="G175" s="572">
        <f>IF((D179=1),"",MAX(F176:F178)/MAX(E176:E178))</f>
        <v>0</v>
      </c>
      <c r="H175" s="2016" t="s">
        <v>2234</v>
      </c>
      <c r="I175" s="4" t="s">
        <v>452</v>
      </c>
    </row>
    <row r="176" spans="1:9" s="4" customFormat="1" ht="15" customHeight="1" x14ac:dyDescent="0.2">
      <c r="A176" s="2082"/>
      <c r="B176" s="1961"/>
      <c r="C176" s="21" t="str">
        <f>OF!C205</f>
        <v xml:space="preserve">in the AA </v>
      </c>
      <c r="D176" s="280">
        <f>OF!D205</f>
        <v>0</v>
      </c>
      <c r="E176" s="412">
        <v>3</v>
      </c>
      <c r="F176" s="388">
        <f>D176*E176</f>
        <v>0</v>
      </c>
      <c r="G176" s="551"/>
      <c r="H176" s="1961"/>
    </row>
    <row r="177" spans="1:9" s="4" customFormat="1" ht="15" customHeight="1" x14ac:dyDescent="0.2">
      <c r="A177" s="2082"/>
      <c r="B177" s="1961"/>
      <c r="C177" s="6" t="str">
        <f>OF!C206</f>
        <v>outside the AA but within 0.5 mile, in a generally similar wetland</v>
      </c>
      <c r="D177" s="46">
        <f>OF!D206</f>
        <v>0</v>
      </c>
      <c r="E177" s="412">
        <v>2</v>
      </c>
      <c r="F177" s="388">
        <f>D177*E177</f>
        <v>0</v>
      </c>
      <c r="G177" s="552"/>
      <c r="H177" s="1961"/>
    </row>
    <row r="178" spans="1:9" s="4" customFormat="1" ht="15" customHeight="1" x14ac:dyDescent="0.2">
      <c r="A178" s="2082"/>
      <c r="B178" s="1961"/>
      <c r="C178" s="6" t="str">
        <f>OF!C207</f>
        <v>outside the AA and 0.5 to 2 miles away, in a generally similar wetland</v>
      </c>
      <c r="D178" s="46">
        <f>OF!D207</f>
        <v>0</v>
      </c>
      <c r="E178" s="412">
        <v>1</v>
      </c>
      <c r="F178" s="388">
        <f>D178*E178</f>
        <v>0</v>
      </c>
      <c r="G178" s="552"/>
      <c r="H178" s="1961"/>
    </row>
    <row r="179" spans="1:9" s="4" customFormat="1" ht="27.6" customHeight="1" thickBot="1" x14ac:dyDescent="0.25">
      <c r="A179" s="2052"/>
      <c r="B179" s="2017"/>
      <c r="C179" s="214" t="str">
        <f>OF!C208</f>
        <v xml:space="preserve">beyond 2 miles, or no recent observation of these species by a qualified observer under conditions similar to what now occur, or no data. </v>
      </c>
      <c r="D179" s="213">
        <f>OF!D208</f>
        <v>0</v>
      </c>
      <c r="E179" s="416"/>
      <c r="F179" s="389"/>
      <c r="G179" s="553"/>
      <c r="H179" s="2017"/>
    </row>
    <row r="180" spans="1:9" ht="45" customHeight="1" thickBot="1" x14ac:dyDescent="0.25">
      <c r="A180" s="1845" t="str">
        <f>F!A286</f>
        <v>F60</v>
      </c>
      <c r="B180" s="1688" t="str">
        <f>F!B286</f>
        <v>Visibility</v>
      </c>
      <c r="C180" s="385" t="str">
        <f>F!C286</f>
        <v>The maximum percent of the AA that is visible from the best vantage point on public roads, public parking lots, public buildings, or well-defined public trails that intersect, adjoin, or are within 300 ft of the wetland (select one) is:</v>
      </c>
      <c r="D180" s="392"/>
      <c r="E180" s="801"/>
      <c r="F180" s="876"/>
      <c r="G180" s="877">
        <f>MAX(F181:F183)/MAX(E181:E183)</f>
        <v>0</v>
      </c>
      <c r="H180" s="1873" t="s">
        <v>2203</v>
      </c>
      <c r="I180" s="15" t="s">
        <v>1926</v>
      </c>
    </row>
    <row r="181" spans="1:9" ht="15" customHeight="1" x14ac:dyDescent="0.2">
      <c r="A181" s="1845"/>
      <c r="B181" s="1688"/>
      <c r="C181" s="21" t="str">
        <f>F!C287</f>
        <v>&lt;25%</v>
      </c>
      <c r="D181" s="280">
        <f>F!D287</f>
        <v>0</v>
      </c>
      <c r="E181" s="801">
        <v>0</v>
      </c>
      <c r="F181" s="412">
        <f>D181*E181</f>
        <v>0</v>
      </c>
      <c r="G181" s="876"/>
      <c r="H181" s="1702"/>
    </row>
    <row r="182" spans="1:9" ht="15" customHeight="1" x14ac:dyDescent="0.2">
      <c r="A182" s="1845"/>
      <c r="B182" s="1688"/>
      <c r="C182" s="6" t="str">
        <f>F!C288</f>
        <v>25-50%</v>
      </c>
      <c r="D182" s="46">
        <f>F!D288</f>
        <v>0</v>
      </c>
      <c r="E182" s="801">
        <v>1</v>
      </c>
      <c r="F182" s="412">
        <f>D182*E182</f>
        <v>0</v>
      </c>
      <c r="G182" s="876"/>
      <c r="H182" s="1702"/>
    </row>
    <row r="183" spans="1:9" ht="15.6" customHeight="1" thickBot="1" x14ac:dyDescent="0.25">
      <c r="A183" s="1845"/>
      <c r="B183" s="1688"/>
      <c r="C183" s="470" t="str">
        <f>F!C289</f>
        <v>&gt;50%</v>
      </c>
      <c r="D183" s="20">
        <f>F!D289</f>
        <v>0</v>
      </c>
      <c r="E183" s="420">
        <v>2</v>
      </c>
      <c r="F183" s="414">
        <f>D183*E183</f>
        <v>0</v>
      </c>
      <c r="G183" s="859"/>
      <c r="H183" s="1703"/>
    </row>
    <row r="184" spans="1:9" s="4" customFormat="1" ht="41.25" customHeight="1" thickBot="1" x14ac:dyDescent="0.25">
      <c r="A184" s="217" t="str">
        <f>F!A314</f>
        <v>F67</v>
      </c>
      <c r="B184" s="5" t="str">
        <f>F!B314</f>
        <v>Consumptive Uses (Provisioning Services)</v>
      </c>
      <c r="C184" s="222" t="str">
        <f>F!C317</f>
        <v xml:space="preserve">Hunting </v>
      </c>
      <c r="D184" s="411"/>
      <c r="E184" s="786"/>
      <c r="F184" s="411"/>
      <c r="G184" s="839">
        <f>F!D317</f>
        <v>0</v>
      </c>
      <c r="H184" s="5" t="s">
        <v>113</v>
      </c>
      <c r="I184" s="4" t="s">
        <v>451</v>
      </c>
    </row>
    <row r="185" spans="1:9" s="4" customFormat="1" ht="21" customHeight="1" thickBot="1" x14ac:dyDescent="0.25">
      <c r="A185" s="1889"/>
      <c r="B185" s="1889"/>
      <c r="C185" s="1889"/>
      <c r="D185" s="2049"/>
      <c r="E185" s="2049"/>
      <c r="F185" s="2049"/>
      <c r="G185" s="2049"/>
      <c r="H185" s="2050"/>
    </row>
    <row r="186" spans="1:9" ht="21" customHeight="1" x14ac:dyDescent="0.2">
      <c r="A186" s="1862"/>
      <c r="B186" s="1862"/>
      <c r="C186" s="1862"/>
      <c r="D186" s="878" t="s">
        <v>1249</v>
      </c>
      <c r="E186" s="879"/>
      <c r="F186" s="880"/>
      <c r="G186" s="539">
        <f>AVERAGE(SatPct12,ISOwet12, MAX(SeasWpct12, PermWpct12), Depth12, DepthEven12)</f>
        <v>0</v>
      </c>
      <c r="H186" s="228" t="s">
        <v>2044</v>
      </c>
    </row>
    <row r="187" spans="1:9" ht="21" customHeight="1" x14ac:dyDescent="0.2">
      <c r="A187" s="1862"/>
      <c r="B187" s="1862"/>
      <c r="C187" s="1862"/>
      <c r="D187" s="881" t="s">
        <v>330</v>
      </c>
      <c r="E187" s="882"/>
      <c r="F187" s="883"/>
      <c r="G187" s="540">
        <f>AVERAGE(Woody12,Mudflat12,Interspers12, Size12, ABpct12, EmPct12)</f>
        <v>0</v>
      </c>
      <c r="H187" s="216" t="s">
        <v>5798</v>
      </c>
    </row>
    <row r="188" spans="1:9" ht="21" customHeight="1" x14ac:dyDescent="0.2">
      <c r="A188" s="1862"/>
      <c r="B188" s="1862"/>
      <c r="C188" s="1862"/>
      <c r="D188" s="881" t="s">
        <v>372</v>
      </c>
      <c r="E188" s="882"/>
      <c r="F188" s="883"/>
      <c r="G188" s="540">
        <f>AVERAGE(Wettype12,Fringe12, Lake12,Gradient12, Algae12, Fish12a)</f>
        <v>0</v>
      </c>
      <c r="H188" s="216" t="s">
        <v>2045</v>
      </c>
    </row>
    <row r="189" spans="1:9" ht="21" customHeight="1" x14ac:dyDescent="0.2">
      <c r="A189" s="1862"/>
      <c r="B189" s="1862"/>
      <c r="C189" s="1862"/>
      <c r="D189" s="884" t="s">
        <v>425</v>
      </c>
      <c r="E189" s="885"/>
      <c r="F189" s="886"/>
      <c r="G189" s="540">
        <f>AVERAGE(_Ice12, TidalProx12, Elev12, warmth12)</f>
        <v>0.33333333333333331</v>
      </c>
      <c r="H189" s="216" t="s">
        <v>2041</v>
      </c>
    </row>
    <row r="190" spans="1:9" ht="21" customHeight="1" x14ac:dyDescent="0.2">
      <c r="A190" s="1862"/>
      <c r="B190" s="1862"/>
      <c r="C190" s="1862"/>
      <c r="D190" s="881" t="s">
        <v>327</v>
      </c>
      <c r="E190" s="882"/>
      <c r="F190" s="883"/>
      <c r="G190" s="540">
        <f>AVERAGE(Beaver12, Geography12, PondPctScape12, PondProx12,BigPondProx12)</f>
        <v>0</v>
      </c>
      <c r="H190" s="216" t="s">
        <v>2489</v>
      </c>
    </row>
    <row r="191" spans="1:9" ht="21" customHeight="1" thickBot="1" x14ac:dyDescent="0.25">
      <c r="A191" s="1862"/>
      <c r="B191" s="1862"/>
      <c r="C191" s="1862"/>
      <c r="D191" s="887" t="s">
        <v>2421</v>
      </c>
      <c r="E191" s="888"/>
      <c r="F191" s="889"/>
      <c r="G191" s="535">
        <f>AVERAGE(Core12a, Core12b, _BMP12,_Tox12)</f>
        <v>0</v>
      </c>
      <c r="H191" s="229" t="s">
        <v>2079</v>
      </c>
    </row>
    <row r="192" spans="1:9" ht="21" customHeight="1" thickBot="1" x14ac:dyDescent="0.25">
      <c r="A192" s="1862"/>
      <c r="B192" s="1862"/>
      <c r="C192" s="1862"/>
      <c r="D192" s="2049"/>
      <c r="E192" s="2049"/>
      <c r="F192" s="2049"/>
      <c r="G192" s="2049"/>
      <c r="H192" s="2050"/>
      <c r="I192" s="8"/>
    </row>
    <row r="193" spans="1:9" ht="45" customHeight="1" thickBot="1" x14ac:dyDescent="0.25">
      <c r="A193" s="1862"/>
      <c r="B193" s="1863"/>
      <c r="C193" s="1874" t="s">
        <v>170</v>
      </c>
      <c r="D193" s="1875"/>
      <c r="E193" s="1876"/>
      <c r="F193" s="423" t="s">
        <v>141</v>
      </c>
      <c r="G193" s="745">
        <f>IF((AllSat=1),0, IF((Wettype12=0),0,10*AVERAGE(Produc12,AVERAGE(Hydro12,Struc12,Climate12,Lscape12,Stress12))))</f>
        <v>0</v>
      </c>
      <c r="H193" s="49" t="s">
        <v>2283</v>
      </c>
      <c r="I193" s="8"/>
    </row>
    <row r="194" spans="1:9" ht="30" customHeight="1" thickBot="1" x14ac:dyDescent="0.25">
      <c r="A194" s="1862"/>
      <c r="B194" s="1863"/>
      <c r="C194" s="1874" t="s">
        <v>592</v>
      </c>
      <c r="D194" s="1875"/>
      <c r="E194" s="1876"/>
      <c r="F194" s="423" t="s">
        <v>142</v>
      </c>
      <c r="G194" s="548">
        <f>10*(IF((AllSat=1),0, IF((TooSteep=1),0, IF((Wettype12=0),0, (MAX(MAX(Rare12,IBird12v),AVERAGE(RareWclass12,PondNum12v,DuckHunt,PopCtr12,Visib12)))))))</f>
        <v>0</v>
      </c>
      <c r="H194" s="49" t="s">
        <v>2572</v>
      </c>
    </row>
    <row r="195" spans="1:9" ht="21" customHeight="1" thickBot="1" x14ac:dyDescent="0.25">
      <c r="A195" s="1862"/>
      <c r="B195" s="1862"/>
      <c r="C195" s="1862"/>
      <c r="D195" s="1862"/>
      <c r="E195" s="1862"/>
      <c r="F195" s="1862"/>
      <c r="G195" s="1862"/>
      <c r="H195" s="1862"/>
    </row>
    <row r="196" spans="1:9" ht="21" customHeight="1" thickBot="1" x14ac:dyDescent="0.25">
      <c r="A196" s="1862"/>
      <c r="B196" s="1862"/>
      <c r="C196" s="1862"/>
      <c r="D196" s="1862"/>
      <c r="E196" s="1862"/>
      <c r="F196" s="1862"/>
      <c r="G196" s="1863"/>
      <c r="H196" s="80" t="s">
        <v>1345</v>
      </c>
    </row>
    <row r="197" spans="1:9" ht="27" customHeight="1" x14ac:dyDescent="0.2">
      <c r="A197" s="1862"/>
      <c r="B197" s="1862"/>
      <c r="C197" s="1862"/>
      <c r="D197" s="1862"/>
      <c r="E197" s="1862"/>
      <c r="F197" s="1862"/>
      <c r="G197" s="1863"/>
      <c r="H197" s="223" t="s">
        <v>2229</v>
      </c>
    </row>
    <row r="198" spans="1:9" ht="27" customHeight="1" x14ac:dyDescent="0.2">
      <c r="A198" s="1862"/>
      <c r="B198" s="1862"/>
      <c r="C198" s="1862"/>
      <c r="D198" s="1862"/>
      <c r="E198" s="1862"/>
      <c r="F198" s="1862"/>
      <c r="G198" s="1863"/>
      <c r="H198" s="118" t="s">
        <v>2042</v>
      </c>
    </row>
    <row r="199" spans="1:9" ht="21" customHeight="1" x14ac:dyDescent="0.2">
      <c r="A199" s="1862"/>
      <c r="B199" s="1862"/>
      <c r="C199" s="1862"/>
      <c r="D199" s="1862"/>
      <c r="E199" s="1862"/>
      <c r="F199" s="1862"/>
      <c r="G199" s="1863"/>
      <c r="H199" s="118" t="s">
        <v>1625</v>
      </c>
    </row>
    <row r="200" spans="1:9" ht="42" customHeight="1" x14ac:dyDescent="0.2">
      <c r="A200" s="1862"/>
      <c r="B200" s="1862"/>
      <c r="C200" s="1862"/>
      <c r="D200" s="1862"/>
      <c r="E200" s="1862"/>
      <c r="F200" s="1862"/>
      <c r="G200" s="1863"/>
      <c r="H200" s="118" t="s">
        <v>1626</v>
      </c>
    </row>
    <row r="201" spans="1:9" ht="27" customHeight="1" x14ac:dyDescent="0.2">
      <c r="A201" s="1862"/>
      <c r="B201" s="1862"/>
      <c r="C201" s="1862"/>
      <c r="D201" s="1862"/>
      <c r="E201" s="1862"/>
      <c r="F201" s="1862"/>
      <c r="G201" s="1863"/>
      <c r="H201" s="118" t="s">
        <v>1627</v>
      </c>
    </row>
    <row r="202" spans="1:9" ht="27" customHeight="1" x14ac:dyDescent="0.2">
      <c r="A202" s="1862"/>
      <c r="B202" s="1862"/>
      <c r="C202" s="1862"/>
      <c r="D202" s="1862"/>
      <c r="E202" s="1862"/>
      <c r="F202" s="1862"/>
      <c r="G202" s="1863"/>
      <c r="H202" s="118" t="s">
        <v>1628</v>
      </c>
    </row>
    <row r="203" spans="1:9" ht="42" customHeight="1" x14ac:dyDescent="0.2">
      <c r="A203" s="1862"/>
      <c r="B203" s="1862"/>
      <c r="C203" s="1862"/>
      <c r="D203" s="1862"/>
      <c r="E203" s="1862"/>
      <c r="F203" s="1862"/>
      <c r="G203" s="1863"/>
      <c r="H203" s="116" t="s">
        <v>1664</v>
      </c>
    </row>
    <row r="204" spans="1:9" ht="27" customHeight="1" x14ac:dyDescent="0.2">
      <c r="A204" s="1862"/>
      <c r="B204" s="1862"/>
      <c r="C204" s="1862"/>
      <c r="D204" s="1862"/>
      <c r="E204" s="1862"/>
      <c r="F204" s="1862"/>
      <c r="G204" s="1863"/>
      <c r="H204" s="118" t="s">
        <v>1629</v>
      </c>
    </row>
    <row r="205" spans="1:9" ht="27" customHeight="1" x14ac:dyDescent="0.2">
      <c r="A205" s="1862"/>
      <c r="B205" s="1862"/>
      <c r="C205" s="1862"/>
      <c r="D205" s="1862"/>
      <c r="E205" s="1862"/>
      <c r="F205" s="1862"/>
      <c r="G205" s="1863"/>
      <c r="H205" s="118" t="s">
        <v>1630</v>
      </c>
    </row>
    <row r="206" spans="1:9" ht="27" customHeight="1" x14ac:dyDescent="0.2">
      <c r="A206" s="1862"/>
      <c r="B206" s="1862"/>
      <c r="C206" s="1862"/>
      <c r="D206" s="1862"/>
      <c r="E206" s="1862"/>
      <c r="F206" s="1862"/>
      <c r="G206" s="1863"/>
      <c r="H206" s="118" t="s">
        <v>1631</v>
      </c>
    </row>
    <row r="207" spans="1:9" ht="27" customHeight="1" x14ac:dyDescent="0.2">
      <c r="A207" s="1862"/>
      <c r="B207" s="1862"/>
      <c r="C207" s="1862"/>
      <c r="D207" s="1862"/>
      <c r="E207" s="1862"/>
      <c r="F207" s="1862"/>
      <c r="G207" s="1863"/>
      <c r="H207" s="117" t="s">
        <v>2230</v>
      </c>
    </row>
    <row r="208" spans="1:9" ht="42" customHeight="1" x14ac:dyDescent="0.2">
      <c r="A208" s="1862"/>
      <c r="B208" s="1862"/>
      <c r="C208" s="1862"/>
      <c r="D208" s="1862"/>
      <c r="E208" s="1862"/>
      <c r="F208" s="1862"/>
      <c r="G208" s="1863"/>
      <c r="H208" s="117" t="s">
        <v>2231</v>
      </c>
    </row>
    <row r="209" spans="1:8" ht="27" customHeight="1" x14ac:dyDescent="0.2">
      <c r="A209" s="1862"/>
      <c r="B209" s="1862"/>
      <c r="C209" s="1862"/>
      <c r="D209" s="1862"/>
      <c r="E209" s="1862"/>
      <c r="F209" s="1862"/>
      <c r="G209" s="1863"/>
      <c r="H209" s="118" t="s">
        <v>1632</v>
      </c>
    </row>
    <row r="210" spans="1:8" ht="27" customHeight="1" x14ac:dyDescent="0.2">
      <c r="A210" s="1862"/>
      <c r="B210" s="1862"/>
      <c r="C210" s="1862"/>
      <c r="D210" s="1862"/>
      <c r="E210" s="1862"/>
      <c r="F210" s="1862"/>
      <c r="G210" s="1863"/>
      <c r="H210" s="118" t="s">
        <v>1633</v>
      </c>
    </row>
    <row r="211" spans="1:8" ht="30" customHeight="1" thickBot="1" x14ac:dyDescent="0.25">
      <c r="A211" s="1862"/>
      <c r="B211" s="1862"/>
      <c r="C211" s="1862"/>
      <c r="D211" s="1862"/>
      <c r="E211" s="1862"/>
      <c r="F211" s="1862"/>
      <c r="G211" s="1863"/>
      <c r="H211" s="142" t="s">
        <v>1634</v>
      </c>
    </row>
    <row r="212" spans="1:8" x14ac:dyDescent="0.2">
      <c r="C212" s="11"/>
      <c r="H212" s="3"/>
    </row>
    <row r="213" spans="1:8" x14ac:dyDescent="0.2">
      <c r="C213" s="11"/>
      <c r="H213" s="3"/>
    </row>
    <row r="214" spans="1:8" x14ac:dyDescent="0.2">
      <c r="H214" s="3"/>
    </row>
    <row r="215" spans="1:8" x14ac:dyDescent="0.2">
      <c r="C215" s="11"/>
    </row>
    <row r="216" spans="1:8" x14ac:dyDescent="0.2">
      <c r="C216" s="11"/>
    </row>
    <row r="217" spans="1:8" x14ac:dyDescent="0.2">
      <c r="C217" s="11"/>
    </row>
    <row r="218" spans="1:8" x14ac:dyDescent="0.2">
      <c r="C218" s="11"/>
    </row>
    <row r="219" spans="1:8" x14ac:dyDescent="0.2">
      <c r="C219" s="11"/>
    </row>
    <row r="220" spans="1:8" x14ac:dyDescent="0.2">
      <c r="C220" s="11"/>
    </row>
    <row r="221" spans="1:8" x14ac:dyDescent="0.2">
      <c r="C221" s="11"/>
    </row>
    <row r="222" spans="1:8" x14ac:dyDescent="0.2">
      <c r="C222" s="11"/>
    </row>
    <row r="223" spans="1:8" x14ac:dyDescent="0.2">
      <c r="C223" s="11"/>
    </row>
    <row r="224" spans="1:8" x14ac:dyDescent="0.2">
      <c r="C224" s="11"/>
    </row>
    <row r="225" spans="3:3" x14ac:dyDescent="0.2">
      <c r="C225" s="11"/>
    </row>
    <row r="226" spans="3:3" x14ac:dyDescent="0.2">
      <c r="C226" s="11"/>
    </row>
    <row r="227" spans="3:3" x14ac:dyDescent="0.2">
      <c r="C227" s="11"/>
    </row>
    <row r="228" spans="3:3" x14ac:dyDescent="0.2">
      <c r="C228" s="11"/>
    </row>
    <row r="229" spans="3:3" x14ac:dyDescent="0.2">
      <c r="C229" s="11"/>
    </row>
    <row r="230" spans="3:3" x14ac:dyDescent="0.2">
      <c r="C230" s="11"/>
    </row>
    <row r="231" spans="3:3" x14ac:dyDescent="0.2">
      <c r="C231" s="11"/>
    </row>
    <row r="232" spans="3:3" x14ac:dyDescent="0.2">
      <c r="C232" s="11"/>
    </row>
    <row r="233" spans="3:3" x14ac:dyDescent="0.2">
      <c r="C233" s="11"/>
    </row>
    <row r="234" spans="3:3" x14ac:dyDescent="0.2">
      <c r="C234" s="11"/>
    </row>
    <row r="235" spans="3:3" x14ac:dyDescent="0.2">
      <c r="C235" s="11"/>
    </row>
    <row r="236" spans="3:3" x14ac:dyDescent="0.2">
      <c r="C236" s="11"/>
    </row>
    <row r="237" spans="3:3" x14ac:dyDescent="0.2">
      <c r="C237" s="11"/>
    </row>
    <row r="238" spans="3:3" x14ac:dyDescent="0.2">
      <c r="C238" s="11"/>
    </row>
    <row r="239" spans="3:3" x14ac:dyDescent="0.2">
      <c r="C239" s="11"/>
    </row>
    <row r="240" spans="3:3" x14ac:dyDescent="0.2">
      <c r="C240" s="11"/>
    </row>
    <row r="241" spans="3:3" x14ac:dyDescent="0.2">
      <c r="C241" s="11"/>
    </row>
    <row r="242" spans="3:3" x14ac:dyDescent="0.2">
      <c r="C242" s="11"/>
    </row>
    <row r="243" spans="3:3" x14ac:dyDescent="0.2">
      <c r="C243" s="11"/>
    </row>
    <row r="244" spans="3:3" x14ac:dyDescent="0.2">
      <c r="C244" s="11"/>
    </row>
    <row r="245" spans="3:3" x14ac:dyDescent="0.2">
      <c r="C245" s="11"/>
    </row>
    <row r="246" spans="3:3" x14ac:dyDescent="0.2">
      <c r="C246" s="11"/>
    </row>
    <row r="247" spans="3:3" x14ac:dyDescent="0.2">
      <c r="C247" s="11"/>
    </row>
    <row r="248" spans="3:3" x14ac:dyDescent="0.2">
      <c r="C248" s="11"/>
    </row>
    <row r="249" spans="3:3" x14ac:dyDescent="0.2">
      <c r="C249" s="11"/>
    </row>
    <row r="250" spans="3:3" x14ac:dyDescent="0.2">
      <c r="C250" s="11"/>
    </row>
    <row r="251" spans="3:3" x14ac:dyDescent="0.2">
      <c r="C251" s="11"/>
    </row>
    <row r="252" spans="3:3" x14ac:dyDescent="0.2">
      <c r="C252" s="11"/>
    </row>
    <row r="253" spans="3:3" x14ac:dyDescent="0.2">
      <c r="C253" s="11"/>
    </row>
    <row r="254" spans="3:3" x14ac:dyDescent="0.2">
      <c r="C254" s="11"/>
    </row>
    <row r="255" spans="3:3" x14ac:dyDescent="0.2">
      <c r="C255" s="11"/>
    </row>
    <row r="256" spans="3:3" x14ac:dyDescent="0.2">
      <c r="C256" s="11"/>
    </row>
    <row r="257" spans="3:3" x14ac:dyDescent="0.2">
      <c r="C257" s="11"/>
    </row>
    <row r="258" spans="3:3" x14ac:dyDescent="0.2">
      <c r="C258" s="11"/>
    </row>
    <row r="259" spans="3:3" x14ac:dyDescent="0.2">
      <c r="C259" s="11"/>
    </row>
    <row r="260" spans="3:3" x14ac:dyDescent="0.2">
      <c r="C260" s="11"/>
    </row>
    <row r="261" spans="3:3" x14ac:dyDescent="0.2">
      <c r="C261" s="11"/>
    </row>
    <row r="262" spans="3:3" x14ac:dyDescent="0.2">
      <c r="C262" s="11"/>
    </row>
    <row r="263" spans="3:3" x14ac:dyDescent="0.2">
      <c r="C263" s="11"/>
    </row>
    <row r="264" spans="3:3" x14ac:dyDescent="0.2">
      <c r="C264" s="11"/>
    </row>
    <row r="265" spans="3:3" x14ac:dyDescent="0.2">
      <c r="C265" s="11"/>
    </row>
    <row r="266" spans="3:3" x14ac:dyDescent="0.2">
      <c r="C266" s="11"/>
    </row>
    <row r="267" spans="3:3" x14ac:dyDescent="0.2">
      <c r="C267" s="11"/>
    </row>
    <row r="268" spans="3:3" x14ac:dyDescent="0.2">
      <c r="C268" s="11"/>
    </row>
    <row r="269" spans="3:3" x14ac:dyDescent="0.2">
      <c r="C269" s="11"/>
    </row>
    <row r="270" spans="3:3" x14ac:dyDescent="0.2">
      <c r="C270" s="11"/>
    </row>
    <row r="271" spans="3:3" x14ac:dyDescent="0.2">
      <c r="C271" s="11"/>
    </row>
    <row r="272" spans="3:3" x14ac:dyDescent="0.2">
      <c r="C272" s="11"/>
    </row>
    <row r="273" spans="3:3" x14ac:dyDescent="0.2">
      <c r="C273" s="11"/>
    </row>
    <row r="274" spans="3:3" x14ac:dyDescent="0.2">
      <c r="C274" s="11"/>
    </row>
    <row r="275" spans="3:3" x14ac:dyDescent="0.2">
      <c r="C275" s="11"/>
    </row>
    <row r="276" spans="3:3" x14ac:dyDescent="0.2">
      <c r="C276" s="11"/>
    </row>
    <row r="277" spans="3:3" x14ac:dyDescent="0.2">
      <c r="C277" s="11"/>
    </row>
    <row r="278" spans="3:3" x14ac:dyDescent="0.2">
      <c r="C278" s="11"/>
    </row>
    <row r="279" spans="3:3" x14ac:dyDescent="0.2">
      <c r="C279" s="11"/>
    </row>
    <row r="280" spans="3:3" x14ac:dyDescent="0.2">
      <c r="C280" s="11"/>
    </row>
    <row r="281" spans="3:3" x14ac:dyDescent="0.2">
      <c r="C281" s="11"/>
    </row>
    <row r="282" spans="3:3" x14ac:dyDescent="0.2">
      <c r="C282" s="11"/>
    </row>
    <row r="283" spans="3:3" x14ac:dyDescent="0.2">
      <c r="C283" s="11"/>
    </row>
    <row r="284" spans="3:3" x14ac:dyDescent="0.2">
      <c r="C284" s="11"/>
    </row>
    <row r="285" spans="3:3" x14ac:dyDescent="0.2">
      <c r="C285" s="11"/>
    </row>
    <row r="286" spans="3:3" x14ac:dyDescent="0.2">
      <c r="C286" s="11"/>
    </row>
    <row r="287" spans="3:3" x14ac:dyDescent="0.2">
      <c r="C287" s="11"/>
    </row>
    <row r="288" spans="3:3" x14ac:dyDescent="0.2">
      <c r="C288" s="11"/>
    </row>
    <row r="289" spans="3:3" x14ac:dyDescent="0.2">
      <c r="C289" s="11"/>
    </row>
    <row r="290" spans="3:3" x14ac:dyDescent="0.2">
      <c r="C290" s="11"/>
    </row>
    <row r="291" spans="3:3" x14ac:dyDescent="0.2">
      <c r="C291" s="11"/>
    </row>
    <row r="292" spans="3:3" x14ac:dyDescent="0.2">
      <c r="C292" s="11"/>
    </row>
    <row r="293" spans="3:3" x14ac:dyDescent="0.2">
      <c r="C293" s="11"/>
    </row>
    <row r="294" spans="3:3" x14ac:dyDescent="0.2">
      <c r="C294" s="11"/>
    </row>
    <row r="295" spans="3:3" x14ac:dyDescent="0.2">
      <c r="C295" s="11"/>
    </row>
    <row r="296" spans="3:3" x14ac:dyDescent="0.2">
      <c r="C296" s="11"/>
    </row>
    <row r="297" spans="3:3" x14ac:dyDescent="0.2">
      <c r="C297" s="11"/>
    </row>
    <row r="298" spans="3:3" x14ac:dyDescent="0.2">
      <c r="C298" s="11"/>
    </row>
    <row r="299" spans="3:3" x14ac:dyDescent="0.2">
      <c r="C299" s="11"/>
    </row>
    <row r="300" spans="3:3" x14ac:dyDescent="0.2">
      <c r="C300" s="11"/>
    </row>
    <row r="301" spans="3:3" x14ac:dyDescent="0.2">
      <c r="C301" s="11"/>
    </row>
    <row r="302" spans="3:3" x14ac:dyDescent="0.2">
      <c r="C302" s="11"/>
    </row>
    <row r="303" spans="3:3" x14ac:dyDescent="0.2">
      <c r="C303" s="11"/>
    </row>
    <row r="304" spans="3:3" x14ac:dyDescent="0.2">
      <c r="C304" s="11"/>
    </row>
    <row r="305" spans="3:3" x14ac:dyDescent="0.2">
      <c r="C305" s="11"/>
    </row>
    <row r="306" spans="3:3" x14ac:dyDescent="0.2">
      <c r="C306" s="11"/>
    </row>
    <row r="307" spans="3:3" x14ac:dyDescent="0.2">
      <c r="C307" s="11"/>
    </row>
    <row r="308" spans="3:3" x14ac:dyDescent="0.2">
      <c r="C308" s="11"/>
    </row>
    <row r="309" spans="3:3" x14ac:dyDescent="0.2">
      <c r="C309" s="11"/>
    </row>
    <row r="310" spans="3:3" x14ac:dyDescent="0.2">
      <c r="C310" s="11"/>
    </row>
    <row r="311" spans="3:3" x14ac:dyDescent="0.2">
      <c r="C311" s="11"/>
    </row>
    <row r="312" spans="3:3" x14ac:dyDescent="0.2">
      <c r="C312" s="11"/>
    </row>
    <row r="313" spans="3:3" x14ac:dyDescent="0.2">
      <c r="C313" s="11"/>
    </row>
    <row r="314" spans="3:3" x14ac:dyDescent="0.2">
      <c r="C314" s="11"/>
    </row>
    <row r="315" spans="3:3" x14ac:dyDescent="0.2">
      <c r="C315" s="11"/>
    </row>
    <row r="316" spans="3:3" x14ac:dyDescent="0.2">
      <c r="C316" s="11"/>
    </row>
    <row r="317" spans="3:3" x14ac:dyDescent="0.2">
      <c r="C317" s="11"/>
    </row>
    <row r="318" spans="3:3" x14ac:dyDescent="0.2">
      <c r="C318" s="11"/>
    </row>
    <row r="319" spans="3:3" x14ac:dyDescent="0.2">
      <c r="C319" s="11"/>
    </row>
    <row r="320" spans="3:3" x14ac:dyDescent="0.2">
      <c r="C320" s="11"/>
    </row>
    <row r="321" spans="3:3" x14ac:dyDescent="0.2">
      <c r="C321" s="11"/>
    </row>
    <row r="322" spans="3:3" x14ac:dyDescent="0.2">
      <c r="C322" s="11"/>
    </row>
    <row r="323" spans="3:3" x14ac:dyDescent="0.2">
      <c r="C323" s="11"/>
    </row>
    <row r="324" spans="3:3" x14ac:dyDescent="0.2">
      <c r="C324" s="11"/>
    </row>
    <row r="325" spans="3:3" x14ac:dyDescent="0.2">
      <c r="C325" s="11"/>
    </row>
    <row r="326" spans="3:3" x14ac:dyDescent="0.2">
      <c r="C326" s="11"/>
    </row>
    <row r="327" spans="3:3" x14ac:dyDescent="0.2">
      <c r="C327" s="11"/>
    </row>
    <row r="328" spans="3:3" x14ac:dyDescent="0.2">
      <c r="C328" s="11"/>
    </row>
    <row r="329" spans="3:3" x14ac:dyDescent="0.2">
      <c r="C329" s="11"/>
    </row>
    <row r="330" spans="3:3" x14ac:dyDescent="0.2">
      <c r="C330" s="11"/>
    </row>
    <row r="331" spans="3:3" x14ac:dyDescent="0.2">
      <c r="C331" s="11"/>
    </row>
    <row r="332" spans="3:3" x14ac:dyDescent="0.2">
      <c r="C332" s="11"/>
    </row>
    <row r="333" spans="3:3" x14ac:dyDescent="0.2">
      <c r="C333" s="11"/>
    </row>
    <row r="334" spans="3:3" x14ac:dyDescent="0.2">
      <c r="C334" s="11"/>
    </row>
    <row r="335" spans="3:3" x14ac:dyDescent="0.2">
      <c r="C335" s="11"/>
    </row>
    <row r="336" spans="3:3" x14ac:dyDescent="0.2">
      <c r="C336" s="11"/>
    </row>
    <row r="337" spans="3:3" x14ac:dyDescent="0.2">
      <c r="C337" s="11"/>
    </row>
    <row r="338" spans="3:3" x14ac:dyDescent="0.2">
      <c r="C338" s="11"/>
    </row>
    <row r="339" spans="3:3" x14ac:dyDescent="0.2">
      <c r="C339" s="11"/>
    </row>
    <row r="340" spans="3:3" x14ac:dyDescent="0.2">
      <c r="C340" s="11"/>
    </row>
    <row r="341" spans="3:3" x14ac:dyDescent="0.2">
      <c r="C341" s="11"/>
    </row>
    <row r="342" spans="3:3" x14ac:dyDescent="0.2">
      <c r="C342" s="11"/>
    </row>
    <row r="343" spans="3:3" x14ac:dyDescent="0.2">
      <c r="C343" s="11"/>
    </row>
    <row r="344" spans="3:3" x14ac:dyDescent="0.2">
      <c r="C344" s="11"/>
    </row>
    <row r="345" spans="3:3" x14ac:dyDescent="0.2">
      <c r="C345" s="11"/>
    </row>
    <row r="346" spans="3:3" x14ac:dyDescent="0.2">
      <c r="C346" s="11"/>
    </row>
    <row r="347" spans="3:3" x14ac:dyDescent="0.2">
      <c r="C347" s="11"/>
    </row>
    <row r="348" spans="3:3" x14ac:dyDescent="0.2">
      <c r="C348" s="11"/>
    </row>
    <row r="349" spans="3:3" x14ac:dyDescent="0.2">
      <c r="C349" s="11"/>
    </row>
    <row r="350" spans="3:3" x14ac:dyDescent="0.2">
      <c r="C350" s="11"/>
    </row>
    <row r="351" spans="3:3" x14ac:dyDescent="0.2">
      <c r="C351" s="11"/>
    </row>
    <row r="352" spans="3:3" x14ac:dyDescent="0.2">
      <c r="C352" s="11"/>
    </row>
    <row r="353" spans="3:3" x14ac:dyDescent="0.2">
      <c r="C353" s="11"/>
    </row>
    <row r="354" spans="3:3" x14ac:dyDescent="0.2">
      <c r="C354" s="11"/>
    </row>
    <row r="355" spans="3:3" x14ac:dyDescent="0.2">
      <c r="C355" s="11"/>
    </row>
    <row r="356" spans="3:3" x14ac:dyDescent="0.2">
      <c r="C356" s="11"/>
    </row>
    <row r="357" spans="3:3" x14ac:dyDescent="0.2">
      <c r="C357" s="11"/>
    </row>
    <row r="358" spans="3:3" x14ac:dyDescent="0.2">
      <c r="C358" s="11"/>
    </row>
    <row r="359" spans="3:3" x14ac:dyDescent="0.2">
      <c r="C359" s="11"/>
    </row>
    <row r="360" spans="3:3" x14ac:dyDescent="0.2">
      <c r="C360" s="11"/>
    </row>
    <row r="361" spans="3:3" x14ac:dyDescent="0.2">
      <c r="C361" s="11"/>
    </row>
    <row r="362" spans="3:3" x14ac:dyDescent="0.2">
      <c r="C362" s="11"/>
    </row>
    <row r="363" spans="3:3" x14ac:dyDescent="0.2">
      <c r="C363" s="11"/>
    </row>
    <row r="364" spans="3:3" x14ac:dyDescent="0.2">
      <c r="C364" s="11"/>
    </row>
    <row r="365" spans="3:3" x14ac:dyDescent="0.2">
      <c r="C365" s="11"/>
    </row>
    <row r="366" spans="3:3" x14ac:dyDescent="0.2">
      <c r="C366" s="11"/>
    </row>
    <row r="367" spans="3:3" x14ac:dyDescent="0.2">
      <c r="C367" s="11"/>
    </row>
    <row r="368" spans="3:3" x14ac:dyDescent="0.2">
      <c r="C368" s="11"/>
    </row>
    <row r="369" spans="3:3" x14ac:dyDescent="0.2">
      <c r="C369" s="11"/>
    </row>
    <row r="370" spans="3:3" x14ac:dyDescent="0.2">
      <c r="C370" s="11"/>
    </row>
    <row r="371" spans="3:3" x14ac:dyDescent="0.2">
      <c r="C371" s="11"/>
    </row>
    <row r="372" spans="3:3" x14ac:dyDescent="0.2">
      <c r="C372" s="11"/>
    </row>
    <row r="373" spans="3:3" x14ac:dyDescent="0.2">
      <c r="C373" s="11"/>
    </row>
    <row r="374" spans="3:3" x14ac:dyDescent="0.2">
      <c r="C374" s="11"/>
    </row>
    <row r="375" spans="3:3" x14ac:dyDescent="0.2">
      <c r="C375" s="11"/>
    </row>
    <row r="376" spans="3:3" x14ac:dyDescent="0.2">
      <c r="C376" s="11"/>
    </row>
    <row r="377" spans="3:3" x14ac:dyDescent="0.2">
      <c r="C377" s="11"/>
    </row>
    <row r="378" spans="3:3" x14ac:dyDescent="0.2">
      <c r="C378" s="11"/>
    </row>
    <row r="379" spans="3:3" x14ac:dyDescent="0.2">
      <c r="C379" s="11"/>
    </row>
    <row r="380" spans="3:3" x14ac:dyDescent="0.2">
      <c r="C380" s="11"/>
    </row>
    <row r="381" spans="3:3" x14ac:dyDescent="0.2">
      <c r="C381" s="11"/>
    </row>
    <row r="382" spans="3:3" x14ac:dyDescent="0.2">
      <c r="C382" s="11"/>
    </row>
    <row r="383" spans="3:3" x14ac:dyDescent="0.2">
      <c r="C383" s="11"/>
    </row>
    <row r="384" spans="3:3" x14ac:dyDescent="0.2">
      <c r="C384" s="11"/>
    </row>
    <row r="385" spans="3:3" x14ac:dyDescent="0.2">
      <c r="C385" s="11"/>
    </row>
    <row r="386" spans="3:3" x14ac:dyDescent="0.2">
      <c r="C386" s="11"/>
    </row>
    <row r="387" spans="3:3" x14ac:dyDescent="0.2">
      <c r="C387" s="11"/>
    </row>
    <row r="388" spans="3:3" x14ac:dyDescent="0.2">
      <c r="C388" s="11"/>
    </row>
    <row r="389" spans="3:3" x14ac:dyDescent="0.2">
      <c r="C389" s="11"/>
    </row>
    <row r="390" spans="3:3" x14ac:dyDescent="0.2">
      <c r="C390" s="11"/>
    </row>
    <row r="391" spans="3:3" x14ac:dyDescent="0.2">
      <c r="C391" s="11"/>
    </row>
    <row r="392" spans="3:3" x14ac:dyDescent="0.2">
      <c r="C392" s="11"/>
    </row>
    <row r="393" spans="3:3" x14ac:dyDescent="0.2">
      <c r="C393" s="11"/>
    </row>
    <row r="394" spans="3:3" x14ac:dyDescent="0.2">
      <c r="C394" s="11"/>
    </row>
    <row r="395" spans="3:3" x14ac:dyDescent="0.2">
      <c r="C395" s="11"/>
    </row>
    <row r="396" spans="3:3" x14ac:dyDescent="0.2">
      <c r="C396" s="11"/>
    </row>
    <row r="397" spans="3:3" x14ac:dyDescent="0.2">
      <c r="C397" s="11"/>
    </row>
    <row r="398" spans="3:3" x14ac:dyDescent="0.2">
      <c r="C398" s="11"/>
    </row>
    <row r="399" spans="3:3" x14ac:dyDescent="0.2">
      <c r="C399" s="11"/>
    </row>
    <row r="400" spans="3:3" x14ac:dyDescent="0.2">
      <c r="C400" s="11"/>
    </row>
    <row r="401" spans="3:3" x14ac:dyDescent="0.2">
      <c r="C401" s="11"/>
    </row>
    <row r="402" spans="3:3" x14ac:dyDescent="0.2">
      <c r="C402" s="11"/>
    </row>
    <row r="403" spans="3:3" x14ac:dyDescent="0.2">
      <c r="C403" s="11"/>
    </row>
    <row r="404" spans="3:3" x14ac:dyDescent="0.2">
      <c r="C404" s="11"/>
    </row>
    <row r="405" spans="3:3" x14ac:dyDescent="0.2">
      <c r="C405" s="11"/>
    </row>
    <row r="406" spans="3:3" x14ac:dyDescent="0.2">
      <c r="C406" s="11"/>
    </row>
    <row r="407" spans="3:3" x14ac:dyDescent="0.2">
      <c r="C407" s="11"/>
    </row>
    <row r="408" spans="3:3" x14ac:dyDescent="0.2">
      <c r="C408" s="11"/>
    </row>
    <row r="409" spans="3:3" x14ac:dyDescent="0.2">
      <c r="C409" s="11"/>
    </row>
    <row r="410" spans="3:3" x14ac:dyDescent="0.2">
      <c r="C410" s="11"/>
    </row>
    <row r="411" spans="3:3" x14ac:dyDescent="0.2">
      <c r="C411" s="11"/>
    </row>
    <row r="412" spans="3:3" x14ac:dyDescent="0.2">
      <c r="C412" s="11"/>
    </row>
    <row r="413" spans="3:3" x14ac:dyDescent="0.2">
      <c r="C413" s="11"/>
    </row>
    <row r="414" spans="3:3" x14ac:dyDescent="0.2">
      <c r="C414" s="11"/>
    </row>
    <row r="415" spans="3:3" x14ac:dyDescent="0.2">
      <c r="C415" s="11"/>
    </row>
    <row r="416" spans="3:3" x14ac:dyDescent="0.2">
      <c r="C416" s="11"/>
    </row>
    <row r="417" spans="3:3" x14ac:dyDescent="0.2">
      <c r="C417" s="11"/>
    </row>
    <row r="418" spans="3:3" x14ac:dyDescent="0.2">
      <c r="C418" s="11"/>
    </row>
    <row r="419" spans="3:3" x14ac:dyDescent="0.2">
      <c r="C419" s="11"/>
    </row>
    <row r="420" spans="3:3" x14ac:dyDescent="0.2">
      <c r="C420" s="11"/>
    </row>
    <row r="421" spans="3:3" x14ac:dyDescent="0.2">
      <c r="C421" s="11"/>
    </row>
    <row r="422" spans="3:3" x14ac:dyDescent="0.2">
      <c r="C422" s="11"/>
    </row>
    <row r="423" spans="3:3" x14ac:dyDescent="0.2">
      <c r="C423" s="11"/>
    </row>
    <row r="424" spans="3:3" x14ac:dyDescent="0.2">
      <c r="C424" s="11"/>
    </row>
    <row r="425" spans="3:3" x14ac:dyDescent="0.2">
      <c r="C425" s="11"/>
    </row>
    <row r="426" spans="3:3" x14ac:dyDescent="0.2">
      <c r="C426" s="11"/>
    </row>
    <row r="427" spans="3:3" x14ac:dyDescent="0.2">
      <c r="C427" s="11"/>
    </row>
    <row r="428" spans="3:3" x14ac:dyDescent="0.2">
      <c r="C428" s="11"/>
    </row>
    <row r="429" spans="3:3" x14ac:dyDescent="0.2">
      <c r="C429" s="11"/>
    </row>
    <row r="430" spans="3:3" x14ac:dyDescent="0.2">
      <c r="C430" s="11"/>
    </row>
    <row r="431" spans="3:3" x14ac:dyDescent="0.2">
      <c r="C431" s="11"/>
    </row>
    <row r="432" spans="3:3" x14ac:dyDescent="0.2">
      <c r="C432" s="11"/>
    </row>
    <row r="433" spans="3:3" x14ac:dyDescent="0.2">
      <c r="C433" s="11"/>
    </row>
    <row r="434" spans="3:3" x14ac:dyDescent="0.2">
      <c r="C434" s="11"/>
    </row>
    <row r="435" spans="3:3" x14ac:dyDescent="0.2">
      <c r="C435" s="11"/>
    </row>
    <row r="436" spans="3:3" x14ac:dyDescent="0.2">
      <c r="C436" s="11"/>
    </row>
    <row r="437" spans="3:3" x14ac:dyDescent="0.2">
      <c r="C437" s="11"/>
    </row>
    <row r="438" spans="3:3" x14ac:dyDescent="0.2">
      <c r="C438" s="11"/>
    </row>
    <row r="439" spans="3:3" x14ac:dyDescent="0.2">
      <c r="C439" s="11"/>
    </row>
    <row r="440" spans="3:3" x14ac:dyDescent="0.2">
      <c r="C440" s="11"/>
    </row>
    <row r="441" spans="3:3" x14ac:dyDescent="0.2">
      <c r="C441" s="11"/>
    </row>
    <row r="442" spans="3:3" x14ac:dyDescent="0.2">
      <c r="C442" s="11"/>
    </row>
    <row r="443" spans="3:3" x14ac:dyDescent="0.2">
      <c r="C443" s="11"/>
    </row>
  </sheetData>
  <sheetProtection algorithmName="SHA-512" hashValue="tCoIgHBASSoGGVCQcPj7xlKcvKuaeKBFrmPcJSRp5Jmf6TV6IYsmOWO1d9WRQeB+re1xlKP8HWERbl/xSXRXwQ==" saltValue="otLBbhKdTmlO2h5Rlaty7w==" spinCount="100000" sheet="1" formatCells="0" formatColumns="0" formatRows="0"/>
  <customSheetViews>
    <customSheetView guid="{B8E02330-2419-4DE6-AD01-7ACC7A5D18DD}" scale="75" topLeftCell="A178">
      <selection activeCell="A2" sqref="A2:H193"/>
      <pageMargins left="0.75" right="0.75" top="1" bottom="1" header="0.5" footer="0.5"/>
      <pageSetup orientation="portrait" r:id="rId1"/>
      <headerFooter alignWithMargins="0"/>
    </customSheetView>
  </customSheetViews>
  <mergeCells count="99">
    <mergeCell ref="H160:H165"/>
    <mergeCell ref="H166:H172"/>
    <mergeCell ref="H153:H157"/>
    <mergeCell ref="H140:H145"/>
    <mergeCell ref="H133:H139"/>
    <mergeCell ref="H146:H152"/>
    <mergeCell ref="A153:A157"/>
    <mergeCell ref="A146:A152"/>
    <mergeCell ref="A166:A172"/>
    <mergeCell ref="B160:B165"/>
    <mergeCell ref="B133:B139"/>
    <mergeCell ref="A196:G211"/>
    <mergeCell ref="E1:H1"/>
    <mergeCell ref="A193:B194"/>
    <mergeCell ref="A185:C192"/>
    <mergeCell ref="D185:H185"/>
    <mergeCell ref="D192:H192"/>
    <mergeCell ref="C194:E194"/>
    <mergeCell ref="C193:E193"/>
    <mergeCell ref="H175:H179"/>
    <mergeCell ref="A175:A179"/>
    <mergeCell ref="B175:B179"/>
    <mergeCell ref="A160:A165"/>
    <mergeCell ref="A104:A110"/>
    <mergeCell ref="B122:B127"/>
    <mergeCell ref="H122:H127"/>
    <mergeCell ref="B180:B183"/>
    <mergeCell ref="A195:H195"/>
    <mergeCell ref="B104:B110"/>
    <mergeCell ref="A122:A127"/>
    <mergeCell ref="B128:B132"/>
    <mergeCell ref="A128:A132"/>
    <mergeCell ref="H104:H110"/>
    <mergeCell ref="H117:H121"/>
    <mergeCell ref="H128:H132"/>
    <mergeCell ref="H180:H183"/>
    <mergeCell ref="A133:A139"/>
    <mergeCell ref="B146:B152"/>
    <mergeCell ref="B153:B157"/>
    <mergeCell ref="B166:B172"/>
    <mergeCell ref="B140:B145"/>
    <mergeCell ref="A180:A183"/>
    <mergeCell ref="A140:A145"/>
    <mergeCell ref="A22:A27"/>
    <mergeCell ref="B48:B52"/>
    <mergeCell ref="B92:B95"/>
    <mergeCell ref="A86:A91"/>
    <mergeCell ref="A117:A121"/>
    <mergeCell ref="A41:A45"/>
    <mergeCell ref="A80:A85"/>
    <mergeCell ref="B41:B45"/>
    <mergeCell ref="A53:A56"/>
    <mergeCell ref="A71:A77"/>
    <mergeCell ref="A46:A47"/>
    <mergeCell ref="B117:B121"/>
    <mergeCell ref="B57:B63"/>
    <mergeCell ref="A48:A52"/>
    <mergeCell ref="A96:A103"/>
    <mergeCell ref="A28:A33"/>
    <mergeCell ref="H3:H9"/>
    <mergeCell ref="B10:B16"/>
    <mergeCell ref="H10:H16"/>
    <mergeCell ref="H92:H95"/>
    <mergeCell ref="B96:B103"/>
    <mergeCell ref="H71:H77"/>
    <mergeCell ref="B17:B21"/>
    <mergeCell ref="B64:B70"/>
    <mergeCell ref="H46:H47"/>
    <mergeCell ref="H41:H45"/>
    <mergeCell ref="H80:H85"/>
    <mergeCell ref="H34:H40"/>
    <mergeCell ref="B28:B33"/>
    <mergeCell ref="B71:B77"/>
    <mergeCell ref="H64:H70"/>
    <mergeCell ref="H96:H103"/>
    <mergeCell ref="H86:H91"/>
    <mergeCell ref="B80:B85"/>
    <mergeCell ref="B46:B47"/>
    <mergeCell ref="B53:B56"/>
    <mergeCell ref="H53:H56"/>
    <mergeCell ref="B86:B91"/>
    <mergeCell ref="H57:H63"/>
    <mergeCell ref="H48:H52"/>
    <mergeCell ref="H17:H21"/>
    <mergeCell ref="A17:A21"/>
    <mergeCell ref="A1:B1"/>
    <mergeCell ref="H111:H114"/>
    <mergeCell ref="A64:A70"/>
    <mergeCell ref="A111:A114"/>
    <mergeCell ref="B111:B114"/>
    <mergeCell ref="A92:A95"/>
    <mergeCell ref="A34:A40"/>
    <mergeCell ref="B34:B40"/>
    <mergeCell ref="B3:B9"/>
    <mergeCell ref="A10:A16"/>
    <mergeCell ref="A3:A9"/>
    <mergeCell ref="H22:H27"/>
    <mergeCell ref="B22:B27"/>
    <mergeCell ref="H28:H33"/>
  </mergeCells>
  <phoneticPr fontId="3" type="noConversion"/>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BU418"/>
  <sheetViews>
    <sheetView zoomScaleNormal="100" workbookViewId="0">
      <selection sqref="A1:B1"/>
    </sheetView>
  </sheetViews>
  <sheetFormatPr defaultColWidth="9.33203125" defaultRowHeight="12.75" x14ac:dyDescent="0.2"/>
  <cols>
    <col min="1" max="1" width="5.83203125" style="27" customWidth="1"/>
    <col min="2" max="2" width="18.83203125" style="27" customWidth="1"/>
    <col min="3" max="3" width="75.83203125" style="29" customWidth="1"/>
    <col min="4" max="4" width="6.83203125" style="968" customWidth="1"/>
    <col min="5" max="5" width="7.6640625" style="968" customWidth="1"/>
    <col min="6" max="6" width="7.83203125" style="968" customWidth="1"/>
    <col min="7" max="7" width="9.83203125" style="969" customWidth="1"/>
    <col min="8" max="8" width="75.83203125" style="68" customWidth="1"/>
    <col min="9" max="9" width="14.6640625" style="27" customWidth="1"/>
    <col min="10" max="16384" width="9.33203125" style="36"/>
  </cols>
  <sheetData>
    <row r="1" spans="1:9" ht="60" customHeight="1" thickBot="1" x14ac:dyDescent="0.25">
      <c r="A1" s="1933" t="s">
        <v>5489</v>
      </c>
      <c r="B1" s="2081"/>
      <c r="C1" s="87" t="s">
        <v>2164</v>
      </c>
      <c r="D1" s="132" t="s">
        <v>2146</v>
      </c>
      <c r="E1" s="2135"/>
      <c r="F1" s="2136"/>
      <c r="G1" s="2136"/>
      <c r="H1" s="2136"/>
    </row>
    <row r="2" spans="1:9" s="33" customFormat="1" ht="30" customHeight="1" thickBot="1" x14ac:dyDescent="0.25">
      <c r="A2" s="451" t="s">
        <v>290</v>
      </c>
      <c r="B2" s="450" t="s">
        <v>5488</v>
      </c>
      <c r="C2" s="484" t="s">
        <v>2606</v>
      </c>
      <c r="D2" s="973" t="s">
        <v>117</v>
      </c>
      <c r="E2" s="471" t="s">
        <v>5438</v>
      </c>
      <c r="F2" s="481" t="s">
        <v>5439</v>
      </c>
      <c r="G2" s="482" t="s">
        <v>5825</v>
      </c>
      <c r="H2" s="473" t="s">
        <v>919</v>
      </c>
      <c r="I2" s="29"/>
    </row>
    <row r="3" spans="1:9" ht="21" customHeight="1" thickBot="1" x14ac:dyDescent="0.25">
      <c r="A3" s="2105" t="str">
        <f>OF!A11</f>
        <v>OF3</v>
      </c>
      <c r="B3" s="2108" t="str">
        <f>OF!B11</f>
        <v>Distance to Nearest Maintained Road</v>
      </c>
      <c r="C3" s="894" t="str">
        <f>OF!C11</f>
        <v>From the center of the AA, the distance to the nearest maintained public road (dirt or paved) is:</v>
      </c>
      <c r="D3" s="278"/>
      <c r="E3" s="278"/>
      <c r="F3" s="241"/>
      <c r="G3" s="928">
        <f>MAX(F4:F9)/MAX(E4:E9)</f>
        <v>0</v>
      </c>
      <c r="H3" s="1704" t="s">
        <v>900</v>
      </c>
      <c r="I3" s="4" t="s">
        <v>476</v>
      </c>
    </row>
    <row r="4" spans="1:9" ht="15" customHeight="1" x14ac:dyDescent="0.2">
      <c r="A4" s="2125"/>
      <c r="B4" s="2109"/>
      <c r="C4" s="895" t="str">
        <f>OF!C12</f>
        <v>&lt;100 ft</v>
      </c>
      <c r="D4" s="363">
        <f>OF!D12</f>
        <v>0</v>
      </c>
      <c r="E4" s="54">
        <v>0</v>
      </c>
      <c r="F4" s="54">
        <f t="shared" ref="F4:F9" si="0">D4*E4</f>
        <v>0</v>
      </c>
      <c r="G4" s="929"/>
      <c r="H4" s="1705"/>
    </row>
    <row r="5" spans="1:9" ht="15" customHeight="1" x14ac:dyDescent="0.2">
      <c r="A5" s="2125"/>
      <c r="B5" s="2109"/>
      <c r="C5" s="896" t="str">
        <f>OF!C13</f>
        <v>100-500 ft</v>
      </c>
      <c r="D5" s="364">
        <f>OF!D13</f>
        <v>0</v>
      </c>
      <c r="E5" s="54">
        <v>2</v>
      </c>
      <c r="F5" s="54">
        <f t="shared" si="0"/>
        <v>0</v>
      </c>
      <c r="G5" s="930"/>
      <c r="H5" s="1705"/>
    </row>
    <row r="6" spans="1:9" ht="15" customHeight="1" x14ac:dyDescent="0.2">
      <c r="A6" s="2125"/>
      <c r="B6" s="2109"/>
      <c r="C6" s="896" t="str">
        <f>OF!C14</f>
        <v>500-1000 ft</v>
      </c>
      <c r="D6" s="364">
        <f>OF!D14</f>
        <v>0</v>
      </c>
      <c r="E6" s="54">
        <v>3</v>
      </c>
      <c r="F6" s="54">
        <f t="shared" si="0"/>
        <v>0</v>
      </c>
      <c r="G6" s="930"/>
      <c r="H6" s="1705"/>
    </row>
    <row r="7" spans="1:9" ht="15" customHeight="1" x14ac:dyDescent="0.2">
      <c r="A7" s="2125"/>
      <c r="B7" s="2109"/>
      <c r="C7" s="896" t="str">
        <f>OF!C15</f>
        <v>1000 ft - 0.5 mile</v>
      </c>
      <c r="D7" s="364">
        <f>OF!D15</f>
        <v>0</v>
      </c>
      <c r="E7" s="54">
        <v>3</v>
      </c>
      <c r="F7" s="54">
        <f t="shared" si="0"/>
        <v>0</v>
      </c>
      <c r="G7" s="930"/>
      <c r="H7" s="1705"/>
    </row>
    <row r="8" spans="1:9" ht="15" customHeight="1" x14ac:dyDescent="0.2">
      <c r="A8" s="2125"/>
      <c r="B8" s="2109"/>
      <c r="C8" s="896" t="str">
        <f>OF!C16</f>
        <v>0.5- 1 mile</v>
      </c>
      <c r="D8" s="364">
        <f>OF!D16</f>
        <v>0</v>
      </c>
      <c r="E8" s="54">
        <v>3</v>
      </c>
      <c r="F8" s="54">
        <f t="shared" si="0"/>
        <v>0</v>
      </c>
      <c r="G8" s="930"/>
      <c r="H8" s="1705"/>
    </row>
    <row r="9" spans="1:9" ht="15.6" customHeight="1" thickBot="1" x14ac:dyDescent="0.25">
      <c r="A9" s="2126"/>
      <c r="B9" s="2110"/>
      <c r="C9" s="897" t="str">
        <f>OF!C17</f>
        <v>&gt;1 mile</v>
      </c>
      <c r="D9" s="365">
        <f>OF!D17</f>
        <v>0</v>
      </c>
      <c r="E9" s="239">
        <v>3</v>
      </c>
      <c r="F9" s="239">
        <f t="shared" si="0"/>
        <v>0</v>
      </c>
      <c r="G9" s="931"/>
      <c r="H9" s="1706"/>
    </row>
    <row r="10" spans="1:9" ht="45" customHeight="1" thickBot="1" x14ac:dyDescent="0.25">
      <c r="A10" s="2117" t="str">
        <f>OF!A24</f>
        <v>OF5</v>
      </c>
      <c r="B10" s="2109" t="str">
        <f>OF!B24</f>
        <v>Size of Largest Nearby Tract or Corridor of Natural Land Cover</v>
      </c>
      <c r="C10" s="898" t="str">
        <f>OF!C24</f>
        <v>Including the AA's vegetated area, the largest patch or corridor that is natural land cover and is contiguous with vegetation in the AA (i.e., not completely separated by highways or channels that are uniformly wider than 150 ft), occupies:</v>
      </c>
      <c r="D10" s="278"/>
      <c r="E10" s="932"/>
      <c r="F10" s="60"/>
      <c r="G10" s="933">
        <f>MAX(F11:F15)/MAX(E11:E15)</f>
        <v>0</v>
      </c>
      <c r="H10" s="1705" t="s">
        <v>176</v>
      </c>
      <c r="I10" s="4" t="s">
        <v>477</v>
      </c>
    </row>
    <row r="11" spans="1:9" ht="15" customHeight="1" x14ac:dyDescent="0.2">
      <c r="A11" s="2117"/>
      <c r="B11" s="2109"/>
      <c r="C11" s="895" t="str">
        <f>OF!C25</f>
        <v>&lt;1 acre, or larger but with average width &lt;150 ft</v>
      </c>
      <c r="D11" s="363">
        <f>OF!D25</f>
        <v>0</v>
      </c>
      <c r="E11" s="54">
        <v>0</v>
      </c>
      <c r="F11" s="54">
        <f>D11*E11</f>
        <v>0</v>
      </c>
      <c r="G11" s="929"/>
      <c r="H11" s="1705"/>
    </row>
    <row r="12" spans="1:9" ht="15" customHeight="1" x14ac:dyDescent="0.2">
      <c r="A12" s="2117"/>
      <c r="B12" s="2109"/>
      <c r="C12" s="896" t="str">
        <f>OF!C26</f>
        <v>1-10 acres</v>
      </c>
      <c r="D12" s="364">
        <f>OF!D26</f>
        <v>0</v>
      </c>
      <c r="E12" s="54">
        <v>1</v>
      </c>
      <c r="F12" s="54">
        <f>D12*E12</f>
        <v>0</v>
      </c>
      <c r="G12" s="930"/>
      <c r="H12" s="1705"/>
    </row>
    <row r="13" spans="1:9" ht="15" customHeight="1" x14ac:dyDescent="0.2">
      <c r="A13" s="2117"/>
      <c r="B13" s="2109"/>
      <c r="C13" s="896" t="str">
        <f>OF!C27</f>
        <v>10-100 acres</v>
      </c>
      <c r="D13" s="364">
        <f>OF!D27</f>
        <v>0</v>
      </c>
      <c r="E13" s="54">
        <v>2</v>
      </c>
      <c r="F13" s="54">
        <f>D13*E13</f>
        <v>0</v>
      </c>
      <c r="G13" s="930"/>
      <c r="H13" s="1705"/>
    </row>
    <row r="14" spans="1:9" ht="15" customHeight="1" x14ac:dyDescent="0.2">
      <c r="A14" s="2117"/>
      <c r="B14" s="2109"/>
      <c r="C14" s="896" t="str">
        <f>OF!C28</f>
        <v>100-1000 acres</v>
      </c>
      <c r="D14" s="364">
        <f>OF!D28</f>
        <v>0</v>
      </c>
      <c r="E14" s="54">
        <v>3</v>
      </c>
      <c r="F14" s="54">
        <f>D14*E14</f>
        <v>0</v>
      </c>
      <c r="G14" s="930"/>
      <c r="H14" s="1705"/>
    </row>
    <row r="15" spans="1:9" ht="15.6" customHeight="1" thickBot="1" x14ac:dyDescent="0.25">
      <c r="A15" s="2117"/>
      <c r="B15" s="2109"/>
      <c r="C15" s="899" t="str">
        <f>OF!C29</f>
        <v>&gt;1000 acres</v>
      </c>
      <c r="D15" s="366">
        <f>OF!D29</f>
        <v>0</v>
      </c>
      <c r="E15" s="934">
        <v>4</v>
      </c>
      <c r="F15" s="934">
        <f>D15*E15</f>
        <v>0</v>
      </c>
      <c r="G15" s="935"/>
      <c r="H15" s="1705"/>
    </row>
    <row r="16" spans="1:9" ht="42.75" customHeight="1" thickBot="1" x14ac:dyDescent="0.25">
      <c r="A16" s="2105" t="str">
        <f>OF!A61</f>
        <v>OF10</v>
      </c>
      <c r="B16" s="2108" t="str">
        <f>OF!B61</f>
        <v>Ponded Water in Landscape</v>
      </c>
      <c r="C16" s="894" t="str">
        <f>OF!C61</f>
        <v>Draw a circle of radius of 2 miles centered on the AA.  Including water ponded in the AA itself or in a fringing non-marine water body, the amount of water that is ponded (standing) during most of the year is:</v>
      </c>
      <c r="D16" s="278"/>
      <c r="E16" s="278"/>
      <c r="F16" s="936"/>
      <c r="G16" s="928" t="str">
        <f>IF((FenMarsh=1),MAX(F17:F22)/MAX(E17:E22),"")</f>
        <v/>
      </c>
      <c r="H16" s="1704" t="s">
        <v>70</v>
      </c>
      <c r="I16" s="4" t="s">
        <v>479</v>
      </c>
    </row>
    <row r="17" spans="1:9" ht="15" customHeight="1" x14ac:dyDescent="0.2">
      <c r="A17" s="2106"/>
      <c r="B17" s="2111"/>
      <c r="C17" s="1122">
        <f>OF!C62</f>
        <v>0</v>
      </c>
      <c r="D17" s="363">
        <f>OF!D62</f>
        <v>0</v>
      </c>
      <c r="E17" s="54">
        <v>0</v>
      </c>
      <c r="F17" s="54">
        <f t="shared" ref="F17:F29" si="1">D17*E17</f>
        <v>0</v>
      </c>
      <c r="G17" s="929"/>
      <c r="H17" s="1705"/>
    </row>
    <row r="18" spans="1:9" ht="15" customHeight="1" x14ac:dyDescent="0.2">
      <c r="A18" s="2106"/>
      <c r="B18" s="2111"/>
      <c r="C18" s="896" t="str">
        <f>OF!C63</f>
        <v>1 or 2</v>
      </c>
      <c r="D18" s="364">
        <f>OF!D63</f>
        <v>0</v>
      </c>
      <c r="E18" s="54">
        <v>1</v>
      </c>
      <c r="F18" s="54">
        <f t="shared" si="1"/>
        <v>0</v>
      </c>
      <c r="G18" s="930"/>
      <c r="H18" s="1705"/>
    </row>
    <row r="19" spans="1:9" ht="15" customHeight="1" x14ac:dyDescent="0.2">
      <c r="A19" s="2106"/>
      <c r="B19" s="2111"/>
      <c r="C19" s="896" t="str">
        <f>OF!C64</f>
        <v>3 to 6</v>
      </c>
      <c r="D19" s="364">
        <f>OF!D64</f>
        <v>0</v>
      </c>
      <c r="E19" s="54">
        <v>2</v>
      </c>
      <c r="F19" s="54">
        <f t="shared" si="1"/>
        <v>0</v>
      </c>
      <c r="G19" s="930"/>
      <c r="H19" s="1705"/>
    </row>
    <row r="20" spans="1:9" ht="15" customHeight="1" x14ac:dyDescent="0.2">
      <c r="A20" s="2106"/>
      <c r="B20" s="2111"/>
      <c r="C20" s="896" t="str">
        <f>OF!C65</f>
        <v>7 to 9</v>
      </c>
      <c r="D20" s="364">
        <f>OF!D65</f>
        <v>0</v>
      </c>
      <c r="E20" s="54">
        <v>3</v>
      </c>
      <c r="F20" s="54">
        <f t="shared" si="1"/>
        <v>0</v>
      </c>
      <c r="G20" s="930"/>
      <c r="H20" s="1705"/>
    </row>
    <row r="21" spans="1:9" ht="15" customHeight="1" x14ac:dyDescent="0.2">
      <c r="A21" s="2106"/>
      <c r="B21" s="2111"/>
      <c r="C21" s="896" t="str">
        <f>OF!C66</f>
        <v>10 to 12</v>
      </c>
      <c r="D21" s="364">
        <f>OF!D66</f>
        <v>0</v>
      </c>
      <c r="E21" s="54">
        <v>4</v>
      </c>
      <c r="F21" s="54">
        <f t="shared" si="1"/>
        <v>0</v>
      </c>
      <c r="G21" s="930"/>
      <c r="H21" s="1705"/>
    </row>
    <row r="22" spans="1:9" ht="15.6" customHeight="1" thickBot="1" x14ac:dyDescent="0.25">
      <c r="A22" s="2107"/>
      <c r="B22" s="2112"/>
      <c r="C22" s="897" t="str">
        <f>OF!C67</f>
        <v>&gt;12</v>
      </c>
      <c r="D22" s="365">
        <f>OF!D67</f>
        <v>0</v>
      </c>
      <c r="E22" s="239">
        <v>5</v>
      </c>
      <c r="F22" s="239">
        <f t="shared" si="1"/>
        <v>0</v>
      </c>
      <c r="G22" s="931"/>
      <c r="H22" s="1706"/>
    </row>
    <row r="23" spans="1:9" ht="30" customHeight="1" thickBot="1" x14ac:dyDescent="0.25">
      <c r="A23" s="2105" t="str">
        <f>OF!A68</f>
        <v>OF11</v>
      </c>
      <c r="B23" s="2108" t="str">
        <f>OF!B68</f>
        <v>Ponded Water Proximity</v>
      </c>
      <c r="C23" s="894" t="str">
        <f>OF!C68</f>
        <v>The distance from the AA edge to the closest pond or lake that is larger than 1 acre and is not part of the same wetland, pond, or lake to which the AA is contiguous is:</v>
      </c>
      <c r="D23" s="278"/>
      <c r="E23" s="278"/>
      <c r="F23" s="241"/>
      <c r="G23" s="928" t="str">
        <f>IF((FenMarsh=1),MAX(F24:F29)/MAX(E24:E29),"")</f>
        <v/>
      </c>
      <c r="H23" s="1704" t="s">
        <v>1227</v>
      </c>
      <c r="I23" s="4" t="s">
        <v>480</v>
      </c>
    </row>
    <row r="24" spans="1:9" ht="15" customHeight="1" x14ac:dyDescent="0.2">
      <c r="A24" s="2106"/>
      <c r="B24" s="2111"/>
      <c r="C24" s="895" t="str">
        <f>OF!C69</f>
        <v>&lt;300 ft, and connected with a natural land corridor</v>
      </c>
      <c r="D24" s="363">
        <f>OF!D69</f>
        <v>0</v>
      </c>
      <c r="E24" s="54">
        <v>5</v>
      </c>
      <c r="F24" s="54">
        <f t="shared" si="1"/>
        <v>0</v>
      </c>
      <c r="G24" s="929"/>
      <c r="H24" s="1705"/>
    </row>
    <row r="25" spans="1:9" ht="15" customHeight="1" x14ac:dyDescent="0.2">
      <c r="A25" s="2106"/>
      <c r="B25" s="2111"/>
      <c r="C25" s="896" t="str">
        <f>OF!C70</f>
        <v>&lt;300 ft, but no uninterrupted natural land corridor</v>
      </c>
      <c r="D25" s="364">
        <f>OF!D70</f>
        <v>0</v>
      </c>
      <c r="E25" s="54">
        <v>4</v>
      </c>
      <c r="F25" s="54">
        <f t="shared" si="1"/>
        <v>0</v>
      </c>
      <c r="G25" s="930"/>
      <c r="H25" s="1705"/>
    </row>
    <row r="26" spans="1:9" ht="15" customHeight="1" x14ac:dyDescent="0.2">
      <c r="A26" s="2106"/>
      <c r="B26" s="2111"/>
      <c r="C26" s="896" t="str">
        <f>OF!C71</f>
        <v>300-1000 ft, and connected with a natural land corridor</v>
      </c>
      <c r="D26" s="364">
        <f>OF!D71</f>
        <v>0</v>
      </c>
      <c r="E26" s="54">
        <v>3</v>
      </c>
      <c r="F26" s="54">
        <f t="shared" si="1"/>
        <v>0</v>
      </c>
      <c r="G26" s="930"/>
      <c r="H26" s="1705"/>
    </row>
    <row r="27" spans="1:9" ht="15" customHeight="1" x14ac:dyDescent="0.2">
      <c r="A27" s="2106"/>
      <c r="B27" s="2111"/>
      <c r="C27" s="896" t="str">
        <f>OF!C72</f>
        <v>300-1000 ft, but no uninterrupted natural land corridor</v>
      </c>
      <c r="D27" s="364">
        <f>OF!D72</f>
        <v>0</v>
      </c>
      <c r="E27" s="54">
        <v>2</v>
      </c>
      <c r="F27" s="54">
        <f t="shared" si="1"/>
        <v>0</v>
      </c>
      <c r="G27" s="930"/>
      <c r="H27" s="1705"/>
    </row>
    <row r="28" spans="1:9" ht="15" customHeight="1" x14ac:dyDescent="0.2">
      <c r="A28" s="2106"/>
      <c r="B28" s="2111"/>
      <c r="C28" s="896" t="str">
        <f>OF!C73</f>
        <v>&gt;1000 ft, and connected with a natural land corridor</v>
      </c>
      <c r="D28" s="364">
        <f>OF!D73</f>
        <v>0</v>
      </c>
      <c r="E28" s="54">
        <v>1</v>
      </c>
      <c r="F28" s="54">
        <f t="shared" si="1"/>
        <v>0</v>
      </c>
      <c r="G28" s="930"/>
      <c r="H28" s="1705"/>
    </row>
    <row r="29" spans="1:9" ht="15.6" customHeight="1" thickBot="1" x14ac:dyDescent="0.25">
      <c r="A29" s="2107"/>
      <c r="B29" s="2112"/>
      <c r="C29" s="897" t="str">
        <f>OF!C74</f>
        <v>&gt;1000 ft, but no uninterrupted natural land corridor</v>
      </c>
      <c r="D29" s="365">
        <f>OF!D74</f>
        <v>0</v>
      </c>
      <c r="E29" s="239">
        <v>0</v>
      </c>
      <c r="F29" s="239">
        <f t="shared" si="1"/>
        <v>0</v>
      </c>
      <c r="G29" s="931"/>
      <c r="H29" s="1706"/>
    </row>
    <row r="30" spans="1:9" ht="45" customHeight="1" thickBot="1" x14ac:dyDescent="0.25">
      <c r="A30" s="2117" t="str">
        <f>OF!A75</f>
        <v>OF12</v>
      </c>
      <c r="B30" s="2109" t="str">
        <f>OF!B75</f>
        <v>Distance to Lake</v>
      </c>
      <c r="C30" s="898" t="str">
        <f>OF!C75</f>
        <v>The distance from the AA edge to the closest (but separate) lake (a non-tidal body of water that is ponded during most of the year and is larger than 20 acres or about 1000 ft on a side) during most of a normal year is:</v>
      </c>
      <c r="D30" s="278"/>
      <c r="E30" s="932"/>
      <c r="F30" s="937"/>
      <c r="G30" s="938" t="str">
        <f>IF((FenMarsh=1),MAX(F31:F33)/MAX(E31:E33),"")</f>
        <v/>
      </c>
      <c r="H30" s="1688" t="s">
        <v>5797</v>
      </c>
      <c r="I30" s="4" t="s">
        <v>481</v>
      </c>
    </row>
    <row r="31" spans="1:9" ht="15" customHeight="1" x14ac:dyDescent="0.2">
      <c r="A31" s="2118"/>
      <c r="B31" s="2111"/>
      <c r="C31" s="895" t="str">
        <f>OF!C76</f>
        <v>&lt;1 mile</v>
      </c>
      <c r="D31" s="363">
        <f>OF!D76</f>
        <v>0</v>
      </c>
      <c r="E31" s="54">
        <v>2</v>
      </c>
      <c r="F31" s="54">
        <f>LakeNear13*E31</f>
        <v>0</v>
      </c>
      <c r="G31" s="929"/>
      <c r="H31" s="1705"/>
    </row>
    <row r="32" spans="1:9" ht="15" customHeight="1" x14ac:dyDescent="0.2">
      <c r="A32" s="2118"/>
      <c r="B32" s="2111"/>
      <c r="C32" s="896" t="str">
        <f>OF!C77</f>
        <v>1-5 miles</v>
      </c>
      <c r="D32" s="364">
        <f>OF!D77</f>
        <v>0</v>
      </c>
      <c r="E32" s="54">
        <v>1</v>
      </c>
      <c r="F32" s="54">
        <f>D32*E32</f>
        <v>0</v>
      </c>
      <c r="G32" s="930"/>
      <c r="H32" s="1705"/>
    </row>
    <row r="33" spans="1:9" ht="15.6" customHeight="1" thickBot="1" x14ac:dyDescent="0.25">
      <c r="A33" s="2118"/>
      <c r="B33" s="2111"/>
      <c r="C33" s="899" t="str">
        <f>OF!C79</f>
        <v>&gt;5 miles and on a different island</v>
      </c>
      <c r="D33" s="366">
        <f>OF!D79</f>
        <v>0</v>
      </c>
      <c r="E33" s="934">
        <v>0</v>
      </c>
      <c r="F33" s="934">
        <f>D33*E33</f>
        <v>0</v>
      </c>
      <c r="G33" s="935"/>
      <c r="H33" s="1705"/>
    </row>
    <row r="34" spans="1:9" ht="21" customHeight="1" thickBot="1" x14ac:dyDescent="0.25">
      <c r="A34" s="2120" t="str">
        <f>OF!A80</f>
        <v>OF13</v>
      </c>
      <c r="B34" s="2099" t="str">
        <f>OF!B80</f>
        <v>Tidal Proximity</v>
      </c>
      <c r="C34" s="903" t="str">
        <f>OF!C80</f>
        <v>The distance from the AA edge to the closest tidal water body is:</v>
      </c>
      <c r="D34" s="278"/>
      <c r="E34" s="278"/>
      <c r="F34" s="237"/>
      <c r="G34" s="939">
        <f>MAX(F35:F39)/MAX(E35:E39)</f>
        <v>0</v>
      </c>
      <c r="H34" s="1687" t="s">
        <v>5790</v>
      </c>
      <c r="I34" s="4" t="s">
        <v>483</v>
      </c>
    </row>
    <row r="35" spans="1:9" ht="15" customHeight="1" x14ac:dyDescent="0.2">
      <c r="A35" s="2121"/>
      <c r="B35" s="1715"/>
      <c r="C35" s="904" t="str">
        <f>OF!C81</f>
        <v>&lt;300 ft</v>
      </c>
      <c r="D35" s="363">
        <f>OF!D81</f>
        <v>0</v>
      </c>
      <c r="E35" s="54">
        <v>5</v>
      </c>
      <c r="F35" s="54">
        <f>D35*E35</f>
        <v>0</v>
      </c>
      <c r="G35" s="929"/>
      <c r="H35" s="1688"/>
    </row>
    <row r="36" spans="1:9" ht="15" customHeight="1" x14ac:dyDescent="0.2">
      <c r="A36" s="2121"/>
      <c r="B36" s="1715"/>
      <c r="C36" s="905" t="str">
        <f>OF!C82</f>
        <v>300-1000 ft</v>
      </c>
      <c r="D36" s="364">
        <f>OF!D82</f>
        <v>0</v>
      </c>
      <c r="E36" s="54">
        <v>4</v>
      </c>
      <c r="F36" s="54">
        <f>D36*E36</f>
        <v>0</v>
      </c>
      <c r="G36" s="930"/>
      <c r="H36" s="1688"/>
    </row>
    <row r="37" spans="1:9" ht="15" customHeight="1" x14ac:dyDescent="0.2">
      <c r="A37" s="2121"/>
      <c r="B37" s="1715"/>
      <c r="C37" s="905" t="str">
        <f>OF!C83</f>
        <v>1000 ft - 1 mile</v>
      </c>
      <c r="D37" s="364">
        <f>OF!D83</f>
        <v>0</v>
      </c>
      <c r="E37" s="54">
        <v>3</v>
      </c>
      <c r="F37" s="54">
        <f>D37*E37</f>
        <v>0</v>
      </c>
      <c r="G37" s="930"/>
      <c r="H37" s="1688"/>
    </row>
    <row r="38" spans="1:9" ht="15" customHeight="1" x14ac:dyDescent="0.2">
      <c r="A38" s="2121"/>
      <c r="B38" s="1715"/>
      <c r="C38" s="905" t="str">
        <f>OF!C84</f>
        <v>1-5 miles</v>
      </c>
      <c r="D38" s="364">
        <f>OF!D84</f>
        <v>0</v>
      </c>
      <c r="E38" s="54">
        <v>2</v>
      </c>
      <c r="F38" s="54">
        <f>D38*E38</f>
        <v>0</v>
      </c>
      <c r="G38" s="930"/>
      <c r="H38" s="1688"/>
    </row>
    <row r="39" spans="1:9" ht="15.6" customHeight="1" thickBot="1" x14ac:dyDescent="0.25">
      <c r="A39" s="2121"/>
      <c r="B39" s="1715"/>
      <c r="C39" s="906" t="str">
        <f>OF!C85</f>
        <v>&gt;5 miles</v>
      </c>
      <c r="D39" s="366">
        <f>OF!D85</f>
        <v>0</v>
      </c>
      <c r="E39" s="934">
        <v>0</v>
      </c>
      <c r="F39" s="934">
        <f>D39*E39</f>
        <v>0</v>
      </c>
      <c r="G39" s="935"/>
      <c r="H39" s="1689"/>
    </row>
    <row r="40" spans="1:9" ht="30" customHeight="1" thickBot="1" x14ac:dyDescent="0.25">
      <c r="A40" s="2100" t="str">
        <f>OF!A97</f>
        <v>OF17</v>
      </c>
      <c r="B40" s="2099" t="str">
        <f>OF!B97</f>
        <v>Fish Access or Use</v>
      </c>
      <c r="C40" s="907" t="str">
        <f>OF!C97</f>
        <v>Refer to the map in the online WESPAK-SE Wetlands Module: Habitat Layers &gt; Anadromous Waters Catalog, and preferably verify by contacting a local ADFG biologist.  Mark just the first choice that is true.  The AA:</v>
      </c>
      <c r="D40" s="278"/>
      <c r="E40" s="278"/>
      <c r="F40" s="278"/>
      <c r="G40" s="939">
        <f>IF((D45=1),"",IF((NoPonded=1),"",MAX(F41:F44)/MAX(E41:E44)))</f>
        <v>0</v>
      </c>
      <c r="H40" s="1687" t="s">
        <v>2492</v>
      </c>
      <c r="I40" s="4" t="s">
        <v>2491</v>
      </c>
    </row>
    <row r="41" spans="1:9" ht="15" customHeight="1" x14ac:dyDescent="0.2">
      <c r="A41" s="2101"/>
      <c r="B41" s="1715"/>
      <c r="C41" s="908" t="str">
        <f>OF!C98</f>
        <v>a) is known to support anadromous fish feeding and/or spawning (some ADFG Class 1 streams).</v>
      </c>
      <c r="D41" s="363">
        <f>OF!D98</f>
        <v>0</v>
      </c>
      <c r="E41" s="54">
        <v>1</v>
      </c>
      <c r="F41" s="54">
        <f>D41*E41</f>
        <v>0</v>
      </c>
      <c r="G41" s="940"/>
      <c r="H41" s="1688"/>
    </row>
    <row r="42" spans="1:9" ht="27" customHeight="1" x14ac:dyDescent="0.2">
      <c r="A42" s="2101"/>
      <c r="B42" s="1715"/>
      <c r="C42" s="909" t="str">
        <f>OF!C99</f>
        <v>b) is probably accessible to anadromous and other fish (at least seasonally, at least for feeding, partially or entirely), but anadromous fish have not been documented (some Class 1 streams).</v>
      </c>
      <c r="D42" s="364">
        <f>OF!D99</f>
        <v>0</v>
      </c>
      <c r="E42" s="54">
        <v>1</v>
      </c>
      <c r="F42" s="54">
        <f>D42*E42</f>
        <v>0</v>
      </c>
      <c r="G42" s="940"/>
      <c r="H42" s="1688"/>
    </row>
    <row r="43" spans="1:9" ht="27" customHeight="1" x14ac:dyDescent="0.2">
      <c r="A43" s="2101"/>
      <c r="B43" s="1715"/>
      <c r="C43" s="909" t="str">
        <f>OF!C100</f>
        <v>c) is not accessible to anadromous fish, but other resident fish are known (or can be assumed) present (Class 2).</v>
      </c>
      <c r="D43" s="364">
        <f>OF!D100</f>
        <v>0</v>
      </c>
      <c r="E43" s="54">
        <v>1</v>
      </c>
      <c r="F43" s="54">
        <f>D43*E43</f>
        <v>0</v>
      </c>
      <c r="G43" s="940"/>
      <c r="H43" s="1688"/>
    </row>
    <row r="44" spans="1:9" ht="27" customHeight="1" x14ac:dyDescent="0.2">
      <c r="A44" s="2101"/>
      <c r="B44" s="1715"/>
      <c r="C44" s="909" t="str">
        <f>OF!C101</f>
        <v>d) is fishless (i.e., not accessible to anadromous fish and is known or can be assumed to have no resident fish).  (Class 3, 4)</v>
      </c>
      <c r="D44" s="364">
        <f>OF!D101</f>
        <v>0</v>
      </c>
      <c r="E44" s="54">
        <v>2</v>
      </c>
      <c r="F44" s="54">
        <f>D44*E44</f>
        <v>0</v>
      </c>
      <c r="G44" s="940"/>
      <c r="H44" s="1688"/>
    </row>
    <row r="45" spans="1:9" ht="15.6" customHeight="1" thickBot="1" x14ac:dyDescent="0.25">
      <c r="A45" s="2102"/>
      <c r="B45" s="1716"/>
      <c r="C45" s="910" t="str">
        <f>OF!C102</f>
        <v>e) fish presence and potential fish access are unknown and undeterminable.</v>
      </c>
      <c r="D45" s="365">
        <f>OF!D102</f>
        <v>0</v>
      </c>
      <c r="E45" s="239"/>
      <c r="F45" s="239"/>
      <c r="G45" s="941"/>
      <c r="H45" s="1689"/>
    </row>
    <row r="46" spans="1:9" ht="75" customHeight="1" thickBot="1" x14ac:dyDescent="0.25">
      <c r="A46" s="2124" t="str">
        <f>OF!A127</f>
        <v>OF25</v>
      </c>
      <c r="B46" s="1705" t="str">
        <f>OF!B127</f>
        <v xml:space="preserve">Toxicity Documented Upstream </v>
      </c>
      <c r="C46" s="911"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46" s="278"/>
      <c r="E46" s="418"/>
      <c r="F46" s="787"/>
      <c r="G46" s="601">
        <f>IF((D50=1),"", IF((D49=1),1, IF((D48=1),0.2, 0)))</f>
        <v>0</v>
      </c>
      <c r="H46" s="1705" t="s">
        <v>528</v>
      </c>
      <c r="I46" s="4" t="s">
        <v>1258</v>
      </c>
    </row>
    <row r="47" spans="1:9" ht="15" customHeight="1" x14ac:dyDescent="0.2">
      <c r="A47" s="2124"/>
      <c r="B47" s="1705"/>
      <c r="C47" s="249" t="str">
        <f>OF!C128</f>
        <v>within the AA</v>
      </c>
      <c r="D47" s="367">
        <f>OF!D128</f>
        <v>0</v>
      </c>
      <c r="E47" s="412"/>
      <c r="F47" s="412"/>
      <c r="G47" s="708"/>
      <c r="H47" s="1705"/>
    </row>
    <row r="48" spans="1:9" ht="15" customHeight="1" x14ac:dyDescent="0.2">
      <c r="A48" s="2124"/>
      <c r="B48" s="1705"/>
      <c r="C48" s="912" t="str">
        <f>OF!C129</f>
        <v>in waters within 1 mile that flow into the AA.</v>
      </c>
      <c r="D48" s="366">
        <f>OF!D129</f>
        <v>0</v>
      </c>
      <c r="E48" s="412"/>
      <c r="F48" s="412"/>
      <c r="G48" s="709"/>
      <c r="H48" s="1705"/>
    </row>
    <row r="49" spans="1:9" ht="15" customHeight="1" x14ac:dyDescent="0.2">
      <c r="A49" s="2124"/>
      <c r="B49" s="1705"/>
      <c r="C49" s="912" t="str">
        <f>OF!C130</f>
        <v>Sampling (not just absence of map symbols) indicates no problems.</v>
      </c>
      <c r="D49" s="366">
        <f>OF!D130</f>
        <v>0</v>
      </c>
      <c r="E49" s="412"/>
      <c r="F49" s="412"/>
      <c r="G49" s="709"/>
      <c r="H49" s="1705"/>
    </row>
    <row r="50" spans="1:9" ht="15.6" customHeight="1" thickBot="1" x14ac:dyDescent="0.25">
      <c r="A50" s="2124"/>
      <c r="B50" s="1705"/>
      <c r="C50" s="912" t="str">
        <f>OF!C131</f>
        <v>insufficient data (no map symbols &amp; no sampling, or &gt;1 mile upstream).</v>
      </c>
      <c r="D50" s="366">
        <f>OF!D131</f>
        <v>0</v>
      </c>
      <c r="E50" s="414"/>
      <c r="F50" s="414"/>
      <c r="G50" s="718"/>
      <c r="H50" s="1705"/>
    </row>
    <row r="51" spans="1:9" ht="21" customHeight="1" thickBot="1" x14ac:dyDescent="0.25">
      <c r="A51" s="2123" t="str">
        <f>OF!A169</f>
        <v>OF34</v>
      </c>
      <c r="B51" s="2108" t="str">
        <f>OF!B169</f>
        <v>Internal Gradient</v>
      </c>
      <c r="C51" s="894" t="str">
        <f>OF!C169</f>
        <v>The gradient along most of the flow path within the AA is:</v>
      </c>
      <c r="D51" s="278"/>
      <c r="E51" s="278"/>
      <c r="F51" s="936"/>
      <c r="G51" s="928">
        <f>MAX(F52:F55)/MAX(E52:E55)</f>
        <v>0</v>
      </c>
      <c r="H51" s="1717" t="s">
        <v>240</v>
      </c>
      <c r="I51" s="4" t="s">
        <v>470</v>
      </c>
    </row>
    <row r="52" spans="1:9" ht="15" customHeight="1" x14ac:dyDescent="0.2">
      <c r="A52" s="1955"/>
      <c r="B52" s="2111"/>
      <c r="C52" s="895" t="str">
        <f>OF!C170</f>
        <v>&lt;2%, or, no slope is ever apparent (i.e., flat).  Includes most depressional sites and ponds.</v>
      </c>
      <c r="D52" s="363">
        <f>OF!D170</f>
        <v>0</v>
      </c>
      <c r="E52" s="54">
        <v>3</v>
      </c>
      <c r="F52" s="54">
        <f>Steep13*E52</f>
        <v>0</v>
      </c>
      <c r="G52" s="929"/>
      <c r="H52" s="1707"/>
    </row>
    <row r="53" spans="1:9" ht="15" customHeight="1" x14ac:dyDescent="0.2">
      <c r="A53" s="1955"/>
      <c r="B53" s="2111"/>
      <c r="C53" s="896" t="str">
        <f>OF!C171</f>
        <v>2-5%</v>
      </c>
      <c r="D53" s="364">
        <f>OF!D171</f>
        <v>0</v>
      </c>
      <c r="E53" s="54">
        <v>2</v>
      </c>
      <c r="F53" s="54">
        <f>D53*E53</f>
        <v>0</v>
      </c>
      <c r="G53" s="930"/>
      <c r="H53" s="1707"/>
    </row>
    <row r="54" spans="1:9" ht="15" customHeight="1" x14ac:dyDescent="0.2">
      <c r="A54" s="1955"/>
      <c r="B54" s="2111"/>
      <c r="C54" s="896" t="str">
        <f>OF!C172</f>
        <v>6-10%</v>
      </c>
      <c r="D54" s="364">
        <f>OF!D172</f>
        <v>0</v>
      </c>
      <c r="E54" s="54">
        <v>1</v>
      </c>
      <c r="F54" s="54">
        <f>D54*E54</f>
        <v>0</v>
      </c>
      <c r="G54" s="930"/>
      <c r="H54" s="1707"/>
    </row>
    <row r="55" spans="1:9" ht="15.6" customHeight="1" thickBot="1" x14ac:dyDescent="0.25">
      <c r="A55" s="1956"/>
      <c r="B55" s="2112"/>
      <c r="C55" s="924" t="str">
        <f>OF!C173</f>
        <v>&gt;10%</v>
      </c>
      <c r="D55" s="925">
        <f>OF!D173</f>
        <v>0</v>
      </c>
      <c r="E55" s="942">
        <v>0</v>
      </c>
      <c r="F55" s="239">
        <f>D55*E55</f>
        <v>0</v>
      </c>
      <c r="G55" s="931"/>
      <c r="H55" s="1718"/>
    </row>
    <row r="56" spans="1:9" s="33" customFormat="1" ht="21" customHeight="1" thickBot="1" x14ac:dyDescent="0.25">
      <c r="A56" s="890" t="str">
        <f>F!A4</f>
        <v>F1</v>
      </c>
      <c r="B56" s="2113" t="str">
        <f>F!B4</f>
        <v>Wetland Type</v>
      </c>
      <c r="C56" s="894" t="str">
        <f>F!C4</f>
        <v>Most of the vegetated part of the AA (wetland Assessment Area) is a (select ONE):</v>
      </c>
      <c r="D56" s="278"/>
      <c r="E56" s="549"/>
      <c r="F56" s="410"/>
      <c r="G56" s="550">
        <f>IF((D62=1),"",MAX(F57:F61)/MAX(E57:E61))</f>
        <v>0</v>
      </c>
      <c r="H56" s="1687" t="s">
        <v>1250</v>
      </c>
      <c r="I56" s="3" t="s">
        <v>457</v>
      </c>
    </row>
    <row r="57" spans="1:9" s="33" customFormat="1" ht="15" customHeight="1" x14ac:dyDescent="0.2">
      <c r="A57" s="891" t="str">
        <f>F!A5</f>
        <v>F1.1</v>
      </c>
      <c r="B57" s="2114"/>
      <c r="C57" s="913" t="str">
        <f>F!C5</f>
        <v>Forested Peatland</v>
      </c>
      <c r="D57" s="367">
        <f>F!D5</f>
        <v>0</v>
      </c>
      <c r="E57" s="418">
        <v>0</v>
      </c>
      <c r="F57" s="412">
        <f>D57*E57</f>
        <v>0</v>
      </c>
      <c r="G57" s="409"/>
      <c r="H57" s="1705"/>
      <c r="I57" s="29"/>
    </row>
    <row r="58" spans="1:9" s="33" customFormat="1" ht="15" customHeight="1" x14ac:dyDescent="0.2">
      <c r="A58" s="891" t="str">
        <f>F!A6</f>
        <v>F1.2</v>
      </c>
      <c r="B58" s="2114"/>
      <c r="C58" s="899" t="str">
        <f>F!C6</f>
        <v>Open Peatland</v>
      </c>
      <c r="D58" s="366">
        <f>F!D6</f>
        <v>0</v>
      </c>
      <c r="E58" s="418">
        <v>1</v>
      </c>
      <c r="F58" s="412">
        <f>D58*E58</f>
        <v>0</v>
      </c>
      <c r="G58" s="409"/>
      <c r="H58" s="1705"/>
      <c r="I58" s="29"/>
    </row>
    <row r="59" spans="1:9" s="33" customFormat="1" ht="15" customHeight="1" x14ac:dyDescent="0.2">
      <c r="A59" s="891" t="str">
        <f>F!A7</f>
        <v>F1.3</v>
      </c>
      <c r="B59" s="2114"/>
      <c r="C59" s="899" t="str">
        <f>F!C7</f>
        <v>Fen/ Marsh</v>
      </c>
      <c r="D59" s="366">
        <f>F!D7</f>
        <v>0</v>
      </c>
      <c r="E59" s="418">
        <v>3</v>
      </c>
      <c r="F59" s="412">
        <f>D59*E59</f>
        <v>0</v>
      </c>
      <c r="G59" s="409"/>
      <c r="H59" s="1705"/>
      <c r="I59" s="29"/>
    </row>
    <row r="60" spans="1:9" s="33" customFormat="1" ht="15" customHeight="1" x14ac:dyDescent="0.2">
      <c r="A60" s="891" t="str">
        <f>F!A8</f>
        <v>F1.4</v>
      </c>
      <c r="B60" s="2114"/>
      <c r="C60" s="899" t="str">
        <f>F!C8</f>
        <v>Floodplain Wetland</v>
      </c>
      <c r="D60" s="366">
        <f>F!D8</f>
        <v>0</v>
      </c>
      <c r="E60" s="418">
        <v>4</v>
      </c>
      <c r="F60" s="412">
        <f>D60*E60</f>
        <v>0</v>
      </c>
      <c r="G60" s="409"/>
      <c r="H60" s="1705"/>
      <c r="I60" s="29"/>
    </row>
    <row r="61" spans="1:9" s="33" customFormat="1" ht="15" customHeight="1" x14ac:dyDescent="0.2">
      <c r="A61" s="891" t="str">
        <f>F!A9</f>
        <v>F1.5</v>
      </c>
      <c r="B61" s="2114"/>
      <c r="C61" s="899" t="str">
        <f>F!C9</f>
        <v>Uplift Meadow</v>
      </c>
      <c r="D61" s="366">
        <f>F!D9</f>
        <v>0</v>
      </c>
      <c r="E61" s="783">
        <v>2</v>
      </c>
      <c r="F61" s="414">
        <f>D61*E61</f>
        <v>0</v>
      </c>
      <c r="G61" s="787"/>
      <c r="H61" s="1705"/>
      <c r="I61" s="29"/>
    </row>
    <row r="62" spans="1:9" s="33" customFormat="1" ht="15.6" customHeight="1" thickBot="1" x14ac:dyDescent="0.25">
      <c r="A62" s="892" t="str">
        <f>F!A10</f>
        <v>F1.6</v>
      </c>
      <c r="B62" s="2115"/>
      <c r="C62" s="897" t="str">
        <f>F!C10</f>
        <v>Tidal Marsh or Tidal Swamp.  Do not continue.  Use other spreadsheet.</v>
      </c>
      <c r="D62" s="365">
        <f>F!D10</f>
        <v>0</v>
      </c>
      <c r="E62" s="943"/>
      <c r="F62" s="943"/>
      <c r="G62" s="944"/>
      <c r="H62" s="1706"/>
      <c r="I62" s="29"/>
    </row>
    <row r="63" spans="1:9" s="33" customFormat="1" ht="30" customHeight="1" thickBot="1" x14ac:dyDescent="0.25">
      <c r="A63" s="2116" t="str">
        <f>F!A11</f>
        <v>F2</v>
      </c>
      <c r="B63" s="2113" t="str">
        <f>F!B11</f>
        <v>% Saturated Only</v>
      </c>
      <c r="C63" s="894" t="str">
        <f>F!C11</f>
        <v>The percentage of the AA that lacks surface water during an average year (that is, except perhaps for a few hours after snowmelt or rainstorms), but which is still a wetland, is:</v>
      </c>
      <c r="D63" s="278"/>
      <c r="E63" s="949"/>
      <c r="F63" s="278"/>
      <c r="G63" s="947">
        <f>MAX(F64:F69)/MAX(E64:E69)</f>
        <v>0</v>
      </c>
      <c r="H63" s="1687" t="s">
        <v>1701</v>
      </c>
      <c r="I63" s="3" t="s">
        <v>1330</v>
      </c>
    </row>
    <row r="64" spans="1:9" s="33" customFormat="1" ht="27" customHeight="1" x14ac:dyDescent="0.2">
      <c r="A64" s="2103"/>
      <c r="B64" s="2114"/>
      <c r="C64" s="914" t="str">
        <f>F!C12</f>
        <v>less than 1%, or &lt;0.01 acre (about 20 ft on a side) never has surface water.  In other words, all or nearly all of the AA is inundated permanently or at least seasonally.</v>
      </c>
      <c r="D64" s="368">
        <f>F!D12</f>
        <v>0</v>
      </c>
      <c r="E64" s="54">
        <v>4</v>
      </c>
      <c r="F64" s="54">
        <f t="shared" ref="F64:F69" si="2">D64*E64</f>
        <v>0</v>
      </c>
      <c r="G64" s="946"/>
      <c r="H64" s="1705"/>
      <c r="I64" s="3"/>
    </row>
    <row r="65" spans="1:73" s="33" customFormat="1" ht="15" customHeight="1" x14ac:dyDescent="0.2">
      <c r="A65" s="2103"/>
      <c r="B65" s="2114"/>
      <c r="C65" s="915" t="str">
        <f>F!C13</f>
        <v xml:space="preserve">1-25% of the AA never contains surface water.  </v>
      </c>
      <c r="D65" s="369">
        <f>F!D13</f>
        <v>0</v>
      </c>
      <c r="E65" s="54">
        <v>5</v>
      </c>
      <c r="F65" s="54">
        <f t="shared" si="2"/>
        <v>0</v>
      </c>
      <c r="G65" s="946"/>
      <c r="H65" s="1705"/>
      <c r="I65" s="3"/>
    </row>
    <row r="66" spans="1:73" s="33" customFormat="1" ht="15" customHeight="1" x14ac:dyDescent="0.2">
      <c r="A66" s="2103"/>
      <c r="B66" s="2114"/>
      <c r="C66" s="915" t="str">
        <f>F!C14</f>
        <v>25-50% of the AA never contains surface water.</v>
      </c>
      <c r="D66" s="369">
        <f>F!D14</f>
        <v>0</v>
      </c>
      <c r="E66" s="54">
        <v>3</v>
      </c>
      <c r="F66" s="54">
        <f t="shared" si="2"/>
        <v>0</v>
      </c>
      <c r="G66" s="946"/>
      <c r="H66" s="1705"/>
      <c r="I66" s="3"/>
    </row>
    <row r="67" spans="1:73" s="33" customFormat="1" ht="15" customHeight="1" x14ac:dyDescent="0.2">
      <c r="A67" s="2103"/>
      <c r="B67" s="2114"/>
      <c r="C67" s="915" t="str">
        <f>F!C15</f>
        <v>50-99% of the AA never contains surface water.</v>
      </c>
      <c r="D67" s="369">
        <f>F!D15</f>
        <v>0</v>
      </c>
      <c r="E67" s="54">
        <v>2</v>
      </c>
      <c r="F67" s="54">
        <f t="shared" si="2"/>
        <v>0</v>
      </c>
      <c r="G67" s="946"/>
      <c r="H67" s="1705"/>
      <c r="I67" s="3"/>
    </row>
    <row r="68" spans="1:73" s="33" customFormat="1" ht="27" customHeight="1" x14ac:dyDescent="0.2">
      <c r="A68" s="2103"/>
      <c r="B68" s="2114"/>
      <c r="C68" s="915" t="str">
        <f>F!C16</f>
        <v>&gt;99% of the AA never contains surface water, except for water flowing in channels and/or in pools that occupy &lt;1% of the AA. SKIP to F30.</v>
      </c>
      <c r="D68" s="369">
        <f>F!D16</f>
        <v>0</v>
      </c>
      <c r="E68" s="54">
        <v>1</v>
      </c>
      <c r="F68" s="54">
        <f t="shared" si="2"/>
        <v>0</v>
      </c>
      <c r="G68" s="946"/>
      <c r="H68" s="1705"/>
      <c r="I68" s="3"/>
    </row>
    <row r="69" spans="1:73" s="33" customFormat="1" ht="30" customHeight="1" thickBot="1" x14ac:dyDescent="0.25">
      <c r="A69" s="2104"/>
      <c r="B69" s="2115"/>
      <c r="C69" s="978" t="str">
        <f>F!C17</f>
        <v>&gt;99% of the AA never contains surface water, and AA is not intersected by channels that have flow, not even for a few days per year. SKIP to F28.</v>
      </c>
      <c r="D69" s="925">
        <f>F!D17</f>
        <v>0</v>
      </c>
      <c r="E69" s="239">
        <v>0</v>
      </c>
      <c r="F69" s="239">
        <f t="shared" si="2"/>
        <v>0</v>
      </c>
      <c r="G69" s="944"/>
      <c r="H69" s="1706"/>
      <c r="I69" s="3"/>
    </row>
    <row r="70" spans="1:73" s="33" customFormat="1" ht="30" customHeight="1" thickBot="1" x14ac:dyDescent="0.25">
      <c r="A70" s="2103" t="str">
        <f>F!A18</f>
        <v>F3</v>
      </c>
      <c r="B70" s="2114" t="str">
        <f>F!B18</f>
        <v>% with Persistent Surface Water</v>
      </c>
      <c r="C70" s="898" t="str">
        <f>F!C18</f>
        <v>The percentage of the AA that has surface water (either ponded or flowing, either open or obscured by vegetation) during all of the growing season during most years is:</v>
      </c>
      <c r="D70" s="932"/>
      <c r="E70" s="932"/>
      <c r="F70" s="60"/>
      <c r="G70" s="933">
        <f>IF((AllSat+AllSat1&gt;0),"", MAX(F71:F75)/MAX(E71:E75))</f>
        <v>0</v>
      </c>
      <c r="H70" s="1688" t="s">
        <v>5490</v>
      </c>
      <c r="I70" s="3" t="s">
        <v>460</v>
      </c>
    </row>
    <row r="71" spans="1:73" ht="15" customHeight="1" x14ac:dyDescent="0.2">
      <c r="A71" s="2103"/>
      <c r="B71" s="2114"/>
      <c r="C71" s="916" t="str">
        <f>F!C19</f>
        <v>less than 1%, or &lt;0.01 acre (whichever is less).  SKIP to F7.</v>
      </c>
      <c r="D71" s="367">
        <f>F!D19</f>
        <v>0</v>
      </c>
      <c r="E71" s="388">
        <v>1</v>
      </c>
      <c r="F71" s="54">
        <f>D71*E71</f>
        <v>0</v>
      </c>
      <c r="G71" s="929"/>
      <c r="H71" s="1705"/>
    </row>
    <row r="72" spans="1:73" ht="15" customHeight="1" x14ac:dyDescent="0.2">
      <c r="A72" s="2103"/>
      <c r="B72" s="2114"/>
      <c r="C72" s="906" t="str">
        <f>F!C20</f>
        <v>1-25% of the AA, and mostly in narrow channels and/or small scattered pools.</v>
      </c>
      <c r="D72" s="366">
        <f>F!D20</f>
        <v>0</v>
      </c>
      <c r="E72" s="388">
        <v>2</v>
      </c>
      <c r="F72" s="54">
        <f>D72*E72</f>
        <v>0</v>
      </c>
      <c r="G72" s="930"/>
      <c r="H72" s="1705"/>
    </row>
    <row r="73" spans="1:73" ht="15" customHeight="1" x14ac:dyDescent="0.2">
      <c r="A73" s="2103"/>
      <c r="B73" s="2114"/>
      <c r="C73" s="906" t="str">
        <f>F!C22</f>
        <v>25-50% of the AA</v>
      </c>
      <c r="D73" s="366">
        <f>F!D22</f>
        <v>0</v>
      </c>
      <c r="E73" s="388">
        <v>3</v>
      </c>
      <c r="F73" s="54">
        <f>D73*E73</f>
        <v>0</v>
      </c>
      <c r="G73" s="930"/>
      <c r="H73" s="1705"/>
    </row>
    <row r="74" spans="1:73" ht="15" customHeight="1" x14ac:dyDescent="0.2">
      <c r="A74" s="2103"/>
      <c r="B74" s="2114"/>
      <c r="C74" s="906" t="str">
        <f>F!C23</f>
        <v>50-95% of the AA</v>
      </c>
      <c r="D74" s="366">
        <f>F!D23</f>
        <v>0</v>
      </c>
      <c r="E74" s="388">
        <v>4</v>
      </c>
      <c r="F74" s="54">
        <f>D74*E74</f>
        <v>0</v>
      </c>
      <c r="G74" s="930"/>
      <c r="H74" s="1705"/>
    </row>
    <row r="75" spans="1:73" ht="15.6" customHeight="1" thickBot="1" x14ac:dyDescent="0.25">
      <c r="A75" s="2104"/>
      <c r="B75" s="2115"/>
      <c r="C75" s="917" t="str">
        <f>F!C24</f>
        <v>&gt;95% of the AA</v>
      </c>
      <c r="D75" s="365">
        <f>F!D24</f>
        <v>0</v>
      </c>
      <c r="E75" s="389">
        <v>3</v>
      </c>
      <c r="F75" s="239">
        <f>D75*E75</f>
        <v>0</v>
      </c>
      <c r="G75" s="931"/>
      <c r="H75" s="1706"/>
    </row>
    <row r="76" spans="1:73" s="33" customFormat="1" ht="52.5" customHeight="1" thickBot="1" x14ac:dyDescent="0.25">
      <c r="A76" s="893" t="str">
        <f>F!A31</f>
        <v>F5</v>
      </c>
      <c r="B76" s="225" t="str">
        <f>F!B31</f>
        <v>Fringe Wetland</v>
      </c>
      <c r="C76" s="918" t="str">
        <f>F!C31</f>
        <v>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v>
      </c>
      <c r="D76" s="370">
        <f>Fringe</f>
        <v>0</v>
      </c>
      <c r="E76" s="1363"/>
      <c r="F76" s="1132"/>
      <c r="G76" s="1087">
        <f>IF((AllSat+AllSat1&gt;0),"",IF((NoPersis=1),"", F!D31))</f>
        <v>0</v>
      </c>
      <c r="H76" s="49" t="s">
        <v>5491</v>
      </c>
      <c r="I76" s="3" t="s">
        <v>458</v>
      </c>
    </row>
    <row r="77" spans="1:73" s="34" customFormat="1" ht="60" customHeight="1" thickBot="1" x14ac:dyDescent="0.25">
      <c r="A77" s="1341" t="str">
        <f>F!A32</f>
        <v>F6</v>
      </c>
      <c r="B77" s="1340" t="str">
        <f>F!B32</f>
        <v>Lacustrine Wetland</v>
      </c>
      <c r="C77" s="926" t="str">
        <f>F!C32</f>
        <v>The AA borders a body of ponded open water whose size (not counting the AA's wetland) exceeds 20 acres during most of the growing season.  Enter "1" if true, "0" if false.</v>
      </c>
      <c r="D77" s="927">
        <f>F!D32</f>
        <v>0</v>
      </c>
      <c r="E77" s="948"/>
      <c r="F77" s="1362"/>
      <c r="G77" s="933" t="str">
        <f>IF((AllSat+AllSat1&gt;0),"",IF((NoPersis=1),"",IF((D77=1),1,"")))</f>
        <v/>
      </c>
      <c r="H77" s="110" t="s">
        <v>5492</v>
      </c>
      <c r="I77" s="3" t="s">
        <v>5794</v>
      </c>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row>
    <row r="78" spans="1:73" ht="30" customHeight="1" thickBot="1" x14ac:dyDescent="0.25">
      <c r="A78" s="2120" t="str">
        <f>F!A33</f>
        <v>F7</v>
      </c>
      <c r="B78" s="2099" t="str">
        <f>F!B33</f>
        <v>% Flooded Only Seasonally</v>
      </c>
      <c r="C78" s="903" t="str">
        <f>F!C33</f>
        <v>The percentage of the AA soil that is covered by surface water only during the wettest time of year, and for &gt;2 continuous weeks during that time, is:</v>
      </c>
      <c r="D78" s="278"/>
      <c r="E78" s="278"/>
      <c r="F78" s="241"/>
      <c r="G78" s="928">
        <f>IF((AllSat+AllSat1&gt;0),"",MAX(F79:F83)/MAX(E79:E83))</f>
        <v>0</v>
      </c>
      <c r="H78" s="1687" t="s">
        <v>5493</v>
      </c>
      <c r="I78" s="4" t="s">
        <v>486</v>
      </c>
    </row>
    <row r="79" spans="1:73" ht="15" customHeight="1" x14ac:dyDescent="0.2">
      <c r="A79" s="2121"/>
      <c r="B79" s="1715"/>
      <c r="C79" s="904" t="str">
        <f>F!C34</f>
        <v>&lt;1% or &lt;0.01 acre, whichever is less.  SKIP to F9.</v>
      </c>
      <c r="D79" s="363">
        <f>F!D34</f>
        <v>0</v>
      </c>
      <c r="E79" s="54">
        <v>4</v>
      </c>
      <c r="F79" s="54">
        <f>D79*E79</f>
        <v>0</v>
      </c>
      <c r="G79" s="929"/>
      <c r="H79" s="1705"/>
    </row>
    <row r="80" spans="1:73" ht="15" customHeight="1" x14ac:dyDescent="0.2">
      <c r="A80" s="2121"/>
      <c r="B80" s="1715"/>
      <c r="C80" s="905" t="str">
        <f>F!C35</f>
        <v xml:space="preserve">1-25% </v>
      </c>
      <c r="D80" s="364">
        <f>F!D35</f>
        <v>0</v>
      </c>
      <c r="E80" s="54">
        <v>5</v>
      </c>
      <c r="F80" s="54">
        <f>D80*E80</f>
        <v>0</v>
      </c>
      <c r="G80" s="930"/>
      <c r="H80" s="1705"/>
    </row>
    <row r="81" spans="1:9" ht="15" customHeight="1" x14ac:dyDescent="0.2">
      <c r="A81" s="2121"/>
      <c r="B81" s="1715"/>
      <c r="C81" s="905" t="str">
        <f>F!C36</f>
        <v xml:space="preserve">25-50% </v>
      </c>
      <c r="D81" s="364">
        <f>F!D36</f>
        <v>0</v>
      </c>
      <c r="E81" s="54">
        <v>3</v>
      </c>
      <c r="F81" s="54">
        <f>D81*E81</f>
        <v>0</v>
      </c>
      <c r="G81" s="930"/>
      <c r="H81" s="1705"/>
    </row>
    <row r="82" spans="1:9" ht="15" customHeight="1" x14ac:dyDescent="0.2">
      <c r="A82" s="2121"/>
      <c r="B82" s="1715"/>
      <c r="C82" s="905" t="str">
        <f>F!C37</f>
        <v xml:space="preserve">50-95% </v>
      </c>
      <c r="D82" s="364">
        <f>F!D37</f>
        <v>0</v>
      </c>
      <c r="E82" s="54">
        <v>2</v>
      </c>
      <c r="F82" s="54">
        <f>D82*E82</f>
        <v>0</v>
      </c>
      <c r="G82" s="930"/>
      <c r="H82" s="1705"/>
    </row>
    <row r="83" spans="1:9" ht="15.6" customHeight="1" thickBot="1" x14ac:dyDescent="0.25">
      <c r="A83" s="2122"/>
      <c r="B83" s="1716"/>
      <c r="C83" s="917" t="str">
        <f>F!C38</f>
        <v xml:space="preserve">&gt;95% </v>
      </c>
      <c r="D83" s="365">
        <f>F!D38</f>
        <v>0</v>
      </c>
      <c r="E83" s="942">
        <v>1</v>
      </c>
      <c r="F83" s="239">
        <f>D83*E83</f>
        <v>0</v>
      </c>
      <c r="G83" s="931"/>
      <c r="H83" s="1706"/>
    </row>
    <row r="84" spans="1:9" ht="21" customHeight="1" thickBot="1" x14ac:dyDescent="0.25">
      <c r="A84" s="2117" t="str">
        <f>F!A39</f>
        <v>F8</v>
      </c>
      <c r="B84" s="2109" t="str">
        <f>F!B39</f>
        <v>Annual Water Fluctuation Range</v>
      </c>
      <c r="C84" s="898" t="str">
        <f>F!C39</f>
        <v>The maximum annual fluctuation in surface water within the AA is:</v>
      </c>
      <c r="D84" s="278"/>
      <c r="E84" s="932"/>
      <c r="F84" s="937"/>
      <c r="G84" s="933">
        <f>IF((AllSat+AllSat1&gt;0),"", IF((NoSeasonal=1),"",MAX(F85:F88)/MAX(E85:E88)))</f>
        <v>0</v>
      </c>
      <c r="H84" s="1688" t="s">
        <v>5494</v>
      </c>
      <c r="I84" s="4" t="s">
        <v>459</v>
      </c>
    </row>
    <row r="85" spans="1:9" ht="15" customHeight="1" x14ac:dyDescent="0.2">
      <c r="A85" s="2118"/>
      <c r="B85" s="2111"/>
      <c r="C85" s="895" t="str">
        <f>F!C40</f>
        <v xml:space="preserve">&lt;0.5 ft </v>
      </c>
      <c r="D85" s="363">
        <f>F!D40</f>
        <v>0</v>
      </c>
      <c r="E85" s="54">
        <v>0</v>
      </c>
      <c r="F85" s="54">
        <f>D85*E85</f>
        <v>0</v>
      </c>
      <c r="G85" s="929"/>
      <c r="H85" s="1705"/>
    </row>
    <row r="86" spans="1:9" ht="15" customHeight="1" x14ac:dyDescent="0.2">
      <c r="A86" s="2118"/>
      <c r="B86" s="2111"/>
      <c r="C86" s="896" t="str">
        <f>F!C41</f>
        <v>0.5 - 1 ft</v>
      </c>
      <c r="D86" s="364">
        <f>F!D41</f>
        <v>0</v>
      </c>
      <c r="E86" s="54">
        <v>1</v>
      </c>
      <c r="F86" s="54">
        <f>D86*E86</f>
        <v>0</v>
      </c>
      <c r="G86" s="930"/>
      <c r="H86" s="1705"/>
    </row>
    <row r="87" spans="1:9" ht="15" customHeight="1" x14ac:dyDescent="0.2">
      <c r="A87" s="2118"/>
      <c r="B87" s="2111"/>
      <c r="C87" s="896" t="str">
        <f>F!C42</f>
        <v>1-3 ft</v>
      </c>
      <c r="D87" s="364">
        <f>F!D42</f>
        <v>0</v>
      </c>
      <c r="E87" s="54">
        <v>2</v>
      </c>
      <c r="F87" s="54">
        <f>D87*E87</f>
        <v>0</v>
      </c>
      <c r="G87" s="930"/>
      <c r="H87" s="1705"/>
    </row>
    <row r="88" spans="1:9" ht="15.6" customHeight="1" thickBot="1" x14ac:dyDescent="0.25">
      <c r="A88" s="2118"/>
      <c r="B88" s="2111"/>
      <c r="C88" s="899" t="str">
        <f>F!C43</f>
        <v xml:space="preserve">&gt; 3 ft </v>
      </c>
      <c r="D88" s="366">
        <f>F!D43</f>
        <v>0</v>
      </c>
      <c r="E88" s="934">
        <v>2</v>
      </c>
      <c r="F88" s="934">
        <f>D88*E88</f>
        <v>0</v>
      </c>
      <c r="G88" s="935"/>
      <c r="H88" s="1705"/>
    </row>
    <row r="89" spans="1:9" ht="30" customHeight="1" thickBot="1" x14ac:dyDescent="0.25">
      <c r="A89" s="2105" t="str">
        <f>F!A44</f>
        <v>F9</v>
      </c>
      <c r="B89" s="2108" t="str">
        <f>F!B44</f>
        <v>Predominant Depth Class</v>
      </c>
      <c r="C89" s="894" t="str">
        <f>F!C44</f>
        <v>During most of the growing season, surface water depth in most of the area where it is present is: [Note: This is not asking for the maximum depth.]</v>
      </c>
      <c r="D89" s="278"/>
      <c r="E89" s="278"/>
      <c r="F89" s="936"/>
      <c r="G89" s="947">
        <f>IF((AllSat+AllSat1&gt;0),"",MAX(F90:F94)/MAX(E90:E94))</f>
        <v>0</v>
      </c>
      <c r="H89" s="1687" t="s">
        <v>5495</v>
      </c>
      <c r="I89" s="4" t="s">
        <v>462</v>
      </c>
    </row>
    <row r="90" spans="1:9" ht="15" customHeight="1" x14ac:dyDescent="0.2">
      <c r="A90" s="2106"/>
      <c r="B90" s="2111"/>
      <c r="C90" s="895" t="str">
        <f>F!C45</f>
        <v>&lt;0.5 ft deep (but &gt;0)</v>
      </c>
      <c r="D90" s="363">
        <f>F!D45</f>
        <v>0</v>
      </c>
      <c r="E90" s="54">
        <v>1</v>
      </c>
      <c r="F90" s="54">
        <f>D90*E90</f>
        <v>0</v>
      </c>
      <c r="G90" s="929"/>
      <c r="H90" s="1705"/>
    </row>
    <row r="91" spans="1:9" ht="15" customHeight="1" x14ac:dyDescent="0.2">
      <c r="A91" s="2106"/>
      <c r="B91" s="2111"/>
      <c r="C91" s="896" t="str">
        <f>F!C46</f>
        <v>0.5 - 1 ft deep</v>
      </c>
      <c r="D91" s="364">
        <f>F!D46</f>
        <v>0</v>
      </c>
      <c r="E91" s="58">
        <v>3</v>
      </c>
      <c r="F91" s="54">
        <f>D91*E91</f>
        <v>0</v>
      </c>
      <c r="G91" s="930"/>
      <c r="H91" s="1705"/>
    </row>
    <row r="92" spans="1:9" ht="15" customHeight="1" x14ac:dyDescent="0.2">
      <c r="A92" s="2106"/>
      <c r="B92" s="2111"/>
      <c r="C92" s="896" t="str">
        <f>F!C47</f>
        <v>1-2 ft deep</v>
      </c>
      <c r="D92" s="364">
        <f>F!D47</f>
        <v>0</v>
      </c>
      <c r="E92" s="58">
        <v>7</v>
      </c>
      <c r="F92" s="54">
        <f>D92*E92</f>
        <v>0</v>
      </c>
      <c r="G92" s="930"/>
      <c r="H92" s="1705"/>
    </row>
    <row r="93" spans="1:9" ht="15" customHeight="1" x14ac:dyDescent="0.2">
      <c r="A93" s="2106"/>
      <c r="B93" s="2111"/>
      <c r="C93" s="896" t="str">
        <f>F!C48</f>
        <v>2-6 ft deep</v>
      </c>
      <c r="D93" s="364">
        <f>F!D48</f>
        <v>0</v>
      </c>
      <c r="E93" s="58">
        <v>5</v>
      </c>
      <c r="F93" s="54">
        <f>D93*E93</f>
        <v>0</v>
      </c>
      <c r="G93" s="930"/>
      <c r="H93" s="1705"/>
    </row>
    <row r="94" spans="1:9" ht="15.6" customHeight="1" thickBot="1" x14ac:dyDescent="0.25">
      <c r="A94" s="2107"/>
      <c r="B94" s="2112"/>
      <c r="C94" s="897" t="str">
        <f>F!C49</f>
        <v>&gt;6 ft deep.  True for many fringe wetlands.</v>
      </c>
      <c r="D94" s="365">
        <f>F!D49</f>
        <v>0</v>
      </c>
      <c r="E94" s="244">
        <v>2</v>
      </c>
      <c r="F94" s="239">
        <f>D94*E94</f>
        <v>0</v>
      </c>
      <c r="G94" s="931"/>
      <c r="H94" s="1706"/>
    </row>
    <row r="95" spans="1:9" ht="21" customHeight="1" thickBot="1" x14ac:dyDescent="0.25">
      <c r="A95" s="2117" t="str">
        <f>F!A50</f>
        <v>F10</v>
      </c>
      <c r="B95" s="2109" t="str">
        <f>F!B50</f>
        <v>Depth Class Distribution</v>
      </c>
      <c r="C95" s="898" t="str">
        <f>F!C50</f>
        <v>When present, surface water in most of the AA usually consists of (select one):</v>
      </c>
      <c r="D95" s="278"/>
      <c r="E95" s="932"/>
      <c r="F95" s="60"/>
      <c r="G95" s="938">
        <f>IF((AllSat+AllSat1&gt;0),"",MAX(F96:F98)/MAX(E96:E98))</f>
        <v>0</v>
      </c>
      <c r="H95" s="1688" t="s">
        <v>5496</v>
      </c>
      <c r="I95" s="4" t="s">
        <v>463</v>
      </c>
    </row>
    <row r="96" spans="1:9" ht="15" customHeight="1" x14ac:dyDescent="0.2">
      <c r="A96" s="2118"/>
      <c r="B96" s="2111"/>
      <c r="C96" s="895" t="str">
        <f>F!C51</f>
        <v>One depth class that comprises &gt;90% of the AA’s inundated area (use the classes in the question above).</v>
      </c>
      <c r="D96" s="363">
        <f>F!D51</f>
        <v>0</v>
      </c>
      <c r="E96" s="932">
        <v>0</v>
      </c>
      <c r="F96" s="932">
        <f>D96*E96</f>
        <v>0</v>
      </c>
      <c r="G96" s="929"/>
      <c r="H96" s="1705"/>
    </row>
    <row r="97" spans="1:9" ht="15" customHeight="1" x14ac:dyDescent="0.2">
      <c r="A97" s="2118"/>
      <c r="B97" s="2111"/>
      <c r="C97" s="896" t="str">
        <f>F!C52</f>
        <v>One depth class that comprises 50-90% of the AA's inundated area.</v>
      </c>
      <c r="D97" s="364">
        <f>F!D52</f>
        <v>0</v>
      </c>
      <c r="E97" s="54">
        <v>1</v>
      </c>
      <c r="F97" s="54">
        <f>D97*E97</f>
        <v>0</v>
      </c>
      <c r="G97" s="930"/>
      <c r="H97" s="1705"/>
    </row>
    <row r="98" spans="1:9" ht="15.6" customHeight="1" thickBot="1" x14ac:dyDescent="0.25">
      <c r="A98" s="2118"/>
      <c r="B98" s="2111"/>
      <c r="C98" s="899" t="str">
        <f>F!C53</f>
        <v>Neither of above.  Multiple depth classes; none occupy more than 50% of the AA.</v>
      </c>
      <c r="D98" s="366">
        <f>F!D53</f>
        <v>0</v>
      </c>
      <c r="E98" s="934">
        <v>2</v>
      </c>
      <c r="F98" s="934">
        <f>D98*E98</f>
        <v>0</v>
      </c>
      <c r="G98" s="935"/>
      <c r="H98" s="1705"/>
    </row>
    <row r="99" spans="1:9" ht="30" customHeight="1" thickBot="1" x14ac:dyDescent="0.25">
      <c r="A99" s="2116" t="str">
        <f>F!A55</f>
        <v>F12</v>
      </c>
      <c r="B99" s="2113" t="str">
        <f>F!B55</f>
        <v>Flat Shoreline Extent</v>
      </c>
      <c r="C99" s="894" t="str">
        <f>F!C55</f>
        <v>The length of the AA's shoreline (along its ponded open water) that is bordered by areas that are nearly flat (a slope less than about 5%) is:</v>
      </c>
      <c r="D99" s="278"/>
      <c r="E99" s="278"/>
      <c r="F99" s="241"/>
      <c r="G99" s="947" t="str">
        <f>IF((AllSat+AllSat1&gt;0),"",IF((OpenW=0),"",MAX(F100:F104)/MAX(E100:E104)))</f>
        <v/>
      </c>
      <c r="H99" s="1687" t="s">
        <v>5497</v>
      </c>
      <c r="I99" s="4" t="s">
        <v>475</v>
      </c>
    </row>
    <row r="100" spans="1:9" ht="15" customHeight="1" x14ac:dyDescent="0.2">
      <c r="A100" s="2103"/>
      <c r="B100" s="2114"/>
      <c r="C100" s="913" t="str">
        <f>F!C56</f>
        <v>&lt;1% of the shore length</v>
      </c>
      <c r="D100" s="367">
        <f>F!D56</f>
        <v>0</v>
      </c>
      <c r="E100" s="54">
        <v>0</v>
      </c>
      <c r="F100" s="54">
        <f>D100*E100</f>
        <v>0</v>
      </c>
      <c r="G100" s="929"/>
      <c r="H100" s="1705"/>
    </row>
    <row r="101" spans="1:9" ht="15" customHeight="1" x14ac:dyDescent="0.2">
      <c r="A101" s="2103"/>
      <c r="B101" s="2114"/>
      <c r="C101" s="899" t="str">
        <f>F!C57</f>
        <v>1-25%</v>
      </c>
      <c r="D101" s="366">
        <f>F!D57</f>
        <v>0</v>
      </c>
      <c r="E101" s="54">
        <v>1</v>
      </c>
      <c r="F101" s="54">
        <f>D101*E101</f>
        <v>0</v>
      </c>
      <c r="G101" s="930"/>
      <c r="H101" s="1705"/>
    </row>
    <row r="102" spans="1:9" ht="15" customHeight="1" x14ac:dyDescent="0.2">
      <c r="A102" s="2103"/>
      <c r="B102" s="2114"/>
      <c r="C102" s="899" t="str">
        <f>F!C58</f>
        <v>25-50%</v>
      </c>
      <c r="D102" s="366">
        <f>F!D58</f>
        <v>0</v>
      </c>
      <c r="E102" s="54">
        <v>2</v>
      </c>
      <c r="F102" s="54">
        <f>D102*E102</f>
        <v>0</v>
      </c>
      <c r="G102" s="930"/>
      <c r="H102" s="1705"/>
    </row>
    <row r="103" spans="1:9" ht="15" customHeight="1" x14ac:dyDescent="0.2">
      <c r="A103" s="2103"/>
      <c r="B103" s="2114"/>
      <c r="C103" s="899" t="str">
        <f>F!C59</f>
        <v>50-75%</v>
      </c>
      <c r="D103" s="366">
        <f>F!D59</f>
        <v>0</v>
      </c>
      <c r="E103" s="54">
        <v>3</v>
      </c>
      <c r="F103" s="54">
        <f>D103*E103</f>
        <v>0</v>
      </c>
      <c r="G103" s="930"/>
      <c r="H103" s="1705"/>
    </row>
    <row r="104" spans="1:9" ht="15.6" customHeight="1" thickBot="1" x14ac:dyDescent="0.25">
      <c r="A104" s="2104"/>
      <c r="B104" s="2115"/>
      <c r="C104" s="897" t="str">
        <f>F!C60</f>
        <v>&gt;75%</v>
      </c>
      <c r="D104" s="365">
        <f>F!D60</f>
        <v>0</v>
      </c>
      <c r="E104" s="239">
        <v>4</v>
      </c>
      <c r="F104" s="239">
        <f>D104*E104</f>
        <v>0</v>
      </c>
      <c r="G104" s="931"/>
      <c r="H104" s="1706"/>
    </row>
    <row r="105" spans="1:9" ht="30" customHeight="1" thickBot="1" x14ac:dyDescent="0.25">
      <c r="A105" s="2119" t="str">
        <f>F!A61</f>
        <v>F13</v>
      </c>
      <c r="B105" s="2114" t="str">
        <f>F!B61</f>
        <v>Width of AA's Vegetated Zone</v>
      </c>
      <c r="C105" s="898" t="str">
        <f>F!C61</f>
        <v>At the driest time of year (or lowest water level), the width of vegetated area in the AA that separates adjoining uplands from most of the open water within or adjoining the AA is:</v>
      </c>
      <c r="D105" s="278"/>
      <c r="E105" s="932"/>
      <c r="F105" s="937"/>
      <c r="G105" s="933" t="str">
        <f>IF((AllSat+AllSat1&gt;0),"",IF((OpenW=0),"",MAX(F106:F110)/MAX(E106:E110)))</f>
        <v/>
      </c>
      <c r="H105" s="1688" t="s">
        <v>5498</v>
      </c>
      <c r="I105" s="4" t="s">
        <v>465</v>
      </c>
    </row>
    <row r="106" spans="1:9" ht="15" customHeight="1" x14ac:dyDescent="0.2">
      <c r="A106" s="2119"/>
      <c r="B106" s="2114"/>
      <c r="C106" s="913" t="str">
        <f>F!C62</f>
        <v xml:space="preserve">1-5 ft </v>
      </c>
      <c r="D106" s="367">
        <f>F!D62</f>
        <v>0</v>
      </c>
      <c r="E106" s="54">
        <v>0</v>
      </c>
      <c r="F106" s="54">
        <f>D106*E106</f>
        <v>0</v>
      </c>
      <c r="G106" s="929"/>
      <c r="H106" s="1705"/>
    </row>
    <row r="107" spans="1:9" ht="15" customHeight="1" x14ac:dyDescent="0.2">
      <c r="A107" s="2119"/>
      <c r="B107" s="2114"/>
      <c r="C107" s="899" t="str">
        <f>F!C63</f>
        <v>5-25 ft</v>
      </c>
      <c r="D107" s="366">
        <f>F!D63</f>
        <v>0</v>
      </c>
      <c r="E107" s="54">
        <v>1</v>
      </c>
      <c r="F107" s="54">
        <f>D107*E107</f>
        <v>0</v>
      </c>
      <c r="G107" s="930"/>
      <c r="H107" s="1705"/>
    </row>
    <row r="108" spans="1:9" ht="15" customHeight="1" x14ac:dyDescent="0.2">
      <c r="A108" s="2119"/>
      <c r="B108" s="2114"/>
      <c r="C108" s="899" t="str">
        <f>F!C64</f>
        <v>25-100 ft</v>
      </c>
      <c r="D108" s="366">
        <f>F!D64</f>
        <v>0</v>
      </c>
      <c r="E108" s="54">
        <v>2</v>
      </c>
      <c r="F108" s="54">
        <f>D108*E108</f>
        <v>0</v>
      </c>
      <c r="G108" s="930"/>
      <c r="H108" s="1705"/>
    </row>
    <row r="109" spans="1:9" ht="15" customHeight="1" x14ac:dyDescent="0.2">
      <c r="A109" s="2119"/>
      <c r="B109" s="2114"/>
      <c r="C109" s="899" t="str">
        <f>F!C65</f>
        <v>100-300 ft</v>
      </c>
      <c r="D109" s="366">
        <f>F!D65</f>
        <v>0</v>
      </c>
      <c r="E109" s="54">
        <v>3</v>
      </c>
      <c r="F109" s="54">
        <f>D109*E109</f>
        <v>0</v>
      </c>
      <c r="G109" s="930"/>
      <c r="H109" s="1705"/>
    </row>
    <row r="110" spans="1:9" ht="15.6" customHeight="1" thickBot="1" x14ac:dyDescent="0.25">
      <c r="A110" s="2119"/>
      <c r="B110" s="2114"/>
      <c r="C110" s="899" t="str">
        <f>F!C66</f>
        <v>&gt;300 ft</v>
      </c>
      <c r="D110" s="366">
        <f>F!D66</f>
        <v>0</v>
      </c>
      <c r="E110" s="934">
        <v>4</v>
      </c>
      <c r="F110" s="934">
        <f>D110*E110</f>
        <v>0</v>
      </c>
      <c r="G110" s="935"/>
      <c r="H110" s="1705"/>
    </row>
    <row r="111" spans="1:9" ht="45" customHeight="1" thickBot="1" x14ac:dyDescent="0.25">
      <c r="A111" s="2116" t="str">
        <f>F!A71</f>
        <v>F15</v>
      </c>
      <c r="B111" s="2113" t="str">
        <f>F!B71</f>
        <v>All Ponded Water - Extent</v>
      </c>
      <c r="C111" s="894" t="str">
        <f>F!C71</f>
        <v>During most of the growing season, the percentage of the AA that has ponded surface water (stagnant, or flows so slowly that fine sediment is not held in suspension) which is either open or shaded by emergent vegetation is:</v>
      </c>
      <c r="D111" s="278"/>
      <c r="E111" s="278"/>
      <c r="F111" s="241"/>
      <c r="G111" s="947">
        <f>IF((AllSat+AllSat1&gt;0),"", MAX(F112:F118)/MAX(E112:E118))</f>
        <v>0</v>
      </c>
      <c r="H111" s="1687" t="s">
        <v>5499</v>
      </c>
      <c r="I111" s="4" t="s">
        <v>461</v>
      </c>
    </row>
    <row r="112" spans="1:9" ht="15" customHeight="1" x14ac:dyDescent="0.2">
      <c r="A112" s="2103"/>
      <c r="B112" s="2114"/>
      <c r="C112" s="895" t="str">
        <f>F!C72</f>
        <v>&lt;1% or none, or occupies &lt;100 sq. ft cumulatively.  Enter "1" and SKIP to F19.</v>
      </c>
      <c r="D112" s="363">
        <f>F!D72</f>
        <v>0</v>
      </c>
      <c r="E112" s="54">
        <v>0</v>
      </c>
      <c r="F112" s="54">
        <f t="shared" ref="F112:F118" si="3">D112*E112</f>
        <v>0</v>
      </c>
      <c r="G112" s="930"/>
      <c r="H112" s="1705"/>
    </row>
    <row r="113" spans="1:9" ht="15" customHeight="1" x14ac:dyDescent="0.2">
      <c r="A113" s="2103"/>
      <c r="B113" s="2114"/>
      <c r="C113" s="896" t="str">
        <f>F!C73</f>
        <v>1-25% of the AA, and mainly in small fishless pools. Enter "1" and SKIP to F19.</v>
      </c>
      <c r="D113" s="364">
        <f>F!D73</f>
        <v>0</v>
      </c>
      <c r="E113" s="54">
        <v>1</v>
      </c>
      <c r="F113" s="54">
        <f t="shared" si="3"/>
        <v>0</v>
      </c>
      <c r="G113" s="930"/>
      <c r="H113" s="1705"/>
    </row>
    <row r="114" spans="1:9" ht="15" customHeight="1" x14ac:dyDescent="0.2">
      <c r="A114" s="2103"/>
      <c r="B114" s="2114"/>
      <c r="C114" s="896" t="str">
        <f>F!C74</f>
        <v>1-25% of the AA, and mainly in a single large pool or pond, with or without fish access.</v>
      </c>
      <c r="D114" s="364">
        <f>F!D74</f>
        <v>0</v>
      </c>
      <c r="E114" s="54">
        <v>3</v>
      </c>
      <c r="F114" s="54">
        <f t="shared" si="3"/>
        <v>0</v>
      </c>
      <c r="G114" s="930"/>
      <c r="H114" s="1705"/>
    </row>
    <row r="115" spans="1:9" ht="15" customHeight="1" x14ac:dyDescent="0.2">
      <c r="A115" s="2103"/>
      <c r="B115" s="2114"/>
      <c r="C115" s="896" t="str">
        <f>F!C75</f>
        <v>5-30% of the AA.</v>
      </c>
      <c r="D115" s="364">
        <f>F!D75</f>
        <v>0</v>
      </c>
      <c r="E115" s="54">
        <v>4</v>
      </c>
      <c r="F115" s="54">
        <f t="shared" si="3"/>
        <v>0</v>
      </c>
      <c r="G115" s="930"/>
      <c r="H115" s="1705"/>
    </row>
    <row r="116" spans="1:9" ht="15" customHeight="1" x14ac:dyDescent="0.2">
      <c r="A116" s="2103"/>
      <c r="B116" s="2114"/>
      <c r="C116" s="896" t="str">
        <f>F!C76</f>
        <v>30-70% of the AA.</v>
      </c>
      <c r="D116" s="364">
        <f>F!D76</f>
        <v>0</v>
      </c>
      <c r="E116" s="54">
        <v>5</v>
      </c>
      <c r="F116" s="54">
        <f t="shared" si="3"/>
        <v>0</v>
      </c>
      <c r="G116" s="935"/>
      <c r="H116" s="1705"/>
    </row>
    <row r="117" spans="1:9" ht="15" customHeight="1" x14ac:dyDescent="0.2">
      <c r="A117" s="2103"/>
      <c r="B117" s="2114"/>
      <c r="C117" s="896" t="str">
        <f>F!C77</f>
        <v>70-95% of the AA.</v>
      </c>
      <c r="D117" s="364">
        <f>F!D77</f>
        <v>0</v>
      </c>
      <c r="E117" s="54">
        <v>6</v>
      </c>
      <c r="F117" s="54">
        <f t="shared" si="3"/>
        <v>0</v>
      </c>
      <c r="G117" s="935"/>
      <c r="H117" s="1705"/>
    </row>
    <row r="118" spans="1:9" ht="15.6" customHeight="1" thickBot="1" x14ac:dyDescent="0.25">
      <c r="A118" s="2104"/>
      <c r="B118" s="2115"/>
      <c r="C118" s="897" t="str">
        <f>F!C78</f>
        <v>&gt;95% of the AA.</v>
      </c>
      <c r="D118" s="365">
        <f>F!D78</f>
        <v>0</v>
      </c>
      <c r="E118" s="239">
        <v>7</v>
      </c>
      <c r="F118" s="239">
        <f t="shared" si="3"/>
        <v>0</v>
      </c>
      <c r="G118" s="931"/>
      <c r="H118" s="1706"/>
    </row>
    <row r="119" spans="1:9" ht="30" customHeight="1" thickBot="1" x14ac:dyDescent="0.25">
      <c r="A119" s="2113" t="str">
        <f>F!A79</f>
        <v>F16</v>
      </c>
      <c r="B119" s="2113" t="str">
        <f>F!B79</f>
        <v>Open Ponded Water - Extent</v>
      </c>
      <c r="C119" s="225" t="str">
        <f>F!C79</f>
        <v>The percentage of the ponded water that is open (lacking emergent vegetation during most of the growing season, and unhidden by a forest or shrub canopy) is:</v>
      </c>
      <c r="D119" s="949"/>
      <c r="E119" s="945"/>
      <c r="F119" s="60"/>
      <c r="G119" s="938">
        <f>IF((AllSat+AllSat1&gt;0),"", IF((OR(puddles=1,NoPonded=1)),"",MAX(F120:F125)/MAX(E120:E125)))</f>
        <v>0</v>
      </c>
      <c r="H119" s="1688" t="s">
        <v>5500</v>
      </c>
      <c r="I119" s="4" t="s">
        <v>466</v>
      </c>
    </row>
    <row r="120" spans="1:9" ht="15" customHeight="1" x14ac:dyDescent="0.2">
      <c r="A120" s="2114"/>
      <c r="B120" s="2114"/>
      <c r="C120" s="899" t="str">
        <f>F!C80</f>
        <v>&lt;1% or none, or largest pool occupies &lt;100 sq. ft.  Enter "1" and SKIP to F19.</v>
      </c>
      <c r="D120" s="366">
        <f>F!D80</f>
        <v>0</v>
      </c>
      <c r="E120" s="388">
        <v>1</v>
      </c>
      <c r="F120" s="54">
        <f t="shared" ref="F120:F125" si="4">D120*E120</f>
        <v>0</v>
      </c>
      <c r="G120" s="929"/>
      <c r="H120" s="1688"/>
    </row>
    <row r="121" spans="1:9" ht="15" customHeight="1" x14ac:dyDescent="0.2">
      <c r="A121" s="2114"/>
      <c r="B121" s="2114"/>
      <c r="C121" s="896" t="str">
        <f>F!C81</f>
        <v>1-5% of the ponded water.  Enter "1" and SKIP to F19.</v>
      </c>
      <c r="D121" s="364">
        <f>F!D81</f>
        <v>0</v>
      </c>
      <c r="E121" s="388">
        <v>2</v>
      </c>
      <c r="F121" s="54">
        <f t="shared" si="4"/>
        <v>0</v>
      </c>
      <c r="G121" s="930"/>
      <c r="H121" s="1688"/>
    </row>
    <row r="122" spans="1:9" ht="15" customHeight="1" x14ac:dyDescent="0.2">
      <c r="A122" s="2114"/>
      <c r="B122" s="2114"/>
      <c r="C122" s="896" t="str">
        <f>F!C82</f>
        <v>5-30% of the ponded water.</v>
      </c>
      <c r="D122" s="364">
        <f>F!D82</f>
        <v>0</v>
      </c>
      <c r="E122" s="388">
        <v>4</v>
      </c>
      <c r="F122" s="54">
        <f t="shared" si="4"/>
        <v>0</v>
      </c>
      <c r="G122" s="930"/>
      <c r="H122" s="1688"/>
    </row>
    <row r="123" spans="1:9" ht="15" customHeight="1" x14ac:dyDescent="0.2">
      <c r="A123" s="2114"/>
      <c r="B123" s="2114"/>
      <c r="C123" s="896" t="str">
        <f>F!C83</f>
        <v>30-70% of the ponded water.</v>
      </c>
      <c r="D123" s="364">
        <f>F!D83</f>
        <v>0</v>
      </c>
      <c r="E123" s="388">
        <v>6</v>
      </c>
      <c r="F123" s="54">
        <f t="shared" si="4"/>
        <v>0</v>
      </c>
      <c r="G123" s="930"/>
      <c r="H123" s="1688"/>
    </row>
    <row r="124" spans="1:9" ht="15" customHeight="1" x14ac:dyDescent="0.2">
      <c r="A124" s="2114"/>
      <c r="B124" s="2114"/>
      <c r="C124" s="896" t="str">
        <f>F!C84</f>
        <v>70-99% of the ponded water.</v>
      </c>
      <c r="D124" s="364">
        <f>F!D84</f>
        <v>0</v>
      </c>
      <c r="E124" s="388">
        <v>4</v>
      </c>
      <c r="F124" s="54">
        <f t="shared" si="4"/>
        <v>0</v>
      </c>
      <c r="G124" s="930"/>
      <c r="H124" s="1688"/>
    </row>
    <row r="125" spans="1:9" ht="15.6" customHeight="1" thickBot="1" x14ac:dyDescent="0.25">
      <c r="A125" s="2115"/>
      <c r="B125" s="2115"/>
      <c r="C125" s="926" t="str">
        <f>F!C85</f>
        <v>100% of the ponded water. SKIP to F18.</v>
      </c>
      <c r="D125" s="927">
        <f>F!D85</f>
        <v>0</v>
      </c>
      <c r="E125" s="950">
        <v>3</v>
      </c>
      <c r="F125" s="934">
        <f t="shared" si="4"/>
        <v>0</v>
      </c>
      <c r="G125" s="935"/>
      <c r="H125" s="1688"/>
    </row>
    <row r="126" spans="1:9" ht="30" customHeight="1" thickBot="1" x14ac:dyDescent="0.25">
      <c r="A126" s="2116" t="str">
        <f>F!A86</f>
        <v>F17</v>
      </c>
      <c r="B126" s="2113" t="str">
        <f>F!B86</f>
        <v>Emergent Vegetation - Distribution</v>
      </c>
      <c r="C126" s="894" t="str">
        <f>F!C86</f>
        <v>During most of the growing season, the spatial pattern of herbaceous vegetation that has surface water beneath it (emergent vegetation -- NOT floating-leaved plants) is mostly:</v>
      </c>
      <c r="D126" s="278"/>
      <c r="E126" s="278"/>
      <c r="F126" s="936"/>
      <c r="G126" s="928">
        <f>IF((AllSat+AllSat1&gt;0),"",IF((OR(puddles=1,NoPonded=1)),"",IF((NoOpenPonded+NoOpenPonded1&gt;0),"",IF((AllOpenPond=1),"",MAX(F127:F129)/MAX(E127:E129)))))</f>
        <v>0</v>
      </c>
      <c r="H126" s="1687" t="s">
        <v>5501</v>
      </c>
      <c r="I126" s="4" t="s">
        <v>464</v>
      </c>
    </row>
    <row r="127" spans="1:9" ht="15" customHeight="1" x14ac:dyDescent="0.2">
      <c r="A127" s="2103"/>
      <c r="B127" s="2114"/>
      <c r="C127" s="895" t="str">
        <f>F!C87</f>
        <v>scattered in small clumps, islands, or patches throughout the surface water area.</v>
      </c>
      <c r="D127" s="363">
        <f>F!D87</f>
        <v>0</v>
      </c>
      <c r="E127" s="54">
        <v>3</v>
      </c>
      <c r="F127" s="412">
        <f>D127*E127</f>
        <v>0</v>
      </c>
      <c r="G127" s="937"/>
      <c r="H127" s="1705"/>
      <c r="I127" s="4"/>
    </row>
    <row r="128" spans="1:9" ht="15" customHeight="1" x14ac:dyDescent="0.2">
      <c r="A128" s="2103"/>
      <c r="B128" s="2114"/>
      <c r="C128" s="896" t="str">
        <f>F!C88</f>
        <v>intermediate</v>
      </c>
      <c r="D128" s="364">
        <f>F!D88</f>
        <v>0</v>
      </c>
      <c r="E128" s="54">
        <v>2</v>
      </c>
      <c r="F128" s="412">
        <f>D128*E128</f>
        <v>0</v>
      </c>
      <c r="G128" s="937"/>
      <c r="H128" s="1705"/>
      <c r="I128" s="4"/>
    </row>
    <row r="129" spans="1:9" ht="27.6" customHeight="1" thickBot="1" x14ac:dyDescent="0.25">
      <c r="A129" s="2103"/>
      <c r="B129" s="2114"/>
      <c r="C129" s="899" t="str">
        <f>F!C89</f>
        <v>clumped along the margin of the surface water area, or mostly surrounds a channel or central area of open water, or such vegetation covers &lt;100 sq ft and &lt;1% of the AA.</v>
      </c>
      <c r="D129" s="366">
        <f>F!D89</f>
        <v>0</v>
      </c>
      <c r="E129" s="934">
        <v>1</v>
      </c>
      <c r="F129" s="414">
        <f>D129*E129</f>
        <v>0</v>
      </c>
      <c r="G129" s="951"/>
      <c r="H129" s="1705"/>
      <c r="I129" s="4"/>
    </row>
    <row r="130" spans="1:9" ht="45" customHeight="1" thickBot="1" x14ac:dyDescent="0.25">
      <c r="A130" s="893" t="str">
        <f>F!A92</f>
        <v>F20</v>
      </c>
      <c r="B130" s="225" t="str">
        <f>F!B92</f>
        <v>Stained Surface Water</v>
      </c>
      <c r="C130" s="918" t="str">
        <f>F!C92</f>
        <v xml:space="preserve">Most surface water is tea-colored (from tannins, not iron bacteria), and/or its pH is usually &lt;5.5.  If surface water not observed, enter "1" if organic soil depth exceeds 6 inches and vegetation is mostly moss and/or evergreens. </v>
      </c>
      <c r="D130" s="370">
        <f>F!D92</f>
        <v>0</v>
      </c>
      <c r="E130" s="952"/>
      <c r="F130" s="235"/>
      <c r="G130" s="928">
        <f>IF((AllSat+AllSat1&gt;0),"",1-D130)</f>
        <v>1</v>
      </c>
      <c r="H130" s="49" t="s">
        <v>5400</v>
      </c>
      <c r="I130" s="4" t="s">
        <v>484</v>
      </c>
    </row>
    <row r="131" spans="1:9" ht="45" customHeight="1" thickBot="1" x14ac:dyDescent="0.25">
      <c r="A131" s="737" t="str">
        <f>F!A93</f>
        <v>F21</v>
      </c>
      <c r="B131" s="923" t="str">
        <f>F!B93</f>
        <v>Isolated Island</v>
      </c>
      <c r="C131" s="913" t="str">
        <f>F!C93</f>
        <v>The AA contains (or is part of) an island within a lake, pond, or river, and is isolated from the shore by water depths &gt;3 ft on all sides during an average June.  The island may be solid, or it may be a floating vegetation mat suitable for nesting waterbirds.</v>
      </c>
      <c r="D131" s="367">
        <f>F!D93</f>
        <v>0</v>
      </c>
      <c r="E131" s="950"/>
      <c r="F131" s="72"/>
      <c r="G131" s="953" t="str">
        <f>IF((AllSat+AllSat1&gt;0),"",IF((D131=0),"",D131))</f>
        <v/>
      </c>
      <c r="H131" s="109" t="s">
        <v>5502</v>
      </c>
      <c r="I131" s="4" t="s">
        <v>2123</v>
      </c>
    </row>
    <row r="132" spans="1:9" ht="21" customHeight="1" thickBot="1" x14ac:dyDescent="0.25">
      <c r="A132" s="2116" t="str">
        <f>F!A94</f>
        <v>F22</v>
      </c>
      <c r="B132" s="2113" t="str">
        <f>F!B94</f>
        <v>Beaver</v>
      </c>
      <c r="C132" s="894" t="str">
        <f>F!C94</f>
        <v>Use of the AA by beaver during the past 5 years is (select most applicable ONE):</v>
      </c>
      <c r="D132" s="278"/>
      <c r="E132" s="278"/>
      <c r="F132" s="278"/>
      <c r="G132" s="928">
        <f>IF((AllSat+AllSat1&gt;0),"",MAX(F133:F136)/MAX(E133:E136))</f>
        <v>0</v>
      </c>
      <c r="H132" s="1687" t="s">
        <v>5401</v>
      </c>
      <c r="I132" s="4" t="s">
        <v>485</v>
      </c>
    </row>
    <row r="133" spans="1:9" ht="27" customHeight="1" x14ac:dyDescent="0.2">
      <c r="A133" s="2103"/>
      <c r="B133" s="2114"/>
      <c r="C133" s="895" t="str">
        <f>F!C95</f>
        <v>evident from direct observation or presence of gnawed limbs, dams, tracks, dens, lodges, or extensive stands of water-killed trees (snags).</v>
      </c>
      <c r="D133" s="363">
        <f>F!D95</f>
        <v>0</v>
      </c>
      <c r="E133" s="54">
        <v>5</v>
      </c>
      <c r="F133" s="54">
        <f>D133*E133</f>
        <v>0</v>
      </c>
      <c r="G133" s="930"/>
      <c r="H133" s="1705"/>
    </row>
    <row r="134" spans="1:9" ht="42" customHeight="1" x14ac:dyDescent="0.2">
      <c r="A134" s="2103"/>
      <c r="B134" s="2114"/>
      <c r="C134" s="896"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34" s="364">
        <f>F!D96</f>
        <v>0</v>
      </c>
      <c r="E134" s="54">
        <v>2</v>
      </c>
      <c r="F134" s="54">
        <f>D134*E134</f>
        <v>0</v>
      </c>
      <c r="G134" s="930"/>
      <c r="H134" s="1705"/>
    </row>
    <row r="135" spans="1:9" ht="27" customHeight="1" x14ac:dyDescent="0.2">
      <c r="A135" s="2103"/>
      <c r="B135" s="2114"/>
      <c r="C135" s="896" t="str">
        <f>F!C97</f>
        <v>unlikely because site characteristics above are deficient, and/or this is a settled area or other area where beaver are routinely removed.  But beaver occur in the region (i.e., within 10 miles, or on same island).</v>
      </c>
      <c r="D135" s="364">
        <f>F!D97</f>
        <v>0</v>
      </c>
      <c r="E135" s="54">
        <v>1</v>
      </c>
      <c r="F135" s="54">
        <f>D135*E135</f>
        <v>0</v>
      </c>
      <c r="G135" s="930"/>
      <c r="H135" s="1705"/>
    </row>
    <row r="136" spans="1:9" ht="15.6" customHeight="1" thickBot="1" x14ac:dyDescent="0.25">
      <c r="A136" s="2104"/>
      <c r="B136" s="2115"/>
      <c r="C136" s="897" t="str">
        <f>F!C98</f>
        <v>none.  Beaver are absent from the region and/or the island.</v>
      </c>
      <c r="D136" s="365">
        <f>F!D98</f>
        <v>0</v>
      </c>
      <c r="E136" s="239">
        <v>0</v>
      </c>
      <c r="F136" s="239">
        <f>D136*E136</f>
        <v>0</v>
      </c>
      <c r="G136" s="931"/>
      <c r="H136" s="1706"/>
    </row>
    <row r="137" spans="1:9" ht="30" customHeight="1" thickBot="1" x14ac:dyDescent="0.25">
      <c r="A137" s="2127" t="str">
        <f>F!A134</f>
        <v>F31</v>
      </c>
      <c r="B137" s="1704" t="str">
        <f>F!B134</f>
        <v>Woody Cover Extent</v>
      </c>
      <c r="C137" s="900" t="str">
        <f>F!C134</f>
        <v>Within the entire vegetated part of the AA, the percentage occupied by woody plants taller than 3 feet (shrubs, trees) is:</v>
      </c>
      <c r="D137" s="278"/>
      <c r="E137" s="278"/>
      <c r="F137" s="278"/>
      <c r="G137" s="928">
        <f>MAX(F138:F142)/MAX(E138:E142)</f>
        <v>0</v>
      </c>
      <c r="H137" s="1687" t="s">
        <v>2228</v>
      </c>
      <c r="I137" s="4" t="s">
        <v>2115</v>
      </c>
    </row>
    <row r="138" spans="1:9" ht="15" customHeight="1" x14ac:dyDescent="0.2">
      <c r="A138" s="2128"/>
      <c r="B138" s="1705"/>
      <c r="C138" s="212" t="str">
        <f>F!C135</f>
        <v>&lt;5% of the vegetated AA, or there is no woody vegetation in the AA.  SKIP to F41.</v>
      </c>
      <c r="D138" s="363">
        <f>F!D135</f>
        <v>0</v>
      </c>
      <c r="E138" s="54">
        <v>4</v>
      </c>
      <c r="F138" s="934">
        <f>D138*E138</f>
        <v>0</v>
      </c>
      <c r="G138" s="930"/>
      <c r="H138" s="1705"/>
    </row>
    <row r="139" spans="1:9" ht="15" customHeight="1" x14ac:dyDescent="0.2">
      <c r="A139" s="2128"/>
      <c r="B139" s="1705"/>
      <c r="C139" s="901" t="str">
        <f>F!C136</f>
        <v xml:space="preserve">5-25%.  </v>
      </c>
      <c r="D139" s="364">
        <f>F!D136</f>
        <v>0</v>
      </c>
      <c r="E139" s="54">
        <v>3</v>
      </c>
      <c r="F139" s="934">
        <f>D139*E139</f>
        <v>0</v>
      </c>
      <c r="G139" s="930"/>
      <c r="H139" s="1705"/>
    </row>
    <row r="140" spans="1:9" ht="15" customHeight="1" x14ac:dyDescent="0.2">
      <c r="A140" s="2128"/>
      <c r="B140" s="1705"/>
      <c r="C140" s="901" t="str">
        <f>F!C137</f>
        <v>25-50%</v>
      </c>
      <c r="D140" s="364">
        <f>F!D137</f>
        <v>0</v>
      </c>
      <c r="E140" s="54">
        <v>2</v>
      </c>
      <c r="F140" s="934">
        <f>D140*E140</f>
        <v>0</v>
      </c>
      <c r="G140" s="930"/>
      <c r="H140" s="1705"/>
    </row>
    <row r="141" spans="1:9" ht="15" customHeight="1" x14ac:dyDescent="0.2">
      <c r="A141" s="2128"/>
      <c r="B141" s="1705"/>
      <c r="C141" s="901" t="str">
        <f>F!C138</f>
        <v>50-75%</v>
      </c>
      <c r="D141" s="364">
        <f>F!D138</f>
        <v>0</v>
      </c>
      <c r="E141" s="54">
        <v>1</v>
      </c>
      <c r="F141" s="934">
        <f>D141*E141</f>
        <v>0</v>
      </c>
      <c r="G141" s="930"/>
      <c r="H141" s="1705"/>
    </row>
    <row r="142" spans="1:9" ht="15.6" customHeight="1" thickBot="1" x14ac:dyDescent="0.25">
      <c r="A142" s="2129"/>
      <c r="B142" s="1706"/>
      <c r="C142" s="902" t="str">
        <f>F!C139</f>
        <v>&gt;75%</v>
      </c>
      <c r="D142" s="365">
        <f>F!D139</f>
        <v>0</v>
      </c>
      <c r="E142" s="239">
        <v>0</v>
      </c>
      <c r="F142" s="239">
        <f>D142*E142</f>
        <v>0</v>
      </c>
      <c r="G142" s="931"/>
      <c r="H142" s="1706"/>
    </row>
    <row r="143" spans="1:9" ht="30" customHeight="1" thickBot="1" x14ac:dyDescent="0.25">
      <c r="A143" s="2117" t="str">
        <f>F!A152</f>
        <v>F34</v>
      </c>
      <c r="B143" s="2109" t="str">
        <f>F!B152</f>
        <v>Woody Diameter Classes</v>
      </c>
      <c r="C143" s="898" t="str">
        <f>F!C152</f>
        <v>Mark all the classes of woody plants within the AA, but only IF they comprise more than 5% of the woody canopy within the AA.  Do not count trees that adjoin but are not within the AA.</v>
      </c>
      <c r="D143" s="278"/>
      <c r="E143" s="954"/>
      <c r="F143" s="937"/>
      <c r="G143" s="933">
        <f>IF((NoWoodyVeg=1),"",IF((NoTrees=1),"", (MAX(F144:F151)/MAX(E144:E151))))</f>
        <v>0</v>
      </c>
      <c r="H143" s="1688" t="s">
        <v>5503</v>
      </c>
      <c r="I143" s="4" t="s">
        <v>469</v>
      </c>
    </row>
    <row r="144" spans="1:9" ht="15" customHeight="1" x14ac:dyDescent="0.2">
      <c r="A144" s="2117"/>
      <c r="B144" s="2109"/>
      <c r="C144" s="895" t="str">
        <f>F!C153</f>
        <v>evergreen 1-4" diameter and &gt;3 ft tall</v>
      </c>
      <c r="D144" s="363">
        <f>F!D153</f>
        <v>0</v>
      </c>
      <c r="E144" s="955">
        <v>0</v>
      </c>
      <c r="F144" s="54">
        <f t="shared" ref="F144:F151" si="5">D144*E144</f>
        <v>0</v>
      </c>
      <c r="G144" s="929"/>
      <c r="H144" s="1705"/>
    </row>
    <row r="145" spans="1:9" ht="15" customHeight="1" x14ac:dyDescent="0.2">
      <c r="A145" s="2117"/>
      <c r="B145" s="2109"/>
      <c r="C145" s="896" t="str">
        <f>F!C154</f>
        <v>deciduous 1-4" diameter and &gt;3 ft tall</v>
      </c>
      <c r="D145" s="364">
        <f>F!D154</f>
        <v>0</v>
      </c>
      <c r="E145" s="955">
        <v>0</v>
      </c>
      <c r="F145" s="54">
        <f t="shared" si="5"/>
        <v>0</v>
      </c>
      <c r="G145" s="930"/>
      <c r="H145" s="1705"/>
    </row>
    <row r="146" spans="1:9" ht="15" customHeight="1" x14ac:dyDescent="0.2">
      <c r="A146" s="2117"/>
      <c r="B146" s="2109"/>
      <c r="C146" s="896" t="str">
        <f>F!C155</f>
        <v>evergreen 4-9" diameter</v>
      </c>
      <c r="D146" s="364">
        <f>F!D155</f>
        <v>0</v>
      </c>
      <c r="E146" s="955">
        <v>0</v>
      </c>
      <c r="F146" s="54">
        <f t="shared" si="5"/>
        <v>0</v>
      </c>
      <c r="G146" s="930"/>
      <c r="H146" s="1705"/>
    </row>
    <row r="147" spans="1:9" ht="15" customHeight="1" x14ac:dyDescent="0.2">
      <c r="A147" s="2117"/>
      <c r="B147" s="2109"/>
      <c r="C147" s="896" t="str">
        <f>F!C156</f>
        <v>deciduous 4-9" diameter</v>
      </c>
      <c r="D147" s="364">
        <f>F!D156</f>
        <v>0</v>
      </c>
      <c r="E147" s="955">
        <v>0</v>
      </c>
      <c r="F147" s="54">
        <f t="shared" si="5"/>
        <v>0</v>
      </c>
      <c r="G147" s="930"/>
      <c r="H147" s="1705"/>
    </row>
    <row r="148" spans="1:9" ht="15" customHeight="1" x14ac:dyDescent="0.2">
      <c r="A148" s="2117"/>
      <c r="B148" s="2109"/>
      <c r="C148" s="896" t="str">
        <f>F!C157</f>
        <v>evergreen 9-21" diameter</v>
      </c>
      <c r="D148" s="364">
        <f>F!D157</f>
        <v>0</v>
      </c>
      <c r="E148" s="955">
        <v>2</v>
      </c>
      <c r="F148" s="54">
        <f t="shared" si="5"/>
        <v>0</v>
      </c>
      <c r="G148" s="930"/>
      <c r="H148" s="1705"/>
    </row>
    <row r="149" spans="1:9" ht="15" customHeight="1" x14ac:dyDescent="0.2">
      <c r="A149" s="2117"/>
      <c r="B149" s="2109"/>
      <c r="C149" s="896" t="str">
        <f>F!C158</f>
        <v>deciduous 9-21" diameter</v>
      </c>
      <c r="D149" s="364">
        <f>F!D158</f>
        <v>0</v>
      </c>
      <c r="E149" s="955">
        <v>2</v>
      </c>
      <c r="F149" s="54">
        <f t="shared" si="5"/>
        <v>0</v>
      </c>
      <c r="G149" s="930"/>
      <c r="H149" s="1705"/>
    </row>
    <row r="150" spans="1:9" ht="15" customHeight="1" x14ac:dyDescent="0.2">
      <c r="A150" s="2117"/>
      <c r="B150" s="2109"/>
      <c r="C150" s="896" t="str">
        <f>F!C159</f>
        <v>evergreen &gt;21" diameter</v>
      </c>
      <c r="D150" s="364">
        <f>F!D159</f>
        <v>0</v>
      </c>
      <c r="E150" s="955">
        <v>3</v>
      </c>
      <c r="F150" s="54">
        <f t="shared" si="5"/>
        <v>0</v>
      </c>
      <c r="G150" s="930"/>
      <c r="H150" s="1705"/>
    </row>
    <row r="151" spans="1:9" ht="15.6" customHeight="1" thickBot="1" x14ac:dyDescent="0.25">
      <c r="A151" s="2117"/>
      <c r="B151" s="2109"/>
      <c r="C151" s="899" t="str">
        <f>F!C160</f>
        <v>deciduous &gt;21" diameter</v>
      </c>
      <c r="D151" s="366">
        <f>F!D160</f>
        <v>0</v>
      </c>
      <c r="E151" s="956">
        <v>3</v>
      </c>
      <c r="F151" s="61">
        <f t="shared" si="5"/>
        <v>0</v>
      </c>
      <c r="G151" s="935"/>
      <c r="H151" s="1705"/>
    </row>
    <row r="152" spans="1:9" ht="30" customHeight="1" thickBot="1" x14ac:dyDescent="0.25">
      <c r="A152" s="2116" t="str">
        <f>F!A161</f>
        <v>F35</v>
      </c>
      <c r="B152" s="2113" t="str">
        <f>F!B161</f>
        <v>Snags</v>
      </c>
      <c r="C152" s="894" t="str">
        <f>F!C161</f>
        <v>The number of large snags (diameter &gt;8") in the AA plus the area within 100 ft uphill of the closest upland to the wetland edge is:</v>
      </c>
      <c r="D152" s="278"/>
      <c r="E152" s="957"/>
      <c r="F152" s="241"/>
      <c r="G152" s="928">
        <f>IF((NoWoodyVeg=1),"",IF((NoTrees=1),"",MAX(F153:F155)/MAX(E153:E155)))</f>
        <v>0</v>
      </c>
      <c r="H152" s="1687" t="s">
        <v>5504</v>
      </c>
      <c r="I152" s="4" t="s">
        <v>468</v>
      </c>
    </row>
    <row r="153" spans="1:9" ht="15" customHeight="1" x14ac:dyDescent="0.2">
      <c r="A153" s="2103"/>
      <c r="B153" s="2114"/>
      <c r="C153" s="895" t="str">
        <f>F!C162</f>
        <v>Several ( &gt;2/acre) and a pond or lake of at least 1 acre is within 1 mile.</v>
      </c>
      <c r="D153" s="363">
        <f>F!D162</f>
        <v>0</v>
      </c>
      <c r="E153" s="955">
        <v>4</v>
      </c>
      <c r="F153" s="54">
        <f>D153*E153</f>
        <v>0</v>
      </c>
      <c r="G153" s="929"/>
      <c r="H153" s="1705"/>
    </row>
    <row r="154" spans="1:9" ht="15" customHeight="1" x14ac:dyDescent="0.2">
      <c r="A154" s="2103"/>
      <c r="B154" s="2114"/>
      <c r="C154" s="896" t="str">
        <f>F!C163</f>
        <v>Several ( &gt;2/acre) but above not true.</v>
      </c>
      <c r="D154" s="364">
        <f>F!D163</f>
        <v>0</v>
      </c>
      <c r="E154" s="955">
        <v>1</v>
      </c>
      <c r="F154" s="54">
        <f>D154*E154</f>
        <v>0</v>
      </c>
      <c r="G154" s="929"/>
      <c r="H154" s="1705"/>
    </row>
    <row r="155" spans="1:9" ht="15.6" customHeight="1" thickBot="1" x14ac:dyDescent="0.25">
      <c r="A155" s="2104"/>
      <c r="B155" s="2115"/>
      <c r="C155" s="897" t="str">
        <f>F!C164</f>
        <v xml:space="preserve">Few or none </v>
      </c>
      <c r="D155" s="365">
        <f>F!D164</f>
        <v>0</v>
      </c>
      <c r="E155" s="958">
        <v>0</v>
      </c>
      <c r="F155" s="239">
        <f>D155*E155</f>
        <v>0</v>
      </c>
      <c r="G155" s="931"/>
      <c r="H155" s="1706"/>
    </row>
    <row r="156" spans="1:9" ht="51.75" customHeight="1" thickBot="1" x14ac:dyDescent="0.25">
      <c r="A156" s="1954" t="str">
        <f>F!A226</f>
        <v>F48</v>
      </c>
      <c r="B156" s="2134" t="str">
        <f>F!B226</f>
        <v>Largest Herbaceous Patch</v>
      </c>
      <c r="C156" s="900"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156" s="278"/>
      <c r="E156" s="278"/>
      <c r="F156" s="241"/>
      <c r="G156" s="928">
        <f>MAX(F157:F162)/MAX(E157:E162)</f>
        <v>0</v>
      </c>
      <c r="H156" s="1704" t="s">
        <v>1226</v>
      </c>
      <c r="I156" s="4" t="s">
        <v>478</v>
      </c>
    </row>
    <row r="157" spans="1:9" ht="15" customHeight="1" x14ac:dyDescent="0.2">
      <c r="A157" s="1955"/>
      <c r="B157" s="2111"/>
      <c r="C157" s="212" t="str">
        <f>F!C227</f>
        <v>&lt;0.1 acre.  SKIP to F54.</v>
      </c>
      <c r="D157" s="363">
        <f>F!D227</f>
        <v>0</v>
      </c>
      <c r="E157" s="54">
        <v>0</v>
      </c>
      <c r="F157" s="955">
        <f t="shared" ref="F157:F162" si="6">D157*E157</f>
        <v>0</v>
      </c>
      <c r="G157" s="929"/>
      <c r="H157" s="1705"/>
    </row>
    <row r="158" spans="1:9" ht="15" customHeight="1" x14ac:dyDescent="0.2">
      <c r="A158" s="1955"/>
      <c r="B158" s="2111"/>
      <c r="C158" s="901" t="str">
        <f>F!C228</f>
        <v>0.1 - 1 acre</v>
      </c>
      <c r="D158" s="364">
        <f>F!D228</f>
        <v>0</v>
      </c>
      <c r="E158" s="54">
        <v>2</v>
      </c>
      <c r="F158" s="955">
        <f t="shared" si="6"/>
        <v>0</v>
      </c>
      <c r="G158" s="930"/>
      <c r="H158" s="1705"/>
    </row>
    <row r="159" spans="1:9" ht="15" customHeight="1" x14ac:dyDescent="0.2">
      <c r="A159" s="1955"/>
      <c r="B159" s="2111"/>
      <c r="C159" s="901" t="str">
        <f>F!C229</f>
        <v>1 to 10 acres</v>
      </c>
      <c r="D159" s="364">
        <f>F!D229</f>
        <v>0</v>
      </c>
      <c r="E159" s="54">
        <v>5</v>
      </c>
      <c r="F159" s="955">
        <f t="shared" si="6"/>
        <v>0</v>
      </c>
      <c r="G159" s="930"/>
      <c r="H159" s="1705"/>
    </row>
    <row r="160" spans="1:9" ht="15" customHeight="1" x14ac:dyDescent="0.2">
      <c r="A160" s="1955"/>
      <c r="B160" s="2111"/>
      <c r="C160" s="901" t="str">
        <f>F!C230</f>
        <v>10 to 100 acres</v>
      </c>
      <c r="D160" s="364">
        <f>F!D230</f>
        <v>0</v>
      </c>
      <c r="E160" s="54">
        <v>7</v>
      </c>
      <c r="F160" s="955">
        <f t="shared" si="6"/>
        <v>0</v>
      </c>
      <c r="G160" s="930"/>
      <c r="H160" s="1705"/>
    </row>
    <row r="161" spans="1:9" ht="15" customHeight="1" x14ac:dyDescent="0.2">
      <c r="A161" s="1955"/>
      <c r="B161" s="2111"/>
      <c r="C161" s="901" t="str">
        <f>F!C231</f>
        <v>100 to 1000 acres</v>
      </c>
      <c r="D161" s="364">
        <f>F!D231</f>
        <v>0</v>
      </c>
      <c r="E161" s="54">
        <v>9</v>
      </c>
      <c r="F161" s="955">
        <f t="shared" si="6"/>
        <v>0</v>
      </c>
      <c r="G161" s="930"/>
      <c r="H161" s="1705"/>
    </row>
    <row r="162" spans="1:9" ht="15.6" customHeight="1" thickBot="1" x14ac:dyDescent="0.25">
      <c r="A162" s="1956"/>
      <c r="B162" s="2112"/>
      <c r="C162" s="902" t="str">
        <f>F!C232</f>
        <v>&gt;1000 acres</v>
      </c>
      <c r="D162" s="365">
        <f>F!D232</f>
        <v>0</v>
      </c>
      <c r="E162" s="239">
        <v>10</v>
      </c>
      <c r="F162" s="958">
        <f t="shared" si="6"/>
        <v>0</v>
      </c>
      <c r="G162" s="931"/>
      <c r="H162" s="1706"/>
    </row>
    <row r="163" spans="1:9" ht="30" customHeight="1" thickBot="1" x14ac:dyDescent="0.25">
      <c r="A163" s="2117" t="str">
        <f>F!A233</f>
        <v>F49</v>
      </c>
      <c r="B163" s="2109" t="str">
        <f>F!B233</f>
        <v>Unshaded Herbaceous Extent</v>
      </c>
      <c r="C163" s="898" t="str">
        <f>F!C233</f>
        <v>As visible in birds-eye view, herbaceous vegetation (excluding mosses and submerged and floating aquatics) comprises:</v>
      </c>
      <c r="D163" s="278"/>
      <c r="E163" s="932"/>
      <c r="F163" s="937"/>
      <c r="G163" s="933">
        <f>IF((NoHerbCov=1),"",MAX(F164:F168)/MAX(E164:E168))</f>
        <v>0</v>
      </c>
      <c r="H163" s="1688" t="s">
        <v>1251</v>
      </c>
      <c r="I163" s="4" t="s">
        <v>467</v>
      </c>
    </row>
    <row r="164" spans="1:9" ht="15" customHeight="1" x14ac:dyDescent="0.2">
      <c r="A164" s="2117"/>
      <c r="B164" s="2109"/>
      <c r="C164" s="895" t="str">
        <f>F!C234</f>
        <v>&lt;5% of the vegetated part of the AA.  Mark "1" here and SKIP to F54.</v>
      </c>
      <c r="D164" s="363">
        <f>F!D234</f>
        <v>0</v>
      </c>
      <c r="E164" s="388">
        <v>0</v>
      </c>
      <c r="F164" s="54">
        <f>D164*E164</f>
        <v>0</v>
      </c>
      <c r="G164" s="929"/>
      <c r="H164" s="2130"/>
    </row>
    <row r="165" spans="1:9" ht="15" customHeight="1" x14ac:dyDescent="0.2">
      <c r="A165" s="2117"/>
      <c r="B165" s="2109"/>
      <c r="C165" s="896" t="str">
        <f>F!C235</f>
        <v xml:space="preserve">5-25% of the vegetated AA </v>
      </c>
      <c r="D165" s="364">
        <f>F!D235</f>
        <v>0</v>
      </c>
      <c r="E165" s="388">
        <v>2</v>
      </c>
      <c r="F165" s="54">
        <f>D165*E165</f>
        <v>0</v>
      </c>
      <c r="G165" s="930"/>
      <c r="H165" s="2130"/>
    </row>
    <row r="166" spans="1:9" ht="15" customHeight="1" x14ac:dyDescent="0.2">
      <c r="A166" s="2117"/>
      <c r="B166" s="2109"/>
      <c r="C166" s="896" t="str">
        <f>F!C236</f>
        <v xml:space="preserve">25-50% of the vegetated AA </v>
      </c>
      <c r="D166" s="364">
        <f>F!D236</f>
        <v>0</v>
      </c>
      <c r="E166" s="388">
        <v>3</v>
      </c>
      <c r="F166" s="54">
        <f>D166*E166</f>
        <v>0</v>
      </c>
      <c r="G166" s="930"/>
      <c r="H166" s="2130"/>
    </row>
    <row r="167" spans="1:9" ht="15" customHeight="1" x14ac:dyDescent="0.2">
      <c r="A167" s="2117"/>
      <c r="B167" s="2109"/>
      <c r="C167" s="896" t="str">
        <f>F!C237</f>
        <v xml:space="preserve">50-95% of the vegetated AA </v>
      </c>
      <c r="D167" s="364">
        <f>F!D237</f>
        <v>0</v>
      </c>
      <c r="E167" s="388">
        <v>4</v>
      </c>
      <c r="F167" s="54">
        <f>D167*E167</f>
        <v>0</v>
      </c>
      <c r="G167" s="930"/>
      <c r="H167" s="2130"/>
    </row>
    <row r="168" spans="1:9" ht="15.6" customHeight="1" thickBot="1" x14ac:dyDescent="0.25">
      <c r="A168" s="2117"/>
      <c r="B168" s="2109"/>
      <c r="C168" s="899" t="str">
        <f>F!C238</f>
        <v>&gt;95% of the vegetated AA</v>
      </c>
      <c r="D168" s="366">
        <f>F!D238</f>
        <v>0</v>
      </c>
      <c r="E168" s="391">
        <v>5</v>
      </c>
      <c r="F168" s="934">
        <f>D168*E168</f>
        <v>0</v>
      </c>
      <c r="G168" s="935"/>
      <c r="H168" s="2130"/>
    </row>
    <row r="169" spans="1:9" ht="30" customHeight="1" thickBot="1" x14ac:dyDescent="0.25">
      <c r="A169" s="2105" t="str">
        <f>F!A264</f>
        <v>F55</v>
      </c>
      <c r="B169" s="2108" t="str">
        <f>F!B264</f>
        <v>Natural Cover in Buffer</v>
      </c>
      <c r="C169" s="894" t="str">
        <f>F!C264</f>
        <v>Along the wetland-upland edge and extending 100 ft upslope, the percentage of the upland that contains natural (not necessarily native -- see column E) land cover taller than 6 inches is:</v>
      </c>
      <c r="D169" s="278"/>
      <c r="E169" s="278"/>
      <c r="F169" s="241"/>
      <c r="G169" s="947">
        <f>MAX(F170:F174)/MAX(E170:E174)</f>
        <v>0</v>
      </c>
      <c r="H169" s="1704" t="s">
        <v>1252</v>
      </c>
      <c r="I169" s="4" t="s">
        <v>473</v>
      </c>
    </row>
    <row r="170" spans="1:9" ht="15" customHeight="1" x14ac:dyDescent="0.2">
      <c r="A170" s="2106"/>
      <c r="B170" s="2111"/>
      <c r="C170" s="895" t="str">
        <f>F!C265</f>
        <v xml:space="preserve">&lt;5% </v>
      </c>
      <c r="D170" s="363">
        <f>F!D265</f>
        <v>0</v>
      </c>
      <c r="E170" s="54">
        <v>0</v>
      </c>
      <c r="F170" s="54">
        <f>D170*E170</f>
        <v>0</v>
      </c>
      <c r="G170" s="929"/>
      <c r="H170" s="1705"/>
    </row>
    <row r="171" spans="1:9" ht="15" customHeight="1" x14ac:dyDescent="0.2">
      <c r="A171" s="2106"/>
      <c r="B171" s="2111"/>
      <c r="C171" s="896" t="str">
        <f>F!C266</f>
        <v>5 to 30%</v>
      </c>
      <c r="D171" s="364">
        <f>F!D266</f>
        <v>0</v>
      </c>
      <c r="E171" s="54">
        <v>2</v>
      </c>
      <c r="F171" s="54">
        <f>D171*E171</f>
        <v>0</v>
      </c>
      <c r="G171" s="930"/>
      <c r="H171" s="1705"/>
    </row>
    <row r="172" spans="1:9" ht="15" customHeight="1" x14ac:dyDescent="0.2">
      <c r="A172" s="2106"/>
      <c r="B172" s="2111"/>
      <c r="C172" s="896" t="str">
        <f>F!C267</f>
        <v>30 to 60%</v>
      </c>
      <c r="D172" s="364">
        <f>F!D267</f>
        <v>0</v>
      </c>
      <c r="E172" s="54">
        <v>3</v>
      </c>
      <c r="F172" s="54">
        <f>D172*E172</f>
        <v>0</v>
      </c>
      <c r="G172" s="930"/>
      <c r="H172" s="1705"/>
    </row>
    <row r="173" spans="1:9" ht="15" customHeight="1" x14ac:dyDescent="0.2">
      <c r="A173" s="2106"/>
      <c r="B173" s="2111"/>
      <c r="C173" s="896" t="str">
        <f>F!C268</f>
        <v>60 to 90%</v>
      </c>
      <c r="D173" s="364">
        <f>F!D268</f>
        <v>0</v>
      </c>
      <c r="E173" s="54">
        <v>4</v>
      </c>
      <c r="F173" s="54">
        <f>D173*E173</f>
        <v>0</v>
      </c>
      <c r="G173" s="930"/>
      <c r="H173" s="1705"/>
    </row>
    <row r="174" spans="1:9" ht="15.6" customHeight="1" thickBot="1" x14ac:dyDescent="0.25">
      <c r="A174" s="2107"/>
      <c r="B174" s="2112"/>
      <c r="C174" s="897" t="str">
        <f>F!C269</f>
        <v>&gt;90%.  SKIP to F58.</v>
      </c>
      <c r="D174" s="365">
        <f>F!D269</f>
        <v>0</v>
      </c>
      <c r="E174" s="239">
        <v>6</v>
      </c>
      <c r="F174" s="239">
        <f>D174*E174</f>
        <v>0</v>
      </c>
      <c r="G174" s="931"/>
      <c r="H174" s="1706"/>
    </row>
    <row r="175" spans="1:9" ht="30" customHeight="1" thickBot="1" x14ac:dyDescent="0.25">
      <c r="A175" s="2117" t="str">
        <f>F!A270</f>
        <v>F56</v>
      </c>
      <c r="B175" s="2109" t="str">
        <f>F!B270</f>
        <v>Type of Cover in Buffer</v>
      </c>
      <c r="C175" s="898" t="str">
        <f>F!C270</f>
        <v>Within 100 ft upslope of the wetland-upland edge closest to the AA, the upland land cover that is NOT unmanaged vegetation or water is mostly (mark ONE):</v>
      </c>
      <c r="D175" s="278"/>
      <c r="E175" s="932"/>
      <c r="F175" s="60"/>
      <c r="G175" s="933">
        <f>IF((BuffAllNat=1),"", MAX(F176:F177)/MAX(E176:E177))</f>
        <v>0</v>
      </c>
      <c r="H175" s="1873" t="s">
        <v>5402</v>
      </c>
      <c r="I175" s="4" t="s">
        <v>474</v>
      </c>
    </row>
    <row r="176" spans="1:9" ht="15" customHeight="1" x14ac:dyDescent="0.2">
      <c r="A176" s="2117"/>
      <c r="B176" s="2109"/>
      <c r="C176" s="895" t="str">
        <f>F!C271</f>
        <v>impervious surface, e.g., paved road, parking lot, building, exposed rock.</v>
      </c>
      <c r="D176" s="363">
        <f>F!D271</f>
        <v>0</v>
      </c>
      <c r="E176" s="54">
        <v>0</v>
      </c>
      <c r="F176" s="54">
        <f>D176*E176</f>
        <v>0</v>
      </c>
      <c r="G176" s="929"/>
      <c r="H176" s="1707"/>
    </row>
    <row r="177" spans="1:9" ht="27.6" customHeight="1" thickBot="1" x14ac:dyDescent="0.25">
      <c r="A177" s="2117"/>
      <c r="B177" s="2109"/>
      <c r="C177" s="899" t="str">
        <f>F!C272</f>
        <v>bare or nearly bare pervious surface or managed vegetation, e.g., lawn, mostly-unvegetated clearcut, landslide, unpaved road, dike.</v>
      </c>
      <c r="D177" s="366">
        <f>F!D272</f>
        <v>0</v>
      </c>
      <c r="E177" s="934">
        <v>1</v>
      </c>
      <c r="F177" s="934">
        <f>D177*E177</f>
        <v>0</v>
      </c>
      <c r="G177" s="935"/>
      <c r="H177" s="1708"/>
    </row>
    <row r="178" spans="1:9" ht="60" customHeight="1" thickBot="1" x14ac:dyDescent="0.25">
      <c r="A178" s="2105" t="str">
        <f>F!A300</f>
        <v>F63</v>
      </c>
      <c r="B178" s="2108" t="str">
        <f>F!B300</f>
        <v>Core Area 1</v>
      </c>
      <c r="C178" s="894"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78" s="278"/>
      <c r="E178" s="957"/>
      <c r="F178" s="936"/>
      <c r="G178" s="928">
        <f>MAX(F179:F184)/MAX(E179:E184)</f>
        <v>0</v>
      </c>
      <c r="H178" s="1687" t="s">
        <v>203</v>
      </c>
      <c r="I178" s="4" t="s">
        <v>471</v>
      </c>
    </row>
    <row r="179" spans="1:9" ht="15" customHeight="1" x14ac:dyDescent="0.2">
      <c r="A179" s="2125"/>
      <c r="B179" s="2109"/>
      <c r="C179" s="895" t="str">
        <f>F!C301</f>
        <v>&lt;5% and no inhabited building is within 300 ft of the AA</v>
      </c>
      <c r="D179" s="363">
        <f>F!D301</f>
        <v>0</v>
      </c>
      <c r="E179" s="412">
        <v>1</v>
      </c>
      <c r="F179" s="54">
        <f t="shared" ref="F179:F184" si="7">D179*E179</f>
        <v>0</v>
      </c>
      <c r="G179" s="929"/>
      <c r="H179" s="1705"/>
    </row>
    <row r="180" spans="1:9" ht="15" customHeight="1" x14ac:dyDescent="0.2">
      <c r="A180" s="2125"/>
      <c r="B180" s="2109"/>
      <c r="C180" s="896" t="str">
        <f>F!C302</f>
        <v>&lt;5% and inhabited building is within 300 ft of the AA</v>
      </c>
      <c r="D180" s="364">
        <f>F!D302</f>
        <v>0</v>
      </c>
      <c r="E180" s="412">
        <v>0</v>
      </c>
      <c r="F180" s="54">
        <f t="shared" si="7"/>
        <v>0</v>
      </c>
      <c r="G180" s="930"/>
      <c r="H180" s="1705"/>
    </row>
    <row r="181" spans="1:9" ht="15" customHeight="1" x14ac:dyDescent="0.2">
      <c r="A181" s="2125"/>
      <c r="B181" s="2109"/>
      <c r="C181" s="896" t="str">
        <f>F!C303</f>
        <v>5-50% and no inhabited building is within 300 ft of the AA</v>
      </c>
      <c r="D181" s="364">
        <f>F!D303</f>
        <v>0</v>
      </c>
      <c r="E181" s="412">
        <v>3</v>
      </c>
      <c r="F181" s="54">
        <f t="shared" si="7"/>
        <v>0</v>
      </c>
      <c r="G181" s="930"/>
      <c r="H181" s="1705"/>
    </row>
    <row r="182" spans="1:9" ht="15" customHeight="1" x14ac:dyDescent="0.2">
      <c r="A182" s="2125"/>
      <c r="B182" s="2109"/>
      <c r="C182" s="896" t="str">
        <f>F!C304</f>
        <v>5-50% and inhabited building is within 300 ft of the AA</v>
      </c>
      <c r="D182" s="364">
        <f>F!D304</f>
        <v>0</v>
      </c>
      <c r="E182" s="412">
        <v>2</v>
      </c>
      <c r="F182" s="54">
        <f t="shared" si="7"/>
        <v>0</v>
      </c>
      <c r="G182" s="935"/>
      <c r="H182" s="1705"/>
    </row>
    <row r="183" spans="1:9" ht="15" customHeight="1" x14ac:dyDescent="0.2">
      <c r="A183" s="2125"/>
      <c r="B183" s="2109"/>
      <c r="C183" s="896" t="str">
        <f>F!C305</f>
        <v>50-95%</v>
      </c>
      <c r="D183" s="364">
        <f>F!D305</f>
        <v>0</v>
      </c>
      <c r="E183" s="412">
        <v>4</v>
      </c>
      <c r="F183" s="54">
        <f t="shared" si="7"/>
        <v>0</v>
      </c>
      <c r="G183" s="935"/>
      <c r="H183" s="1705"/>
    </row>
    <row r="184" spans="1:9" ht="15.6" customHeight="1" thickBot="1" x14ac:dyDescent="0.25">
      <c r="A184" s="2126"/>
      <c r="B184" s="2110"/>
      <c r="C184" s="897" t="str">
        <f>F!C306</f>
        <v>&gt;95% of the AA</v>
      </c>
      <c r="D184" s="365">
        <f>F!D306</f>
        <v>0</v>
      </c>
      <c r="E184" s="416">
        <v>5</v>
      </c>
      <c r="F184" s="239">
        <f t="shared" si="7"/>
        <v>0</v>
      </c>
      <c r="G184" s="931"/>
      <c r="H184" s="1706"/>
    </row>
    <row r="185" spans="1:9" ht="60" customHeight="1" thickBot="1" x14ac:dyDescent="0.25">
      <c r="A185" s="2117" t="str">
        <f>F!A307</f>
        <v>F64</v>
      </c>
      <c r="B185" s="2109" t="str">
        <f>F!B307</f>
        <v>Core Area 2</v>
      </c>
      <c r="C185" s="898"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185" s="278"/>
      <c r="E185" s="418"/>
      <c r="F185" s="937"/>
      <c r="G185" s="938">
        <f>MAX(F186:F189)/MAX(E186:E189)</f>
        <v>0</v>
      </c>
      <c r="H185" s="1705" t="s">
        <v>287</v>
      </c>
      <c r="I185" s="4" t="s">
        <v>472</v>
      </c>
    </row>
    <row r="186" spans="1:9" ht="15" customHeight="1" x14ac:dyDescent="0.2">
      <c r="A186" s="2117"/>
      <c r="B186" s="2109"/>
      <c r="C186" s="895" t="str">
        <f>F!C308</f>
        <v>&lt;5%.  If F63 was answered "&gt;95%", SKIP to F67.</v>
      </c>
      <c r="D186" s="363">
        <f>F!D308</f>
        <v>0</v>
      </c>
      <c r="E186" s="412">
        <v>2</v>
      </c>
      <c r="F186" s="54">
        <f>D186*E186</f>
        <v>0</v>
      </c>
      <c r="G186" s="929"/>
      <c r="H186" s="1705"/>
    </row>
    <row r="187" spans="1:9" ht="15" customHeight="1" x14ac:dyDescent="0.2">
      <c r="A187" s="2117"/>
      <c r="B187" s="2109"/>
      <c r="C187" s="896" t="str">
        <f>F!C309</f>
        <v>5-50%</v>
      </c>
      <c r="D187" s="364">
        <f>F!D309</f>
        <v>0</v>
      </c>
      <c r="E187" s="412">
        <v>1</v>
      </c>
      <c r="F187" s="54">
        <f>D187*E187</f>
        <v>0</v>
      </c>
      <c r="G187" s="930"/>
      <c r="H187" s="1705"/>
    </row>
    <row r="188" spans="1:9" ht="15" customHeight="1" x14ac:dyDescent="0.2">
      <c r="A188" s="2117"/>
      <c r="B188" s="2109"/>
      <c r="C188" s="896" t="str">
        <f>F!C310</f>
        <v>50-95%</v>
      </c>
      <c r="D188" s="364">
        <f>F!D310</f>
        <v>0</v>
      </c>
      <c r="E188" s="412">
        <v>0</v>
      </c>
      <c r="F188" s="54">
        <f>D188*E188</f>
        <v>0</v>
      </c>
      <c r="G188" s="930"/>
      <c r="H188" s="1705"/>
    </row>
    <row r="189" spans="1:9" ht="15" customHeight="1" thickBot="1" x14ac:dyDescent="0.25">
      <c r="A189" s="2117"/>
      <c r="B189" s="2109"/>
      <c r="C189" s="899" t="str">
        <f>F!C311</f>
        <v>&gt;95% of the AA</v>
      </c>
      <c r="D189" s="366">
        <f>F!D311</f>
        <v>0</v>
      </c>
      <c r="E189" s="414">
        <v>0</v>
      </c>
      <c r="F189" s="934">
        <f>D189*E189</f>
        <v>0</v>
      </c>
      <c r="G189" s="935"/>
      <c r="H189" s="1705"/>
    </row>
    <row r="190" spans="1:9" ht="60" customHeight="1" thickBot="1" x14ac:dyDescent="0.25">
      <c r="A190" s="893" t="str">
        <f>F!A313</f>
        <v>F66</v>
      </c>
      <c r="B190" s="225" t="str">
        <f>F!B313</f>
        <v>BMP - Wildlife Protection</v>
      </c>
      <c r="C190" s="919" t="str">
        <f>F!C313</f>
        <v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v>
      </c>
      <c r="D190" s="371">
        <f>F!D313</f>
        <v>0</v>
      </c>
      <c r="E190" s="422"/>
      <c r="F190" s="952"/>
      <c r="G190" s="928">
        <f>IF((D184+D186&gt;1),"",D190)</f>
        <v>0</v>
      </c>
      <c r="H190" s="49" t="s">
        <v>1225</v>
      </c>
      <c r="I190" s="4" t="s">
        <v>2082</v>
      </c>
    </row>
    <row r="191" spans="1:9" ht="30" customHeight="1" thickBot="1" x14ac:dyDescent="0.25">
      <c r="A191" s="483" t="s">
        <v>290</v>
      </c>
      <c r="B191" s="488" t="s">
        <v>2612</v>
      </c>
      <c r="C191" s="475" t="s">
        <v>2606</v>
      </c>
      <c r="D191" s="474" t="s">
        <v>117</v>
      </c>
      <c r="E191" s="626" t="s">
        <v>5438</v>
      </c>
      <c r="F191" s="627" t="s">
        <v>5439</v>
      </c>
      <c r="G191" s="628" t="s">
        <v>5825</v>
      </c>
      <c r="H191" s="488" t="s">
        <v>919</v>
      </c>
    </row>
    <row r="192" spans="1:9" ht="30" customHeight="1" thickBot="1" x14ac:dyDescent="0.25">
      <c r="A192" s="2131" t="str">
        <f>OF!A61</f>
        <v>OF10</v>
      </c>
      <c r="B192" s="2138" t="str">
        <f>OF!B61</f>
        <v>Ponded Water in Landscape</v>
      </c>
      <c r="C192" s="977" t="str">
        <f>OF!C61</f>
        <v>Draw a circle of radius of 2 miles centered on the AA.  Including water ponded in the AA itself or in a fringing non-marine water body, the amount of water that is ponded (standing) during most of the year is:</v>
      </c>
      <c r="D192" s="419"/>
      <c r="E192" s="549"/>
      <c r="F192" s="549"/>
      <c r="G192" s="572" t="str">
        <f>IF((FenMarsh=1),MAX(F193:F198)/MAX(E193:E198),"")</f>
        <v/>
      </c>
      <c r="H192" s="2141" t="s">
        <v>2570</v>
      </c>
      <c r="I192" s="4" t="s">
        <v>2573</v>
      </c>
    </row>
    <row r="193" spans="1:9" ht="15" customHeight="1" x14ac:dyDescent="0.2">
      <c r="A193" s="2132"/>
      <c r="B193" s="2139"/>
      <c r="C193" s="976">
        <f>OF!C62</f>
        <v>0</v>
      </c>
      <c r="D193" s="959">
        <f>OF!D62</f>
        <v>0</v>
      </c>
      <c r="E193" s="412">
        <v>6</v>
      </c>
      <c r="F193" s="388">
        <f t="shared" ref="F193:F198" si="8">D193*E193</f>
        <v>0</v>
      </c>
      <c r="G193" s="412"/>
      <c r="H193" s="2142"/>
      <c r="I193" s="4"/>
    </row>
    <row r="194" spans="1:9" ht="15" customHeight="1" x14ac:dyDescent="0.2">
      <c r="A194" s="2132"/>
      <c r="B194" s="2139"/>
      <c r="C194" s="921" t="str">
        <f>OF!C63</f>
        <v>1 or 2</v>
      </c>
      <c r="D194" s="959">
        <f>OF!D63</f>
        <v>0</v>
      </c>
      <c r="E194" s="412">
        <v>4</v>
      </c>
      <c r="F194" s="388">
        <f t="shared" si="8"/>
        <v>0</v>
      </c>
      <c r="G194" s="412"/>
      <c r="H194" s="2142"/>
      <c r="I194" s="4"/>
    </row>
    <row r="195" spans="1:9" ht="15" customHeight="1" x14ac:dyDescent="0.2">
      <c r="A195" s="2132"/>
      <c r="B195" s="2139"/>
      <c r="C195" s="920" t="str">
        <f>OF!C64</f>
        <v>3 to 6</v>
      </c>
      <c r="D195" s="959">
        <f>OF!D64</f>
        <v>0</v>
      </c>
      <c r="E195" s="412">
        <v>3</v>
      </c>
      <c r="F195" s="388">
        <f t="shared" si="8"/>
        <v>0</v>
      </c>
      <c r="G195" s="412"/>
      <c r="H195" s="2142"/>
      <c r="I195" s="4"/>
    </row>
    <row r="196" spans="1:9" ht="15" customHeight="1" x14ac:dyDescent="0.2">
      <c r="A196" s="2132"/>
      <c r="B196" s="2139"/>
      <c r="C196" s="920" t="str">
        <f>OF!C65</f>
        <v>7 to 9</v>
      </c>
      <c r="D196" s="959">
        <f>OF!D65</f>
        <v>0</v>
      </c>
      <c r="E196" s="412">
        <v>2</v>
      </c>
      <c r="F196" s="388">
        <f t="shared" si="8"/>
        <v>0</v>
      </c>
      <c r="G196" s="412"/>
      <c r="H196" s="2142"/>
      <c r="I196" s="4"/>
    </row>
    <row r="197" spans="1:9" ht="15" customHeight="1" x14ac:dyDescent="0.2">
      <c r="A197" s="2132"/>
      <c r="B197" s="2139"/>
      <c r="C197" s="920" t="str">
        <f>OF!C66</f>
        <v>10 to 12</v>
      </c>
      <c r="D197" s="959">
        <f>OF!D66</f>
        <v>0</v>
      </c>
      <c r="E197" s="412">
        <v>1</v>
      </c>
      <c r="F197" s="388">
        <f t="shared" si="8"/>
        <v>0</v>
      </c>
      <c r="G197" s="412"/>
      <c r="H197" s="2142"/>
      <c r="I197" s="4"/>
    </row>
    <row r="198" spans="1:9" ht="15.6" customHeight="1" thickBot="1" x14ac:dyDescent="0.25">
      <c r="A198" s="2133"/>
      <c r="B198" s="2140"/>
      <c r="C198" s="922" t="str">
        <f>OF!C67</f>
        <v>&gt;12</v>
      </c>
      <c r="D198" s="960">
        <f>OF!D67</f>
        <v>0</v>
      </c>
      <c r="E198" s="416">
        <v>0</v>
      </c>
      <c r="F198" s="389">
        <f t="shared" si="8"/>
        <v>0</v>
      </c>
      <c r="G198" s="416"/>
      <c r="H198" s="2143"/>
      <c r="I198" s="4"/>
    </row>
    <row r="199" spans="1:9" ht="45" customHeight="1" thickBot="1" x14ac:dyDescent="0.25">
      <c r="A199" s="28" t="str">
        <f>OF!A103</f>
        <v>OF18</v>
      </c>
      <c r="B199" s="740" t="str">
        <f>OF!B103</f>
        <v>Designated IBA</v>
      </c>
      <c r="C199" s="249" t="str">
        <f>OF!C103</f>
        <v xml:space="preserve">See list in last column.  Then if necessary refer to the map in the online WESPAK-SE Wetlands Module: Habitat Layers &gt; Important Bird Areas (IBAs). The AA is within or contains part of an IBA.  Enter 1= yes, 0= no. </v>
      </c>
      <c r="D199" s="367">
        <f>OF!D103</f>
        <v>0</v>
      </c>
      <c r="E199" s="961"/>
      <c r="F199" s="962"/>
      <c r="G199" s="963">
        <f>D199</f>
        <v>0</v>
      </c>
      <c r="H199" s="109" t="s">
        <v>2235</v>
      </c>
      <c r="I199" s="4" t="s">
        <v>2091</v>
      </c>
    </row>
    <row r="200" spans="1:9" ht="75" customHeight="1" thickBot="1" x14ac:dyDescent="0.25">
      <c r="A200" s="250" t="str">
        <f>OF!A151</f>
        <v>OF29</v>
      </c>
      <c r="B200" s="226" t="str">
        <f>OF!B151</f>
        <v>Wetland Class Scarcity in HUC6</v>
      </c>
      <c r="C200" s="252"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200" s="371">
        <f>OF!D151</f>
        <v>0</v>
      </c>
      <c r="E200" s="964"/>
      <c r="F200" s="965"/>
      <c r="G200" s="966">
        <f>IF((D200=""),"",IF((ForestedPeat=1),"",D200))</f>
        <v>0</v>
      </c>
      <c r="H200" s="49" t="s">
        <v>2552</v>
      </c>
      <c r="I200" s="4" t="s">
        <v>2090</v>
      </c>
    </row>
    <row r="201" spans="1:9" ht="60" customHeight="1" thickBot="1" x14ac:dyDescent="0.25">
      <c r="A201" s="2144" t="str">
        <f>OF!A198</f>
        <v>OF42</v>
      </c>
      <c r="B201" s="2134" t="str">
        <f>OF!B198</f>
        <v>Nesting Waterbird Species of Conservation Concern</v>
      </c>
      <c r="C201" s="900" t="str">
        <f>OF!C198</f>
        <v xml:space="preserve">A waterbird species of conservation concern in Southeast Alaska (Common Loon, Red-throated Loon, Red-necked Grebe, Trumpeter Swan, Lesser Yellowlegs, Solitary Sandpiper) has been detected nesting semi-annually under conditions similar to what now occur, by a qualified observer.  Mark just the first choice that is true: </v>
      </c>
      <c r="D201" s="278"/>
      <c r="E201" s="957"/>
      <c r="F201" s="967"/>
      <c r="G201" s="966">
        <f>IF((D206=1),"",MAX(F202:F205)/MAX(E202:E205))</f>
        <v>0</v>
      </c>
      <c r="H201" s="1687" t="s">
        <v>2234</v>
      </c>
      <c r="I201" s="4" t="s">
        <v>2092</v>
      </c>
    </row>
    <row r="202" spans="1:9" ht="15" customHeight="1" x14ac:dyDescent="0.2">
      <c r="A202" s="2106"/>
      <c r="B202" s="2111"/>
      <c r="C202" s="212" t="str">
        <f>OF!C199</f>
        <v xml:space="preserve">in the AA </v>
      </c>
      <c r="D202" s="363">
        <f>OF!D199</f>
        <v>0</v>
      </c>
      <c r="E202" s="955">
        <v>4</v>
      </c>
      <c r="F202" s="54">
        <f>D202*E202</f>
        <v>0</v>
      </c>
      <c r="G202" s="929"/>
      <c r="H202" s="1705"/>
    </row>
    <row r="203" spans="1:9" ht="15" customHeight="1" x14ac:dyDescent="0.2">
      <c r="A203" s="2106"/>
      <c r="B203" s="2111"/>
      <c r="C203" s="901" t="str">
        <f>OF!C200</f>
        <v>outside the AA but within 0.5 mile, in a generally similar wetland</v>
      </c>
      <c r="D203" s="364">
        <f>OF!D200</f>
        <v>0</v>
      </c>
      <c r="E203" s="955">
        <v>2</v>
      </c>
      <c r="F203" s="54">
        <f>D203*E203</f>
        <v>0</v>
      </c>
      <c r="G203" s="930"/>
      <c r="H203" s="1705"/>
    </row>
    <row r="204" spans="1:9" ht="15" customHeight="1" x14ac:dyDescent="0.2">
      <c r="A204" s="2106"/>
      <c r="B204" s="2111"/>
      <c r="C204" s="901" t="str">
        <f>OF!C201</f>
        <v>outside the AA and 0.5 to 2 miles away, in a generally similar wetland</v>
      </c>
      <c r="D204" s="364">
        <f>OF!D201</f>
        <v>0</v>
      </c>
      <c r="E204" s="955">
        <v>1</v>
      </c>
      <c r="F204" s="54">
        <f>D204*E204</f>
        <v>0</v>
      </c>
      <c r="G204" s="930"/>
      <c r="H204" s="1705"/>
    </row>
    <row r="205" spans="1:9" ht="42" customHeight="1" x14ac:dyDescent="0.2">
      <c r="A205" s="2106"/>
      <c r="B205" s="2111"/>
      <c r="C205" s="901" t="str">
        <f>OF!C202</f>
        <v>beyond 2 miles, or no recent observation of these species by a qualified observer under conditions similar to what now occur, or no data.  However: at least one of the following have been confirmed nesting in the AA: Greater Yellowlegs, Wilson's Snipe, American Bittern, Sora, Sandhill Crane, any duck species.</v>
      </c>
      <c r="D205" s="364">
        <f>OF!D202</f>
        <v>0</v>
      </c>
      <c r="E205" s="955">
        <v>1</v>
      </c>
      <c r="F205" s="54">
        <f>D205*E205</f>
        <v>0</v>
      </c>
      <c r="G205" s="930"/>
      <c r="H205" s="1705"/>
    </row>
    <row r="206" spans="1:9" ht="15.6" customHeight="1" thickBot="1" x14ac:dyDescent="0.25">
      <c r="A206" s="2107"/>
      <c r="B206" s="2112"/>
      <c r="C206" s="902" t="str">
        <f>OF!C203</f>
        <v>none of above, or no data</v>
      </c>
      <c r="D206" s="365">
        <f>OF!D203</f>
        <v>0</v>
      </c>
      <c r="E206" s="958"/>
      <c r="F206" s="239"/>
      <c r="G206" s="931"/>
      <c r="H206" s="1706"/>
    </row>
    <row r="207" spans="1:9" ht="21" customHeight="1" thickBot="1" x14ac:dyDescent="0.25">
      <c r="A207" s="2085"/>
      <c r="B207" s="2085"/>
      <c r="C207" s="2085"/>
      <c r="D207" s="2085"/>
      <c r="E207" s="2085"/>
      <c r="F207" s="2085"/>
      <c r="G207" s="2085"/>
      <c r="H207" s="2085"/>
    </row>
    <row r="208" spans="1:9" ht="21" customHeight="1" x14ac:dyDescent="0.2">
      <c r="A208" s="2084"/>
      <c r="B208" s="2084"/>
      <c r="C208" s="2084"/>
      <c r="D208" s="2087" t="s">
        <v>381</v>
      </c>
      <c r="E208" s="2088"/>
      <c r="F208" s="2089"/>
      <c r="G208" s="539">
        <f>AVERAGE(ISOdry13, SatPct13,Fluctu13,MAX(SeasWpct13, PermWpct13), Depth13, DepthEven13)</f>
        <v>0</v>
      </c>
      <c r="H208" s="228" t="s">
        <v>2490</v>
      </c>
    </row>
    <row r="209" spans="1:9" ht="21" customHeight="1" x14ac:dyDescent="0.2">
      <c r="A209" s="2084"/>
      <c r="B209" s="2084"/>
      <c r="C209" s="2084"/>
      <c r="D209" s="2090" t="s">
        <v>330</v>
      </c>
      <c r="E209" s="2091"/>
      <c r="F209" s="2092"/>
      <c r="G209" s="540">
        <f>IF((NoPonded=1),"",AVERAGE(Woody13,Interspers13, AVERAGE(AqPlantCov13,EmPct13,Size13,SnagB13,VwidthAbs13)))</f>
        <v>0</v>
      </c>
      <c r="H209" s="216" t="s">
        <v>2585</v>
      </c>
    </row>
    <row r="210" spans="1:9" ht="21" customHeight="1" x14ac:dyDescent="0.2">
      <c r="A210" s="2084"/>
      <c r="B210" s="2084"/>
      <c r="C210" s="2084"/>
      <c r="D210" s="2090" t="s">
        <v>372</v>
      </c>
      <c r="E210" s="2091"/>
      <c r="F210" s="2092"/>
      <c r="G210" s="540">
        <f>AVERAGE(Wettype13,Fringe13, Lacus13a, Gradient13, TidalProx13,Acidic13,ShoreSlope13,fISH13A)</f>
        <v>0.16666666666666666</v>
      </c>
      <c r="H210" s="216" t="s">
        <v>2124</v>
      </c>
    </row>
    <row r="211" spans="1:9" ht="21" customHeight="1" x14ac:dyDescent="0.2">
      <c r="A211" s="2084"/>
      <c r="B211" s="2084"/>
      <c r="C211" s="2084"/>
      <c r="D211" s="2090" t="s">
        <v>426</v>
      </c>
      <c r="E211" s="2091"/>
      <c r="F211" s="2092"/>
      <c r="G211" s="540">
        <f>AVERAGE(Lacus13a,LakeProx13,Fringe13,Beaver13,PondScapePct13,PondProx13)</f>
        <v>0</v>
      </c>
      <c r="H211" s="216" t="s">
        <v>2119</v>
      </c>
    </row>
    <row r="212" spans="1:9" ht="21" customHeight="1" x14ac:dyDescent="0.2">
      <c r="A212" s="2084"/>
      <c r="B212" s="2084"/>
      <c r="C212" s="2084"/>
      <c r="D212" s="2090" t="s">
        <v>2421</v>
      </c>
      <c r="E212" s="2091"/>
      <c r="F212" s="2092"/>
      <c r="G212" s="791">
        <f>AVERAGE(Core1_13,Core2_13, _BMP13, toxics13)</f>
        <v>0</v>
      </c>
      <c r="H212" s="216" t="s">
        <v>2081</v>
      </c>
      <c r="I212" s="36"/>
    </row>
    <row r="213" spans="1:9" ht="21" customHeight="1" thickBot="1" x14ac:dyDescent="0.25">
      <c r="A213" s="2084"/>
      <c r="B213" s="2084"/>
      <c r="C213" s="2084"/>
      <c r="D213" s="2093" t="s">
        <v>327</v>
      </c>
      <c r="E213" s="2094"/>
      <c r="F213" s="2095"/>
      <c r="G213" s="535">
        <f>AVERAGE(NatVegTractSize, BuffLUtype13, BuffNatPct13,RdDis13)</f>
        <v>0</v>
      </c>
      <c r="H213" s="229" t="s">
        <v>2080</v>
      </c>
    </row>
    <row r="214" spans="1:9" ht="21" customHeight="1" thickBot="1" x14ac:dyDescent="0.25">
      <c r="A214" s="2084"/>
      <c r="B214" s="2084"/>
      <c r="C214" s="2084"/>
      <c r="D214" s="2137"/>
      <c r="E214" s="2137"/>
      <c r="F214" s="2137"/>
      <c r="G214" s="2137"/>
      <c r="H214" s="2137"/>
    </row>
    <row r="215" spans="1:9" ht="57" customHeight="1" thickBot="1" x14ac:dyDescent="0.25">
      <c r="A215" s="2084"/>
      <c r="B215" s="2086"/>
      <c r="C215" s="2096" t="s">
        <v>171</v>
      </c>
      <c r="D215" s="2097"/>
      <c r="E215" s="2098"/>
      <c r="F215" s="970" t="s">
        <v>141</v>
      </c>
      <c r="G215" s="971">
        <f>IF((AllSat+AllSat1&gt;0),0, IF((TooSteep13=1),0, 10*(3*AVERAGE(AqPlantCov13, Size13, Wettype13,Wscape) +2*AVERAGE(Hydro13,Struc13,Produc13) + AVERAGE(Stressors13,Lscape13))/6))</f>
        <v>0.1851851851851852</v>
      </c>
      <c r="H215" s="49" t="s">
        <v>2420</v>
      </c>
    </row>
    <row r="216" spans="1:9" ht="30" customHeight="1" thickBot="1" x14ac:dyDescent="0.25">
      <c r="A216" s="2084"/>
      <c r="B216" s="2086"/>
      <c r="C216" s="2096" t="s">
        <v>593</v>
      </c>
      <c r="D216" s="2097"/>
      <c r="E216" s="2098"/>
      <c r="F216" s="970" t="s">
        <v>142</v>
      </c>
      <c r="G216" s="972">
        <f>10*(IF((AllSat=1), 0, IF((TooSteep=1),0, IF((ForestedPeat=1),0, MAX(PondNum13v,Rare13, _IBA13, RareWclass13)))))</f>
        <v>0</v>
      </c>
      <c r="H216" s="49" t="s">
        <v>2519</v>
      </c>
    </row>
    <row r="217" spans="1:9" ht="21" customHeight="1" thickBot="1" x14ac:dyDescent="0.25">
      <c r="A217" s="2084"/>
      <c r="B217" s="2084"/>
      <c r="C217" s="2084"/>
      <c r="D217" s="2084"/>
      <c r="E217" s="2084"/>
      <c r="F217" s="2084"/>
      <c r="G217" s="2084"/>
      <c r="H217" s="1361"/>
    </row>
    <row r="218" spans="1:9" ht="21" customHeight="1" thickBot="1" x14ac:dyDescent="0.25">
      <c r="A218" s="2084"/>
      <c r="B218" s="2084"/>
      <c r="C218" s="2084"/>
      <c r="D218" s="2084"/>
      <c r="E218" s="2084"/>
      <c r="F218" s="2084"/>
      <c r="G218" s="2084"/>
      <c r="H218" s="80" t="s">
        <v>1345</v>
      </c>
    </row>
    <row r="219" spans="1:9" ht="27" customHeight="1" x14ac:dyDescent="0.2">
      <c r="A219" s="2084"/>
      <c r="B219" s="2084"/>
      <c r="C219" s="2084"/>
      <c r="D219" s="2084"/>
      <c r="E219" s="2084"/>
      <c r="F219" s="2084"/>
      <c r="G219" s="2084"/>
      <c r="H219" s="223" t="s">
        <v>2229</v>
      </c>
    </row>
    <row r="220" spans="1:9" ht="20.45" customHeight="1" x14ac:dyDescent="0.2">
      <c r="A220" s="2084"/>
      <c r="B220" s="2084"/>
      <c r="C220" s="2084"/>
      <c r="D220" s="2084"/>
      <c r="E220" s="2084"/>
      <c r="F220" s="2084"/>
      <c r="G220" s="2084"/>
      <c r="H220" s="118" t="s">
        <v>1625</v>
      </c>
    </row>
    <row r="221" spans="1:9" ht="27" customHeight="1" x14ac:dyDescent="0.2">
      <c r="A221" s="2084"/>
      <c r="B221" s="2084"/>
      <c r="C221" s="2084"/>
      <c r="D221" s="2084"/>
      <c r="E221" s="2084"/>
      <c r="F221" s="2084"/>
      <c r="G221" s="2084"/>
      <c r="H221" s="118" t="s">
        <v>2042</v>
      </c>
    </row>
    <row r="222" spans="1:9" ht="42" customHeight="1" x14ac:dyDescent="0.2">
      <c r="A222" s="2084"/>
      <c r="B222" s="2084"/>
      <c r="C222" s="2084"/>
      <c r="D222" s="2084"/>
      <c r="E222" s="2084"/>
      <c r="F222" s="2084"/>
      <c r="G222" s="2084"/>
      <c r="H222" s="116" t="s">
        <v>1626</v>
      </c>
    </row>
    <row r="223" spans="1:9" ht="27" customHeight="1" x14ac:dyDescent="0.2">
      <c r="A223" s="2084"/>
      <c r="B223" s="2084"/>
      <c r="C223" s="2084"/>
      <c r="D223" s="2084"/>
      <c r="E223" s="2084"/>
      <c r="F223" s="2084"/>
      <c r="G223" s="2084"/>
      <c r="H223" s="116" t="s">
        <v>2050</v>
      </c>
    </row>
    <row r="224" spans="1:9" ht="27" customHeight="1" x14ac:dyDescent="0.2">
      <c r="A224" s="2084"/>
      <c r="B224" s="2084"/>
      <c r="C224" s="2084"/>
      <c r="D224" s="2084"/>
      <c r="E224" s="2084"/>
      <c r="F224" s="2084"/>
      <c r="G224" s="2084"/>
      <c r="H224" s="118" t="s">
        <v>1629</v>
      </c>
    </row>
    <row r="225" spans="1:8" ht="27" customHeight="1" x14ac:dyDescent="0.2">
      <c r="A225" s="2084"/>
      <c r="B225" s="2084"/>
      <c r="C225" s="2084"/>
      <c r="D225" s="2084"/>
      <c r="E225" s="2084"/>
      <c r="F225" s="2084"/>
      <c r="G225" s="2084"/>
      <c r="H225" s="118" t="s">
        <v>2233</v>
      </c>
    </row>
    <row r="226" spans="1:8" ht="27" customHeight="1" x14ac:dyDescent="0.2">
      <c r="A226" s="2084"/>
      <c r="B226" s="2084"/>
      <c r="C226" s="2084"/>
      <c r="D226" s="2084"/>
      <c r="E226" s="2084"/>
      <c r="F226" s="2084"/>
      <c r="G226" s="2084"/>
      <c r="H226" s="117" t="s">
        <v>2230</v>
      </c>
    </row>
    <row r="227" spans="1:8" ht="39" thickBot="1" x14ac:dyDescent="0.25">
      <c r="A227" s="2084"/>
      <c r="B227" s="2084"/>
      <c r="C227" s="2084"/>
      <c r="D227" s="2084"/>
      <c r="E227" s="2084"/>
      <c r="F227" s="2084"/>
      <c r="G227" s="2084"/>
      <c r="H227" s="227" t="s">
        <v>2231</v>
      </c>
    </row>
    <row r="235" spans="1:8" x14ac:dyDescent="0.2">
      <c r="A235" s="29"/>
      <c r="B235" s="29"/>
      <c r="C235" s="35"/>
      <c r="D235" s="62"/>
      <c r="E235" s="62"/>
    </row>
    <row r="236" spans="1:8" x14ac:dyDescent="0.2">
      <c r="A236" s="29"/>
      <c r="B236" s="29"/>
      <c r="C236" s="35"/>
      <c r="D236" s="62"/>
      <c r="E236" s="62"/>
    </row>
    <row r="237" spans="1:8" x14ac:dyDescent="0.2">
      <c r="A237" s="29"/>
      <c r="B237" s="29"/>
      <c r="C237" s="35"/>
      <c r="D237" s="62"/>
      <c r="E237" s="62"/>
    </row>
    <row r="238" spans="1:8" x14ac:dyDescent="0.2">
      <c r="A238" s="29"/>
      <c r="B238" s="29"/>
      <c r="C238" s="35"/>
      <c r="D238" s="62"/>
      <c r="E238" s="62"/>
    </row>
    <row r="239" spans="1:8" x14ac:dyDescent="0.2">
      <c r="A239" s="29"/>
      <c r="B239" s="29"/>
      <c r="C239" s="35"/>
      <c r="D239" s="62"/>
      <c r="E239" s="62"/>
    </row>
    <row r="240" spans="1:8" x14ac:dyDescent="0.2">
      <c r="A240" s="29"/>
      <c r="B240" s="29"/>
      <c r="C240" s="35"/>
      <c r="D240" s="62"/>
      <c r="E240" s="62"/>
    </row>
    <row r="241" spans="1:5" x14ac:dyDescent="0.2">
      <c r="A241" s="29"/>
      <c r="B241" s="29"/>
      <c r="C241" s="35"/>
      <c r="D241" s="62"/>
      <c r="E241" s="62"/>
    </row>
    <row r="242" spans="1:5" x14ac:dyDescent="0.2">
      <c r="A242" s="29"/>
      <c r="B242" s="29"/>
      <c r="C242" s="35"/>
      <c r="D242" s="62"/>
      <c r="E242" s="62"/>
    </row>
    <row r="243" spans="1:5" x14ac:dyDescent="0.2">
      <c r="A243" s="29"/>
      <c r="B243" s="29"/>
      <c r="C243" s="35"/>
      <c r="D243" s="62"/>
      <c r="E243" s="62"/>
    </row>
    <row r="244" spans="1:5" x14ac:dyDescent="0.2">
      <c r="A244" s="29"/>
      <c r="B244" s="29"/>
      <c r="C244" s="35"/>
      <c r="D244" s="62"/>
      <c r="E244" s="62"/>
    </row>
    <row r="245" spans="1:5" x14ac:dyDescent="0.2">
      <c r="A245" s="29"/>
      <c r="B245" s="29"/>
      <c r="C245" s="35"/>
      <c r="D245" s="62"/>
      <c r="E245" s="62"/>
    </row>
    <row r="246" spans="1:5" x14ac:dyDescent="0.2">
      <c r="A246" s="29"/>
      <c r="B246" s="29"/>
      <c r="C246" s="35"/>
      <c r="D246" s="62"/>
      <c r="E246" s="62"/>
    </row>
    <row r="247" spans="1:5" x14ac:dyDescent="0.2">
      <c r="A247" s="29"/>
      <c r="B247" s="29"/>
      <c r="C247" s="35"/>
      <c r="D247" s="62"/>
      <c r="E247" s="62"/>
    </row>
    <row r="248" spans="1:5" x14ac:dyDescent="0.2">
      <c r="A248" s="29"/>
      <c r="B248" s="29"/>
      <c r="C248" s="35"/>
      <c r="D248" s="62"/>
      <c r="E248" s="62"/>
    </row>
    <row r="249" spans="1:5" x14ac:dyDescent="0.2">
      <c r="A249" s="29"/>
      <c r="B249" s="29"/>
      <c r="C249" s="35"/>
      <c r="D249" s="62"/>
      <c r="E249" s="62"/>
    </row>
    <row r="250" spans="1:5" x14ac:dyDescent="0.2">
      <c r="A250" s="29"/>
      <c r="B250" s="29"/>
      <c r="C250" s="35"/>
      <c r="D250" s="62"/>
      <c r="E250" s="62"/>
    </row>
    <row r="251" spans="1:5" x14ac:dyDescent="0.2">
      <c r="A251" s="29"/>
      <c r="B251" s="29"/>
      <c r="C251" s="35"/>
      <c r="D251" s="62"/>
      <c r="E251" s="62"/>
    </row>
    <row r="252" spans="1:5" x14ac:dyDescent="0.2">
      <c r="A252" s="29"/>
      <c r="B252" s="29"/>
      <c r="C252" s="35"/>
      <c r="D252" s="62"/>
      <c r="E252" s="62"/>
    </row>
    <row r="253" spans="1:5" x14ac:dyDescent="0.2">
      <c r="A253" s="29"/>
      <c r="B253" s="29"/>
      <c r="C253" s="35"/>
      <c r="D253" s="62"/>
      <c r="E253" s="62"/>
    </row>
    <row r="254" spans="1:5" x14ac:dyDescent="0.2">
      <c r="A254" s="29"/>
      <c r="B254" s="29"/>
      <c r="C254" s="35"/>
      <c r="D254" s="62"/>
      <c r="E254" s="62"/>
    </row>
    <row r="255" spans="1:5" x14ac:dyDescent="0.2">
      <c r="A255" s="29"/>
      <c r="B255" s="29"/>
      <c r="C255" s="35"/>
      <c r="D255" s="62"/>
      <c r="E255" s="62"/>
    </row>
    <row r="256" spans="1:5" x14ac:dyDescent="0.2">
      <c r="A256" s="29"/>
      <c r="B256" s="29"/>
      <c r="C256" s="35"/>
      <c r="D256" s="62"/>
      <c r="E256" s="62"/>
    </row>
    <row r="257" spans="1:5" x14ac:dyDescent="0.2">
      <c r="A257" s="29"/>
      <c r="B257" s="29"/>
      <c r="C257" s="35"/>
      <c r="D257" s="62"/>
      <c r="E257" s="62"/>
    </row>
    <row r="258" spans="1:5" x14ac:dyDescent="0.2">
      <c r="A258" s="29"/>
      <c r="B258" s="29"/>
      <c r="C258" s="35"/>
      <c r="D258" s="62"/>
      <c r="E258" s="62"/>
    </row>
    <row r="259" spans="1:5" x14ac:dyDescent="0.2">
      <c r="A259" s="29"/>
      <c r="B259" s="29"/>
      <c r="C259" s="35"/>
      <c r="D259" s="62"/>
      <c r="E259" s="62"/>
    </row>
    <row r="260" spans="1:5" x14ac:dyDescent="0.2">
      <c r="A260" s="29"/>
      <c r="B260" s="29"/>
      <c r="C260" s="35"/>
      <c r="D260" s="62"/>
      <c r="E260" s="62"/>
    </row>
    <row r="261" spans="1:5" x14ac:dyDescent="0.2">
      <c r="A261" s="29"/>
      <c r="B261" s="29"/>
      <c r="C261" s="35"/>
      <c r="D261" s="62"/>
      <c r="E261" s="62"/>
    </row>
    <row r="262" spans="1:5" x14ac:dyDescent="0.2">
      <c r="A262" s="29"/>
      <c r="B262" s="29"/>
      <c r="C262" s="35"/>
      <c r="D262" s="62"/>
      <c r="E262" s="62"/>
    </row>
    <row r="263" spans="1:5" x14ac:dyDescent="0.2">
      <c r="A263" s="29"/>
      <c r="B263" s="29"/>
      <c r="C263" s="35"/>
      <c r="D263" s="62"/>
      <c r="E263" s="62"/>
    </row>
    <row r="264" spans="1:5" x14ac:dyDescent="0.2">
      <c r="A264" s="29"/>
      <c r="B264" s="29"/>
      <c r="C264" s="35"/>
      <c r="D264" s="62"/>
      <c r="E264" s="62"/>
    </row>
    <row r="265" spans="1:5" x14ac:dyDescent="0.2">
      <c r="A265" s="29"/>
      <c r="B265" s="29"/>
      <c r="C265" s="35"/>
      <c r="D265" s="62"/>
      <c r="E265" s="62"/>
    </row>
    <row r="266" spans="1:5" x14ac:dyDescent="0.2">
      <c r="A266" s="29"/>
      <c r="B266" s="29"/>
      <c r="C266" s="35"/>
      <c r="D266" s="62"/>
      <c r="E266" s="62"/>
    </row>
    <row r="267" spans="1:5" x14ac:dyDescent="0.2">
      <c r="A267" s="29"/>
      <c r="B267" s="29"/>
      <c r="C267" s="35"/>
      <c r="D267" s="62"/>
      <c r="E267" s="62"/>
    </row>
    <row r="268" spans="1:5" x14ac:dyDescent="0.2">
      <c r="A268" s="29"/>
      <c r="B268" s="29"/>
      <c r="C268" s="35"/>
      <c r="D268" s="62"/>
      <c r="E268" s="62"/>
    </row>
    <row r="269" spans="1:5" x14ac:dyDescent="0.2">
      <c r="A269" s="29"/>
      <c r="B269" s="29"/>
      <c r="C269" s="35"/>
      <c r="D269" s="62"/>
      <c r="E269" s="62"/>
    </row>
    <row r="270" spans="1:5" x14ac:dyDescent="0.2">
      <c r="A270" s="29"/>
      <c r="B270" s="29"/>
      <c r="C270" s="35"/>
      <c r="D270" s="62"/>
      <c r="E270" s="62"/>
    </row>
    <row r="271" spans="1:5" x14ac:dyDescent="0.2">
      <c r="A271" s="29"/>
      <c r="B271" s="29"/>
      <c r="C271" s="35"/>
      <c r="D271" s="62"/>
      <c r="E271" s="62"/>
    </row>
    <row r="272" spans="1:5" x14ac:dyDescent="0.2">
      <c r="A272" s="29"/>
      <c r="B272" s="29"/>
      <c r="C272" s="35"/>
      <c r="D272" s="62"/>
      <c r="E272" s="62"/>
    </row>
    <row r="273" spans="1:5" x14ac:dyDescent="0.2">
      <c r="A273" s="29"/>
      <c r="B273" s="29"/>
      <c r="C273" s="35"/>
      <c r="D273" s="62"/>
      <c r="E273" s="62"/>
    </row>
    <row r="274" spans="1:5" x14ac:dyDescent="0.2">
      <c r="A274" s="29"/>
      <c r="B274" s="29"/>
      <c r="C274" s="35"/>
      <c r="D274" s="62"/>
      <c r="E274" s="62"/>
    </row>
    <row r="275" spans="1:5" x14ac:dyDescent="0.2">
      <c r="A275" s="29"/>
      <c r="B275" s="29"/>
      <c r="C275" s="35"/>
      <c r="D275" s="62"/>
      <c r="E275" s="62"/>
    </row>
    <row r="276" spans="1:5" x14ac:dyDescent="0.2">
      <c r="A276" s="29"/>
      <c r="B276" s="29"/>
      <c r="C276" s="35"/>
      <c r="D276" s="62"/>
      <c r="E276" s="62"/>
    </row>
    <row r="277" spans="1:5" x14ac:dyDescent="0.2">
      <c r="A277" s="29"/>
      <c r="B277" s="29"/>
      <c r="C277" s="35"/>
      <c r="D277" s="62"/>
      <c r="E277" s="62"/>
    </row>
    <row r="278" spans="1:5" x14ac:dyDescent="0.2">
      <c r="A278" s="29"/>
      <c r="B278" s="29"/>
      <c r="C278" s="35"/>
      <c r="D278" s="62"/>
      <c r="E278" s="62"/>
    </row>
    <row r="279" spans="1:5" x14ac:dyDescent="0.2">
      <c r="A279" s="29"/>
      <c r="B279" s="29"/>
      <c r="C279" s="35"/>
      <c r="D279" s="62"/>
      <c r="E279" s="62"/>
    </row>
    <row r="280" spans="1:5" x14ac:dyDescent="0.2">
      <c r="A280" s="29"/>
      <c r="B280" s="29"/>
      <c r="C280" s="35"/>
      <c r="D280" s="62"/>
      <c r="E280" s="62"/>
    </row>
    <row r="281" spans="1:5" x14ac:dyDescent="0.2">
      <c r="A281" s="29"/>
      <c r="B281" s="29"/>
      <c r="C281" s="35"/>
      <c r="D281" s="62"/>
      <c r="E281" s="62"/>
    </row>
    <row r="282" spans="1:5" x14ac:dyDescent="0.2">
      <c r="A282" s="29"/>
      <c r="B282" s="29"/>
      <c r="C282" s="35"/>
      <c r="D282" s="62"/>
      <c r="E282" s="62"/>
    </row>
    <row r="283" spans="1:5" x14ac:dyDescent="0.2">
      <c r="A283" s="29"/>
      <c r="B283" s="29"/>
      <c r="C283" s="35"/>
      <c r="D283" s="62"/>
      <c r="E283" s="62"/>
    </row>
    <row r="284" spans="1:5" x14ac:dyDescent="0.2">
      <c r="A284" s="29"/>
      <c r="B284" s="29"/>
      <c r="C284" s="35"/>
      <c r="D284" s="62"/>
      <c r="E284" s="62"/>
    </row>
    <row r="285" spans="1:5" x14ac:dyDescent="0.2">
      <c r="A285" s="29"/>
      <c r="B285" s="29"/>
      <c r="C285" s="35"/>
      <c r="D285" s="62"/>
      <c r="E285" s="62"/>
    </row>
    <row r="286" spans="1:5" x14ac:dyDescent="0.2">
      <c r="A286" s="29"/>
      <c r="B286" s="29"/>
      <c r="C286" s="35"/>
      <c r="D286" s="62"/>
      <c r="E286" s="62"/>
    </row>
    <row r="287" spans="1:5" x14ac:dyDescent="0.2">
      <c r="A287" s="29"/>
      <c r="B287" s="29"/>
      <c r="C287" s="35"/>
      <c r="D287" s="62"/>
      <c r="E287" s="62"/>
    </row>
    <row r="288" spans="1:5" x14ac:dyDescent="0.2">
      <c r="A288" s="29"/>
      <c r="B288" s="29"/>
      <c r="C288" s="35"/>
      <c r="D288" s="62"/>
      <c r="E288" s="62"/>
    </row>
    <row r="289" spans="1:5" x14ac:dyDescent="0.2">
      <c r="A289" s="29"/>
      <c r="B289" s="29"/>
      <c r="C289" s="35"/>
      <c r="D289" s="62"/>
      <c r="E289" s="62"/>
    </row>
    <row r="290" spans="1:5" x14ac:dyDescent="0.2">
      <c r="A290" s="29"/>
      <c r="B290" s="29"/>
      <c r="C290" s="35"/>
      <c r="D290" s="62"/>
      <c r="E290" s="62"/>
    </row>
    <row r="291" spans="1:5" x14ac:dyDescent="0.2">
      <c r="A291" s="29"/>
      <c r="B291" s="29"/>
      <c r="C291" s="35"/>
      <c r="D291" s="62"/>
      <c r="E291" s="62"/>
    </row>
    <row r="292" spans="1:5" x14ac:dyDescent="0.2">
      <c r="A292" s="29"/>
      <c r="B292" s="29"/>
      <c r="C292" s="35"/>
      <c r="D292" s="62"/>
      <c r="E292" s="62"/>
    </row>
    <row r="293" spans="1:5" x14ac:dyDescent="0.2">
      <c r="A293" s="29"/>
      <c r="B293" s="29"/>
      <c r="C293" s="35"/>
      <c r="D293" s="62"/>
      <c r="E293" s="62"/>
    </row>
    <row r="294" spans="1:5" x14ac:dyDescent="0.2">
      <c r="A294" s="29"/>
      <c r="B294" s="29"/>
      <c r="C294" s="35"/>
      <c r="D294" s="62"/>
      <c r="E294" s="62"/>
    </row>
    <row r="295" spans="1:5" x14ac:dyDescent="0.2">
      <c r="A295" s="29"/>
      <c r="B295" s="29"/>
      <c r="C295" s="35"/>
      <c r="D295" s="62"/>
      <c r="E295" s="62"/>
    </row>
    <row r="296" spans="1:5" x14ac:dyDescent="0.2">
      <c r="A296" s="29"/>
      <c r="B296" s="29"/>
      <c r="C296" s="35"/>
      <c r="D296" s="62"/>
      <c r="E296" s="62"/>
    </row>
    <row r="297" spans="1:5" x14ac:dyDescent="0.2">
      <c r="A297" s="29"/>
      <c r="B297" s="29"/>
      <c r="C297" s="35"/>
      <c r="D297" s="62"/>
      <c r="E297" s="62"/>
    </row>
    <row r="298" spans="1:5" x14ac:dyDescent="0.2">
      <c r="A298" s="29"/>
      <c r="B298" s="29"/>
      <c r="C298" s="35"/>
      <c r="D298" s="62"/>
      <c r="E298" s="62"/>
    </row>
    <row r="299" spans="1:5" x14ac:dyDescent="0.2">
      <c r="A299" s="29"/>
      <c r="B299" s="29"/>
      <c r="C299" s="35"/>
      <c r="D299" s="62"/>
      <c r="E299" s="62"/>
    </row>
    <row r="300" spans="1:5" x14ac:dyDescent="0.2">
      <c r="A300" s="29"/>
      <c r="B300" s="29"/>
      <c r="C300" s="35"/>
      <c r="D300" s="62"/>
      <c r="E300" s="62"/>
    </row>
    <row r="301" spans="1:5" x14ac:dyDescent="0.2">
      <c r="A301" s="29"/>
      <c r="B301" s="29"/>
      <c r="C301" s="35"/>
      <c r="D301" s="62"/>
      <c r="E301" s="62"/>
    </row>
    <row r="302" spans="1:5" x14ac:dyDescent="0.2">
      <c r="A302" s="29"/>
      <c r="B302" s="29"/>
      <c r="C302" s="35"/>
      <c r="D302" s="62"/>
      <c r="E302" s="62"/>
    </row>
    <row r="303" spans="1:5" x14ac:dyDescent="0.2">
      <c r="A303" s="29"/>
      <c r="B303" s="29"/>
      <c r="C303" s="35"/>
      <c r="D303" s="62"/>
      <c r="E303" s="62"/>
    </row>
    <row r="304" spans="1:5" x14ac:dyDescent="0.2">
      <c r="A304" s="29"/>
      <c r="B304" s="29"/>
      <c r="C304" s="35"/>
      <c r="D304" s="62"/>
      <c r="E304" s="62"/>
    </row>
    <row r="305" spans="1:5" x14ac:dyDescent="0.2">
      <c r="A305" s="29"/>
      <c r="B305" s="29"/>
      <c r="C305" s="35"/>
      <c r="D305" s="62"/>
      <c r="E305" s="62"/>
    </row>
    <row r="306" spans="1:5" x14ac:dyDescent="0.2">
      <c r="A306" s="29"/>
      <c r="B306" s="29"/>
      <c r="C306" s="35"/>
      <c r="D306" s="62"/>
      <c r="E306" s="62"/>
    </row>
    <row r="307" spans="1:5" x14ac:dyDescent="0.2">
      <c r="A307" s="29"/>
      <c r="B307" s="29"/>
      <c r="C307" s="35"/>
      <c r="D307" s="62"/>
      <c r="E307" s="62"/>
    </row>
    <row r="308" spans="1:5" x14ac:dyDescent="0.2">
      <c r="A308" s="29"/>
      <c r="B308" s="29"/>
      <c r="C308" s="35"/>
      <c r="D308" s="62"/>
      <c r="E308" s="62"/>
    </row>
    <row r="309" spans="1:5" x14ac:dyDescent="0.2">
      <c r="A309" s="29"/>
      <c r="B309" s="29"/>
      <c r="C309" s="35"/>
      <c r="D309" s="62"/>
      <c r="E309" s="62"/>
    </row>
    <row r="310" spans="1:5" x14ac:dyDescent="0.2">
      <c r="A310" s="29"/>
      <c r="B310" s="29"/>
      <c r="C310" s="35"/>
      <c r="D310" s="62"/>
      <c r="E310" s="62"/>
    </row>
    <row r="311" spans="1:5" x14ac:dyDescent="0.2">
      <c r="A311" s="29"/>
      <c r="B311" s="29"/>
      <c r="C311" s="35"/>
      <c r="D311" s="62"/>
      <c r="E311" s="62"/>
    </row>
    <row r="312" spans="1:5" x14ac:dyDescent="0.2">
      <c r="A312" s="29"/>
      <c r="B312" s="29"/>
      <c r="C312" s="35"/>
      <c r="D312" s="62"/>
      <c r="E312" s="62"/>
    </row>
    <row r="313" spans="1:5" x14ac:dyDescent="0.2">
      <c r="A313" s="29"/>
      <c r="B313" s="29"/>
      <c r="C313" s="35"/>
      <c r="D313" s="62"/>
      <c r="E313" s="62"/>
    </row>
    <row r="314" spans="1:5" x14ac:dyDescent="0.2">
      <c r="A314" s="29"/>
      <c r="B314" s="29"/>
      <c r="C314" s="35"/>
      <c r="D314" s="62"/>
      <c r="E314" s="62"/>
    </row>
    <row r="315" spans="1:5" x14ac:dyDescent="0.2">
      <c r="A315" s="29"/>
      <c r="B315" s="29"/>
      <c r="C315" s="35"/>
      <c r="D315" s="62"/>
      <c r="E315" s="62"/>
    </row>
    <row r="316" spans="1:5" x14ac:dyDescent="0.2">
      <c r="A316" s="29"/>
      <c r="B316" s="29"/>
      <c r="C316" s="35"/>
      <c r="D316" s="62"/>
      <c r="E316" s="62"/>
    </row>
    <row r="317" spans="1:5" x14ac:dyDescent="0.2">
      <c r="A317" s="29"/>
      <c r="B317" s="29"/>
      <c r="C317" s="35"/>
      <c r="D317" s="62"/>
      <c r="E317" s="62"/>
    </row>
    <row r="318" spans="1:5" x14ac:dyDescent="0.2">
      <c r="A318" s="29"/>
      <c r="B318" s="29"/>
      <c r="C318" s="35"/>
      <c r="D318" s="62"/>
      <c r="E318" s="62"/>
    </row>
    <row r="319" spans="1:5" x14ac:dyDescent="0.2">
      <c r="A319" s="29"/>
      <c r="B319" s="29"/>
      <c r="C319" s="35"/>
      <c r="D319" s="62"/>
      <c r="E319" s="62"/>
    </row>
    <row r="320" spans="1:5" x14ac:dyDescent="0.2">
      <c r="A320" s="29"/>
      <c r="B320" s="29"/>
      <c r="C320" s="35"/>
      <c r="D320" s="62"/>
      <c r="E320" s="62"/>
    </row>
    <row r="321" spans="1:5" x14ac:dyDescent="0.2">
      <c r="A321" s="29"/>
      <c r="B321" s="29"/>
      <c r="C321" s="35"/>
      <c r="D321" s="62"/>
      <c r="E321" s="62"/>
    </row>
    <row r="322" spans="1:5" x14ac:dyDescent="0.2">
      <c r="A322" s="29"/>
      <c r="B322" s="29"/>
      <c r="C322" s="35"/>
      <c r="D322" s="62"/>
      <c r="E322" s="62"/>
    </row>
    <row r="323" spans="1:5" x14ac:dyDescent="0.2">
      <c r="A323" s="29"/>
      <c r="B323" s="29"/>
      <c r="C323" s="35"/>
      <c r="D323" s="62"/>
      <c r="E323" s="62"/>
    </row>
    <row r="324" spans="1:5" x14ac:dyDescent="0.2">
      <c r="A324" s="29"/>
      <c r="B324" s="29"/>
      <c r="C324" s="35"/>
      <c r="D324" s="62"/>
      <c r="E324" s="62"/>
    </row>
    <row r="325" spans="1:5" x14ac:dyDescent="0.2">
      <c r="A325" s="29"/>
      <c r="B325" s="29"/>
      <c r="C325" s="35"/>
      <c r="D325" s="62"/>
      <c r="E325" s="62"/>
    </row>
    <row r="326" spans="1:5" x14ac:dyDescent="0.2">
      <c r="A326" s="29"/>
      <c r="B326" s="29"/>
      <c r="C326" s="35"/>
      <c r="D326" s="62"/>
      <c r="E326" s="62"/>
    </row>
    <row r="327" spans="1:5" x14ac:dyDescent="0.2">
      <c r="A327" s="29"/>
      <c r="B327" s="29"/>
      <c r="C327" s="35"/>
      <c r="D327" s="62"/>
      <c r="E327" s="62"/>
    </row>
    <row r="328" spans="1:5" x14ac:dyDescent="0.2">
      <c r="A328" s="29"/>
      <c r="B328" s="29"/>
      <c r="C328" s="35"/>
      <c r="D328" s="62"/>
      <c r="E328" s="62"/>
    </row>
    <row r="329" spans="1:5" x14ac:dyDescent="0.2">
      <c r="A329" s="29"/>
      <c r="B329" s="29"/>
      <c r="C329" s="35"/>
      <c r="D329" s="62"/>
      <c r="E329" s="62"/>
    </row>
    <row r="330" spans="1:5" x14ac:dyDescent="0.2">
      <c r="A330" s="29"/>
      <c r="B330" s="29"/>
      <c r="C330" s="35"/>
      <c r="D330" s="62"/>
      <c r="E330" s="62"/>
    </row>
    <row r="331" spans="1:5" x14ac:dyDescent="0.2">
      <c r="A331" s="29"/>
      <c r="B331" s="29"/>
      <c r="C331" s="35"/>
      <c r="D331" s="62"/>
      <c r="E331" s="62"/>
    </row>
    <row r="332" spans="1:5" x14ac:dyDescent="0.2">
      <c r="A332" s="29"/>
      <c r="B332" s="29"/>
      <c r="C332" s="35"/>
      <c r="D332" s="62"/>
      <c r="E332" s="62"/>
    </row>
    <row r="333" spans="1:5" x14ac:dyDescent="0.2">
      <c r="A333" s="29"/>
      <c r="B333" s="29"/>
      <c r="C333" s="35"/>
      <c r="D333" s="62"/>
      <c r="E333" s="62"/>
    </row>
    <row r="334" spans="1:5" x14ac:dyDescent="0.2">
      <c r="A334" s="29"/>
      <c r="B334" s="29"/>
      <c r="C334" s="35"/>
      <c r="D334" s="62"/>
      <c r="E334" s="62"/>
    </row>
    <row r="335" spans="1:5" x14ac:dyDescent="0.2">
      <c r="A335" s="29"/>
      <c r="B335" s="29"/>
      <c r="C335" s="35"/>
      <c r="D335" s="62"/>
      <c r="E335" s="62"/>
    </row>
    <row r="336" spans="1:5" x14ac:dyDescent="0.2">
      <c r="A336" s="29"/>
      <c r="B336" s="29"/>
      <c r="C336" s="35"/>
      <c r="D336" s="62"/>
      <c r="E336" s="62"/>
    </row>
    <row r="337" spans="1:5" x14ac:dyDescent="0.2">
      <c r="A337" s="29"/>
      <c r="B337" s="29"/>
      <c r="C337" s="35"/>
      <c r="D337" s="62"/>
      <c r="E337" s="62"/>
    </row>
    <row r="338" spans="1:5" x14ac:dyDescent="0.2">
      <c r="A338" s="29"/>
      <c r="B338" s="29"/>
      <c r="C338" s="35"/>
      <c r="D338" s="62"/>
      <c r="E338" s="62"/>
    </row>
    <row r="339" spans="1:5" x14ac:dyDescent="0.2">
      <c r="A339" s="29"/>
      <c r="B339" s="29"/>
      <c r="C339" s="35"/>
      <c r="D339" s="62"/>
      <c r="E339" s="62"/>
    </row>
    <row r="340" spans="1:5" x14ac:dyDescent="0.2">
      <c r="A340" s="29"/>
      <c r="B340" s="29"/>
      <c r="C340" s="35"/>
      <c r="D340" s="62"/>
      <c r="E340" s="62"/>
    </row>
    <row r="341" spans="1:5" x14ac:dyDescent="0.2">
      <c r="A341" s="29"/>
      <c r="B341" s="29"/>
      <c r="C341" s="35"/>
      <c r="D341" s="62"/>
      <c r="E341" s="62"/>
    </row>
    <row r="342" spans="1:5" x14ac:dyDescent="0.2">
      <c r="A342" s="29"/>
      <c r="B342" s="29"/>
      <c r="C342" s="35"/>
      <c r="D342" s="62"/>
      <c r="E342" s="62"/>
    </row>
    <row r="343" spans="1:5" x14ac:dyDescent="0.2">
      <c r="A343" s="29"/>
      <c r="B343" s="29"/>
      <c r="C343" s="35"/>
      <c r="D343" s="62"/>
      <c r="E343" s="62"/>
    </row>
    <row r="344" spans="1:5" x14ac:dyDescent="0.2">
      <c r="A344" s="29"/>
      <c r="B344" s="29"/>
      <c r="C344" s="35"/>
      <c r="D344" s="62"/>
      <c r="E344" s="62"/>
    </row>
    <row r="345" spans="1:5" x14ac:dyDescent="0.2">
      <c r="A345" s="29"/>
      <c r="B345" s="29"/>
      <c r="C345" s="35"/>
      <c r="D345" s="62"/>
      <c r="E345" s="62"/>
    </row>
    <row r="346" spans="1:5" x14ac:dyDescent="0.2">
      <c r="A346" s="29"/>
      <c r="B346" s="29"/>
      <c r="C346" s="35"/>
      <c r="D346" s="62"/>
      <c r="E346" s="62"/>
    </row>
    <row r="347" spans="1:5" x14ac:dyDescent="0.2">
      <c r="A347" s="29"/>
      <c r="B347" s="29"/>
      <c r="C347" s="35"/>
      <c r="D347" s="62"/>
      <c r="E347" s="62"/>
    </row>
    <row r="348" spans="1:5" x14ac:dyDescent="0.2">
      <c r="A348" s="29"/>
      <c r="B348" s="29"/>
      <c r="C348" s="35"/>
      <c r="D348" s="62"/>
      <c r="E348" s="62"/>
    </row>
    <row r="349" spans="1:5" x14ac:dyDescent="0.2">
      <c r="A349" s="29"/>
      <c r="B349" s="29"/>
      <c r="C349" s="35"/>
      <c r="D349" s="62"/>
      <c r="E349" s="62"/>
    </row>
    <row r="350" spans="1:5" x14ac:dyDescent="0.2">
      <c r="A350" s="29"/>
      <c r="B350" s="29"/>
      <c r="C350" s="35"/>
      <c r="D350" s="62"/>
      <c r="E350" s="62"/>
    </row>
    <row r="351" spans="1:5" x14ac:dyDescent="0.2">
      <c r="A351" s="29"/>
      <c r="B351" s="29"/>
      <c r="C351" s="35"/>
      <c r="D351" s="62"/>
      <c r="E351" s="62"/>
    </row>
    <row r="352" spans="1:5" x14ac:dyDescent="0.2">
      <c r="A352" s="29"/>
      <c r="B352" s="29"/>
      <c r="C352" s="35"/>
      <c r="D352" s="62"/>
      <c r="E352" s="62"/>
    </row>
    <row r="353" spans="1:5" x14ac:dyDescent="0.2">
      <c r="A353" s="29"/>
      <c r="B353" s="29"/>
      <c r="C353" s="35"/>
      <c r="D353" s="62"/>
      <c r="E353" s="62"/>
    </row>
    <row r="354" spans="1:5" x14ac:dyDescent="0.2">
      <c r="A354" s="29"/>
      <c r="B354" s="29"/>
      <c r="C354" s="35"/>
      <c r="D354" s="62"/>
      <c r="E354" s="62"/>
    </row>
    <row r="355" spans="1:5" x14ac:dyDescent="0.2">
      <c r="A355" s="29"/>
      <c r="B355" s="29"/>
      <c r="C355" s="35"/>
      <c r="D355" s="62"/>
      <c r="E355" s="62"/>
    </row>
    <row r="356" spans="1:5" x14ac:dyDescent="0.2">
      <c r="A356" s="29"/>
      <c r="B356" s="29"/>
      <c r="C356" s="35"/>
      <c r="D356" s="62"/>
      <c r="E356" s="62"/>
    </row>
    <row r="357" spans="1:5" x14ac:dyDescent="0.2">
      <c r="A357" s="29"/>
      <c r="B357" s="29"/>
      <c r="C357" s="35"/>
      <c r="D357" s="62"/>
      <c r="E357" s="62"/>
    </row>
    <row r="358" spans="1:5" x14ac:dyDescent="0.2">
      <c r="A358" s="29"/>
      <c r="B358" s="29"/>
      <c r="C358" s="35"/>
      <c r="D358" s="62"/>
      <c r="E358" s="62"/>
    </row>
    <row r="359" spans="1:5" x14ac:dyDescent="0.2">
      <c r="A359" s="29"/>
      <c r="B359" s="29"/>
      <c r="C359" s="35"/>
      <c r="D359" s="62"/>
      <c r="E359" s="62"/>
    </row>
    <row r="360" spans="1:5" x14ac:dyDescent="0.2">
      <c r="A360" s="29"/>
      <c r="B360" s="29"/>
      <c r="C360" s="35"/>
      <c r="D360" s="62"/>
      <c r="E360" s="62"/>
    </row>
    <row r="361" spans="1:5" x14ac:dyDescent="0.2">
      <c r="A361" s="29"/>
      <c r="B361" s="29"/>
      <c r="C361" s="35"/>
      <c r="D361" s="62"/>
      <c r="E361" s="62"/>
    </row>
    <row r="362" spans="1:5" x14ac:dyDescent="0.2">
      <c r="A362" s="29"/>
      <c r="B362" s="29"/>
      <c r="C362" s="35"/>
      <c r="D362" s="62"/>
      <c r="E362" s="62"/>
    </row>
    <row r="363" spans="1:5" x14ac:dyDescent="0.2">
      <c r="A363" s="29"/>
      <c r="B363" s="29"/>
      <c r="C363" s="35"/>
      <c r="D363" s="62"/>
      <c r="E363" s="62"/>
    </row>
    <row r="364" spans="1:5" x14ac:dyDescent="0.2">
      <c r="A364" s="29"/>
      <c r="B364" s="29"/>
      <c r="C364" s="35"/>
      <c r="D364" s="62"/>
      <c r="E364" s="62"/>
    </row>
    <row r="365" spans="1:5" x14ac:dyDescent="0.2">
      <c r="A365" s="29"/>
      <c r="B365" s="29"/>
      <c r="C365" s="35"/>
      <c r="D365" s="62"/>
      <c r="E365" s="62"/>
    </row>
    <row r="366" spans="1:5" x14ac:dyDescent="0.2">
      <c r="A366" s="29"/>
      <c r="B366" s="29"/>
      <c r="C366" s="35"/>
      <c r="D366" s="62"/>
      <c r="E366" s="62"/>
    </row>
    <row r="367" spans="1:5" x14ac:dyDescent="0.2">
      <c r="A367" s="29"/>
      <c r="B367" s="29"/>
      <c r="C367" s="35"/>
      <c r="D367" s="62"/>
      <c r="E367" s="62"/>
    </row>
    <row r="368" spans="1:5" x14ac:dyDescent="0.2">
      <c r="A368" s="29"/>
      <c r="B368" s="29"/>
      <c r="C368" s="35"/>
      <c r="D368" s="62"/>
      <c r="E368" s="62"/>
    </row>
    <row r="369" spans="1:5" x14ac:dyDescent="0.2">
      <c r="A369" s="29"/>
      <c r="B369" s="29"/>
      <c r="C369" s="35"/>
      <c r="D369" s="62"/>
      <c r="E369" s="62"/>
    </row>
    <row r="370" spans="1:5" x14ac:dyDescent="0.2">
      <c r="A370" s="29"/>
      <c r="B370" s="29"/>
      <c r="C370" s="35"/>
      <c r="D370" s="62"/>
      <c r="E370" s="62"/>
    </row>
    <row r="371" spans="1:5" x14ac:dyDescent="0.2">
      <c r="A371" s="29"/>
      <c r="B371" s="29"/>
      <c r="C371" s="35"/>
      <c r="D371" s="62"/>
      <c r="E371" s="62"/>
    </row>
    <row r="372" spans="1:5" x14ac:dyDescent="0.2">
      <c r="A372" s="29"/>
      <c r="B372" s="29"/>
      <c r="C372" s="35"/>
      <c r="D372" s="62"/>
      <c r="E372" s="62"/>
    </row>
    <row r="373" spans="1:5" x14ac:dyDescent="0.2">
      <c r="A373" s="29"/>
      <c r="B373" s="29"/>
      <c r="C373" s="35"/>
      <c r="D373" s="62"/>
      <c r="E373" s="62"/>
    </row>
    <row r="374" spans="1:5" x14ac:dyDescent="0.2">
      <c r="A374" s="29"/>
      <c r="B374" s="29"/>
      <c r="C374" s="35"/>
      <c r="D374" s="62"/>
      <c r="E374" s="62"/>
    </row>
    <row r="375" spans="1:5" x14ac:dyDescent="0.2">
      <c r="A375" s="29"/>
      <c r="B375" s="29"/>
      <c r="C375" s="35"/>
      <c r="D375" s="62"/>
      <c r="E375" s="62"/>
    </row>
    <row r="376" spans="1:5" x14ac:dyDescent="0.2">
      <c r="A376" s="29"/>
      <c r="B376" s="29"/>
      <c r="C376" s="35"/>
      <c r="D376" s="62"/>
      <c r="E376" s="62"/>
    </row>
    <row r="377" spans="1:5" x14ac:dyDescent="0.2">
      <c r="A377" s="29"/>
      <c r="B377" s="29"/>
      <c r="C377" s="35"/>
      <c r="D377" s="62"/>
      <c r="E377" s="62"/>
    </row>
    <row r="378" spans="1:5" x14ac:dyDescent="0.2">
      <c r="A378" s="29"/>
      <c r="B378" s="29"/>
      <c r="C378" s="35"/>
      <c r="D378" s="62"/>
      <c r="E378" s="62"/>
    </row>
    <row r="379" spans="1:5" x14ac:dyDescent="0.2">
      <c r="A379" s="29"/>
      <c r="B379" s="29"/>
      <c r="C379" s="35"/>
      <c r="D379" s="62"/>
      <c r="E379" s="62"/>
    </row>
    <row r="380" spans="1:5" x14ac:dyDescent="0.2">
      <c r="A380" s="29"/>
      <c r="B380" s="29"/>
      <c r="C380" s="35"/>
      <c r="D380" s="62"/>
      <c r="E380" s="62"/>
    </row>
    <row r="381" spans="1:5" x14ac:dyDescent="0.2">
      <c r="A381" s="29"/>
      <c r="B381" s="29"/>
      <c r="C381" s="35"/>
      <c r="D381" s="62"/>
      <c r="E381" s="62"/>
    </row>
    <row r="382" spans="1:5" x14ac:dyDescent="0.2">
      <c r="A382" s="29"/>
      <c r="B382" s="29"/>
      <c r="C382" s="35"/>
      <c r="D382" s="62"/>
      <c r="E382" s="62"/>
    </row>
    <row r="383" spans="1:5" x14ac:dyDescent="0.2">
      <c r="A383" s="29"/>
      <c r="B383" s="29"/>
      <c r="C383" s="35"/>
      <c r="D383" s="62"/>
      <c r="E383" s="62"/>
    </row>
    <row r="384" spans="1:5" x14ac:dyDescent="0.2">
      <c r="A384" s="29"/>
      <c r="B384" s="29"/>
      <c r="C384" s="35"/>
      <c r="D384" s="62"/>
      <c r="E384" s="62"/>
    </row>
    <row r="385" spans="1:5" x14ac:dyDescent="0.2">
      <c r="A385" s="29"/>
      <c r="B385" s="29"/>
      <c r="C385" s="35"/>
      <c r="D385" s="62"/>
      <c r="E385" s="62"/>
    </row>
    <row r="386" spans="1:5" x14ac:dyDescent="0.2">
      <c r="A386" s="29"/>
      <c r="B386" s="29"/>
      <c r="C386" s="35"/>
      <c r="D386" s="62"/>
      <c r="E386" s="62"/>
    </row>
    <row r="387" spans="1:5" x14ac:dyDescent="0.2">
      <c r="A387" s="29"/>
      <c r="B387" s="29"/>
      <c r="C387" s="35"/>
      <c r="D387" s="62"/>
      <c r="E387" s="62"/>
    </row>
    <row r="388" spans="1:5" x14ac:dyDescent="0.2">
      <c r="A388" s="29"/>
      <c r="B388" s="29"/>
      <c r="C388" s="35"/>
      <c r="D388" s="62"/>
      <c r="E388" s="62"/>
    </row>
    <row r="389" spans="1:5" x14ac:dyDescent="0.2">
      <c r="A389" s="29"/>
      <c r="B389" s="29"/>
      <c r="C389" s="35"/>
      <c r="D389" s="62"/>
      <c r="E389" s="62"/>
    </row>
    <row r="390" spans="1:5" x14ac:dyDescent="0.2">
      <c r="A390" s="29"/>
      <c r="B390" s="29"/>
      <c r="C390" s="35"/>
      <c r="D390" s="62"/>
      <c r="E390" s="62"/>
    </row>
    <row r="391" spans="1:5" x14ac:dyDescent="0.2">
      <c r="A391" s="29"/>
      <c r="B391" s="29"/>
      <c r="C391" s="35"/>
      <c r="D391" s="62"/>
      <c r="E391" s="62"/>
    </row>
    <row r="392" spans="1:5" x14ac:dyDescent="0.2">
      <c r="A392" s="29"/>
      <c r="B392" s="29"/>
      <c r="C392" s="35"/>
      <c r="D392" s="62"/>
      <c r="E392" s="62"/>
    </row>
    <row r="393" spans="1:5" x14ac:dyDescent="0.2">
      <c r="A393" s="29"/>
      <c r="B393" s="29"/>
      <c r="C393" s="35"/>
      <c r="D393" s="62"/>
      <c r="E393" s="62"/>
    </row>
    <row r="394" spans="1:5" x14ac:dyDescent="0.2">
      <c r="A394" s="29"/>
      <c r="B394" s="29"/>
      <c r="C394" s="35"/>
      <c r="D394" s="62"/>
      <c r="E394" s="62"/>
    </row>
    <row r="395" spans="1:5" x14ac:dyDescent="0.2">
      <c r="A395" s="29"/>
      <c r="B395" s="29"/>
      <c r="C395" s="35"/>
      <c r="D395" s="62"/>
      <c r="E395" s="62"/>
    </row>
    <row r="396" spans="1:5" x14ac:dyDescent="0.2">
      <c r="A396" s="29"/>
      <c r="B396" s="29"/>
      <c r="C396" s="35"/>
      <c r="D396" s="62"/>
      <c r="E396" s="62"/>
    </row>
    <row r="397" spans="1:5" x14ac:dyDescent="0.2">
      <c r="A397" s="29"/>
      <c r="B397" s="29"/>
      <c r="C397" s="35"/>
      <c r="D397" s="62"/>
      <c r="E397" s="62"/>
    </row>
    <row r="398" spans="1:5" x14ac:dyDescent="0.2">
      <c r="A398" s="29"/>
      <c r="B398" s="29"/>
      <c r="C398" s="35"/>
      <c r="D398" s="62"/>
      <c r="E398" s="62"/>
    </row>
    <row r="399" spans="1:5" x14ac:dyDescent="0.2">
      <c r="A399" s="29"/>
      <c r="B399" s="29"/>
      <c r="C399" s="35"/>
      <c r="D399" s="62"/>
      <c r="E399" s="62"/>
    </row>
    <row r="400" spans="1:5" x14ac:dyDescent="0.2">
      <c r="A400" s="29"/>
      <c r="B400" s="29"/>
      <c r="C400" s="35"/>
      <c r="D400" s="62"/>
      <c r="E400" s="62"/>
    </row>
    <row r="401" spans="1:5" x14ac:dyDescent="0.2">
      <c r="A401" s="29"/>
      <c r="B401" s="29"/>
      <c r="C401" s="35"/>
      <c r="D401" s="62"/>
      <c r="E401" s="62"/>
    </row>
    <row r="402" spans="1:5" x14ac:dyDescent="0.2">
      <c r="A402" s="29"/>
      <c r="B402" s="29"/>
      <c r="C402" s="35"/>
      <c r="D402" s="62"/>
      <c r="E402" s="62"/>
    </row>
    <row r="403" spans="1:5" x14ac:dyDescent="0.2">
      <c r="A403" s="29"/>
      <c r="B403" s="29"/>
      <c r="C403" s="35"/>
      <c r="D403" s="62"/>
      <c r="E403" s="62"/>
    </row>
    <row r="404" spans="1:5" x14ac:dyDescent="0.2">
      <c r="A404" s="29"/>
      <c r="B404" s="29"/>
      <c r="C404" s="35"/>
      <c r="D404" s="62"/>
      <c r="E404" s="62"/>
    </row>
    <row r="405" spans="1:5" x14ac:dyDescent="0.2">
      <c r="A405" s="29"/>
      <c r="B405" s="29"/>
      <c r="C405" s="35"/>
      <c r="D405" s="62"/>
      <c r="E405" s="62"/>
    </row>
    <row r="406" spans="1:5" x14ac:dyDescent="0.2">
      <c r="A406" s="29"/>
      <c r="B406" s="29"/>
      <c r="C406" s="35"/>
      <c r="D406" s="62"/>
      <c r="E406" s="62"/>
    </row>
    <row r="407" spans="1:5" x14ac:dyDescent="0.2">
      <c r="A407" s="29"/>
      <c r="B407" s="29"/>
      <c r="C407" s="35"/>
      <c r="D407" s="62"/>
      <c r="E407" s="62"/>
    </row>
    <row r="408" spans="1:5" x14ac:dyDescent="0.2">
      <c r="A408" s="29"/>
      <c r="B408" s="29"/>
      <c r="C408" s="35"/>
      <c r="D408" s="62"/>
      <c r="E408" s="62"/>
    </row>
    <row r="409" spans="1:5" x14ac:dyDescent="0.2">
      <c r="A409" s="29"/>
      <c r="B409" s="29"/>
      <c r="C409" s="35"/>
      <c r="D409" s="62"/>
      <c r="E409" s="62"/>
    </row>
    <row r="410" spans="1:5" x14ac:dyDescent="0.2">
      <c r="A410" s="29"/>
      <c r="B410" s="29"/>
      <c r="C410" s="35"/>
      <c r="D410" s="62"/>
      <c r="E410" s="62"/>
    </row>
    <row r="411" spans="1:5" x14ac:dyDescent="0.2">
      <c r="A411" s="29"/>
      <c r="B411" s="29"/>
      <c r="C411" s="35"/>
      <c r="D411" s="62"/>
      <c r="E411" s="62"/>
    </row>
    <row r="412" spans="1:5" x14ac:dyDescent="0.2">
      <c r="A412" s="29"/>
      <c r="B412" s="29"/>
      <c r="C412" s="35"/>
      <c r="D412" s="62"/>
      <c r="E412" s="62"/>
    </row>
    <row r="413" spans="1:5" x14ac:dyDescent="0.2">
      <c r="A413" s="29"/>
      <c r="B413" s="29"/>
      <c r="C413" s="35"/>
      <c r="D413" s="62"/>
      <c r="E413" s="62"/>
    </row>
    <row r="414" spans="1:5" x14ac:dyDescent="0.2">
      <c r="A414" s="29"/>
      <c r="B414" s="29"/>
      <c r="C414" s="35"/>
      <c r="D414" s="62"/>
      <c r="E414" s="62"/>
    </row>
    <row r="415" spans="1:5" x14ac:dyDescent="0.2">
      <c r="A415" s="29"/>
      <c r="B415" s="29"/>
      <c r="C415" s="35"/>
      <c r="D415" s="62"/>
      <c r="E415" s="62"/>
    </row>
    <row r="416" spans="1:5" x14ac:dyDescent="0.2">
      <c r="A416" s="29"/>
      <c r="B416" s="29"/>
      <c r="C416" s="35"/>
      <c r="D416" s="62"/>
      <c r="E416" s="62"/>
    </row>
    <row r="417" spans="1:5" x14ac:dyDescent="0.2">
      <c r="A417" s="29"/>
      <c r="B417" s="29"/>
      <c r="C417" s="35"/>
      <c r="D417" s="62"/>
      <c r="E417" s="62"/>
    </row>
    <row r="418" spans="1:5" x14ac:dyDescent="0.2">
      <c r="A418" s="29"/>
      <c r="B418" s="29"/>
      <c r="C418" s="35"/>
      <c r="D418" s="62"/>
      <c r="E418" s="62"/>
    </row>
  </sheetData>
  <sheetProtection algorithmName="SHA-512" hashValue="1Jhzwp2Yuj/QHDly6AB8ZTrteE4YqF/xOPYoy+TD+8zRUX3u1py7k7IF2slEMcL0H80k3KQtLQU4+Pm7S13ffw==" saltValue="+39CGLAMeHqAuvKYm3UMQQ==" spinCount="100000" sheet="1" formatCells="0" formatColumns="0" formatRows="0"/>
  <customSheetViews>
    <customSheetView guid="{B8E02330-2419-4DE6-AD01-7ACC7A5D18DD}" scale="75" topLeftCell="A204">
      <selection activeCell="A2" sqref="A2:H226"/>
      <pageMargins left="0.75" right="0.75" top="1" bottom="1" header="0.5" footer="0.5"/>
      <pageSetup orientation="portrait" r:id="rId1"/>
      <headerFooter alignWithMargins="0"/>
    </customSheetView>
  </customSheetViews>
  <mergeCells count="113">
    <mergeCell ref="E1:H1"/>
    <mergeCell ref="A119:A125"/>
    <mergeCell ref="B119:B125"/>
    <mergeCell ref="D207:H207"/>
    <mergeCell ref="D214:H214"/>
    <mergeCell ref="B192:B198"/>
    <mergeCell ref="H192:H198"/>
    <mergeCell ref="A178:A184"/>
    <mergeCell ref="A175:A177"/>
    <mergeCell ref="A163:A168"/>
    <mergeCell ref="H137:H142"/>
    <mergeCell ref="B163:B168"/>
    <mergeCell ref="B175:B177"/>
    <mergeCell ref="B169:B174"/>
    <mergeCell ref="B152:B155"/>
    <mergeCell ref="H185:H189"/>
    <mergeCell ref="H143:H151"/>
    <mergeCell ref="A169:A174"/>
    <mergeCell ref="H169:H174"/>
    <mergeCell ref="H152:H155"/>
    <mergeCell ref="A201:A206"/>
    <mergeCell ref="B201:B206"/>
    <mergeCell ref="H3:H9"/>
    <mergeCell ref="H56:H62"/>
    <mergeCell ref="H119:H125"/>
    <mergeCell ref="H70:H75"/>
    <mergeCell ref="H16:H22"/>
    <mergeCell ref="H78:H83"/>
    <mergeCell ref="H156:H162"/>
    <mergeCell ref="H34:H39"/>
    <mergeCell ref="H95:H98"/>
    <mergeCell ref="H10:H15"/>
    <mergeCell ref="H84:H88"/>
    <mergeCell ref="H40:H45"/>
    <mergeCell ref="H111:H118"/>
    <mergeCell ref="H63:H69"/>
    <mergeCell ref="H30:H33"/>
    <mergeCell ref="H105:H110"/>
    <mergeCell ref="H99:H104"/>
    <mergeCell ref="H23:H29"/>
    <mergeCell ref="H201:H206"/>
    <mergeCell ref="H46:H50"/>
    <mergeCell ref="H89:H94"/>
    <mergeCell ref="A185:A189"/>
    <mergeCell ref="A137:A142"/>
    <mergeCell ref="A132:A136"/>
    <mergeCell ref="H126:H129"/>
    <mergeCell ref="H163:H168"/>
    <mergeCell ref="B185:B189"/>
    <mergeCell ref="B178:B184"/>
    <mergeCell ref="A192:A198"/>
    <mergeCell ref="B156:B162"/>
    <mergeCell ref="A111:A118"/>
    <mergeCell ref="A143:A151"/>
    <mergeCell ref="A152:A155"/>
    <mergeCell ref="A89:A94"/>
    <mergeCell ref="B132:B136"/>
    <mergeCell ref="B111:B118"/>
    <mergeCell ref="H51:H55"/>
    <mergeCell ref="H175:H177"/>
    <mergeCell ref="H178:H184"/>
    <mergeCell ref="B105:B110"/>
    <mergeCell ref="B143:B151"/>
    <mergeCell ref="H132:H136"/>
    <mergeCell ref="A1:B1"/>
    <mergeCell ref="B95:B98"/>
    <mergeCell ref="B89:B94"/>
    <mergeCell ref="B84:B88"/>
    <mergeCell ref="B10:B15"/>
    <mergeCell ref="A34:A39"/>
    <mergeCell ref="A46:A50"/>
    <mergeCell ref="A10:A15"/>
    <mergeCell ref="B16:B22"/>
    <mergeCell ref="A95:A98"/>
    <mergeCell ref="A63:A69"/>
    <mergeCell ref="A3:A9"/>
    <mergeCell ref="B70:B75"/>
    <mergeCell ref="B56:B62"/>
    <mergeCell ref="A156:A162"/>
    <mergeCell ref="B40:B45"/>
    <mergeCell ref="A40:A45"/>
    <mergeCell ref="A70:A75"/>
    <mergeCell ref="A16:A22"/>
    <mergeCell ref="B3:B9"/>
    <mergeCell ref="B23:B29"/>
    <mergeCell ref="B34:B39"/>
    <mergeCell ref="B46:B50"/>
    <mergeCell ref="B30:B33"/>
    <mergeCell ref="B137:B142"/>
    <mergeCell ref="B99:B104"/>
    <mergeCell ref="B126:B129"/>
    <mergeCell ref="A126:A129"/>
    <mergeCell ref="A84:A88"/>
    <mergeCell ref="A99:A104"/>
    <mergeCell ref="A105:A110"/>
    <mergeCell ref="B63:B69"/>
    <mergeCell ref="A23:A29"/>
    <mergeCell ref="A30:A33"/>
    <mergeCell ref="A78:A83"/>
    <mergeCell ref="B78:B83"/>
    <mergeCell ref="A51:A55"/>
    <mergeCell ref="B51:B55"/>
    <mergeCell ref="A217:G227"/>
    <mergeCell ref="A207:C214"/>
    <mergeCell ref="A215:B216"/>
    <mergeCell ref="D208:F208"/>
    <mergeCell ref="D209:F209"/>
    <mergeCell ref="D210:F210"/>
    <mergeCell ref="D211:F211"/>
    <mergeCell ref="D212:F212"/>
    <mergeCell ref="D213:F213"/>
    <mergeCell ref="C215:E215"/>
    <mergeCell ref="C216:E216"/>
  </mergeCells>
  <phoneticPr fontId="3" type="noConversion"/>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66CCFF"/>
  </sheetPr>
  <dimension ref="A1:EI349"/>
  <sheetViews>
    <sheetView topLeftCell="A313" zoomScaleNormal="100" workbookViewId="0">
      <selection activeCell="C315" sqref="C315"/>
    </sheetView>
  </sheetViews>
  <sheetFormatPr defaultColWidth="9.33203125" defaultRowHeight="15" customHeight="1" x14ac:dyDescent="0.2"/>
  <cols>
    <col min="1" max="1" width="5.83203125" style="1349" customWidth="1"/>
    <col min="2" max="2" width="18.83203125" style="376" customWidth="1"/>
    <col min="3" max="3" width="101.83203125" style="376" customWidth="1"/>
    <col min="4" max="4" width="7.1640625" style="32" customWidth="1"/>
    <col min="5" max="5" width="74.5" style="32" customWidth="1"/>
    <col min="6" max="6" width="5.83203125" style="32" customWidth="1"/>
    <col min="7" max="7" width="37.6640625" style="32" customWidth="1"/>
    <col min="8" max="16384" width="9.33203125" style="32"/>
  </cols>
  <sheetData>
    <row r="1" spans="1:139" s="1405" customFormat="1" ht="30" customHeight="1" thickBot="1" x14ac:dyDescent="0.25">
      <c r="A1" s="1719" t="s">
        <v>5805</v>
      </c>
      <c r="B1" s="1720"/>
      <c r="C1" s="1721"/>
      <c r="D1" s="1470"/>
      <c r="E1" s="1585" t="s">
        <v>5606</v>
      </c>
    </row>
    <row r="2" spans="1:139" ht="185.25" customHeight="1" thickBot="1" x14ac:dyDescent="0.25">
      <c r="A2" s="1681" t="s">
        <v>5768</v>
      </c>
      <c r="B2" s="1682"/>
      <c r="C2" s="1683"/>
      <c r="D2" s="1471"/>
      <c r="E2" s="1586" t="s">
        <v>5607</v>
      </c>
    </row>
    <row r="3" spans="1:139" s="1333" customFormat="1" ht="30" customHeight="1" thickBot="1" x14ac:dyDescent="0.3">
      <c r="A3" s="1413" t="s">
        <v>290</v>
      </c>
      <c r="B3" s="1414" t="s">
        <v>289</v>
      </c>
      <c r="C3" s="1447" t="s">
        <v>2606</v>
      </c>
      <c r="D3" s="1472" t="s">
        <v>117</v>
      </c>
      <c r="E3" s="1415" t="s">
        <v>5605</v>
      </c>
      <c r="F3" s="1332"/>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1332"/>
      <c r="AF3" s="1332"/>
      <c r="AG3" s="1332"/>
      <c r="AH3" s="1332"/>
      <c r="AI3" s="1332"/>
      <c r="AJ3" s="1332"/>
      <c r="AK3" s="1332"/>
      <c r="AL3" s="1332"/>
      <c r="AM3" s="1332"/>
      <c r="AN3" s="1332"/>
      <c r="AO3" s="1332"/>
      <c r="AP3" s="1332"/>
      <c r="AQ3" s="1332"/>
      <c r="AR3" s="1332"/>
      <c r="AS3" s="1332"/>
      <c r="AT3" s="1332"/>
      <c r="AU3" s="1332"/>
      <c r="AV3" s="1332"/>
      <c r="AW3" s="1332"/>
      <c r="AX3" s="1332"/>
      <c r="AY3" s="1332"/>
      <c r="AZ3" s="1332"/>
      <c r="BA3" s="1332"/>
      <c r="BB3" s="1332"/>
      <c r="BC3" s="1332"/>
      <c r="BD3" s="1332"/>
      <c r="BE3" s="1332"/>
      <c r="BF3" s="1332"/>
      <c r="BG3" s="1332"/>
      <c r="BH3" s="1332"/>
      <c r="BI3" s="1332"/>
      <c r="BJ3" s="1332"/>
      <c r="BK3" s="1332"/>
      <c r="BL3" s="1332"/>
      <c r="BM3" s="1332"/>
      <c r="BN3" s="1332"/>
      <c r="BO3" s="1332"/>
      <c r="BP3" s="1332"/>
      <c r="BQ3" s="1332"/>
      <c r="BR3" s="1332"/>
      <c r="BS3" s="1332"/>
      <c r="BT3" s="1332"/>
      <c r="BU3" s="1332"/>
      <c r="BV3" s="1332"/>
      <c r="BW3" s="1332"/>
      <c r="BX3" s="1332"/>
      <c r="BY3" s="1332"/>
      <c r="BZ3" s="1332"/>
      <c r="CA3" s="1332"/>
      <c r="CB3" s="1332"/>
      <c r="CC3" s="1332"/>
      <c r="CD3" s="1332"/>
      <c r="CE3" s="1332"/>
      <c r="CF3" s="1332"/>
      <c r="CG3" s="1332"/>
      <c r="CH3" s="1332"/>
      <c r="CI3" s="1332"/>
      <c r="CJ3" s="1332"/>
      <c r="CK3" s="1332"/>
      <c r="CL3" s="1332"/>
      <c r="CM3" s="1332"/>
      <c r="CN3" s="1332"/>
      <c r="CO3" s="1332"/>
      <c r="CP3" s="1332"/>
      <c r="CQ3" s="1332"/>
      <c r="CR3" s="1332"/>
      <c r="CS3" s="1332"/>
      <c r="CT3" s="1332"/>
      <c r="CU3" s="1332"/>
      <c r="CV3" s="1332"/>
      <c r="CW3" s="1332"/>
      <c r="CX3" s="1332"/>
      <c r="CY3" s="1332"/>
      <c r="CZ3" s="1332"/>
      <c r="DA3" s="1332"/>
      <c r="DB3" s="1332"/>
      <c r="DC3" s="1332"/>
      <c r="DD3" s="1332"/>
      <c r="DE3" s="1332"/>
      <c r="DF3" s="1332"/>
      <c r="DG3" s="1332"/>
      <c r="DH3" s="1332"/>
      <c r="DI3" s="1332"/>
      <c r="DJ3" s="1332"/>
      <c r="DK3" s="1332"/>
      <c r="DL3" s="1332"/>
      <c r="DM3" s="1332"/>
      <c r="DN3" s="1332"/>
      <c r="DO3" s="1332"/>
      <c r="DP3" s="1332"/>
      <c r="DQ3" s="1332"/>
      <c r="DR3" s="1332"/>
      <c r="DS3" s="1332"/>
      <c r="DT3" s="1332"/>
      <c r="DU3" s="1332"/>
      <c r="DV3" s="1332"/>
      <c r="DW3" s="1332"/>
      <c r="DX3" s="1332"/>
      <c r="DY3" s="1332"/>
      <c r="DZ3" s="1332"/>
      <c r="EA3" s="1332"/>
      <c r="EB3" s="1332"/>
      <c r="EC3" s="1332"/>
      <c r="ED3" s="1332"/>
      <c r="EE3" s="1332"/>
      <c r="EF3" s="1332"/>
      <c r="EG3" s="1332"/>
      <c r="EH3" s="1332"/>
      <c r="EI3" s="1332"/>
    </row>
    <row r="4" spans="1:139" s="438" customFormat="1" ht="21" customHeight="1" thickBot="1" x14ac:dyDescent="0.25">
      <c r="A4" s="442" t="s">
        <v>893</v>
      </c>
      <c r="B4" s="443" t="s">
        <v>935</v>
      </c>
      <c r="C4" s="372" t="s">
        <v>1862</v>
      </c>
      <c r="D4" s="1502"/>
      <c r="E4" s="1466" t="s">
        <v>5638</v>
      </c>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row>
    <row r="5" spans="1:139" s="113" customFormat="1" ht="63.75" x14ac:dyDescent="0.2">
      <c r="A5" s="1342" t="s">
        <v>940</v>
      </c>
      <c r="B5" s="444"/>
      <c r="C5" s="440" t="s">
        <v>1807</v>
      </c>
      <c r="D5" s="1524">
        <v>0</v>
      </c>
      <c r="E5" s="733" t="s">
        <v>5554</v>
      </c>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row>
    <row r="6" spans="1:139" s="113" customFormat="1" ht="51" x14ac:dyDescent="0.2">
      <c r="A6" s="1343" t="s">
        <v>941</v>
      </c>
      <c r="B6" s="444"/>
      <c r="C6" s="1448" t="s">
        <v>1808</v>
      </c>
      <c r="D6" s="1524">
        <v>0</v>
      </c>
      <c r="E6" s="733" t="s">
        <v>5555</v>
      </c>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row>
    <row r="7" spans="1:139" s="113" customFormat="1" ht="63.75" x14ac:dyDescent="0.2">
      <c r="A7" s="1343" t="s">
        <v>942</v>
      </c>
      <c r="B7" s="444"/>
      <c r="C7" s="1448" t="s">
        <v>1809</v>
      </c>
      <c r="D7" s="1524">
        <v>0</v>
      </c>
      <c r="E7" s="733" t="s">
        <v>5769</v>
      </c>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row>
    <row r="8" spans="1:139" s="113" customFormat="1" ht="89.25" x14ac:dyDescent="0.2">
      <c r="A8" s="1343" t="s">
        <v>943</v>
      </c>
      <c r="B8" s="444"/>
      <c r="C8" s="1448" t="s">
        <v>1780</v>
      </c>
      <c r="D8" s="1524">
        <v>0</v>
      </c>
      <c r="E8" s="733" t="s">
        <v>5556</v>
      </c>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row>
    <row r="9" spans="1:139" ht="76.5" x14ac:dyDescent="0.2">
      <c r="A9" s="1344" t="s">
        <v>944</v>
      </c>
      <c r="B9" s="444"/>
      <c r="C9" s="1448" t="s">
        <v>1713</v>
      </c>
      <c r="D9" s="1524">
        <v>0</v>
      </c>
      <c r="E9" s="733" t="s">
        <v>5557</v>
      </c>
    </row>
    <row r="10" spans="1:139" s="435" customFormat="1" ht="64.5" thickBot="1" x14ac:dyDescent="0.25">
      <c r="A10" s="1345" t="s">
        <v>945</v>
      </c>
      <c r="B10" s="445"/>
      <c r="C10" s="441" t="s">
        <v>1802</v>
      </c>
      <c r="D10" s="1525">
        <v>0</v>
      </c>
      <c r="E10" s="2350" t="s">
        <v>5558</v>
      </c>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row>
    <row r="11" spans="1:139" s="439" customFormat="1" ht="30" customHeight="1" thickBot="1" x14ac:dyDescent="0.25">
      <c r="A11" s="1746" t="s">
        <v>217</v>
      </c>
      <c r="B11" s="443" t="s">
        <v>2355</v>
      </c>
      <c r="C11" s="372" t="s">
        <v>2452</v>
      </c>
      <c r="D11" s="1502"/>
      <c r="E11" s="1709" t="s">
        <v>5639</v>
      </c>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row>
    <row r="12" spans="1:139" ht="27" customHeight="1" x14ac:dyDescent="0.2">
      <c r="A12" s="1747"/>
      <c r="B12" s="444"/>
      <c r="C12" s="1403" t="s">
        <v>2453</v>
      </c>
      <c r="D12" s="1526">
        <v>0</v>
      </c>
      <c r="E12" s="1710"/>
    </row>
    <row r="13" spans="1:139" ht="15" customHeight="1" x14ac:dyDescent="0.2">
      <c r="A13" s="1747"/>
      <c r="B13" s="444"/>
      <c r="C13" s="1342" t="s">
        <v>2454</v>
      </c>
      <c r="D13" s="1526">
        <v>0</v>
      </c>
      <c r="E13" s="1710"/>
    </row>
    <row r="14" spans="1:139" ht="15" customHeight="1" x14ac:dyDescent="0.2">
      <c r="A14" s="1747"/>
      <c r="B14" s="444"/>
      <c r="C14" s="1343" t="s">
        <v>1820</v>
      </c>
      <c r="D14" s="1526">
        <v>0</v>
      </c>
      <c r="E14" s="1710"/>
    </row>
    <row r="15" spans="1:139" ht="15" customHeight="1" x14ac:dyDescent="0.2">
      <c r="A15" s="1747"/>
      <c r="B15" s="444"/>
      <c r="C15" s="1343" t="s">
        <v>2118</v>
      </c>
      <c r="D15" s="1526">
        <v>0</v>
      </c>
      <c r="E15" s="1710"/>
    </row>
    <row r="16" spans="1:139" ht="15" customHeight="1" x14ac:dyDescent="0.2">
      <c r="A16" s="1747"/>
      <c r="B16" s="444"/>
      <c r="C16" s="1344" t="s">
        <v>5686</v>
      </c>
      <c r="D16" s="1526">
        <v>0</v>
      </c>
      <c r="E16" s="1710"/>
    </row>
    <row r="17" spans="1:139" s="435" customFormat="1" ht="27" customHeight="1" thickBot="1" x14ac:dyDescent="0.25">
      <c r="A17" s="1748"/>
      <c r="B17" s="445"/>
      <c r="C17" s="1449" t="s">
        <v>5817</v>
      </c>
      <c r="D17" s="1527">
        <v>0</v>
      </c>
      <c r="E17" s="1711"/>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row>
    <row r="18" spans="1:139" s="439" customFormat="1" ht="30" customHeight="1" thickBot="1" x14ac:dyDescent="0.25">
      <c r="A18" s="1752" t="s">
        <v>218</v>
      </c>
      <c r="B18" s="443" t="s">
        <v>2116</v>
      </c>
      <c r="C18" s="372" t="s">
        <v>1835</v>
      </c>
      <c r="D18" s="1502"/>
      <c r="E18" s="1728" t="s">
        <v>5559</v>
      </c>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row>
    <row r="19" spans="1:139" ht="15" customHeight="1" x14ac:dyDescent="0.2">
      <c r="A19" s="1753"/>
      <c r="B19" s="444"/>
      <c r="C19" s="1403" t="s">
        <v>2188</v>
      </c>
      <c r="D19" s="1524">
        <v>0</v>
      </c>
      <c r="E19" s="1728"/>
    </row>
    <row r="20" spans="1:139" ht="15" customHeight="1" x14ac:dyDescent="0.2">
      <c r="A20" s="1753"/>
      <c r="B20" s="444"/>
      <c r="C20" s="1342" t="s">
        <v>2267</v>
      </c>
      <c r="D20" s="1524">
        <v>0</v>
      </c>
      <c r="E20" s="1728"/>
    </row>
    <row r="21" spans="1:139" ht="15" customHeight="1" x14ac:dyDescent="0.2">
      <c r="A21" s="1753"/>
      <c r="B21" s="444"/>
      <c r="C21" s="1342" t="s">
        <v>2111</v>
      </c>
      <c r="D21" s="1524">
        <v>0</v>
      </c>
      <c r="E21" s="1728"/>
    </row>
    <row r="22" spans="1:139" ht="15" customHeight="1" x14ac:dyDescent="0.2">
      <c r="A22" s="1753"/>
      <c r="B22" s="444"/>
      <c r="C22" s="1343" t="s">
        <v>1821</v>
      </c>
      <c r="D22" s="1524">
        <v>0</v>
      </c>
      <c r="E22" s="1728"/>
    </row>
    <row r="23" spans="1:139" ht="15" customHeight="1" x14ac:dyDescent="0.2">
      <c r="A23" s="1753"/>
      <c r="B23" s="444"/>
      <c r="C23" s="1343" t="s">
        <v>1822</v>
      </c>
      <c r="D23" s="1524">
        <v>0</v>
      </c>
      <c r="E23" s="1728"/>
    </row>
    <row r="24" spans="1:139" s="435" customFormat="1" ht="15" customHeight="1" thickBot="1" x14ac:dyDescent="0.25">
      <c r="A24" s="1754"/>
      <c r="B24" s="445"/>
      <c r="C24" s="1449" t="s">
        <v>1823</v>
      </c>
      <c r="D24" s="1528">
        <v>0</v>
      </c>
      <c r="E24" s="1733"/>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row>
    <row r="25" spans="1:139" s="439" customFormat="1" ht="30" customHeight="1" thickBot="1" x14ac:dyDescent="0.25">
      <c r="A25" s="1752" t="s">
        <v>826</v>
      </c>
      <c r="B25" s="443" t="s">
        <v>5270</v>
      </c>
      <c r="C25" s="372" t="s">
        <v>2443</v>
      </c>
      <c r="D25" s="1502"/>
      <c r="E25" s="1732" t="s">
        <v>5652</v>
      </c>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row>
    <row r="26" spans="1:139" ht="15" customHeight="1" x14ac:dyDescent="0.2">
      <c r="A26" s="1753"/>
      <c r="B26" s="444"/>
      <c r="C26" s="1403" t="s">
        <v>1830</v>
      </c>
      <c r="D26" s="1524">
        <v>0</v>
      </c>
      <c r="E26" s="1728"/>
    </row>
    <row r="27" spans="1:139" ht="15" customHeight="1" x14ac:dyDescent="0.2">
      <c r="A27" s="1753"/>
      <c r="B27" s="444"/>
      <c r="C27" s="1343" t="s">
        <v>1834</v>
      </c>
      <c r="D27" s="1524">
        <v>0</v>
      </c>
      <c r="E27" s="1728"/>
    </row>
    <row r="28" spans="1:139" ht="15" customHeight="1" x14ac:dyDescent="0.2">
      <c r="A28" s="1753"/>
      <c r="B28" s="444"/>
      <c r="C28" s="1343" t="s">
        <v>1833</v>
      </c>
      <c r="D28" s="1524">
        <v>0</v>
      </c>
      <c r="E28" s="1728"/>
    </row>
    <row r="29" spans="1:139" ht="15" customHeight="1" x14ac:dyDescent="0.2">
      <c r="A29" s="1753"/>
      <c r="B29" s="444"/>
      <c r="C29" s="1343" t="s">
        <v>1831</v>
      </c>
      <c r="D29" s="1524">
        <v>0</v>
      </c>
      <c r="E29" s="1728"/>
    </row>
    <row r="30" spans="1:139" s="435" customFormat="1" ht="15" customHeight="1" thickBot="1" x14ac:dyDescent="0.25">
      <c r="A30" s="1753"/>
      <c r="B30" s="444"/>
      <c r="C30" s="1344" t="s">
        <v>1832</v>
      </c>
      <c r="D30" s="1528">
        <v>0</v>
      </c>
      <c r="E30" s="1728"/>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row>
    <row r="31" spans="1:139" s="115" customFormat="1" ht="45" customHeight="1" thickBot="1" x14ac:dyDescent="0.25">
      <c r="A31" s="372" t="s">
        <v>894</v>
      </c>
      <c r="B31" s="442" t="s">
        <v>1319</v>
      </c>
      <c r="C31" s="372" t="s">
        <v>2356</v>
      </c>
      <c r="D31" s="1529">
        <v>0</v>
      </c>
      <c r="E31" s="231" t="s">
        <v>5824</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row>
    <row r="32" spans="1:139" s="115" customFormat="1" ht="30" customHeight="1" thickBot="1" x14ac:dyDescent="0.25">
      <c r="A32" s="1346" t="s">
        <v>827</v>
      </c>
      <c r="B32" s="1081" t="s">
        <v>1320</v>
      </c>
      <c r="C32" s="1334" t="s">
        <v>2271</v>
      </c>
      <c r="D32" s="1530">
        <v>0</v>
      </c>
      <c r="E32" s="385" t="s">
        <v>5560</v>
      </c>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row>
    <row r="33" spans="1:139" s="439" customFormat="1" ht="36" customHeight="1" thickBot="1" x14ac:dyDescent="0.25">
      <c r="A33" s="1752" t="s">
        <v>916</v>
      </c>
      <c r="B33" s="443" t="s">
        <v>2117</v>
      </c>
      <c r="C33" s="372" t="s">
        <v>5236</v>
      </c>
      <c r="D33" s="1502"/>
      <c r="E33" s="1727" t="s">
        <v>5823</v>
      </c>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row>
    <row r="34" spans="1:139" ht="21" customHeight="1" x14ac:dyDescent="0.2">
      <c r="A34" s="1753"/>
      <c r="B34" s="444"/>
      <c r="C34" s="1403" t="s">
        <v>1837</v>
      </c>
      <c r="D34" s="1524">
        <v>0</v>
      </c>
      <c r="E34" s="1728"/>
    </row>
    <row r="35" spans="1:139" ht="21" customHeight="1" x14ac:dyDescent="0.2">
      <c r="A35" s="1753"/>
      <c r="B35" s="444"/>
      <c r="C35" s="1343" t="s">
        <v>1814</v>
      </c>
      <c r="D35" s="1524">
        <v>0</v>
      </c>
      <c r="E35" s="1728"/>
    </row>
    <row r="36" spans="1:139" ht="21" customHeight="1" x14ac:dyDescent="0.2">
      <c r="A36" s="1753"/>
      <c r="B36" s="444"/>
      <c r="C36" s="1343" t="s">
        <v>1815</v>
      </c>
      <c r="D36" s="1524">
        <v>0</v>
      </c>
      <c r="E36" s="1728"/>
    </row>
    <row r="37" spans="1:139" ht="21" customHeight="1" x14ac:dyDescent="0.2">
      <c r="A37" s="1753"/>
      <c r="B37" s="444"/>
      <c r="C37" s="1343" t="s">
        <v>1816</v>
      </c>
      <c r="D37" s="1524">
        <v>0</v>
      </c>
      <c r="E37" s="1728"/>
    </row>
    <row r="38" spans="1:139" s="435" customFormat="1" ht="21" customHeight="1" thickBot="1" x14ac:dyDescent="0.25">
      <c r="A38" s="1754"/>
      <c r="B38" s="445"/>
      <c r="C38" s="1449" t="s">
        <v>1817</v>
      </c>
      <c r="D38" s="1528">
        <v>0</v>
      </c>
      <c r="E38" s="1729"/>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row>
    <row r="39" spans="1:139" s="439" customFormat="1" ht="21" customHeight="1" thickBot="1" x14ac:dyDescent="0.25">
      <c r="A39" s="1752" t="s">
        <v>16</v>
      </c>
      <c r="B39" s="1722" t="s">
        <v>1825</v>
      </c>
      <c r="C39" s="372" t="s">
        <v>1838</v>
      </c>
      <c r="D39" s="1497"/>
      <c r="E39" s="1727" t="s">
        <v>5561</v>
      </c>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row>
    <row r="40" spans="1:139" ht="15" customHeight="1" x14ac:dyDescent="0.2">
      <c r="A40" s="1753"/>
      <c r="B40" s="1723"/>
      <c r="C40" s="1403" t="s">
        <v>1803</v>
      </c>
      <c r="D40" s="1531">
        <v>0</v>
      </c>
      <c r="E40" s="1728"/>
    </row>
    <row r="41" spans="1:139" ht="15" customHeight="1" x14ac:dyDescent="0.2">
      <c r="A41" s="1753"/>
      <c r="B41" s="1723"/>
      <c r="C41" s="1343" t="s">
        <v>1804</v>
      </c>
      <c r="D41" s="1524">
        <v>0</v>
      </c>
      <c r="E41" s="1728"/>
    </row>
    <row r="42" spans="1:139" ht="15" customHeight="1" x14ac:dyDescent="0.2">
      <c r="A42" s="1753"/>
      <c r="B42" s="1723"/>
      <c r="C42" s="1343" t="s">
        <v>1805</v>
      </c>
      <c r="D42" s="1524">
        <v>0</v>
      </c>
      <c r="E42" s="1728"/>
    </row>
    <row r="43" spans="1:139" s="435" customFormat="1" ht="15" customHeight="1" thickBot="1" x14ac:dyDescent="0.25">
      <c r="A43" s="1754"/>
      <c r="B43" s="1724"/>
      <c r="C43" s="1449" t="s">
        <v>1806</v>
      </c>
      <c r="D43" s="1528">
        <v>0</v>
      </c>
      <c r="E43" s="1733"/>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row>
    <row r="44" spans="1:139" s="439" customFormat="1" ht="30" customHeight="1" thickBot="1" x14ac:dyDescent="0.25">
      <c r="A44" s="1752" t="s">
        <v>17</v>
      </c>
      <c r="B44" s="443" t="s">
        <v>570</v>
      </c>
      <c r="C44" s="372" t="s">
        <v>2353</v>
      </c>
      <c r="D44" s="1502"/>
      <c r="E44" s="1732" t="s">
        <v>5640</v>
      </c>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row>
    <row r="45" spans="1:139" ht="15" customHeight="1" x14ac:dyDescent="0.2">
      <c r="A45" s="1753"/>
      <c r="B45" s="444"/>
      <c r="C45" s="1403" t="s">
        <v>875</v>
      </c>
      <c r="D45" s="1524">
        <v>0</v>
      </c>
      <c r="E45" s="1728"/>
    </row>
    <row r="46" spans="1:139" ht="15" customHeight="1" x14ac:dyDescent="0.2">
      <c r="A46" s="1753"/>
      <c r="B46" s="444"/>
      <c r="C46" s="1343" t="s">
        <v>236</v>
      </c>
      <c r="D46" s="1524">
        <v>0</v>
      </c>
      <c r="E46" s="1728"/>
    </row>
    <row r="47" spans="1:139" ht="15" customHeight="1" x14ac:dyDescent="0.2">
      <c r="A47" s="1753"/>
      <c r="B47" s="444"/>
      <c r="C47" s="1343" t="s">
        <v>562</v>
      </c>
      <c r="D47" s="1524">
        <v>0</v>
      </c>
      <c r="E47" s="1728"/>
    </row>
    <row r="48" spans="1:139" ht="15" customHeight="1" x14ac:dyDescent="0.2">
      <c r="A48" s="1753"/>
      <c r="B48" s="444"/>
      <c r="C48" s="1343" t="s">
        <v>21</v>
      </c>
      <c r="D48" s="1524">
        <v>0</v>
      </c>
      <c r="E48" s="1728"/>
    </row>
    <row r="49" spans="1:139" s="435" customFormat="1" ht="15" customHeight="1" thickBot="1" x14ac:dyDescent="0.25">
      <c r="A49" s="1754"/>
      <c r="B49" s="445"/>
      <c r="C49" s="1449" t="s">
        <v>1322</v>
      </c>
      <c r="D49" s="1528">
        <v>0</v>
      </c>
      <c r="E49" s="1729"/>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row>
    <row r="50" spans="1:139" s="439" customFormat="1" ht="21" customHeight="1" thickBot="1" x14ac:dyDescent="0.25">
      <c r="A50" s="1752" t="s">
        <v>128</v>
      </c>
      <c r="B50" s="1722" t="s">
        <v>237</v>
      </c>
      <c r="C50" s="372" t="s">
        <v>1872</v>
      </c>
      <c r="D50" s="1497"/>
      <c r="E50" s="1727" t="s">
        <v>5562</v>
      </c>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row>
    <row r="51" spans="1:139" ht="15" customHeight="1" x14ac:dyDescent="0.2">
      <c r="A51" s="1753"/>
      <c r="B51" s="1723"/>
      <c r="C51" s="1403" t="s">
        <v>1874</v>
      </c>
      <c r="D51" s="1532">
        <v>0</v>
      </c>
      <c r="E51" s="1728"/>
    </row>
    <row r="52" spans="1:139" ht="15" customHeight="1" x14ac:dyDescent="0.2">
      <c r="A52" s="1753"/>
      <c r="B52" s="1723"/>
      <c r="C52" s="1342" t="s">
        <v>1873</v>
      </c>
      <c r="D52" s="1533">
        <v>0</v>
      </c>
      <c r="E52" s="1728"/>
    </row>
    <row r="53" spans="1:139" s="435" customFormat="1" ht="15" customHeight="1" thickBot="1" x14ac:dyDescent="0.25">
      <c r="A53" s="1753"/>
      <c r="B53" s="1723"/>
      <c r="C53" s="1344" t="s">
        <v>1818</v>
      </c>
      <c r="D53" s="1534">
        <v>0</v>
      </c>
      <c r="E53" s="1733"/>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row>
    <row r="54" spans="1:139" s="115" customFormat="1" ht="41.25" customHeight="1" thickBot="1" x14ac:dyDescent="0.25">
      <c r="A54" s="541" t="s">
        <v>877</v>
      </c>
      <c r="B54" s="49" t="s">
        <v>1826</v>
      </c>
      <c r="C54" s="541" t="s">
        <v>2442</v>
      </c>
      <c r="D54" s="1529">
        <v>0</v>
      </c>
      <c r="E54" s="1467" t="s">
        <v>5563</v>
      </c>
      <c r="F54" s="32"/>
      <c r="G54" s="1590"/>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row>
    <row r="55" spans="1:139" s="439" customFormat="1" ht="30" customHeight="1" thickBot="1" x14ac:dyDescent="0.25">
      <c r="A55" s="1722" t="s">
        <v>132</v>
      </c>
      <c r="B55" s="444" t="s">
        <v>1819</v>
      </c>
      <c r="C55" s="1334" t="s">
        <v>1828</v>
      </c>
      <c r="D55" s="1502"/>
      <c r="E55" s="1727" t="s">
        <v>5564</v>
      </c>
      <c r="F55" s="32"/>
      <c r="G55" s="1590"/>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row>
    <row r="56" spans="1:139" ht="15" customHeight="1" x14ac:dyDescent="0.2">
      <c r="A56" s="1723"/>
      <c r="B56" s="444"/>
      <c r="C56" s="1403" t="s">
        <v>5237</v>
      </c>
      <c r="D56" s="1535">
        <v>0</v>
      </c>
      <c r="E56" s="1728"/>
      <c r="G56" s="1590"/>
    </row>
    <row r="57" spans="1:139" ht="15" customHeight="1" x14ac:dyDescent="0.2">
      <c r="A57" s="1723"/>
      <c r="B57" s="444"/>
      <c r="C57" s="1343" t="s">
        <v>127</v>
      </c>
      <c r="D57" s="1524">
        <v>0</v>
      </c>
      <c r="E57" s="1728"/>
    </row>
    <row r="58" spans="1:139" ht="15" customHeight="1" x14ac:dyDescent="0.2">
      <c r="A58" s="1723"/>
      <c r="B58" s="444"/>
      <c r="C58" s="1343" t="s">
        <v>12</v>
      </c>
      <c r="D58" s="1524">
        <v>0</v>
      </c>
      <c r="E58" s="1728"/>
    </row>
    <row r="59" spans="1:139" ht="15" customHeight="1" x14ac:dyDescent="0.2">
      <c r="A59" s="1723"/>
      <c r="B59" s="444"/>
      <c r="C59" s="1343" t="s">
        <v>13</v>
      </c>
      <c r="D59" s="1524">
        <v>0</v>
      </c>
      <c r="E59" s="1728"/>
    </row>
    <row r="60" spans="1:139" s="435" customFormat="1" ht="15" customHeight="1" thickBot="1" x14ac:dyDescent="0.25">
      <c r="A60" s="1724"/>
      <c r="B60" s="445"/>
      <c r="C60" s="1449" t="s">
        <v>14</v>
      </c>
      <c r="D60" s="1528">
        <v>0</v>
      </c>
      <c r="E60" s="1733"/>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row>
    <row r="61" spans="1:139" s="439" customFormat="1" ht="30" customHeight="1" thickBot="1" x14ac:dyDescent="0.25">
      <c r="A61" s="1752" t="s">
        <v>878</v>
      </c>
      <c r="B61" s="443" t="s">
        <v>1827</v>
      </c>
      <c r="C61" s="372" t="s">
        <v>2457</v>
      </c>
      <c r="D61" s="1497"/>
      <c r="E61" s="1732" t="s">
        <v>5641</v>
      </c>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row>
    <row r="62" spans="1:139" ht="15" customHeight="1" x14ac:dyDescent="0.2">
      <c r="A62" s="1753"/>
      <c r="B62" s="444"/>
      <c r="C62" s="378" t="s">
        <v>215</v>
      </c>
      <c r="D62" s="1524">
        <v>0</v>
      </c>
      <c r="E62" s="1728"/>
    </row>
    <row r="63" spans="1:139" ht="15" customHeight="1" x14ac:dyDescent="0.2">
      <c r="A63" s="1753"/>
      <c r="B63" s="444"/>
      <c r="C63" s="1343" t="s">
        <v>205</v>
      </c>
      <c r="D63" s="1524">
        <v>0</v>
      </c>
      <c r="E63" s="1728"/>
    </row>
    <row r="64" spans="1:139" ht="15" customHeight="1" x14ac:dyDescent="0.2">
      <c r="A64" s="1753"/>
      <c r="B64" s="444"/>
      <c r="C64" s="1343" t="s">
        <v>10</v>
      </c>
      <c r="D64" s="1524">
        <v>0</v>
      </c>
      <c r="E64" s="1728"/>
    </row>
    <row r="65" spans="1:139" ht="15" customHeight="1" x14ac:dyDescent="0.2">
      <c r="A65" s="1753"/>
      <c r="B65" s="444"/>
      <c r="C65" s="1343" t="s">
        <v>11</v>
      </c>
      <c r="D65" s="1524">
        <v>0</v>
      </c>
      <c r="E65" s="1728"/>
    </row>
    <row r="66" spans="1:139" s="435" customFormat="1" ht="15" customHeight="1" thickBot="1" x14ac:dyDescent="0.25">
      <c r="A66" s="1754"/>
      <c r="B66" s="445"/>
      <c r="C66" s="1449" t="s">
        <v>138</v>
      </c>
      <c r="D66" s="1528">
        <v>0</v>
      </c>
      <c r="E66" s="1733"/>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row>
    <row r="67" spans="1:139" s="439" customFormat="1" ht="30" customHeight="1" thickBot="1" x14ac:dyDescent="0.25">
      <c r="A67" s="1752" t="s">
        <v>879</v>
      </c>
      <c r="B67" s="443" t="s">
        <v>1779</v>
      </c>
      <c r="C67" s="372" t="s">
        <v>2548</v>
      </c>
      <c r="D67" s="1497"/>
      <c r="E67" s="1732" t="s">
        <v>5565</v>
      </c>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row>
    <row r="68" spans="1:139" ht="15" customHeight="1" x14ac:dyDescent="0.2">
      <c r="A68" s="1753"/>
      <c r="B68" s="444"/>
      <c r="C68" s="1403" t="s">
        <v>2274</v>
      </c>
      <c r="D68" s="1531">
        <v>0</v>
      </c>
      <c r="E68" s="1728"/>
    </row>
    <row r="69" spans="1:139" ht="15" customHeight="1" x14ac:dyDescent="0.2">
      <c r="A69" s="1753"/>
      <c r="B69" s="444"/>
      <c r="C69" s="1347" t="s">
        <v>2279</v>
      </c>
      <c r="D69" s="1524">
        <v>0</v>
      </c>
      <c r="E69" s="1728"/>
    </row>
    <row r="70" spans="1:139" s="435" customFormat="1" ht="27" customHeight="1" thickBot="1" x14ac:dyDescent="0.25">
      <c r="A70" s="1754"/>
      <c r="B70" s="445"/>
      <c r="C70" s="1449" t="s">
        <v>2280</v>
      </c>
      <c r="D70" s="1528">
        <v>0</v>
      </c>
      <c r="E70" s="1733"/>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row>
    <row r="71" spans="1:139" s="439" customFormat="1" ht="30" customHeight="1" thickBot="1" x14ac:dyDescent="0.25">
      <c r="A71" s="1752" t="s">
        <v>582</v>
      </c>
      <c r="B71" s="443" t="s">
        <v>2367</v>
      </c>
      <c r="C71" s="372" t="s">
        <v>2368</v>
      </c>
      <c r="D71" s="1502"/>
      <c r="E71" s="1698" t="s">
        <v>5653</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row>
    <row r="72" spans="1:139" ht="15" customHeight="1" x14ac:dyDescent="0.2">
      <c r="A72" s="1753"/>
      <c r="B72" s="444"/>
      <c r="C72" s="1403" t="s">
        <v>5779</v>
      </c>
      <c r="D72" s="1533">
        <v>0</v>
      </c>
      <c r="E72" s="1699"/>
    </row>
    <row r="73" spans="1:139" ht="15" customHeight="1" x14ac:dyDescent="0.2">
      <c r="A73" s="1753"/>
      <c r="B73" s="444"/>
      <c r="C73" s="1343" t="s">
        <v>5780</v>
      </c>
      <c r="D73" s="1533">
        <v>0</v>
      </c>
      <c r="E73" s="1699"/>
    </row>
    <row r="74" spans="1:139" ht="15" customHeight="1" x14ac:dyDescent="0.2">
      <c r="A74" s="1753"/>
      <c r="B74" s="444"/>
      <c r="C74" s="1343" t="s">
        <v>1871</v>
      </c>
      <c r="D74" s="1533">
        <v>0</v>
      </c>
      <c r="E74" s="1699"/>
    </row>
    <row r="75" spans="1:139" ht="15" customHeight="1" x14ac:dyDescent="0.2">
      <c r="A75" s="1753"/>
      <c r="B75" s="444"/>
      <c r="C75" s="1343" t="s">
        <v>1810</v>
      </c>
      <c r="D75" s="1533">
        <v>0</v>
      </c>
      <c r="E75" s="1699"/>
    </row>
    <row r="76" spans="1:139" ht="15" customHeight="1" x14ac:dyDescent="0.2">
      <c r="A76" s="1753"/>
      <c r="B76" s="444"/>
      <c r="C76" s="1343" t="s">
        <v>1811</v>
      </c>
      <c r="D76" s="1533">
        <v>0</v>
      </c>
      <c r="E76" s="1699"/>
    </row>
    <row r="77" spans="1:139" ht="15" customHeight="1" x14ac:dyDescent="0.2">
      <c r="A77" s="1753"/>
      <c r="B77" s="444"/>
      <c r="C77" s="1343" t="s">
        <v>1812</v>
      </c>
      <c r="D77" s="1533">
        <v>0</v>
      </c>
      <c r="E77" s="1699"/>
    </row>
    <row r="78" spans="1:139" s="435" customFormat="1" ht="15" customHeight="1" thickBot="1" x14ac:dyDescent="0.25">
      <c r="A78" s="1754"/>
      <c r="B78" s="445"/>
      <c r="C78" s="1449" t="s">
        <v>1813</v>
      </c>
      <c r="D78" s="1528">
        <v>0</v>
      </c>
      <c r="E78" s="1700"/>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row>
    <row r="79" spans="1:139" s="439" customFormat="1" ht="30" customHeight="1" thickBot="1" x14ac:dyDescent="0.25">
      <c r="A79" s="1752" t="s">
        <v>880</v>
      </c>
      <c r="B79" s="443" t="s">
        <v>1824</v>
      </c>
      <c r="C79" s="372" t="s">
        <v>2272</v>
      </c>
      <c r="D79" s="1502"/>
      <c r="E79" s="1743" t="s">
        <v>5654</v>
      </c>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row>
    <row r="80" spans="1:139" ht="15" customHeight="1" x14ac:dyDescent="0.2">
      <c r="A80" s="1753"/>
      <c r="B80" s="444"/>
      <c r="C80" s="1403" t="s">
        <v>5777</v>
      </c>
      <c r="D80" s="1524">
        <v>0</v>
      </c>
      <c r="E80" s="1744"/>
    </row>
    <row r="81" spans="1:139" ht="15" customHeight="1" x14ac:dyDescent="0.2">
      <c r="A81" s="1753"/>
      <c r="B81" s="444"/>
      <c r="C81" s="1343" t="s">
        <v>5778</v>
      </c>
      <c r="D81" s="1524">
        <v>0</v>
      </c>
      <c r="E81" s="1744"/>
    </row>
    <row r="82" spans="1:139" ht="15" customHeight="1" x14ac:dyDescent="0.2">
      <c r="A82" s="1753"/>
      <c r="B82" s="444"/>
      <c r="C82" s="1343" t="s">
        <v>2369</v>
      </c>
      <c r="D82" s="1524">
        <v>0</v>
      </c>
      <c r="E82" s="1744"/>
    </row>
    <row r="83" spans="1:139" ht="15" customHeight="1" x14ac:dyDescent="0.2">
      <c r="A83" s="1753"/>
      <c r="B83" s="444"/>
      <c r="C83" s="1343" t="s">
        <v>2370</v>
      </c>
      <c r="D83" s="1524">
        <v>0</v>
      </c>
      <c r="E83" s="1744"/>
    </row>
    <row r="84" spans="1:139" ht="15" customHeight="1" x14ac:dyDescent="0.2">
      <c r="A84" s="1753"/>
      <c r="B84" s="444"/>
      <c r="C84" s="1343" t="s">
        <v>2371</v>
      </c>
      <c r="D84" s="1524">
        <v>0</v>
      </c>
      <c r="E84" s="1744"/>
    </row>
    <row r="85" spans="1:139" s="435" customFormat="1" ht="15" customHeight="1" thickBot="1" x14ac:dyDescent="0.25">
      <c r="A85" s="1754"/>
      <c r="B85" s="445"/>
      <c r="C85" s="1449" t="s">
        <v>5681</v>
      </c>
      <c r="D85" s="1528">
        <v>0</v>
      </c>
      <c r="E85" s="1745"/>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row>
    <row r="86" spans="1:139" s="439" customFormat="1" ht="30" customHeight="1" thickBot="1" x14ac:dyDescent="0.25">
      <c r="A86" s="1752" t="s">
        <v>828</v>
      </c>
      <c r="B86" s="1722" t="s">
        <v>1829</v>
      </c>
      <c r="C86" s="372" t="s">
        <v>5682</v>
      </c>
      <c r="D86" s="1502"/>
      <c r="E86" s="1728" t="s">
        <v>5566</v>
      </c>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row>
    <row r="87" spans="1:139" ht="15" customHeight="1" x14ac:dyDescent="0.2">
      <c r="A87" s="1753"/>
      <c r="B87" s="1723"/>
      <c r="C87" s="1403" t="s">
        <v>1869</v>
      </c>
      <c r="D87" s="1533">
        <v>0</v>
      </c>
      <c r="E87" s="1728"/>
    </row>
    <row r="88" spans="1:139" ht="15" customHeight="1" x14ac:dyDescent="0.2">
      <c r="A88" s="1753"/>
      <c r="B88" s="1723"/>
      <c r="C88" s="1343" t="s">
        <v>276</v>
      </c>
      <c r="D88" s="1533">
        <v>0</v>
      </c>
      <c r="E88" s="1728"/>
    </row>
    <row r="89" spans="1:139" s="435" customFormat="1" ht="27" customHeight="1" thickBot="1" x14ac:dyDescent="0.25">
      <c r="A89" s="1754"/>
      <c r="B89" s="1724"/>
      <c r="C89" s="1344" t="s">
        <v>2450</v>
      </c>
      <c r="D89" s="1534">
        <v>0</v>
      </c>
      <c r="E89" s="1728"/>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row>
    <row r="90" spans="1:139" s="115" customFormat="1" ht="30" customHeight="1" thickBot="1" x14ac:dyDescent="0.25">
      <c r="A90" s="372" t="s">
        <v>129</v>
      </c>
      <c r="B90" s="442" t="s">
        <v>1800</v>
      </c>
      <c r="C90" s="372" t="s">
        <v>2298</v>
      </c>
      <c r="D90" s="1536">
        <v>0</v>
      </c>
      <c r="E90" s="231" t="s">
        <v>5585</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row>
    <row r="91" spans="1:139" s="115" customFormat="1" ht="60" customHeight="1" thickBot="1" x14ac:dyDescent="0.25">
      <c r="A91" s="372" t="s">
        <v>917</v>
      </c>
      <c r="B91" s="1079" t="s">
        <v>222</v>
      </c>
      <c r="C91" s="1347" t="s">
        <v>1836</v>
      </c>
      <c r="D91" s="1537">
        <v>0</v>
      </c>
      <c r="E91" s="1468" t="s">
        <v>5642</v>
      </c>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row>
    <row r="92" spans="1:139" s="115" customFormat="1" ht="30" customHeight="1" thickBot="1" x14ac:dyDescent="0.25">
      <c r="A92" s="372" t="s">
        <v>829</v>
      </c>
      <c r="B92" s="442" t="s">
        <v>1778</v>
      </c>
      <c r="C92" s="373" t="s">
        <v>5238</v>
      </c>
      <c r="D92" s="1529">
        <v>0</v>
      </c>
      <c r="E92" s="231" t="s">
        <v>5655</v>
      </c>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row>
    <row r="93" spans="1:139" s="115" customFormat="1" ht="33.75" customHeight="1" thickBot="1" x14ac:dyDescent="0.25">
      <c r="A93" s="372" t="s">
        <v>918</v>
      </c>
      <c r="B93" s="442" t="s">
        <v>1801</v>
      </c>
      <c r="C93" s="372" t="s">
        <v>2122</v>
      </c>
      <c r="D93" s="1538">
        <v>0</v>
      </c>
      <c r="E93" s="231" t="s">
        <v>5567</v>
      </c>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row>
    <row r="94" spans="1:139" s="439" customFormat="1" ht="21" customHeight="1" thickBot="1" x14ac:dyDescent="0.25">
      <c r="A94" s="1755" t="s">
        <v>830</v>
      </c>
      <c r="B94" s="443" t="s">
        <v>139</v>
      </c>
      <c r="C94" s="372" t="s">
        <v>1867</v>
      </c>
      <c r="D94" s="1502"/>
      <c r="E94" s="1727" t="s">
        <v>5643</v>
      </c>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row>
    <row r="95" spans="1:139" ht="15" customHeight="1" x14ac:dyDescent="0.2">
      <c r="A95" s="1756"/>
      <c r="B95" s="444"/>
      <c r="C95" s="1403" t="s">
        <v>1868</v>
      </c>
      <c r="D95" s="1526">
        <v>0</v>
      </c>
      <c r="E95" s="1728"/>
    </row>
    <row r="96" spans="1:139" ht="42" customHeight="1" x14ac:dyDescent="0.2">
      <c r="A96" s="1756"/>
      <c r="B96" s="444"/>
      <c r="C96" s="1343" t="s">
        <v>1866</v>
      </c>
      <c r="D96" s="1526">
        <v>0</v>
      </c>
      <c r="E96" s="1728"/>
    </row>
    <row r="97" spans="1:139" ht="27" customHeight="1" x14ac:dyDescent="0.2">
      <c r="A97" s="1756"/>
      <c r="B97" s="444"/>
      <c r="C97" s="1450" t="s">
        <v>68</v>
      </c>
      <c r="D97" s="1526">
        <v>0</v>
      </c>
      <c r="E97" s="1728"/>
    </row>
    <row r="98" spans="1:139" s="435" customFormat="1" ht="15" customHeight="1" thickBot="1" x14ac:dyDescent="0.25">
      <c r="A98" s="1756"/>
      <c r="B98" s="444"/>
      <c r="C98" s="1449" t="s">
        <v>69</v>
      </c>
      <c r="D98" s="1527">
        <v>0</v>
      </c>
      <c r="E98" s="1728"/>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row>
    <row r="99" spans="1:139" s="439" customFormat="1" ht="27.75" customHeight="1" thickBot="1" x14ac:dyDescent="0.25">
      <c r="A99" s="1752" t="s">
        <v>881</v>
      </c>
      <c r="B99" s="443" t="s">
        <v>1865</v>
      </c>
      <c r="C99" s="372" t="s">
        <v>2549</v>
      </c>
      <c r="D99" s="1497"/>
      <c r="E99" s="1739"/>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row>
    <row r="100" spans="1:139" ht="27" customHeight="1" x14ac:dyDescent="0.2">
      <c r="A100" s="1753"/>
      <c r="B100" s="444"/>
      <c r="C100" s="1403" t="s">
        <v>5232</v>
      </c>
      <c r="D100" s="1532">
        <v>0</v>
      </c>
      <c r="E100" s="1740"/>
    </row>
    <row r="101" spans="1:139" ht="27" customHeight="1" x14ac:dyDescent="0.2">
      <c r="A101" s="1753"/>
      <c r="B101" s="444"/>
      <c r="C101" s="1343" t="s">
        <v>2550</v>
      </c>
      <c r="D101" s="1533">
        <v>0</v>
      </c>
      <c r="E101" s="1740"/>
    </row>
    <row r="102" spans="1:139" ht="27" customHeight="1" x14ac:dyDescent="0.2">
      <c r="A102" s="1753"/>
      <c r="B102" s="444"/>
      <c r="C102" s="1343" t="s">
        <v>2551</v>
      </c>
      <c r="D102" s="1533">
        <v>0</v>
      </c>
      <c r="E102" s="1740"/>
    </row>
    <row r="103" spans="1:139" ht="15" customHeight="1" x14ac:dyDescent="0.2">
      <c r="A103" s="1753"/>
      <c r="B103" s="444"/>
      <c r="C103" s="1343" t="s">
        <v>1810</v>
      </c>
      <c r="D103" s="1533">
        <v>0</v>
      </c>
      <c r="E103" s="1740"/>
    </row>
    <row r="104" spans="1:139" ht="15" customHeight="1" x14ac:dyDescent="0.2">
      <c r="A104" s="1753"/>
      <c r="B104" s="444"/>
      <c r="C104" s="1343" t="s">
        <v>1811</v>
      </c>
      <c r="D104" s="1533">
        <v>0</v>
      </c>
      <c r="E104" s="1740"/>
    </row>
    <row r="105" spans="1:139" ht="15" customHeight="1" x14ac:dyDescent="0.2">
      <c r="A105" s="1753"/>
      <c r="B105" s="444"/>
      <c r="C105" s="1343" t="s">
        <v>1812</v>
      </c>
      <c r="D105" s="1533">
        <v>0</v>
      </c>
      <c r="E105" s="1740"/>
    </row>
    <row r="106" spans="1:139" s="435" customFormat="1" ht="15" customHeight="1" thickBot="1" x14ac:dyDescent="0.25">
      <c r="A106" s="1754"/>
      <c r="B106" s="445"/>
      <c r="C106" s="1449" t="s">
        <v>1813</v>
      </c>
      <c r="D106" s="1525">
        <v>0</v>
      </c>
      <c r="E106" s="1741"/>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row>
    <row r="107" spans="1:139" s="115" customFormat="1" ht="45" customHeight="1" thickBot="1" x14ac:dyDescent="0.25">
      <c r="A107" s="1346" t="s">
        <v>831</v>
      </c>
      <c r="B107" s="1081" t="s">
        <v>166</v>
      </c>
      <c r="C107" s="372" t="s">
        <v>5776</v>
      </c>
      <c r="D107" s="1539">
        <v>0</v>
      </c>
      <c r="E107" s="385" t="s">
        <v>5568</v>
      </c>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row>
    <row r="108" spans="1:139" s="115" customFormat="1" ht="30" customHeight="1" thickBot="1" x14ac:dyDescent="0.25">
      <c r="A108" s="1334" t="s">
        <v>882</v>
      </c>
      <c r="B108" s="1081" t="s">
        <v>1262</v>
      </c>
      <c r="C108" s="372" t="s">
        <v>2189</v>
      </c>
      <c r="D108" s="1527">
        <v>0</v>
      </c>
      <c r="E108" s="231" t="s">
        <v>5656</v>
      </c>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row>
    <row r="109" spans="1:139" s="439" customFormat="1" ht="30" customHeight="1" thickBot="1" x14ac:dyDescent="0.25">
      <c r="A109" s="1746" t="s">
        <v>883</v>
      </c>
      <c r="B109" s="443" t="s">
        <v>286</v>
      </c>
      <c r="C109" s="372" t="s">
        <v>2285</v>
      </c>
      <c r="D109" s="1497"/>
      <c r="E109" s="1727" t="s">
        <v>5569</v>
      </c>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row>
    <row r="110" spans="1:139" ht="15" customHeight="1" x14ac:dyDescent="0.2">
      <c r="A110" s="1747"/>
      <c r="B110" s="444"/>
      <c r="C110" s="1403" t="s">
        <v>821</v>
      </c>
      <c r="D110" s="1532">
        <v>0</v>
      </c>
      <c r="E110" s="1728"/>
    </row>
    <row r="111" spans="1:139" ht="15" customHeight="1" x14ac:dyDescent="0.2">
      <c r="A111" s="1747"/>
      <c r="B111" s="444"/>
      <c r="C111" s="1343" t="s">
        <v>822</v>
      </c>
      <c r="D111" s="1533">
        <v>0</v>
      </c>
      <c r="E111" s="1728"/>
    </row>
    <row r="112" spans="1:139" ht="15" customHeight="1" x14ac:dyDescent="0.2">
      <c r="A112" s="1747"/>
      <c r="B112" s="444"/>
      <c r="C112" s="1343" t="s">
        <v>872</v>
      </c>
      <c r="D112" s="1533">
        <v>0</v>
      </c>
      <c r="E112" s="1728"/>
    </row>
    <row r="113" spans="1:139" s="435" customFormat="1" ht="15" customHeight="1" thickBot="1" x14ac:dyDescent="0.25">
      <c r="A113" s="1748"/>
      <c r="B113" s="445"/>
      <c r="C113" s="1449" t="s">
        <v>174</v>
      </c>
      <c r="D113" s="1534">
        <v>0</v>
      </c>
      <c r="E113" s="1733"/>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row>
    <row r="114" spans="1:139" s="439" customFormat="1" ht="21" customHeight="1" thickBot="1" x14ac:dyDescent="0.25">
      <c r="A114" s="1752" t="s">
        <v>884</v>
      </c>
      <c r="B114" s="1722" t="s">
        <v>8</v>
      </c>
      <c r="C114" s="373" t="s">
        <v>5294</v>
      </c>
      <c r="D114" s="1502"/>
      <c r="E114" s="1732" t="s">
        <v>5657</v>
      </c>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row>
    <row r="115" spans="1:139" ht="27" customHeight="1" x14ac:dyDescent="0.2">
      <c r="A115" s="1753"/>
      <c r="B115" s="1723"/>
      <c r="C115" s="1421" t="s">
        <v>5239</v>
      </c>
      <c r="D115" s="1533">
        <v>0</v>
      </c>
      <c r="E115" s="1728"/>
    </row>
    <row r="116" spans="1:139" ht="27" customHeight="1" x14ac:dyDescent="0.2">
      <c r="A116" s="1753"/>
      <c r="B116" s="1723"/>
      <c r="C116" s="742" t="s">
        <v>5240</v>
      </c>
      <c r="D116" s="1533">
        <v>0</v>
      </c>
      <c r="E116" s="1728"/>
    </row>
    <row r="117" spans="1:139" ht="27.75" customHeight="1" x14ac:dyDescent="0.2">
      <c r="A117" s="1753"/>
      <c r="B117" s="1723"/>
      <c r="C117" s="742" t="s">
        <v>5635</v>
      </c>
      <c r="D117" s="1533">
        <v>0</v>
      </c>
      <c r="E117" s="1728"/>
    </row>
    <row r="118" spans="1:139" ht="27" customHeight="1" x14ac:dyDescent="0.2">
      <c r="A118" s="1753"/>
      <c r="B118" s="1723"/>
      <c r="C118" s="742" t="s">
        <v>5241</v>
      </c>
      <c r="D118" s="1533">
        <v>0</v>
      </c>
      <c r="E118" s="1728"/>
    </row>
    <row r="119" spans="1:139" s="435" customFormat="1" ht="30.75" customHeight="1" thickBot="1" x14ac:dyDescent="0.25">
      <c r="A119" s="1754"/>
      <c r="B119" s="1724"/>
      <c r="C119" s="743" t="s">
        <v>5636</v>
      </c>
      <c r="D119" s="1534">
        <v>0</v>
      </c>
      <c r="E119" s="1733"/>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row>
    <row r="120" spans="1:139" s="439" customFormat="1" ht="30" customHeight="1" thickBot="1" x14ac:dyDescent="0.25">
      <c r="A120" s="1747" t="s">
        <v>885</v>
      </c>
      <c r="B120" s="444" t="s">
        <v>15</v>
      </c>
      <c r="C120" s="1334" t="s">
        <v>2357</v>
      </c>
      <c r="D120" s="1502"/>
      <c r="E120" s="1734" t="s">
        <v>5708</v>
      </c>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row>
    <row r="121" spans="1:139" ht="15" customHeight="1" x14ac:dyDescent="0.2">
      <c r="A121" s="1747"/>
      <c r="B121" s="444"/>
      <c r="C121" s="374" t="s">
        <v>2541</v>
      </c>
      <c r="D121" s="1533">
        <v>0</v>
      </c>
      <c r="E121" s="1735"/>
    </row>
    <row r="122" spans="1:139" ht="15" customHeight="1" x14ac:dyDescent="0.2">
      <c r="A122" s="1747"/>
      <c r="B122" s="444"/>
      <c r="C122" s="375" t="s">
        <v>2542</v>
      </c>
      <c r="D122" s="1533">
        <v>0</v>
      </c>
      <c r="E122" s="1735"/>
    </row>
    <row r="123" spans="1:139" ht="15" customHeight="1" x14ac:dyDescent="0.2">
      <c r="A123" s="1747"/>
      <c r="B123" s="444"/>
      <c r="C123" s="375" t="s">
        <v>2543</v>
      </c>
      <c r="D123" s="1533">
        <v>0</v>
      </c>
      <c r="E123" s="1735"/>
    </row>
    <row r="124" spans="1:139" ht="27" customHeight="1" x14ac:dyDescent="0.2">
      <c r="A124" s="1747"/>
      <c r="B124" s="444"/>
      <c r="C124" s="1451" t="s">
        <v>5683</v>
      </c>
      <c r="D124" s="1533">
        <v>0</v>
      </c>
      <c r="E124" s="1735"/>
    </row>
    <row r="125" spans="1:139" s="435" customFormat="1" ht="27" customHeight="1" thickBot="1" x14ac:dyDescent="0.25">
      <c r="A125" s="1748"/>
      <c r="B125" s="445"/>
      <c r="C125" s="1449" t="s">
        <v>5684</v>
      </c>
      <c r="D125" s="1534">
        <v>0</v>
      </c>
      <c r="E125" s="174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row>
    <row r="126" spans="1:139" s="439" customFormat="1" ht="21" customHeight="1" thickBot="1" x14ac:dyDescent="0.25">
      <c r="A126" s="1752" t="s">
        <v>832</v>
      </c>
      <c r="B126" s="443" t="s">
        <v>254</v>
      </c>
      <c r="C126" s="372" t="s">
        <v>2488</v>
      </c>
      <c r="D126" s="1502"/>
      <c r="E126" s="1727" t="s">
        <v>5658</v>
      </c>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row>
    <row r="127" spans="1:139" ht="27" customHeight="1" x14ac:dyDescent="0.2">
      <c r="A127" s="1753"/>
      <c r="B127" s="444"/>
      <c r="C127" s="1452" t="s">
        <v>2388</v>
      </c>
      <c r="D127" s="1533">
        <v>0</v>
      </c>
      <c r="E127" s="1728"/>
    </row>
    <row r="128" spans="1:139" ht="15" customHeight="1" x14ac:dyDescent="0.2">
      <c r="A128" s="1753"/>
      <c r="B128" s="444"/>
      <c r="C128" s="1453" t="s">
        <v>5637</v>
      </c>
      <c r="D128" s="1533">
        <v>0</v>
      </c>
      <c r="E128" s="1728"/>
    </row>
    <row r="129" spans="1:139" s="435" customFormat="1" ht="27" customHeight="1" thickBot="1" x14ac:dyDescent="0.25">
      <c r="A129" s="1754"/>
      <c r="B129" s="445"/>
      <c r="C129" s="1454" t="s">
        <v>2389</v>
      </c>
      <c r="D129" s="1534">
        <v>0</v>
      </c>
      <c r="E129" s="1733"/>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row>
    <row r="130" spans="1:139" s="439" customFormat="1" ht="21" customHeight="1" thickBot="1" x14ac:dyDescent="0.25">
      <c r="A130" s="1758" t="s">
        <v>833</v>
      </c>
      <c r="B130" s="1722" t="s">
        <v>2390</v>
      </c>
      <c r="C130" s="372" t="s">
        <v>2209</v>
      </c>
      <c r="D130" s="1497"/>
      <c r="E130" s="1732" t="s">
        <v>5570</v>
      </c>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row>
    <row r="131" spans="1:139" ht="55.5" customHeight="1" x14ac:dyDescent="0.2">
      <c r="A131" s="1759"/>
      <c r="B131" s="1723"/>
      <c r="C131" s="1403" t="s">
        <v>2620</v>
      </c>
      <c r="D131" s="1532">
        <v>0</v>
      </c>
      <c r="E131" s="1728"/>
    </row>
    <row r="132" spans="1:139" ht="69.75" customHeight="1" x14ac:dyDescent="0.2">
      <c r="A132" s="1759"/>
      <c r="B132" s="1723"/>
      <c r="C132" s="1343" t="s">
        <v>2286</v>
      </c>
      <c r="D132" s="1533">
        <v>0</v>
      </c>
      <c r="E132" s="1728"/>
    </row>
    <row r="133" spans="1:139" s="435" customFormat="1" ht="18.75" customHeight="1" thickBot="1" x14ac:dyDescent="0.25">
      <c r="A133" s="1760"/>
      <c r="B133" s="1724"/>
      <c r="C133" s="1449" t="s">
        <v>2065</v>
      </c>
      <c r="D133" s="1534">
        <v>0</v>
      </c>
      <c r="E133" s="1733"/>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row>
    <row r="134" spans="1:139" s="439" customFormat="1" ht="21" customHeight="1" thickBot="1" x14ac:dyDescent="0.25">
      <c r="A134" s="1746" t="s">
        <v>834</v>
      </c>
      <c r="B134" s="443" t="s">
        <v>2621</v>
      </c>
      <c r="C134" s="372" t="s">
        <v>2576</v>
      </c>
      <c r="D134" s="1497"/>
      <c r="E134" s="1732" t="s">
        <v>5571</v>
      </c>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row>
    <row r="135" spans="1:139" ht="15" customHeight="1" x14ac:dyDescent="0.2">
      <c r="A135" s="1747"/>
      <c r="B135" s="444"/>
      <c r="C135" s="1403" t="s">
        <v>5732</v>
      </c>
      <c r="D135" s="1532">
        <v>0</v>
      </c>
      <c r="E135" s="1728"/>
    </row>
    <row r="136" spans="1:139" ht="15" customHeight="1" x14ac:dyDescent="0.2">
      <c r="A136" s="1747"/>
      <c r="B136" s="444"/>
      <c r="C136" s="1343" t="s">
        <v>2192</v>
      </c>
      <c r="D136" s="1533">
        <v>0</v>
      </c>
      <c r="E136" s="1728"/>
    </row>
    <row r="137" spans="1:139" ht="15" customHeight="1" x14ac:dyDescent="0.2">
      <c r="A137" s="1747"/>
      <c r="B137" s="444"/>
      <c r="C137" s="1343" t="s">
        <v>12</v>
      </c>
      <c r="D137" s="1533">
        <v>0</v>
      </c>
      <c r="E137" s="1728"/>
    </row>
    <row r="138" spans="1:139" ht="15" customHeight="1" x14ac:dyDescent="0.2">
      <c r="A138" s="1747"/>
      <c r="B138" s="444"/>
      <c r="C138" s="1343" t="s">
        <v>13</v>
      </c>
      <c r="D138" s="1533">
        <v>0</v>
      </c>
      <c r="E138" s="1728"/>
    </row>
    <row r="139" spans="1:139" s="435" customFormat="1" ht="15" customHeight="1" thickBot="1" x14ac:dyDescent="0.25">
      <c r="A139" s="1748"/>
      <c r="B139" s="445"/>
      <c r="C139" s="1449" t="s">
        <v>14</v>
      </c>
      <c r="D139" s="1534">
        <v>0</v>
      </c>
      <c r="E139" s="1733"/>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row>
    <row r="140" spans="1:139" s="439" customFormat="1" ht="21" customHeight="1" thickBot="1" x14ac:dyDescent="0.25">
      <c r="A140" s="1746" t="s">
        <v>835</v>
      </c>
      <c r="B140" s="1722" t="s">
        <v>5233</v>
      </c>
      <c r="C140" s="372" t="s">
        <v>2481</v>
      </c>
      <c r="D140" s="1497"/>
      <c r="E140" s="1732" t="s">
        <v>5644</v>
      </c>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row>
    <row r="141" spans="1:139" ht="15" customHeight="1" x14ac:dyDescent="0.2">
      <c r="A141" s="1747"/>
      <c r="B141" s="1723"/>
      <c r="C141" s="1421" t="s">
        <v>5685</v>
      </c>
      <c r="D141" s="1539">
        <v>0</v>
      </c>
      <c r="E141" s="1728"/>
    </row>
    <row r="142" spans="1:139" ht="15" customHeight="1" x14ac:dyDescent="0.2">
      <c r="A142" s="1747"/>
      <c r="B142" s="1723"/>
      <c r="C142" s="1422" t="s">
        <v>2191</v>
      </c>
      <c r="D142" s="1526">
        <v>0</v>
      </c>
      <c r="E142" s="1728"/>
    </row>
    <row r="143" spans="1:139" ht="15" customHeight="1" x14ac:dyDescent="0.2">
      <c r="A143" s="1747"/>
      <c r="B143" s="1723"/>
      <c r="C143" s="1422" t="s">
        <v>2061</v>
      </c>
      <c r="D143" s="1526">
        <v>0</v>
      </c>
      <c r="E143" s="1728"/>
    </row>
    <row r="144" spans="1:139" ht="15" customHeight="1" x14ac:dyDescent="0.2">
      <c r="A144" s="1747"/>
      <c r="B144" s="1723"/>
      <c r="C144" s="1422" t="s">
        <v>2062</v>
      </c>
      <c r="D144" s="1533">
        <v>0</v>
      </c>
      <c r="E144" s="1728"/>
    </row>
    <row r="145" spans="1:139" s="435" customFormat="1" ht="15" customHeight="1" thickBot="1" x14ac:dyDescent="0.25">
      <c r="A145" s="1748"/>
      <c r="B145" s="1724"/>
      <c r="C145" s="1423" t="s">
        <v>2063</v>
      </c>
      <c r="D145" s="1534">
        <v>0</v>
      </c>
      <c r="E145" s="1733"/>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row>
    <row r="146" spans="1:139" s="439" customFormat="1" ht="21" customHeight="1" thickBot="1" x14ac:dyDescent="0.25">
      <c r="A146" s="1399" t="s">
        <v>836</v>
      </c>
      <c r="B146" s="1079" t="s">
        <v>2479</v>
      </c>
      <c r="C146" s="372" t="s">
        <v>2480</v>
      </c>
      <c r="D146" s="1502"/>
      <c r="E146" s="1732" t="s">
        <v>5659</v>
      </c>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row>
    <row r="147" spans="1:139" ht="15" customHeight="1" x14ac:dyDescent="0.2">
      <c r="A147" s="1347"/>
      <c r="B147" s="1080"/>
      <c r="C147" s="1403" t="s">
        <v>2505</v>
      </c>
      <c r="D147" s="1526">
        <v>0</v>
      </c>
      <c r="E147" s="1728"/>
    </row>
    <row r="148" spans="1:139" ht="15" customHeight="1" x14ac:dyDescent="0.2">
      <c r="A148" s="1347"/>
      <c r="B148" s="1080"/>
      <c r="C148" s="1343" t="s">
        <v>2191</v>
      </c>
      <c r="D148" s="1526">
        <v>0</v>
      </c>
      <c r="E148" s="1728"/>
    </row>
    <row r="149" spans="1:139" ht="15" customHeight="1" x14ac:dyDescent="0.2">
      <c r="A149" s="1347"/>
      <c r="B149" s="1080"/>
      <c r="C149" s="1343" t="s">
        <v>2061</v>
      </c>
      <c r="D149" s="1526">
        <v>0</v>
      </c>
      <c r="E149" s="1728"/>
    </row>
    <row r="150" spans="1:139" ht="15" customHeight="1" x14ac:dyDescent="0.2">
      <c r="A150" s="1347"/>
      <c r="B150" s="1080"/>
      <c r="C150" s="1343" t="s">
        <v>2062</v>
      </c>
      <c r="D150" s="1526">
        <v>0</v>
      </c>
      <c r="E150" s="1728"/>
    </row>
    <row r="151" spans="1:139" s="435" customFormat="1" ht="15" customHeight="1" thickBot="1" x14ac:dyDescent="0.25">
      <c r="A151" s="1334"/>
      <c r="B151" s="1081"/>
      <c r="C151" s="1449" t="s">
        <v>2063</v>
      </c>
      <c r="D151" s="1527">
        <v>0</v>
      </c>
      <c r="E151" s="1733"/>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row>
    <row r="152" spans="1:139" s="439" customFormat="1" ht="30" customHeight="1" thickBot="1" x14ac:dyDescent="0.25">
      <c r="A152" s="1746" t="s">
        <v>886</v>
      </c>
      <c r="B152" s="443" t="s">
        <v>876</v>
      </c>
      <c r="C152" s="372" t="s">
        <v>1841</v>
      </c>
      <c r="D152" s="1502"/>
      <c r="E152" s="1732" t="s">
        <v>5645</v>
      </c>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row>
    <row r="153" spans="1:139" ht="15" customHeight="1" x14ac:dyDescent="0.2">
      <c r="A153" s="1747"/>
      <c r="B153" s="444"/>
      <c r="C153" s="1403" t="s">
        <v>66</v>
      </c>
      <c r="D153" s="1533">
        <v>0</v>
      </c>
      <c r="E153" s="1728"/>
    </row>
    <row r="154" spans="1:139" ht="15" customHeight="1" x14ac:dyDescent="0.2">
      <c r="A154" s="1747"/>
      <c r="B154" s="444"/>
      <c r="C154" s="1342" t="s">
        <v>905</v>
      </c>
      <c r="D154" s="1533">
        <v>0</v>
      </c>
      <c r="E154" s="1728"/>
    </row>
    <row r="155" spans="1:139" ht="15" customHeight="1" x14ac:dyDescent="0.2">
      <c r="A155" s="1747"/>
      <c r="B155" s="444"/>
      <c r="C155" s="1343" t="s">
        <v>825</v>
      </c>
      <c r="D155" s="1533">
        <v>0</v>
      </c>
      <c r="E155" s="1728"/>
    </row>
    <row r="156" spans="1:139" ht="15" customHeight="1" x14ac:dyDescent="0.2">
      <c r="A156" s="1747"/>
      <c r="B156" s="444"/>
      <c r="C156" s="1343" t="s">
        <v>258</v>
      </c>
      <c r="D156" s="1533">
        <v>0</v>
      </c>
      <c r="E156" s="1728"/>
    </row>
    <row r="157" spans="1:139" ht="15" customHeight="1" x14ac:dyDescent="0.2">
      <c r="A157" s="1747"/>
      <c r="B157" s="444"/>
      <c r="C157" s="1343" t="s">
        <v>260</v>
      </c>
      <c r="D157" s="1533">
        <v>0</v>
      </c>
      <c r="E157" s="1728"/>
    </row>
    <row r="158" spans="1:139" ht="15" customHeight="1" x14ac:dyDescent="0.2">
      <c r="A158" s="1747"/>
      <c r="B158" s="444"/>
      <c r="C158" s="1343" t="s">
        <v>259</v>
      </c>
      <c r="D158" s="1533">
        <v>0</v>
      </c>
      <c r="E158" s="1728"/>
    </row>
    <row r="159" spans="1:139" ht="15" customHeight="1" x14ac:dyDescent="0.2">
      <c r="A159" s="1747"/>
      <c r="B159" s="444"/>
      <c r="C159" s="1343" t="s">
        <v>262</v>
      </c>
      <c r="D159" s="1533">
        <v>0</v>
      </c>
      <c r="E159" s="1728"/>
    </row>
    <row r="160" spans="1:139" s="435" customFormat="1" ht="15" customHeight="1" thickBot="1" x14ac:dyDescent="0.25">
      <c r="A160" s="1748"/>
      <c r="B160" s="445"/>
      <c r="C160" s="1449" t="s">
        <v>261</v>
      </c>
      <c r="D160" s="1534">
        <v>0</v>
      </c>
      <c r="E160" s="1733"/>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row>
    <row r="161" spans="1:139" s="439" customFormat="1" ht="21" customHeight="1" thickBot="1" x14ac:dyDescent="0.25">
      <c r="A161" s="1755" t="s">
        <v>887</v>
      </c>
      <c r="B161" s="443" t="s">
        <v>891</v>
      </c>
      <c r="C161" s="372" t="s">
        <v>2359</v>
      </c>
      <c r="D161" s="1502"/>
      <c r="E161" s="1732" t="s">
        <v>5572</v>
      </c>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row>
    <row r="162" spans="1:139" ht="15" customHeight="1" x14ac:dyDescent="0.2">
      <c r="A162" s="1756"/>
      <c r="B162" s="444"/>
      <c r="C162" s="1403" t="s">
        <v>1875</v>
      </c>
      <c r="D162" s="1533">
        <v>0</v>
      </c>
      <c r="E162" s="1728"/>
    </row>
    <row r="163" spans="1:139" ht="15" customHeight="1" x14ac:dyDescent="0.2">
      <c r="A163" s="1756"/>
      <c r="B163" s="444"/>
      <c r="C163" s="1347" t="s">
        <v>1876</v>
      </c>
      <c r="D163" s="1533">
        <v>0</v>
      </c>
      <c r="E163" s="1728"/>
    </row>
    <row r="164" spans="1:139" s="435" customFormat="1" ht="15" customHeight="1" thickBot="1" x14ac:dyDescent="0.25">
      <c r="A164" s="1757"/>
      <c r="B164" s="445"/>
      <c r="C164" s="1449" t="s">
        <v>238</v>
      </c>
      <c r="D164" s="1534">
        <v>0</v>
      </c>
      <c r="E164" s="1733"/>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row>
    <row r="165" spans="1:139" s="439" customFormat="1" ht="21" customHeight="1" thickBot="1" x14ac:dyDescent="0.25">
      <c r="A165" s="1752" t="s">
        <v>837</v>
      </c>
      <c r="B165" s="443" t="s">
        <v>534</v>
      </c>
      <c r="C165" s="372" t="s">
        <v>33</v>
      </c>
      <c r="D165" s="1497"/>
      <c r="E165" s="1732" t="s">
        <v>5660</v>
      </c>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row>
    <row r="166" spans="1:139" ht="15" customHeight="1" x14ac:dyDescent="0.2">
      <c r="A166" s="1753"/>
      <c r="B166" s="444"/>
      <c r="C166" s="1403" t="s">
        <v>1842</v>
      </c>
      <c r="D166" s="1532">
        <v>0</v>
      </c>
      <c r="E166" s="1728"/>
    </row>
    <row r="167" spans="1:139" s="435" customFormat="1" ht="15" customHeight="1" thickBot="1" x14ac:dyDescent="0.25">
      <c r="A167" s="1754"/>
      <c r="B167" s="445"/>
      <c r="C167" s="1449" t="s">
        <v>238</v>
      </c>
      <c r="D167" s="1534">
        <v>0</v>
      </c>
      <c r="E167" s="1729"/>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row>
    <row r="168" spans="1:139" s="439" customFormat="1" ht="21" customHeight="1" thickBot="1" x14ac:dyDescent="0.25">
      <c r="A168" s="1746" t="s">
        <v>838</v>
      </c>
      <c r="B168" s="1722" t="s">
        <v>2293</v>
      </c>
      <c r="C168" s="372" t="s">
        <v>2171</v>
      </c>
      <c r="D168" s="1502"/>
      <c r="E168" s="1727" t="s">
        <v>5573</v>
      </c>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row>
    <row r="169" spans="1:139" ht="15" customHeight="1" x14ac:dyDescent="0.2">
      <c r="A169" s="1747"/>
      <c r="B169" s="1723"/>
      <c r="C169" s="1403" t="s">
        <v>5733</v>
      </c>
      <c r="D169" s="1533">
        <v>0</v>
      </c>
      <c r="E169" s="1728"/>
    </row>
    <row r="170" spans="1:139" ht="15" customHeight="1" x14ac:dyDescent="0.2">
      <c r="A170" s="1747"/>
      <c r="B170" s="1723"/>
      <c r="C170" s="1343" t="s">
        <v>2046</v>
      </c>
      <c r="D170" s="1533">
        <v>0</v>
      </c>
      <c r="E170" s="1728"/>
    </row>
    <row r="171" spans="1:139" ht="15" customHeight="1" x14ac:dyDescent="0.2">
      <c r="A171" s="1747"/>
      <c r="B171" s="1723"/>
      <c r="C171" s="1343" t="s">
        <v>2047</v>
      </c>
      <c r="D171" s="1533">
        <v>0</v>
      </c>
      <c r="E171" s="1728"/>
    </row>
    <row r="172" spans="1:139" ht="15" customHeight="1" x14ac:dyDescent="0.2">
      <c r="A172" s="1747"/>
      <c r="B172" s="1723"/>
      <c r="C172" s="1343" t="s">
        <v>2048</v>
      </c>
      <c r="D172" s="1533">
        <v>0</v>
      </c>
      <c r="E172" s="1728"/>
    </row>
    <row r="173" spans="1:139" s="435" customFormat="1" ht="15" customHeight="1" thickBot="1" x14ac:dyDescent="0.25">
      <c r="A173" s="1748"/>
      <c r="B173" s="1724"/>
      <c r="C173" s="1334" t="s">
        <v>2049</v>
      </c>
      <c r="D173" s="1534">
        <v>0</v>
      </c>
      <c r="E173" s="1733"/>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row>
    <row r="174" spans="1:139" s="439" customFormat="1" ht="19.149999999999999" customHeight="1" thickBot="1" x14ac:dyDescent="0.25">
      <c r="A174" s="1755" t="s">
        <v>839</v>
      </c>
      <c r="B174" s="1722" t="s">
        <v>223</v>
      </c>
      <c r="C174" s="372" t="s">
        <v>2208</v>
      </c>
      <c r="D174" s="1502"/>
      <c r="E174" s="1732" t="s">
        <v>5646</v>
      </c>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row>
    <row r="175" spans="1:139" ht="15" customHeight="1" x14ac:dyDescent="0.2">
      <c r="A175" s="1756"/>
      <c r="B175" s="1723"/>
      <c r="C175" s="1403" t="s">
        <v>224</v>
      </c>
      <c r="D175" s="1533">
        <v>0</v>
      </c>
      <c r="E175" s="1728"/>
    </row>
    <row r="176" spans="1:139" s="435" customFormat="1" ht="15" customHeight="1" thickBot="1" x14ac:dyDescent="0.25">
      <c r="A176" s="1757"/>
      <c r="B176" s="1724"/>
      <c r="C176" s="1449" t="s">
        <v>225</v>
      </c>
      <c r="D176" s="1534">
        <v>0</v>
      </c>
      <c r="E176" s="1733"/>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row>
    <row r="177" spans="1:139" s="439" customFormat="1" ht="30" customHeight="1" thickBot="1" x14ac:dyDescent="0.25">
      <c r="A177" s="1752" t="s">
        <v>94</v>
      </c>
      <c r="B177" s="443" t="s">
        <v>2504</v>
      </c>
      <c r="C177" s="372" t="s">
        <v>5242</v>
      </c>
      <c r="D177" s="1502"/>
      <c r="E177" s="1732" t="s">
        <v>5647</v>
      </c>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row>
    <row r="178" spans="1:139" ht="42" customHeight="1" x14ac:dyDescent="0.2">
      <c r="A178" s="1753"/>
      <c r="B178" s="444"/>
      <c r="C178" s="1403" t="s">
        <v>2195</v>
      </c>
      <c r="D178" s="1526">
        <v>0</v>
      </c>
      <c r="E178" s="1728"/>
    </row>
    <row r="179" spans="1:139" ht="42" customHeight="1" x14ac:dyDescent="0.2">
      <c r="A179" s="1753"/>
      <c r="B179" s="444"/>
      <c r="C179" s="1343" t="s">
        <v>2196</v>
      </c>
      <c r="D179" s="1533">
        <v>0</v>
      </c>
      <c r="E179" s="1728"/>
    </row>
    <row r="180" spans="1:139" ht="27" customHeight="1" x14ac:dyDescent="0.2">
      <c r="A180" s="1753"/>
      <c r="B180" s="444"/>
      <c r="C180" s="1342" t="s">
        <v>2193</v>
      </c>
      <c r="D180" s="1533">
        <v>0</v>
      </c>
      <c r="E180" s="1728"/>
    </row>
    <row r="181" spans="1:139" s="435" customFormat="1" ht="27" customHeight="1" thickBot="1" x14ac:dyDescent="0.25">
      <c r="A181" s="1754"/>
      <c r="B181" s="445"/>
      <c r="C181" s="1334" t="s">
        <v>2194</v>
      </c>
      <c r="D181" s="1534">
        <v>0</v>
      </c>
      <c r="E181" s="1733"/>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row>
    <row r="182" spans="1:139" s="439" customFormat="1" ht="21" customHeight="1" thickBot="1" x14ac:dyDescent="0.25">
      <c r="A182" s="1752" t="s">
        <v>95</v>
      </c>
      <c r="B182" s="443" t="s">
        <v>2482</v>
      </c>
      <c r="C182" s="372" t="s">
        <v>2537</v>
      </c>
      <c r="D182" s="1502"/>
      <c r="E182" s="1732" t="s">
        <v>5574</v>
      </c>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row>
    <row r="183" spans="1:139" ht="15" customHeight="1" x14ac:dyDescent="0.2">
      <c r="A183" s="1753"/>
      <c r="B183" s="444"/>
      <c r="C183" s="1403" t="s">
        <v>2483</v>
      </c>
      <c r="D183" s="1526">
        <v>0</v>
      </c>
      <c r="E183" s="1728"/>
    </row>
    <row r="184" spans="1:139" ht="15" customHeight="1" x14ac:dyDescent="0.2">
      <c r="A184" s="1753"/>
      <c r="B184" s="444"/>
      <c r="C184" s="1343" t="s">
        <v>2484</v>
      </c>
      <c r="D184" s="1526">
        <v>0</v>
      </c>
      <c r="E184" s="1728"/>
    </row>
    <row r="185" spans="1:139" ht="15" customHeight="1" x14ac:dyDescent="0.2">
      <c r="A185" s="1753"/>
      <c r="B185" s="444"/>
      <c r="C185" s="1343" t="s">
        <v>2485</v>
      </c>
      <c r="D185" s="1526">
        <v>0</v>
      </c>
      <c r="E185" s="1728"/>
    </row>
    <row r="186" spans="1:139" ht="15" customHeight="1" x14ac:dyDescent="0.2">
      <c r="A186" s="1753"/>
      <c r="B186" s="444"/>
      <c r="C186" s="1343" t="s">
        <v>2487</v>
      </c>
      <c r="D186" s="1524">
        <v>0</v>
      </c>
      <c r="E186" s="1728"/>
    </row>
    <row r="187" spans="1:139" s="435" customFormat="1" ht="15" customHeight="1" thickBot="1" x14ac:dyDescent="0.25">
      <c r="A187" s="1754"/>
      <c r="B187" s="445"/>
      <c r="C187" s="1449" t="s">
        <v>2486</v>
      </c>
      <c r="D187" s="1528">
        <v>0</v>
      </c>
      <c r="E187" s="1733"/>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row>
    <row r="188" spans="1:139" s="439" customFormat="1" ht="31.5" customHeight="1" thickBot="1" x14ac:dyDescent="0.25">
      <c r="A188" s="1752" t="s">
        <v>96</v>
      </c>
      <c r="B188" s="443" t="s">
        <v>65</v>
      </c>
      <c r="C188" s="372" t="s">
        <v>5787</v>
      </c>
      <c r="D188" s="1502"/>
      <c r="E188" s="1732" t="s">
        <v>5788</v>
      </c>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row>
    <row r="189" spans="1:139" ht="15" customHeight="1" x14ac:dyDescent="0.2">
      <c r="A189" s="1753"/>
      <c r="B189" s="444"/>
      <c r="C189" s="1403" t="s">
        <v>6</v>
      </c>
      <c r="D189" s="1533">
        <v>0</v>
      </c>
      <c r="E189" s="1728"/>
    </row>
    <row r="190" spans="1:139" ht="15" customHeight="1" x14ac:dyDescent="0.2">
      <c r="A190" s="1753"/>
      <c r="B190" s="444"/>
      <c r="C190" s="1343" t="s">
        <v>2360</v>
      </c>
      <c r="D190" s="1533">
        <v>0</v>
      </c>
      <c r="E190" s="1728"/>
    </row>
    <row r="191" spans="1:139" ht="15" customHeight="1" x14ac:dyDescent="0.2">
      <c r="A191" s="1753"/>
      <c r="B191" s="444"/>
      <c r="C191" s="1343" t="s">
        <v>2361</v>
      </c>
      <c r="D191" s="1533">
        <v>0</v>
      </c>
      <c r="E191" s="1728"/>
    </row>
    <row r="192" spans="1:139" ht="15" customHeight="1" x14ac:dyDescent="0.2">
      <c r="A192" s="1753"/>
      <c r="B192" s="444"/>
      <c r="C192" s="1343" t="s">
        <v>2362</v>
      </c>
      <c r="D192" s="1533">
        <v>0</v>
      </c>
      <c r="E192" s="1728"/>
    </row>
    <row r="193" spans="1:139" s="435" customFormat="1" ht="15" customHeight="1" thickBot="1" x14ac:dyDescent="0.25">
      <c r="A193" s="1754"/>
      <c r="B193" s="445"/>
      <c r="C193" s="1449" t="s">
        <v>2363</v>
      </c>
      <c r="D193" s="1534">
        <v>0</v>
      </c>
      <c r="E193" s="1733"/>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row>
    <row r="194" spans="1:139" s="439" customFormat="1" ht="28.5" customHeight="1" thickBot="1" x14ac:dyDescent="0.25">
      <c r="A194" s="1746" t="s">
        <v>97</v>
      </c>
      <c r="B194" s="443" t="s">
        <v>5786</v>
      </c>
      <c r="C194" s="2351" t="s">
        <v>5818</v>
      </c>
      <c r="D194" s="1502"/>
      <c r="E194" s="1732" t="s">
        <v>5575</v>
      </c>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row>
    <row r="195" spans="1:139" ht="15" customHeight="1" x14ac:dyDescent="0.2">
      <c r="A195" s="1747"/>
      <c r="B195" s="444"/>
      <c r="C195" s="1403" t="s">
        <v>5243</v>
      </c>
      <c r="D195" s="1533">
        <v>0</v>
      </c>
      <c r="E195" s="1728"/>
    </row>
    <row r="196" spans="1:139" ht="15" customHeight="1" x14ac:dyDescent="0.2">
      <c r="A196" s="1747"/>
      <c r="B196" s="444"/>
      <c r="C196" s="1343" t="s">
        <v>5244</v>
      </c>
      <c r="D196" s="1533">
        <v>0</v>
      </c>
      <c r="E196" s="1728"/>
    </row>
    <row r="197" spans="1:139" ht="15" customHeight="1" x14ac:dyDescent="0.2">
      <c r="A197" s="1747"/>
      <c r="B197" s="444"/>
      <c r="C197" s="1343" t="s">
        <v>5245</v>
      </c>
      <c r="D197" s="1533">
        <v>0</v>
      </c>
      <c r="E197" s="1728"/>
    </row>
    <row r="198" spans="1:139" ht="15" customHeight="1" x14ac:dyDescent="0.2">
      <c r="A198" s="1747"/>
      <c r="B198" s="444"/>
      <c r="C198" s="1343" t="s">
        <v>5246</v>
      </c>
      <c r="D198" s="1533">
        <v>0</v>
      </c>
      <c r="E198" s="1728"/>
    </row>
    <row r="199" spans="1:139" s="435" customFormat="1" ht="15" customHeight="1" thickBot="1" x14ac:dyDescent="0.25">
      <c r="A199" s="1748"/>
      <c r="B199" s="445"/>
      <c r="C199" s="1449" t="s">
        <v>5247</v>
      </c>
      <c r="D199" s="1534">
        <v>0</v>
      </c>
      <c r="E199" s="1733"/>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row>
    <row r="200" spans="1:139" s="439" customFormat="1" ht="35.25" customHeight="1" thickBot="1" x14ac:dyDescent="0.25">
      <c r="A200" s="1752" t="s">
        <v>98</v>
      </c>
      <c r="B200" s="443" t="s">
        <v>45</v>
      </c>
      <c r="C200" s="2352" t="s">
        <v>5820</v>
      </c>
      <c r="D200" s="1497"/>
      <c r="E200" s="1732" t="s">
        <v>5648</v>
      </c>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row>
    <row r="201" spans="1:139" ht="27" customHeight="1" x14ac:dyDescent="0.2">
      <c r="A201" s="1753"/>
      <c r="B201" s="444"/>
      <c r="C201" s="1455" t="s">
        <v>1708</v>
      </c>
      <c r="D201" s="1532">
        <v>0</v>
      </c>
      <c r="E201" s="1728"/>
    </row>
    <row r="202" spans="1:139" ht="26.25" customHeight="1" x14ac:dyDescent="0.2">
      <c r="A202" s="1753"/>
      <c r="B202" s="1329"/>
      <c r="C202" s="1456" t="s">
        <v>5248</v>
      </c>
      <c r="D202" s="1533">
        <v>0</v>
      </c>
      <c r="E202" s="1728"/>
    </row>
    <row r="203" spans="1:139" ht="24" customHeight="1" x14ac:dyDescent="0.2">
      <c r="A203" s="1753"/>
      <c r="B203" s="1329"/>
      <c r="C203" s="1456" t="s">
        <v>5249</v>
      </c>
      <c r="D203" s="1533">
        <v>0</v>
      </c>
      <c r="E203" s="1728"/>
    </row>
    <row r="204" spans="1:139" ht="15" customHeight="1" x14ac:dyDescent="0.2">
      <c r="A204" s="1753"/>
      <c r="B204" s="444"/>
      <c r="C204" s="378" t="s">
        <v>1267</v>
      </c>
      <c r="D204" s="1533">
        <v>0</v>
      </c>
      <c r="E204" s="1728"/>
    </row>
    <row r="205" spans="1:139" s="435" customFormat="1" ht="15" customHeight="1" thickBot="1" x14ac:dyDescent="0.25">
      <c r="A205" s="1754"/>
      <c r="B205" s="445"/>
      <c r="C205" s="1457" t="s">
        <v>2197</v>
      </c>
      <c r="D205" s="1528">
        <v>0</v>
      </c>
      <c r="E205" s="1733"/>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row>
    <row r="206" spans="1:139" s="439" customFormat="1" ht="39" customHeight="1" thickBot="1" x14ac:dyDescent="0.25">
      <c r="A206" s="1752" t="s">
        <v>245</v>
      </c>
      <c r="B206" s="443" t="s">
        <v>535</v>
      </c>
      <c r="C206" s="372" t="s">
        <v>5822</v>
      </c>
      <c r="D206" s="1502"/>
      <c r="E206" s="1732" t="s">
        <v>5576</v>
      </c>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row>
    <row r="207" spans="1:139" ht="15" customHeight="1" x14ac:dyDescent="0.2">
      <c r="A207" s="1753"/>
      <c r="B207" s="444"/>
      <c r="C207" s="1403" t="s">
        <v>2287</v>
      </c>
      <c r="D207" s="1533">
        <v>0</v>
      </c>
      <c r="E207" s="1728"/>
    </row>
    <row r="208" spans="1:139" ht="15" customHeight="1" x14ac:dyDescent="0.2">
      <c r="A208" s="1753"/>
      <c r="B208" s="444"/>
      <c r="C208" s="1343" t="s">
        <v>533</v>
      </c>
      <c r="D208" s="1533">
        <v>0</v>
      </c>
      <c r="E208" s="1728"/>
    </row>
    <row r="209" spans="1:139" s="435" customFormat="1" ht="15" customHeight="1" thickBot="1" x14ac:dyDescent="0.25">
      <c r="A209" s="1754"/>
      <c r="B209" s="445"/>
      <c r="C209" s="1334" t="s">
        <v>75</v>
      </c>
      <c r="D209" s="1534">
        <v>0</v>
      </c>
      <c r="E209" s="1729"/>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row>
    <row r="210" spans="1:139" s="439" customFormat="1" ht="21" customHeight="1" thickBot="1" x14ac:dyDescent="0.25">
      <c r="A210" s="1752" t="s">
        <v>99</v>
      </c>
      <c r="B210" s="443" t="s">
        <v>187</v>
      </c>
      <c r="C210" s="372" t="s">
        <v>2273</v>
      </c>
      <c r="D210" s="1502"/>
      <c r="E210" s="1727" t="s">
        <v>5577</v>
      </c>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row>
    <row r="211" spans="1:139" ht="15" customHeight="1" x14ac:dyDescent="0.2">
      <c r="A211" s="1753"/>
      <c r="B211" s="444"/>
      <c r="C211" s="1399" t="s">
        <v>67</v>
      </c>
      <c r="D211" s="1533">
        <v>0</v>
      </c>
      <c r="E211" s="1728"/>
    </row>
    <row r="212" spans="1:139" ht="15" customHeight="1" x14ac:dyDescent="0.2">
      <c r="A212" s="1753"/>
      <c r="B212" s="444"/>
      <c r="C212" s="1344" t="s">
        <v>2277</v>
      </c>
      <c r="D212" s="1533">
        <v>0</v>
      </c>
      <c r="E212" s="1728"/>
    </row>
    <row r="213" spans="1:139" s="435" customFormat="1" ht="15" customHeight="1" thickBot="1" x14ac:dyDescent="0.25">
      <c r="A213" s="1754"/>
      <c r="B213" s="445"/>
      <c r="C213" s="1449" t="s">
        <v>2278</v>
      </c>
      <c r="D213" s="1534">
        <v>0</v>
      </c>
      <c r="E213" s="1733"/>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row>
    <row r="214" spans="1:139" s="439" customFormat="1" ht="45" customHeight="1" thickBot="1" x14ac:dyDescent="0.25">
      <c r="A214" s="1752" t="s">
        <v>133</v>
      </c>
      <c r="B214" s="443" t="s">
        <v>1766</v>
      </c>
      <c r="C214" s="372" t="s">
        <v>2455</v>
      </c>
      <c r="D214" s="1497"/>
      <c r="E214" s="1732" t="s">
        <v>5649</v>
      </c>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row>
    <row r="215" spans="1:139" ht="15" customHeight="1" x14ac:dyDescent="0.2">
      <c r="A215" s="1753"/>
      <c r="B215" s="444"/>
      <c r="C215" s="1403" t="s">
        <v>1760</v>
      </c>
      <c r="D215" s="1531">
        <v>0</v>
      </c>
      <c r="E215" s="1728"/>
    </row>
    <row r="216" spans="1:139" ht="15" customHeight="1" x14ac:dyDescent="0.2">
      <c r="A216" s="1753"/>
      <c r="B216" s="444"/>
      <c r="C216" s="1343" t="s">
        <v>2187</v>
      </c>
      <c r="D216" s="1524">
        <v>0</v>
      </c>
      <c r="E216" s="1728"/>
    </row>
    <row r="217" spans="1:139" ht="15" customHeight="1" x14ac:dyDescent="0.2">
      <c r="A217" s="1753"/>
      <c r="B217" s="444"/>
      <c r="C217" s="1343" t="s">
        <v>1263</v>
      </c>
      <c r="D217" s="1524">
        <v>0</v>
      </c>
      <c r="E217" s="1728"/>
    </row>
    <row r="218" spans="1:139" ht="15" customHeight="1" x14ac:dyDescent="0.2">
      <c r="A218" s="1753"/>
      <c r="B218" s="444"/>
      <c r="C218" s="1343" t="s">
        <v>1265</v>
      </c>
      <c r="D218" s="1524">
        <v>0</v>
      </c>
      <c r="E218" s="1728"/>
    </row>
    <row r="219" spans="1:139" ht="15" customHeight="1" x14ac:dyDescent="0.2">
      <c r="A219" s="1753"/>
      <c r="B219" s="444"/>
      <c r="C219" s="1343" t="s">
        <v>1264</v>
      </c>
      <c r="D219" s="1524">
        <v>0</v>
      </c>
      <c r="E219" s="1728"/>
    </row>
    <row r="220" spans="1:139" s="435" customFormat="1" ht="15" customHeight="1" thickBot="1" x14ac:dyDescent="0.25">
      <c r="A220" s="1754"/>
      <c r="B220" s="445"/>
      <c r="C220" s="1449" t="s">
        <v>2186</v>
      </c>
      <c r="D220" s="1528">
        <v>0</v>
      </c>
      <c r="E220" s="1733"/>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row>
    <row r="221" spans="1:139" s="439" customFormat="1" ht="30" customHeight="1" thickBot="1" x14ac:dyDescent="0.25">
      <c r="A221" s="1746" t="s">
        <v>840</v>
      </c>
      <c r="B221" s="443" t="s">
        <v>5</v>
      </c>
      <c r="C221" s="2353" t="s">
        <v>5821</v>
      </c>
      <c r="D221" s="1502"/>
      <c r="E221" s="1732" t="s">
        <v>5578</v>
      </c>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row>
    <row r="222" spans="1:139" ht="15" customHeight="1" x14ac:dyDescent="0.2">
      <c r="A222" s="1747"/>
      <c r="B222" s="444"/>
      <c r="C222" s="1403" t="s">
        <v>2058</v>
      </c>
      <c r="D222" s="1540">
        <v>0</v>
      </c>
      <c r="E222" s="1728"/>
    </row>
    <row r="223" spans="1:139" ht="15" customHeight="1" x14ac:dyDescent="0.2">
      <c r="A223" s="1747"/>
      <c r="B223" s="444"/>
      <c r="C223" s="1343" t="s">
        <v>2057</v>
      </c>
      <c r="D223" s="1540">
        <v>0</v>
      </c>
      <c r="E223" s="1728"/>
    </row>
    <row r="224" spans="1:139" ht="15" customHeight="1" x14ac:dyDescent="0.2">
      <c r="A224" s="1747"/>
      <c r="B224" s="444"/>
      <c r="C224" s="1343" t="s">
        <v>2059</v>
      </c>
      <c r="D224" s="1540">
        <v>0</v>
      </c>
      <c r="E224" s="1728"/>
    </row>
    <row r="225" spans="1:139" s="435" customFormat="1" ht="15" customHeight="1" thickBot="1" x14ac:dyDescent="0.25">
      <c r="A225" s="1748"/>
      <c r="B225" s="445"/>
      <c r="C225" s="1334" t="s">
        <v>2060</v>
      </c>
      <c r="D225" s="1541">
        <v>0</v>
      </c>
      <c r="E225" s="1733"/>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row>
    <row r="226" spans="1:139" s="436" customFormat="1" ht="45" customHeight="1" thickBot="1" x14ac:dyDescent="0.25">
      <c r="A226" s="1746" t="s">
        <v>874</v>
      </c>
      <c r="B226" s="443" t="s">
        <v>5234</v>
      </c>
      <c r="C226" s="372" t="s">
        <v>5747</v>
      </c>
      <c r="D226" s="1502"/>
      <c r="E226" s="1732" t="s">
        <v>5748</v>
      </c>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row>
    <row r="227" spans="1:139" s="4" customFormat="1" ht="15" customHeight="1" x14ac:dyDescent="0.2">
      <c r="A227" s="1747"/>
      <c r="B227" s="444"/>
      <c r="C227" s="1403" t="s">
        <v>5734</v>
      </c>
      <c r="D227" s="1533">
        <v>0</v>
      </c>
      <c r="E227" s="1728"/>
    </row>
    <row r="228" spans="1:139" s="4" customFormat="1" ht="15" customHeight="1" x14ac:dyDescent="0.2">
      <c r="A228" s="1747"/>
      <c r="B228" s="444"/>
      <c r="C228" s="1343" t="s">
        <v>74</v>
      </c>
      <c r="D228" s="1533">
        <v>0</v>
      </c>
      <c r="E228" s="1728"/>
    </row>
    <row r="229" spans="1:139" s="4" customFormat="1" ht="15" customHeight="1" x14ac:dyDescent="0.2">
      <c r="A229" s="1747"/>
      <c r="B229" s="444"/>
      <c r="C229" s="1451" t="s">
        <v>71</v>
      </c>
      <c r="D229" s="1533">
        <v>0</v>
      </c>
      <c r="E229" s="1728"/>
    </row>
    <row r="230" spans="1:139" s="4" customFormat="1" ht="15" customHeight="1" x14ac:dyDescent="0.2">
      <c r="A230" s="1747"/>
      <c r="B230" s="444"/>
      <c r="C230" s="1451" t="s">
        <v>72</v>
      </c>
      <c r="D230" s="1533">
        <v>0</v>
      </c>
      <c r="E230" s="1728"/>
    </row>
    <row r="231" spans="1:139" s="4" customFormat="1" ht="15" customHeight="1" x14ac:dyDescent="0.2">
      <c r="A231" s="1747"/>
      <c r="B231" s="444"/>
      <c r="C231" s="1451" t="s">
        <v>73</v>
      </c>
      <c r="D231" s="1533">
        <v>0</v>
      </c>
      <c r="E231" s="1728"/>
    </row>
    <row r="232" spans="1:139" s="437" customFormat="1" ht="15" customHeight="1" thickBot="1" x14ac:dyDescent="0.25">
      <c r="A232" s="1748"/>
      <c r="B232" s="445"/>
      <c r="C232" s="1458" t="s">
        <v>88</v>
      </c>
      <c r="D232" s="1527">
        <v>0</v>
      </c>
      <c r="E232" s="1733"/>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row>
    <row r="233" spans="1:139" s="439" customFormat="1" ht="21" customHeight="1" thickBot="1" x14ac:dyDescent="0.25">
      <c r="A233" s="1752" t="s">
        <v>100</v>
      </c>
      <c r="B233" s="1722" t="s">
        <v>5235</v>
      </c>
      <c r="C233" s="372" t="s">
        <v>5749</v>
      </c>
      <c r="D233" s="1502"/>
      <c r="E233" s="1737" t="s">
        <v>5746</v>
      </c>
      <c r="F233" s="1396"/>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row>
    <row r="234" spans="1:139" ht="15" customHeight="1" x14ac:dyDescent="0.2">
      <c r="A234" s="1753"/>
      <c r="B234" s="1723"/>
      <c r="C234" s="1403" t="s">
        <v>5735</v>
      </c>
      <c r="D234" s="1533">
        <v>0</v>
      </c>
      <c r="E234" s="1710"/>
      <c r="F234" s="1396"/>
    </row>
    <row r="235" spans="1:139" ht="15" customHeight="1" x14ac:dyDescent="0.2">
      <c r="A235" s="1753"/>
      <c r="B235" s="1723"/>
      <c r="C235" s="1343" t="s">
        <v>2444</v>
      </c>
      <c r="D235" s="1533">
        <v>0</v>
      </c>
      <c r="E235" s="1710"/>
      <c r="F235" s="1396"/>
    </row>
    <row r="236" spans="1:139" ht="15" customHeight="1" x14ac:dyDescent="0.2">
      <c r="A236" s="1753"/>
      <c r="B236" s="1723"/>
      <c r="C236" s="1343" t="s">
        <v>2445</v>
      </c>
      <c r="D236" s="1533">
        <v>0</v>
      </c>
      <c r="E236" s="1710"/>
      <c r="F236" s="1396"/>
    </row>
    <row r="237" spans="1:139" ht="15" customHeight="1" x14ac:dyDescent="0.2">
      <c r="A237" s="1753"/>
      <c r="B237" s="1723"/>
      <c r="C237" s="1343" t="s">
        <v>2446</v>
      </c>
      <c r="D237" s="1533">
        <v>0</v>
      </c>
      <c r="E237" s="1710"/>
      <c r="F237" s="1396"/>
    </row>
    <row r="238" spans="1:139" s="435" customFormat="1" ht="15" customHeight="1" thickBot="1" x14ac:dyDescent="0.25">
      <c r="A238" s="1754"/>
      <c r="B238" s="1724"/>
      <c r="C238" s="1449" t="s">
        <v>2447</v>
      </c>
      <c r="D238" s="1534">
        <v>0</v>
      </c>
      <c r="E238" s="1738"/>
      <c r="F238" s="1396"/>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row>
    <row r="239" spans="1:139" s="439" customFormat="1" ht="30.75" customHeight="1" thickBot="1" x14ac:dyDescent="0.25">
      <c r="A239" s="1746" t="s">
        <v>101</v>
      </c>
      <c r="B239" s="443" t="s">
        <v>1762</v>
      </c>
      <c r="C239" s="372" t="s">
        <v>5819</v>
      </c>
      <c r="D239" s="1497"/>
      <c r="E239" s="1734" t="s">
        <v>5661</v>
      </c>
      <c r="F239" s="1396"/>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row>
    <row r="240" spans="1:139" ht="15" customHeight="1" x14ac:dyDescent="0.2">
      <c r="A240" s="1747"/>
      <c r="B240" s="444"/>
      <c r="C240" s="1403" t="s">
        <v>2458</v>
      </c>
      <c r="D240" s="1532">
        <v>0</v>
      </c>
      <c r="E240" s="1735"/>
      <c r="F240" s="1396"/>
    </row>
    <row r="241" spans="1:139" ht="15" customHeight="1" x14ac:dyDescent="0.2">
      <c r="A241" s="1747"/>
      <c r="B241" s="444"/>
      <c r="C241" s="1343" t="s">
        <v>2459</v>
      </c>
      <c r="D241" s="1533">
        <v>0</v>
      </c>
      <c r="E241" s="1735"/>
      <c r="F241" s="1396"/>
    </row>
    <row r="242" spans="1:139" ht="15" customHeight="1" x14ac:dyDescent="0.2">
      <c r="A242" s="1747"/>
      <c r="B242" s="444"/>
      <c r="C242" s="1343" t="s">
        <v>2460</v>
      </c>
      <c r="D242" s="1533">
        <v>0</v>
      </c>
      <c r="E242" s="1735"/>
      <c r="F242" s="1396"/>
    </row>
    <row r="243" spans="1:139" ht="15" customHeight="1" x14ac:dyDescent="0.2">
      <c r="A243" s="1747"/>
      <c r="B243" s="444"/>
      <c r="C243" s="1343" t="s">
        <v>2461</v>
      </c>
      <c r="D243" s="1533">
        <v>0</v>
      </c>
      <c r="E243" s="1735"/>
      <c r="F243" s="1396"/>
    </row>
    <row r="244" spans="1:139" s="435" customFormat="1" ht="15" customHeight="1" thickBot="1" x14ac:dyDescent="0.25">
      <c r="A244" s="1748"/>
      <c r="B244" s="445"/>
      <c r="C244" s="1449" t="s">
        <v>5736</v>
      </c>
      <c r="D244" s="1534">
        <v>0</v>
      </c>
      <c r="E244" s="1736"/>
      <c r="F244" s="1396"/>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2"/>
      <c r="DV244" s="32"/>
      <c r="DW244" s="32"/>
      <c r="DX244" s="32"/>
      <c r="DY244" s="32"/>
      <c r="DZ244" s="32"/>
      <c r="EA244" s="32"/>
      <c r="EB244" s="32"/>
      <c r="EC244" s="32"/>
      <c r="ED244" s="32"/>
      <c r="EE244" s="32"/>
      <c r="EF244" s="32"/>
      <c r="EG244" s="32"/>
      <c r="EH244" s="32"/>
      <c r="EI244" s="32"/>
    </row>
    <row r="245" spans="1:139" s="438" customFormat="1" ht="21" customHeight="1" thickBot="1" x14ac:dyDescent="0.25">
      <c r="A245" s="1746" t="s">
        <v>102</v>
      </c>
      <c r="B245" s="443" t="s">
        <v>1799</v>
      </c>
      <c r="C245" s="372" t="s">
        <v>2263</v>
      </c>
      <c r="D245" s="1497"/>
      <c r="E245" s="1732" t="s">
        <v>5579</v>
      </c>
      <c r="F245" s="1396"/>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row>
    <row r="246" spans="1:139" ht="15" customHeight="1" x14ac:dyDescent="0.2">
      <c r="A246" s="1747"/>
      <c r="B246" s="444"/>
      <c r="C246" s="1403" t="s">
        <v>2538</v>
      </c>
      <c r="D246" s="1532">
        <v>0</v>
      </c>
      <c r="E246" s="1728"/>
      <c r="F246" s="1396"/>
    </row>
    <row r="247" spans="1:139" ht="15" customHeight="1" x14ac:dyDescent="0.2">
      <c r="A247" s="1747"/>
      <c r="B247" s="444"/>
      <c r="C247" s="1343" t="s">
        <v>2540</v>
      </c>
      <c r="D247" s="1526">
        <v>0</v>
      </c>
      <c r="E247" s="1728"/>
      <c r="F247" s="1396"/>
    </row>
    <row r="248" spans="1:139" ht="15" customHeight="1" x14ac:dyDescent="0.2">
      <c r="A248" s="1747"/>
      <c r="B248" s="444"/>
      <c r="C248" s="1343" t="s">
        <v>2461</v>
      </c>
      <c r="D248" s="1526">
        <v>0</v>
      </c>
      <c r="E248" s="1728"/>
      <c r="F248" s="1396"/>
    </row>
    <row r="249" spans="1:139" s="435" customFormat="1" ht="15" customHeight="1" thickBot="1" x14ac:dyDescent="0.25">
      <c r="A249" s="1748"/>
      <c r="B249" s="445"/>
      <c r="C249" s="1449" t="s">
        <v>2539</v>
      </c>
      <c r="D249" s="1527">
        <v>0</v>
      </c>
      <c r="E249" s="1733"/>
      <c r="F249" s="1396"/>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row>
    <row r="250" spans="1:139" s="439" customFormat="1" ht="30" customHeight="1" thickBot="1" x14ac:dyDescent="0.25">
      <c r="A250" s="1752" t="s">
        <v>841</v>
      </c>
      <c r="B250" s="443" t="s">
        <v>863</v>
      </c>
      <c r="C250" s="372" t="s">
        <v>2618</v>
      </c>
      <c r="D250" s="1502"/>
      <c r="E250" s="1732" t="s">
        <v>5650</v>
      </c>
      <c r="F250" s="1396"/>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row>
    <row r="251" spans="1:139" ht="15" customHeight="1" x14ac:dyDescent="0.2">
      <c r="A251" s="1753"/>
      <c r="B251" s="444"/>
      <c r="C251" s="1403" t="s">
        <v>198</v>
      </c>
      <c r="D251" s="1533">
        <v>0</v>
      </c>
      <c r="E251" s="1728"/>
      <c r="F251" s="1396"/>
    </row>
    <row r="252" spans="1:139" s="435" customFormat="1" ht="15" customHeight="1" thickBot="1" x14ac:dyDescent="0.25">
      <c r="A252" s="1754"/>
      <c r="B252" s="445"/>
      <c r="C252" s="1449" t="s">
        <v>77</v>
      </c>
      <c r="D252" s="1534">
        <v>0</v>
      </c>
      <c r="E252" s="1729"/>
      <c r="F252" s="1396"/>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row>
    <row r="253" spans="1:139" s="439" customFormat="1" ht="42" customHeight="1" thickBot="1" x14ac:dyDescent="0.25">
      <c r="A253" s="1755" t="s">
        <v>842</v>
      </c>
      <c r="B253" s="1722" t="s">
        <v>1852</v>
      </c>
      <c r="C253" s="372" t="s">
        <v>5731</v>
      </c>
      <c r="D253" s="1497"/>
      <c r="E253" s="1727" t="s">
        <v>5651</v>
      </c>
      <c r="F253" s="1396"/>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row>
    <row r="254" spans="1:139" ht="15" customHeight="1" x14ac:dyDescent="0.2">
      <c r="A254" s="1756"/>
      <c r="B254" s="1723"/>
      <c r="C254" s="1403" t="s">
        <v>5729</v>
      </c>
      <c r="D254" s="1532">
        <v>0</v>
      </c>
      <c r="E254" s="1728"/>
      <c r="F254" s="1396"/>
    </row>
    <row r="255" spans="1:139" ht="15" customHeight="1" x14ac:dyDescent="0.2">
      <c r="A255" s="1756"/>
      <c r="B255" s="1723"/>
      <c r="C255" s="1342" t="s">
        <v>2634</v>
      </c>
      <c r="D255" s="1533">
        <v>0</v>
      </c>
      <c r="E255" s="1728"/>
      <c r="F255" s="1396"/>
    </row>
    <row r="256" spans="1:139" ht="15" customHeight="1" x14ac:dyDescent="0.2">
      <c r="A256" s="1756"/>
      <c r="B256" s="1723"/>
      <c r="C256" s="1343" t="s">
        <v>2635</v>
      </c>
      <c r="D256" s="1533">
        <v>0</v>
      </c>
      <c r="E256" s="1728"/>
      <c r="F256" s="1396"/>
    </row>
    <row r="257" spans="1:139" ht="15" customHeight="1" x14ac:dyDescent="0.2">
      <c r="A257" s="1756"/>
      <c r="B257" s="1723"/>
      <c r="C257" s="1343" t="s">
        <v>2636</v>
      </c>
      <c r="D257" s="1533">
        <v>0</v>
      </c>
      <c r="E257" s="1728"/>
      <c r="F257" s="1396"/>
    </row>
    <row r="258" spans="1:139" s="435" customFormat="1" ht="15" customHeight="1" thickBot="1" x14ac:dyDescent="0.25">
      <c r="A258" s="1757"/>
      <c r="B258" s="1724"/>
      <c r="C258" s="1449" t="s">
        <v>2637</v>
      </c>
      <c r="D258" s="1534">
        <v>0</v>
      </c>
      <c r="E258" s="1728"/>
      <c r="F258" s="1396"/>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row>
    <row r="259" spans="1:139" s="439" customFormat="1" ht="32.25" customHeight="1" thickBot="1" x14ac:dyDescent="0.25">
      <c r="A259" s="1752" t="s">
        <v>103</v>
      </c>
      <c r="B259" s="443" t="s">
        <v>871</v>
      </c>
      <c r="C259" s="372" t="s">
        <v>5730</v>
      </c>
      <c r="D259" s="1502"/>
      <c r="E259" s="1698" t="s">
        <v>5662</v>
      </c>
      <c r="F259" s="1396"/>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row>
    <row r="260" spans="1:139" ht="15" customHeight="1" x14ac:dyDescent="0.2">
      <c r="A260" s="1753"/>
      <c r="B260" s="444"/>
      <c r="C260" s="1459" t="s">
        <v>107</v>
      </c>
      <c r="D260" s="1533">
        <v>0</v>
      </c>
      <c r="E260" s="1699"/>
      <c r="F260" s="1396"/>
    </row>
    <row r="261" spans="1:139" ht="15" customHeight="1" x14ac:dyDescent="0.2">
      <c r="A261" s="1753"/>
      <c r="B261" s="444"/>
      <c r="C261" s="1460" t="s">
        <v>1709</v>
      </c>
      <c r="D261" s="1533">
        <v>0</v>
      </c>
      <c r="E261" s="1699"/>
      <c r="F261" s="1396"/>
    </row>
    <row r="262" spans="1:139" ht="15" customHeight="1" x14ac:dyDescent="0.2">
      <c r="A262" s="1753"/>
      <c r="B262" s="444"/>
      <c r="C262" s="1460" t="s">
        <v>1309</v>
      </c>
      <c r="D262" s="1533">
        <v>0</v>
      </c>
      <c r="E262" s="1699"/>
      <c r="F262" s="1396"/>
    </row>
    <row r="263" spans="1:139" s="435" customFormat="1" ht="15" customHeight="1" thickBot="1" x14ac:dyDescent="0.25">
      <c r="A263" s="1754"/>
      <c r="B263" s="445"/>
      <c r="C263" s="1449" t="s">
        <v>211</v>
      </c>
      <c r="D263" s="1534">
        <v>0</v>
      </c>
      <c r="E263" s="1731"/>
      <c r="F263" s="1396"/>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row>
    <row r="264" spans="1:139" s="439" customFormat="1" ht="30" customHeight="1" thickBot="1" x14ac:dyDescent="0.25">
      <c r="A264" s="1746" t="s">
        <v>569</v>
      </c>
      <c r="B264" s="443" t="s">
        <v>1910</v>
      </c>
      <c r="C264" s="372" t="s">
        <v>2364</v>
      </c>
      <c r="D264" s="1497"/>
      <c r="E264" s="1730" t="s">
        <v>5690</v>
      </c>
      <c r="F264" s="1396"/>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row>
    <row r="265" spans="1:139" ht="15" customHeight="1" x14ac:dyDescent="0.2">
      <c r="A265" s="1747"/>
      <c r="B265" s="444"/>
      <c r="C265" s="1399" t="s">
        <v>208</v>
      </c>
      <c r="D265" s="1532">
        <v>0</v>
      </c>
      <c r="E265" s="1699"/>
      <c r="F265" s="1396"/>
    </row>
    <row r="266" spans="1:139" ht="15" customHeight="1" x14ac:dyDescent="0.2">
      <c r="A266" s="1747"/>
      <c r="B266" s="444"/>
      <c r="C266" s="1343" t="s">
        <v>530</v>
      </c>
      <c r="D266" s="1533">
        <v>0</v>
      </c>
      <c r="E266" s="1699"/>
      <c r="F266" s="1396"/>
    </row>
    <row r="267" spans="1:139" ht="15" customHeight="1" x14ac:dyDescent="0.2">
      <c r="A267" s="1747"/>
      <c r="B267" s="444"/>
      <c r="C267" s="1343" t="s">
        <v>531</v>
      </c>
      <c r="D267" s="1533">
        <v>0</v>
      </c>
      <c r="E267" s="1699"/>
      <c r="F267" s="1396"/>
    </row>
    <row r="268" spans="1:139" ht="15" customHeight="1" x14ac:dyDescent="0.2">
      <c r="A268" s="1747"/>
      <c r="B268" s="444"/>
      <c r="C268" s="1343" t="s">
        <v>532</v>
      </c>
      <c r="D268" s="1533">
        <v>0</v>
      </c>
      <c r="E268" s="1699"/>
      <c r="F268" s="1396"/>
    </row>
    <row r="269" spans="1:139" s="435" customFormat="1" ht="15" customHeight="1" thickBot="1" x14ac:dyDescent="0.25">
      <c r="A269" s="1748"/>
      <c r="B269" s="445"/>
      <c r="C269" s="1334" t="s">
        <v>5737</v>
      </c>
      <c r="D269" s="1534">
        <v>0</v>
      </c>
      <c r="E269" s="1731"/>
      <c r="F269" s="1396"/>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row>
    <row r="270" spans="1:139" s="439" customFormat="1" ht="30" customHeight="1" thickBot="1" x14ac:dyDescent="0.25">
      <c r="A270" s="1746" t="s">
        <v>118</v>
      </c>
      <c r="B270" s="443" t="s">
        <v>1160</v>
      </c>
      <c r="C270" s="372" t="s">
        <v>2056</v>
      </c>
      <c r="D270" s="1502"/>
      <c r="E270" s="1730" t="s">
        <v>5663</v>
      </c>
      <c r="F270" s="1396"/>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row>
    <row r="271" spans="1:139" ht="15" customHeight="1" x14ac:dyDescent="0.2">
      <c r="A271" s="1747"/>
      <c r="B271" s="444"/>
      <c r="C271" s="1403" t="s">
        <v>1840</v>
      </c>
      <c r="D271" s="1526">
        <v>0</v>
      </c>
      <c r="E271" s="1699"/>
      <c r="F271" s="1396"/>
    </row>
    <row r="272" spans="1:139" s="435" customFormat="1" ht="28.5" customHeight="1" thickBot="1" x14ac:dyDescent="0.25">
      <c r="A272" s="1747"/>
      <c r="B272" s="444"/>
      <c r="C272" s="1344" t="s">
        <v>1839</v>
      </c>
      <c r="D272" s="1534">
        <v>0</v>
      </c>
      <c r="E272" s="1699"/>
      <c r="F272" s="1396"/>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row>
    <row r="273" spans="1:139" s="439" customFormat="1" ht="30" customHeight="1" thickBot="1" x14ac:dyDescent="0.25">
      <c r="A273" s="1746" t="s">
        <v>846</v>
      </c>
      <c r="B273" s="443" t="s">
        <v>1768</v>
      </c>
      <c r="C273" s="1335" t="s">
        <v>2210</v>
      </c>
      <c r="D273" s="1502"/>
      <c r="E273" s="1698" t="s">
        <v>5691</v>
      </c>
      <c r="F273" s="1396"/>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row>
    <row r="274" spans="1:139" ht="15" customHeight="1" x14ac:dyDescent="0.2">
      <c r="A274" s="1747"/>
      <c r="B274" s="1252"/>
      <c r="C274" s="1403" t="s">
        <v>106</v>
      </c>
      <c r="D274" s="1533">
        <v>0</v>
      </c>
      <c r="E274" s="1699"/>
      <c r="F274" s="1396"/>
    </row>
    <row r="275" spans="1:139" ht="15" customHeight="1" x14ac:dyDescent="0.2">
      <c r="A275" s="1747"/>
      <c r="B275" s="1252"/>
      <c r="C275" s="1343" t="s">
        <v>861</v>
      </c>
      <c r="D275" s="1526">
        <v>0</v>
      </c>
      <c r="E275" s="1699"/>
      <c r="F275" s="1396"/>
    </row>
    <row r="276" spans="1:139" ht="15" customHeight="1" x14ac:dyDescent="0.2">
      <c r="A276" s="1747"/>
      <c r="B276" s="1252"/>
      <c r="C276" s="1343" t="s">
        <v>872</v>
      </c>
      <c r="D276" s="1533">
        <v>0</v>
      </c>
      <c r="E276" s="1699"/>
      <c r="F276" s="1396"/>
    </row>
    <row r="277" spans="1:139" s="435" customFormat="1" ht="15" customHeight="1" thickBot="1" x14ac:dyDescent="0.25">
      <c r="A277" s="1748"/>
      <c r="B277" s="1253"/>
      <c r="C277" s="1449" t="s">
        <v>174</v>
      </c>
      <c r="D277" s="1542">
        <v>0</v>
      </c>
      <c r="E277" s="1700"/>
      <c r="F277" s="1396"/>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row>
    <row r="278" spans="1:139" s="115" customFormat="1" ht="45" customHeight="1" thickBot="1" x14ac:dyDescent="0.25">
      <c r="A278" s="1334" t="s">
        <v>847</v>
      </c>
      <c r="B278" s="1081" t="s">
        <v>2211</v>
      </c>
      <c r="C278" s="1334" t="s">
        <v>2397</v>
      </c>
      <c r="D278" s="1543">
        <v>0</v>
      </c>
      <c r="E278" s="385" t="s">
        <v>5580</v>
      </c>
      <c r="F278" s="1396"/>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row>
    <row r="279" spans="1:139" s="439" customFormat="1" ht="30" customHeight="1" thickBot="1" x14ac:dyDescent="0.25">
      <c r="A279" s="1753" t="s">
        <v>241</v>
      </c>
      <c r="B279" s="1254" t="s">
        <v>246</v>
      </c>
      <c r="C279" s="1334" t="s">
        <v>5785</v>
      </c>
      <c r="D279" s="1502"/>
      <c r="E279" s="1727" t="s">
        <v>5784</v>
      </c>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row>
    <row r="280" spans="1:139" ht="15" customHeight="1" x14ac:dyDescent="0.2">
      <c r="A280" s="1753"/>
      <c r="B280" s="1254"/>
      <c r="C280" s="1403" t="s">
        <v>247</v>
      </c>
      <c r="D280" s="1526">
        <v>0</v>
      </c>
      <c r="E280" s="1728"/>
    </row>
    <row r="281" spans="1:139" ht="15" customHeight="1" x14ac:dyDescent="0.2">
      <c r="A281" s="1753"/>
      <c r="B281" s="1254"/>
      <c r="C281" s="1451" t="s">
        <v>1136</v>
      </c>
      <c r="D281" s="1526">
        <v>0</v>
      </c>
      <c r="E281" s="1728"/>
    </row>
    <row r="282" spans="1:139" ht="15" customHeight="1" x14ac:dyDescent="0.2">
      <c r="A282" s="1753"/>
      <c r="B282" s="1254"/>
      <c r="C282" s="1451" t="s">
        <v>1086</v>
      </c>
      <c r="D282" s="1526">
        <v>0</v>
      </c>
      <c r="E282" s="1728"/>
    </row>
    <row r="283" spans="1:139" ht="15" customHeight="1" x14ac:dyDescent="0.2">
      <c r="A283" s="1753"/>
      <c r="B283" s="1254"/>
      <c r="C283" s="1451" t="s">
        <v>1087</v>
      </c>
      <c r="D283" s="1526">
        <v>0</v>
      </c>
      <c r="E283" s="1728"/>
    </row>
    <row r="284" spans="1:139" ht="15" customHeight="1" x14ac:dyDescent="0.2">
      <c r="A284" s="1753"/>
      <c r="B284" s="1254"/>
      <c r="C284" s="1461" t="s">
        <v>248</v>
      </c>
      <c r="D284" s="1526">
        <v>0</v>
      </c>
      <c r="E284" s="1728"/>
    </row>
    <row r="285" spans="1:139" s="435" customFormat="1" ht="15" customHeight="1" thickBot="1" x14ac:dyDescent="0.25">
      <c r="A285" s="1754"/>
      <c r="B285" s="1255"/>
      <c r="C285" s="1458" t="s">
        <v>249</v>
      </c>
      <c r="D285" s="1539">
        <v>0</v>
      </c>
      <c r="E285" s="1733"/>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row>
    <row r="286" spans="1:139" s="439" customFormat="1" ht="30" customHeight="1" thickBot="1" x14ac:dyDescent="0.25">
      <c r="A286" s="1746" t="s">
        <v>848</v>
      </c>
      <c r="B286" s="443" t="s">
        <v>890</v>
      </c>
      <c r="C286" s="372" t="s">
        <v>2198</v>
      </c>
      <c r="D286" s="1502"/>
      <c r="E286" s="1732" t="s">
        <v>5664</v>
      </c>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row>
    <row r="287" spans="1:139" ht="15" customHeight="1" x14ac:dyDescent="0.2">
      <c r="A287" s="1747"/>
      <c r="B287" s="1252"/>
      <c r="C287" s="1403" t="s">
        <v>57</v>
      </c>
      <c r="D287" s="1533">
        <v>0</v>
      </c>
      <c r="E287" s="1728"/>
    </row>
    <row r="288" spans="1:139" ht="15" customHeight="1" x14ac:dyDescent="0.2">
      <c r="A288" s="1747"/>
      <c r="B288" s="1252"/>
      <c r="C288" s="1343" t="s">
        <v>12</v>
      </c>
      <c r="D288" s="1533">
        <v>0</v>
      </c>
      <c r="E288" s="1728"/>
    </row>
    <row r="289" spans="1:139" s="435" customFormat="1" ht="15" customHeight="1" thickBot="1" x14ac:dyDescent="0.25">
      <c r="A289" s="1748"/>
      <c r="B289" s="1253"/>
      <c r="C289" s="1449" t="s">
        <v>93</v>
      </c>
      <c r="D289" s="1534">
        <v>0</v>
      </c>
      <c r="E289" s="173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row>
    <row r="290" spans="1:139" s="439" customFormat="1" ht="21" customHeight="1" thickBot="1" x14ac:dyDescent="0.25">
      <c r="A290" s="1746" t="s">
        <v>849</v>
      </c>
      <c r="B290" s="443" t="s">
        <v>854</v>
      </c>
      <c r="C290" s="372" t="s">
        <v>2055</v>
      </c>
      <c r="D290" s="1497"/>
      <c r="E290" s="1732" t="s">
        <v>5665</v>
      </c>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row>
    <row r="291" spans="1:139" ht="27" customHeight="1" x14ac:dyDescent="0.2">
      <c r="A291" s="1747"/>
      <c r="B291" s="1252"/>
      <c r="C291" s="1462" t="s">
        <v>5253</v>
      </c>
      <c r="D291" s="1539">
        <v>0</v>
      </c>
      <c r="E291" s="1728"/>
    </row>
    <row r="292" spans="1:139" ht="15" customHeight="1" x14ac:dyDescent="0.2">
      <c r="A292" s="1747"/>
      <c r="B292" s="1330"/>
      <c r="C292" s="1456" t="s">
        <v>5254</v>
      </c>
      <c r="D292" s="1526">
        <v>0</v>
      </c>
      <c r="E292" s="1728"/>
    </row>
    <row r="293" spans="1:139" ht="15" customHeight="1" x14ac:dyDescent="0.2">
      <c r="A293" s="1747"/>
      <c r="B293" s="1252"/>
      <c r="C293" s="378" t="s">
        <v>1268</v>
      </c>
      <c r="D293" s="1526">
        <v>0</v>
      </c>
      <c r="E293" s="1728"/>
    </row>
    <row r="294" spans="1:139" s="435" customFormat="1" ht="15" customHeight="1" thickBot="1" x14ac:dyDescent="0.25">
      <c r="A294" s="1748"/>
      <c r="B294" s="1253"/>
      <c r="C294" s="1457" t="s">
        <v>1269</v>
      </c>
      <c r="D294" s="1534">
        <v>0</v>
      </c>
      <c r="E294" s="1733"/>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row>
    <row r="295" spans="1:139" s="439" customFormat="1" ht="21" customHeight="1" thickBot="1" x14ac:dyDescent="0.25">
      <c r="A295" s="1755" t="s">
        <v>939</v>
      </c>
      <c r="B295" s="1722" t="s">
        <v>60</v>
      </c>
      <c r="C295" s="372" t="s">
        <v>1932</v>
      </c>
      <c r="D295" s="1502"/>
      <c r="E295" s="1732" t="s">
        <v>5666</v>
      </c>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row>
    <row r="296" spans="1:139" ht="27.75" customHeight="1" x14ac:dyDescent="0.2">
      <c r="A296" s="1756"/>
      <c r="B296" s="1723"/>
      <c r="C296" s="1403" t="s">
        <v>2205</v>
      </c>
      <c r="D296" s="1526">
        <v>0</v>
      </c>
      <c r="E296" s="1728"/>
    </row>
    <row r="297" spans="1:139" ht="27" customHeight="1" x14ac:dyDescent="0.2">
      <c r="A297" s="1756"/>
      <c r="B297" s="1723"/>
      <c r="C297" s="1343" t="s">
        <v>2053</v>
      </c>
      <c r="D297" s="1526">
        <v>0</v>
      </c>
      <c r="E297" s="1728"/>
    </row>
    <row r="298" spans="1:139" ht="28.5" customHeight="1" x14ac:dyDescent="0.2">
      <c r="A298" s="1756"/>
      <c r="B298" s="1723"/>
      <c r="C298" s="1343" t="s">
        <v>2054</v>
      </c>
      <c r="D298" s="1524">
        <v>0</v>
      </c>
      <c r="E298" s="1728"/>
    </row>
    <row r="299" spans="1:139" s="435" customFormat="1" ht="27" customHeight="1" thickBot="1" x14ac:dyDescent="0.25">
      <c r="A299" s="1757"/>
      <c r="B299" s="1724"/>
      <c r="C299" s="1449" t="s">
        <v>2288</v>
      </c>
      <c r="D299" s="1528">
        <v>0</v>
      </c>
      <c r="E299" s="1733"/>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row>
    <row r="300" spans="1:139" s="439" customFormat="1" ht="42.75" customHeight="1" thickBot="1" x14ac:dyDescent="0.25">
      <c r="A300" s="1755" t="s">
        <v>850</v>
      </c>
      <c r="B300" s="443" t="s">
        <v>7</v>
      </c>
      <c r="C300" s="372" t="s">
        <v>2384</v>
      </c>
      <c r="D300" s="1502"/>
      <c r="E300" s="1732" t="s">
        <v>5667</v>
      </c>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row>
    <row r="301" spans="1:139" ht="15" customHeight="1" x14ac:dyDescent="0.2">
      <c r="A301" s="1756"/>
      <c r="B301" s="444"/>
      <c r="C301" s="1463" t="s">
        <v>2069</v>
      </c>
      <c r="D301" s="1533">
        <v>0</v>
      </c>
      <c r="E301" s="1728"/>
    </row>
    <row r="302" spans="1:139" ht="15" customHeight="1" x14ac:dyDescent="0.2">
      <c r="A302" s="1756"/>
      <c r="B302" s="444"/>
      <c r="C302" s="1464" t="s">
        <v>2066</v>
      </c>
      <c r="D302" s="1533">
        <v>0</v>
      </c>
      <c r="E302" s="1728"/>
    </row>
    <row r="303" spans="1:139" ht="15" customHeight="1" x14ac:dyDescent="0.2">
      <c r="A303" s="1756"/>
      <c r="B303" s="444"/>
      <c r="C303" s="1464" t="s">
        <v>2067</v>
      </c>
      <c r="D303" s="1533">
        <v>0</v>
      </c>
      <c r="E303" s="1728"/>
    </row>
    <row r="304" spans="1:139" ht="15" customHeight="1" x14ac:dyDescent="0.2">
      <c r="A304" s="1756"/>
      <c r="B304" s="444"/>
      <c r="C304" s="1465" t="s">
        <v>2068</v>
      </c>
      <c r="D304" s="1533">
        <v>0</v>
      </c>
      <c r="E304" s="1728"/>
    </row>
    <row r="305" spans="1:139" ht="15" customHeight="1" x14ac:dyDescent="0.2">
      <c r="A305" s="1756"/>
      <c r="B305" s="444"/>
      <c r="C305" s="1344" t="s">
        <v>288</v>
      </c>
      <c r="D305" s="1533">
        <v>0</v>
      </c>
      <c r="E305" s="1728"/>
    </row>
    <row r="306" spans="1:139" s="435" customFormat="1" ht="15" customHeight="1" thickBot="1" x14ac:dyDescent="0.25">
      <c r="A306" s="1757"/>
      <c r="B306" s="445"/>
      <c r="C306" s="1449" t="s">
        <v>1823</v>
      </c>
      <c r="D306" s="1527">
        <v>0</v>
      </c>
      <c r="E306" s="1733"/>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row>
    <row r="307" spans="1:139" s="439" customFormat="1" ht="45" customHeight="1" thickBot="1" x14ac:dyDescent="0.25">
      <c r="A307" s="1755" t="s">
        <v>851</v>
      </c>
      <c r="B307" s="443" t="s">
        <v>44</v>
      </c>
      <c r="C307" s="372" t="s">
        <v>2366</v>
      </c>
      <c r="D307" s="1497"/>
      <c r="E307" s="1732" t="s">
        <v>5668</v>
      </c>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row>
    <row r="308" spans="1:139" ht="15" customHeight="1" x14ac:dyDescent="0.2">
      <c r="A308" s="1756"/>
      <c r="B308" s="444"/>
      <c r="C308" s="1403" t="s">
        <v>5738</v>
      </c>
      <c r="D308" s="1539">
        <v>0</v>
      </c>
      <c r="E308" s="1728"/>
    </row>
    <row r="309" spans="1:139" ht="15" customHeight="1" x14ac:dyDescent="0.2">
      <c r="A309" s="1756"/>
      <c r="B309" s="444"/>
      <c r="C309" s="1464" t="s">
        <v>89</v>
      </c>
      <c r="D309" s="1533">
        <v>0</v>
      </c>
      <c r="E309" s="1728"/>
    </row>
    <row r="310" spans="1:139" ht="15" customHeight="1" x14ac:dyDescent="0.2">
      <c r="A310" s="1756"/>
      <c r="B310" s="444"/>
      <c r="C310" s="1343" t="s">
        <v>288</v>
      </c>
      <c r="D310" s="1533">
        <v>0</v>
      </c>
      <c r="E310" s="1728"/>
    </row>
    <row r="311" spans="1:139" s="435" customFormat="1" ht="15" customHeight="1" thickBot="1" x14ac:dyDescent="0.25">
      <c r="A311" s="1756"/>
      <c r="B311" s="444"/>
      <c r="C311" s="1344" t="s">
        <v>1823</v>
      </c>
      <c r="D311" s="1534">
        <v>0</v>
      </c>
      <c r="E311" s="1728"/>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row>
    <row r="312" spans="1:139" s="115" customFormat="1" ht="30" customHeight="1" thickBot="1" x14ac:dyDescent="0.25">
      <c r="A312" s="1400" t="s">
        <v>130</v>
      </c>
      <c r="B312" s="442" t="s">
        <v>2070</v>
      </c>
      <c r="C312" s="373" t="s">
        <v>2074</v>
      </c>
      <c r="D312" s="1536">
        <v>0</v>
      </c>
      <c r="E312" s="1469" t="s">
        <v>5581</v>
      </c>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row>
    <row r="313" spans="1:139" s="115" customFormat="1" ht="45" customHeight="1" thickBot="1" x14ac:dyDescent="0.25">
      <c r="A313" s="1348" t="s">
        <v>64</v>
      </c>
      <c r="B313" s="442" t="s">
        <v>2071</v>
      </c>
      <c r="C313" s="373" t="s">
        <v>2077</v>
      </c>
      <c r="D313" s="1536">
        <v>0</v>
      </c>
      <c r="E313" s="1469" t="s">
        <v>5582</v>
      </c>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row>
    <row r="314" spans="1:139" s="439" customFormat="1" ht="21" customHeight="1" thickBot="1" x14ac:dyDescent="0.25">
      <c r="A314" s="1746" t="s">
        <v>226</v>
      </c>
      <c r="B314" s="1722" t="s">
        <v>126</v>
      </c>
      <c r="C314" s="372" t="s">
        <v>2052</v>
      </c>
      <c r="D314" s="1497"/>
      <c r="E314" s="1727" t="s">
        <v>5583</v>
      </c>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row>
    <row r="315" spans="1:139" ht="15" customHeight="1" x14ac:dyDescent="0.2">
      <c r="A315" s="1747"/>
      <c r="B315" s="1723"/>
      <c r="C315" s="1403" t="s">
        <v>2381</v>
      </c>
      <c r="D315" s="1532">
        <v>0</v>
      </c>
      <c r="E315" s="1728"/>
    </row>
    <row r="316" spans="1:139" ht="15" customHeight="1" x14ac:dyDescent="0.2">
      <c r="A316" s="1747"/>
      <c r="B316" s="1723"/>
      <c r="C316" s="1343" t="s">
        <v>2382</v>
      </c>
      <c r="D316" s="1533">
        <v>0</v>
      </c>
      <c r="E316" s="1728"/>
    </row>
    <row r="317" spans="1:139" ht="15" customHeight="1" x14ac:dyDescent="0.2">
      <c r="A317" s="1747"/>
      <c r="B317" s="1723"/>
      <c r="C317" s="1343" t="s">
        <v>5256</v>
      </c>
      <c r="D317" s="1533">
        <v>0</v>
      </c>
      <c r="E317" s="1728"/>
    </row>
    <row r="318" spans="1:139" ht="15" customHeight="1" x14ac:dyDescent="0.2">
      <c r="A318" s="1747"/>
      <c r="B318" s="1723"/>
      <c r="C318" s="1343" t="s">
        <v>2383</v>
      </c>
      <c r="D318" s="1533">
        <v>0</v>
      </c>
      <c r="E318" s="1728"/>
    </row>
    <row r="319" spans="1:139" ht="15" customHeight="1" x14ac:dyDescent="0.2">
      <c r="A319" s="1747"/>
      <c r="B319" s="1723"/>
      <c r="C319" s="1343" t="s">
        <v>845</v>
      </c>
      <c r="D319" s="1526">
        <v>0</v>
      </c>
      <c r="E319" s="1728"/>
    </row>
    <row r="320" spans="1:139" s="435" customFormat="1" ht="15" customHeight="1" thickBot="1" x14ac:dyDescent="0.25">
      <c r="A320" s="1748"/>
      <c r="B320" s="1724"/>
      <c r="C320" s="1449" t="s">
        <v>581</v>
      </c>
      <c r="D320" s="1527">
        <v>0</v>
      </c>
      <c r="E320" s="1729"/>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row>
    <row r="321" spans="1:139" s="439" customFormat="1" ht="21" customHeight="1" thickBot="1" x14ac:dyDescent="0.25">
      <c r="A321" s="1749" t="s">
        <v>852</v>
      </c>
      <c r="B321" s="443" t="s">
        <v>58</v>
      </c>
      <c r="C321" s="372" t="s">
        <v>844</v>
      </c>
      <c r="D321" s="1497"/>
      <c r="E321" s="1727" t="s">
        <v>5584</v>
      </c>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row>
    <row r="322" spans="1:139" ht="15" customHeight="1" x14ac:dyDescent="0.2">
      <c r="A322" s="1750"/>
      <c r="B322" s="444"/>
      <c r="C322" s="1403" t="s">
        <v>5692</v>
      </c>
      <c r="D322" s="1532">
        <v>0</v>
      </c>
      <c r="E322" s="1728"/>
    </row>
    <row r="323" spans="1:139" ht="15" customHeight="1" x14ac:dyDescent="0.2">
      <c r="A323" s="1750"/>
      <c r="B323" s="444"/>
      <c r="C323" s="1343" t="s">
        <v>5693</v>
      </c>
      <c r="D323" s="1533">
        <v>0</v>
      </c>
      <c r="E323" s="1728"/>
    </row>
    <row r="324" spans="1:139" s="435" customFormat="1" ht="15" customHeight="1" thickBot="1" x14ac:dyDescent="0.25">
      <c r="A324" s="1751"/>
      <c r="B324" s="445"/>
      <c r="C324" s="1449" t="s">
        <v>5694</v>
      </c>
      <c r="D324" s="1544">
        <v>0</v>
      </c>
      <c r="E324" s="1729"/>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row>
    <row r="325" spans="1:139" ht="15" customHeight="1" x14ac:dyDescent="0.2">
      <c r="A325" s="1725"/>
      <c r="B325" s="1725"/>
      <c r="C325" s="1725"/>
      <c r="D325" s="1725"/>
      <c r="E325" s="1725"/>
    </row>
    <row r="326" spans="1:139" ht="15" customHeight="1" x14ac:dyDescent="0.2">
      <c r="A326" s="1726"/>
      <c r="B326" s="1726"/>
      <c r="C326" s="1726"/>
      <c r="D326" s="1726"/>
      <c r="E326" s="1726"/>
    </row>
    <row r="327" spans="1:139" ht="15" customHeight="1" x14ac:dyDescent="0.2">
      <c r="A327" s="1726"/>
      <c r="B327" s="1726"/>
      <c r="C327" s="1726"/>
      <c r="D327" s="1726"/>
      <c r="E327" s="1726"/>
    </row>
    <row r="328" spans="1:139" ht="15" customHeight="1" x14ac:dyDescent="0.2">
      <c r="A328" s="1726"/>
      <c r="B328" s="1726"/>
      <c r="C328" s="1726"/>
      <c r="D328" s="1726"/>
      <c r="E328" s="1726"/>
    </row>
    <row r="329" spans="1:139" ht="15" customHeight="1" x14ac:dyDescent="0.2">
      <c r="A329" s="1726"/>
      <c r="B329" s="1726"/>
      <c r="C329" s="1726"/>
      <c r="D329" s="1726"/>
      <c r="E329" s="1726"/>
    </row>
    <row r="330" spans="1:139" ht="15" customHeight="1" x14ac:dyDescent="0.2">
      <c r="A330" s="1726"/>
      <c r="B330" s="1726"/>
      <c r="C330" s="1726"/>
      <c r="D330" s="1726"/>
      <c r="E330" s="1726"/>
    </row>
    <row r="331" spans="1:139" ht="15" customHeight="1" x14ac:dyDescent="0.2">
      <c r="A331" s="1726"/>
      <c r="B331" s="1726"/>
      <c r="C331" s="1726"/>
      <c r="D331" s="1726"/>
      <c r="E331" s="1726"/>
    </row>
    <row r="332" spans="1:139" ht="15" customHeight="1" x14ac:dyDescent="0.2">
      <c r="A332" s="1726"/>
      <c r="B332" s="1726"/>
      <c r="C332" s="1726"/>
      <c r="D332" s="1726"/>
      <c r="E332" s="1726"/>
    </row>
    <row r="333" spans="1:139" ht="15" customHeight="1" x14ac:dyDescent="0.2">
      <c r="A333" s="1726"/>
      <c r="B333" s="1726"/>
      <c r="C333" s="1726"/>
      <c r="D333" s="1726"/>
      <c r="E333" s="1726"/>
    </row>
    <row r="334" spans="1:139" ht="15" customHeight="1" x14ac:dyDescent="0.2">
      <c r="A334" s="1726"/>
      <c r="B334" s="1726"/>
      <c r="C334" s="1726"/>
      <c r="D334" s="1726"/>
      <c r="E334" s="1726"/>
    </row>
    <row r="335" spans="1:139" ht="15" customHeight="1" x14ac:dyDescent="0.2">
      <c r="A335" s="1726"/>
      <c r="B335" s="1726"/>
      <c r="C335" s="1726"/>
      <c r="D335" s="1726"/>
      <c r="E335" s="1726"/>
    </row>
    <row r="336" spans="1:139" ht="15" customHeight="1" x14ac:dyDescent="0.2">
      <c r="A336" s="1726"/>
      <c r="B336" s="1726"/>
      <c r="C336" s="1726"/>
      <c r="D336" s="1726"/>
      <c r="E336" s="1726"/>
    </row>
    <row r="337" spans="1:5" ht="15" customHeight="1" x14ac:dyDescent="0.2">
      <c r="A337" s="1726"/>
      <c r="B337" s="1726"/>
      <c r="C337" s="1726"/>
      <c r="D337" s="1726"/>
      <c r="E337" s="1726"/>
    </row>
    <row r="338" spans="1:5" ht="15" customHeight="1" x14ac:dyDescent="0.2">
      <c r="A338" s="1726"/>
      <c r="B338" s="1726"/>
      <c r="C338" s="1726"/>
      <c r="D338" s="1726"/>
      <c r="E338" s="1726"/>
    </row>
    <row r="339" spans="1:5" ht="15" customHeight="1" x14ac:dyDescent="0.2">
      <c r="A339" s="1726"/>
      <c r="B339" s="1726"/>
      <c r="C339" s="1726"/>
      <c r="D339" s="1726"/>
      <c r="E339" s="1726"/>
    </row>
    <row r="340" spans="1:5" ht="15" customHeight="1" x14ac:dyDescent="0.2">
      <c r="A340" s="1726"/>
      <c r="B340" s="1726"/>
      <c r="C340" s="1726"/>
      <c r="D340" s="1726"/>
      <c r="E340" s="1726"/>
    </row>
    <row r="341" spans="1:5" ht="15" customHeight="1" x14ac:dyDescent="0.2">
      <c r="A341" s="1726"/>
      <c r="B341" s="1726"/>
      <c r="C341" s="1726"/>
      <c r="D341" s="1726"/>
      <c r="E341" s="1726"/>
    </row>
    <row r="342" spans="1:5" ht="15" customHeight="1" x14ac:dyDescent="0.2">
      <c r="A342" s="1726"/>
      <c r="B342" s="1726"/>
      <c r="C342" s="1726"/>
      <c r="D342" s="1726"/>
      <c r="E342" s="1726"/>
    </row>
    <row r="343" spans="1:5" ht="15" customHeight="1" x14ac:dyDescent="0.2">
      <c r="A343" s="1726"/>
      <c r="B343" s="1726"/>
      <c r="C343" s="1726"/>
      <c r="D343" s="1726"/>
      <c r="E343" s="1726"/>
    </row>
    <row r="344" spans="1:5" ht="15" customHeight="1" x14ac:dyDescent="0.2">
      <c r="A344" s="1726"/>
      <c r="B344" s="1726"/>
      <c r="C344" s="1726"/>
      <c r="D344" s="1726"/>
      <c r="E344" s="1726"/>
    </row>
    <row r="345" spans="1:5" ht="15" customHeight="1" x14ac:dyDescent="0.2">
      <c r="A345" s="1726"/>
      <c r="B345" s="1726"/>
      <c r="C345" s="1726"/>
      <c r="D345" s="1726"/>
      <c r="E345" s="1726"/>
    </row>
    <row r="346" spans="1:5" ht="15" customHeight="1" x14ac:dyDescent="0.2">
      <c r="A346" s="1726"/>
      <c r="B346" s="1726"/>
      <c r="C346" s="1726"/>
      <c r="D346" s="1726"/>
      <c r="E346" s="1726"/>
    </row>
    <row r="347" spans="1:5" ht="15" customHeight="1" x14ac:dyDescent="0.2">
      <c r="A347" s="1726"/>
      <c r="B347" s="1726"/>
      <c r="C347" s="1726"/>
      <c r="D347" s="1726"/>
      <c r="E347" s="1726"/>
    </row>
    <row r="348" spans="1:5" ht="15" customHeight="1" x14ac:dyDescent="0.2">
      <c r="A348" s="1726"/>
      <c r="B348" s="1726"/>
      <c r="C348" s="1726"/>
      <c r="D348" s="1726"/>
      <c r="E348" s="1726"/>
    </row>
    <row r="349" spans="1:5" ht="15" customHeight="1" x14ac:dyDescent="0.2">
      <c r="A349" s="1726"/>
      <c r="B349" s="1726"/>
      <c r="C349" s="1726"/>
      <c r="D349" s="1726"/>
      <c r="E349" s="1726"/>
    </row>
  </sheetData>
  <sheetProtection algorithmName="SHA-512" hashValue="OiPjgcv4WOSklmXjKG/jT5WFzw/OEw7kdGrDuH8A9rmczUV0i+9j8pL9cSvBFsj1MKhggT6oN1ACJSNOzwO1AA==" saltValue="Ti9UoW6xbJjI+hdKR11acA==" spinCount="100000" sheet="1" formatCells="0" formatColumns="0" formatRows="0"/>
  <sortState xmlns:xlrd2="http://schemas.microsoft.com/office/spreadsheetml/2017/richdata2" columnSort="1" ref="E3:DS2720">
    <sortCondition ref="E3:DS3"/>
  </sortState>
  <customSheetViews>
    <customSheetView guid="{B8E02330-2419-4DE6-AD01-7ACC7A5D18DD}" scale="90" topLeftCell="A96">
      <selection activeCell="C101" sqref="C101:C102"/>
      <rowBreaks count="16" manualBreakCount="16">
        <brk id="9" max="4" man="1"/>
        <brk id="26" max="4" man="1"/>
        <brk id="45" max="4" man="1"/>
        <brk id="82" max="4" man="1"/>
        <brk id="100" max="4" man="1"/>
        <brk id="124" max="4" man="1"/>
        <brk id="148" max="4" man="1"/>
        <brk id="166" max="4" man="1"/>
        <brk id="196" max="4" man="1"/>
        <brk id="220" max="4" man="1"/>
        <brk id="236" max="4" man="1"/>
        <brk id="267" max="4" man="1"/>
        <brk id="287" max="4" man="1"/>
        <brk id="306" max="4" man="1"/>
        <brk id="333" max="4" man="1"/>
        <brk id="363" max="4" man="1"/>
      </rowBreaks>
      <pageMargins left="0.25" right="0.25" top="0.75" bottom="0.75" header="0.3" footer="0.3"/>
      <printOptions headings="1"/>
      <pageSetup scale="85" orientation="landscape" r:id="rId1"/>
      <headerFooter alignWithMargins="0">
        <oddFooter>&amp;LWESPUS betaV1, by Dr. Paul Adamus</oddFooter>
      </headerFooter>
    </customSheetView>
  </customSheetViews>
  <mergeCells count="124">
    <mergeCell ref="B314:B320"/>
    <mergeCell ref="B295:B299"/>
    <mergeCell ref="B253:B258"/>
    <mergeCell ref="B130:B133"/>
    <mergeCell ref="B168:B173"/>
    <mergeCell ref="B140:B145"/>
    <mergeCell ref="B233:B238"/>
    <mergeCell ref="B114:B119"/>
    <mergeCell ref="A168:A173"/>
    <mergeCell ref="A152:A160"/>
    <mergeCell ref="A177:A181"/>
    <mergeCell ref="A221:A225"/>
    <mergeCell ref="A161:A164"/>
    <mergeCell ref="A165:A167"/>
    <mergeCell ref="A233:A238"/>
    <mergeCell ref="A174:A176"/>
    <mergeCell ref="A226:A232"/>
    <mergeCell ref="A200:A205"/>
    <mergeCell ref="A206:A209"/>
    <mergeCell ref="A210:A213"/>
    <mergeCell ref="A214:A220"/>
    <mergeCell ref="A194:A199"/>
    <mergeCell ref="A188:A193"/>
    <mergeCell ref="A182:A187"/>
    <mergeCell ref="A126:A129"/>
    <mergeCell ref="A130:A133"/>
    <mergeCell ref="A120:A125"/>
    <mergeCell ref="B39:B43"/>
    <mergeCell ref="B50:B53"/>
    <mergeCell ref="A39:A43"/>
    <mergeCell ref="A50:A53"/>
    <mergeCell ref="A11:A17"/>
    <mergeCell ref="A55:A60"/>
    <mergeCell ref="A18:A24"/>
    <mergeCell ref="A25:A30"/>
    <mergeCell ref="A33:A38"/>
    <mergeCell ref="A44:A49"/>
    <mergeCell ref="A61:A66"/>
    <mergeCell ref="A71:A78"/>
    <mergeCell ref="A67:A70"/>
    <mergeCell ref="A94:A98"/>
    <mergeCell ref="A99:A106"/>
    <mergeCell ref="A114:A119"/>
    <mergeCell ref="A79:A85"/>
    <mergeCell ref="A86:A89"/>
    <mergeCell ref="A109:A113"/>
    <mergeCell ref="E39:E43"/>
    <mergeCell ref="E44:E49"/>
    <mergeCell ref="E11:E17"/>
    <mergeCell ref="E18:E24"/>
    <mergeCell ref="E25:E30"/>
    <mergeCell ref="E33:E38"/>
    <mergeCell ref="A239:A244"/>
    <mergeCell ref="A245:A249"/>
    <mergeCell ref="A321:A324"/>
    <mergeCell ref="A259:A263"/>
    <mergeCell ref="A264:A269"/>
    <mergeCell ref="A270:A272"/>
    <mergeCell ref="A273:A277"/>
    <mergeCell ref="A286:A289"/>
    <mergeCell ref="A307:A311"/>
    <mergeCell ref="A314:A320"/>
    <mergeCell ref="A300:A306"/>
    <mergeCell ref="A279:A285"/>
    <mergeCell ref="A295:A299"/>
    <mergeCell ref="A250:A252"/>
    <mergeCell ref="A290:A294"/>
    <mergeCell ref="A253:A258"/>
    <mergeCell ref="A134:A139"/>
    <mergeCell ref="A140:A145"/>
    <mergeCell ref="E71:E78"/>
    <mergeCell ref="E79:E85"/>
    <mergeCell ref="E86:E89"/>
    <mergeCell ref="B86:B89"/>
    <mergeCell ref="E94:E98"/>
    <mergeCell ref="E61:E66"/>
    <mergeCell ref="E67:E70"/>
    <mergeCell ref="E50:E53"/>
    <mergeCell ref="E55:E60"/>
    <mergeCell ref="E130:E133"/>
    <mergeCell ref="E134:E139"/>
    <mergeCell ref="E140:E145"/>
    <mergeCell ref="E146:E151"/>
    <mergeCell ref="E152:E160"/>
    <mergeCell ref="E99:E106"/>
    <mergeCell ref="E109:E113"/>
    <mergeCell ref="E114:E119"/>
    <mergeCell ref="E120:E125"/>
    <mergeCell ref="E126:E129"/>
    <mergeCell ref="E233:E238"/>
    <mergeCell ref="E182:E187"/>
    <mergeCell ref="E188:E193"/>
    <mergeCell ref="E194:E199"/>
    <mergeCell ref="E200:E205"/>
    <mergeCell ref="E206:E209"/>
    <mergeCell ref="E161:E164"/>
    <mergeCell ref="E165:E167"/>
    <mergeCell ref="E168:E173"/>
    <mergeCell ref="E174:E176"/>
    <mergeCell ref="E177:E181"/>
    <mergeCell ref="A1:C1"/>
    <mergeCell ref="A2:C2"/>
    <mergeCell ref="B174:B176"/>
    <mergeCell ref="A325:E349"/>
    <mergeCell ref="E314:E320"/>
    <mergeCell ref="E321:E324"/>
    <mergeCell ref="E273:E277"/>
    <mergeCell ref="E264:E269"/>
    <mergeCell ref="E259:E263"/>
    <mergeCell ref="E270:E272"/>
    <mergeCell ref="E286:E289"/>
    <mergeCell ref="E290:E294"/>
    <mergeCell ref="E295:E299"/>
    <mergeCell ref="E300:E306"/>
    <mergeCell ref="E307:E311"/>
    <mergeCell ref="E279:E285"/>
    <mergeCell ref="E239:E244"/>
    <mergeCell ref="E245:E249"/>
    <mergeCell ref="E250:E252"/>
    <mergeCell ref="E253:E258"/>
    <mergeCell ref="E210:E213"/>
    <mergeCell ref="E214:E220"/>
    <mergeCell ref="E221:E225"/>
    <mergeCell ref="E226:E232"/>
  </mergeCells>
  <phoneticPr fontId="3" type="noConversion"/>
  <conditionalFormatting sqref="D4:D324">
    <cfRule type="cellIs" dxfId="2" priority="1" operator="greaterThan">
      <formula>0</formula>
    </cfRule>
  </conditionalFormatting>
  <printOptions headings="1"/>
  <pageMargins left="0.25" right="0.25" top="0.75" bottom="0.75" header="0.3" footer="0.3"/>
  <pageSetup scale="64" orientation="landscape" r:id="rId2"/>
  <headerFooter alignWithMargins="0">
    <oddFooter>&amp;LFieldF form - Non-tidal&amp;CPage &amp;P of &amp;N</oddFooter>
  </headerFooter>
  <rowBreaks count="7" manualBreakCount="7">
    <brk id="32" max="4" man="1"/>
    <brk id="119" max="4" man="1"/>
    <brk id="167" max="4" man="1"/>
    <brk id="199" max="4" man="1"/>
    <brk id="249" max="4" man="1"/>
    <brk id="272" max="4" man="1"/>
    <brk id="299"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dimension ref="A1:I480"/>
  <sheetViews>
    <sheetView zoomScaleNormal="100" workbookViewId="0">
      <selection activeCell="L13" sqref="L13"/>
    </sheetView>
  </sheetViews>
  <sheetFormatPr defaultColWidth="9.33203125" defaultRowHeight="12.75" x14ac:dyDescent="0.2"/>
  <cols>
    <col min="1" max="1" width="5.83203125" style="24" customWidth="1"/>
    <col min="2" max="2" width="18.83203125" style="24" customWidth="1"/>
    <col min="3" max="3" width="75.83203125" style="24" customWidth="1"/>
    <col min="4" max="4" width="6.83203125" style="1077" customWidth="1"/>
    <col min="5" max="5" width="8.1640625" style="1077" customWidth="1"/>
    <col min="6" max="6" width="9.1640625" style="1077" customWidth="1"/>
    <col min="7" max="7" width="9.83203125" style="1078" customWidth="1"/>
    <col min="8" max="8" width="75.83203125" style="26" customWidth="1"/>
    <col min="9" max="9" width="18" style="24" customWidth="1"/>
    <col min="10" max="16384" width="9.33203125" style="24"/>
  </cols>
  <sheetData>
    <row r="1" spans="1:9" ht="73.5" customHeight="1" thickBot="1" x14ac:dyDescent="0.25">
      <c r="A1" s="1893" t="s">
        <v>5796</v>
      </c>
      <c r="B1" s="1894"/>
      <c r="C1" s="87" t="s">
        <v>2165</v>
      </c>
      <c r="D1" s="127" t="s">
        <v>2147</v>
      </c>
      <c r="E1" s="2201"/>
      <c r="F1" s="2202"/>
      <c r="G1" s="2202"/>
      <c r="H1" s="2202"/>
    </row>
    <row r="2" spans="1:9" s="12" customFormat="1" ht="30" customHeight="1" thickBot="1" x14ac:dyDescent="0.25">
      <c r="A2" s="451" t="s">
        <v>290</v>
      </c>
      <c r="B2" s="450" t="s">
        <v>5434</v>
      </c>
      <c r="C2" s="484" t="s">
        <v>2606</v>
      </c>
      <c r="D2" s="450" t="s">
        <v>117</v>
      </c>
      <c r="E2" s="592" t="s">
        <v>5438</v>
      </c>
      <c r="F2" s="472" t="s">
        <v>5439</v>
      </c>
      <c r="G2" s="593" t="s">
        <v>5825</v>
      </c>
      <c r="H2" s="450" t="s">
        <v>919</v>
      </c>
    </row>
    <row r="3" spans="1:9" ht="30" customHeight="1" thickBot="1" x14ac:dyDescent="0.25">
      <c r="A3" s="2197" t="str">
        <f>OF!A4</f>
        <v>OF1</v>
      </c>
      <c r="B3" s="2151" t="str">
        <f>OF!B4</f>
        <v>Distance by Road to Nearest Population Center</v>
      </c>
      <c r="C3" s="981" t="str">
        <f>OF!C4</f>
        <v>Measured along the maintained road or boat landing that is nearest the AA, the distance to the nearest population center is:</v>
      </c>
      <c r="D3" s="1017"/>
      <c r="E3" s="1017"/>
      <c r="F3" s="1018"/>
      <c r="G3" s="1010">
        <f>MAX(F4:F8)/MAX(E4:E8)</f>
        <v>0</v>
      </c>
      <c r="H3" s="1698" t="s">
        <v>1222</v>
      </c>
      <c r="I3" s="3" t="s">
        <v>502</v>
      </c>
    </row>
    <row r="4" spans="1:9" ht="15" customHeight="1" x14ac:dyDescent="0.2">
      <c r="A4" s="2198"/>
      <c r="B4" s="2152"/>
      <c r="C4" s="982" t="str">
        <f>OF!C5</f>
        <v>&lt;0.5 mile</v>
      </c>
      <c r="D4" s="325">
        <f>OF!D5</f>
        <v>0</v>
      </c>
      <c r="E4" s="1019">
        <v>0</v>
      </c>
      <c r="F4" s="1020">
        <f>D4*E4</f>
        <v>0</v>
      </c>
      <c r="G4" s="1021"/>
      <c r="H4" s="2167"/>
    </row>
    <row r="5" spans="1:9" ht="15" customHeight="1" x14ac:dyDescent="0.2">
      <c r="A5" s="2198"/>
      <c r="B5" s="2152"/>
      <c r="C5" s="983" t="str">
        <f>OF!C6</f>
        <v>0.5 - 2 miles</v>
      </c>
      <c r="D5" s="326">
        <f>OF!D6</f>
        <v>0</v>
      </c>
      <c r="E5" s="1019">
        <v>2</v>
      </c>
      <c r="F5" s="1020">
        <f>D5*E5</f>
        <v>0</v>
      </c>
      <c r="G5" s="1022"/>
      <c r="H5" s="2167"/>
    </row>
    <row r="6" spans="1:9" ht="15" customHeight="1" x14ac:dyDescent="0.2">
      <c r="A6" s="2198"/>
      <c r="B6" s="2152"/>
      <c r="C6" s="983" t="str">
        <f>OF!C7</f>
        <v>2-5 miles</v>
      </c>
      <c r="D6" s="326">
        <f>OF!D7</f>
        <v>0</v>
      </c>
      <c r="E6" s="1019">
        <v>3</v>
      </c>
      <c r="F6" s="1020">
        <f>D6*E6</f>
        <v>0</v>
      </c>
      <c r="G6" s="1022"/>
      <c r="H6" s="2167"/>
    </row>
    <row r="7" spans="1:9" ht="15" customHeight="1" x14ac:dyDescent="0.2">
      <c r="A7" s="2198"/>
      <c r="B7" s="2152"/>
      <c r="C7" s="983" t="str">
        <f>OF!C8</f>
        <v>5-10 miles</v>
      </c>
      <c r="D7" s="326">
        <f>OF!D8</f>
        <v>0</v>
      </c>
      <c r="E7" s="1019">
        <v>5</v>
      </c>
      <c r="F7" s="1020">
        <f>D7*E7</f>
        <v>0</v>
      </c>
      <c r="G7" s="1022"/>
      <c r="H7" s="2167"/>
    </row>
    <row r="8" spans="1:9" ht="15.6" customHeight="1" thickBot="1" x14ac:dyDescent="0.25">
      <c r="A8" s="2199"/>
      <c r="B8" s="2153"/>
      <c r="C8" s="984" t="str">
        <f>OF!C9</f>
        <v>&gt;10 miles</v>
      </c>
      <c r="D8" s="327">
        <f>OF!D9</f>
        <v>0</v>
      </c>
      <c r="E8" s="1023">
        <v>8</v>
      </c>
      <c r="F8" s="1024">
        <f>D8*E8</f>
        <v>0</v>
      </c>
      <c r="G8" s="1025"/>
      <c r="H8" s="2168"/>
    </row>
    <row r="9" spans="1:9" ht="67.5" customHeight="1" thickBot="1" x14ac:dyDescent="0.25">
      <c r="A9" s="979" t="str">
        <f>OF!A10</f>
        <v>OF2</v>
      </c>
      <c r="B9" s="1007" t="str">
        <f>OF!B10</f>
        <v>Wildlife Access</v>
      </c>
      <c r="C9" s="982" t="str">
        <f>OF!C10</f>
        <v>Draw a circle of radius of 0.5 mile from the center of the AA.  If mammals and amphibians can move from the center of the AA to all other separate wetlands located within the circle without being forced to cross maintained roads (any width), lawns, bare ground, marine waters, and/or steep (&gt;30%) slopes, mark 1= yes can move, or no other wetlands within that distance, or 0= no.</v>
      </c>
      <c r="D9" s="325">
        <f>OF!D10</f>
        <v>0</v>
      </c>
      <c r="E9" s="1026"/>
      <c r="F9" s="1027"/>
      <c r="G9" s="1028">
        <f>1-D9</f>
        <v>1</v>
      </c>
      <c r="H9" s="19" t="s">
        <v>1223</v>
      </c>
      <c r="I9" s="3" t="s">
        <v>503</v>
      </c>
    </row>
    <row r="10" spans="1:9" ht="21" customHeight="1" thickBot="1" x14ac:dyDescent="0.25">
      <c r="A10" s="2179" t="str">
        <f>OF!A11</f>
        <v>OF3</v>
      </c>
      <c r="B10" s="2157" t="str">
        <f>OF!B11</f>
        <v>Distance to Nearest Maintained Road</v>
      </c>
      <c r="C10" s="985" t="str">
        <f>OF!C11</f>
        <v>From the center of the AA, the distance to the nearest maintained public road (dirt or paved) is:</v>
      </c>
      <c r="D10" s="1017"/>
      <c r="E10" s="1017"/>
      <c r="F10" s="1018"/>
      <c r="G10" s="1010">
        <f>MAX(F11:F16)/MAX(E11:E16)</f>
        <v>0</v>
      </c>
      <c r="H10" s="1727" t="s">
        <v>1224</v>
      </c>
      <c r="I10" s="3" t="s">
        <v>504</v>
      </c>
    </row>
    <row r="11" spans="1:9" ht="15" customHeight="1" x14ac:dyDescent="0.2">
      <c r="A11" s="2180"/>
      <c r="B11" s="2158"/>
      <c r="C11" s="986" t="str">
        <f>OF!C12</f>
        <v>&lt;100 ft</v>
      </c>
      <c r="D11" s="328">
        <f>OF!D12</f>
        <v>0</v>
      </c>
      <c r="E11" s="1019">
        <v>0</v>
      </c>
      <c r="F11" s="1019">
        <f t="shared" ref="F11:F16" si="0">D11*E11</f>
        <v>0</v>
      </c>
      <c r="G11" s="1021"/>
      <c r="H11" s="2146"/>
    </row>
    <row r="12" spans="1:9" ht="15" customHeight="1" x14ac:dyDescent="0.2">
      <c r="A12" s="2180"/>
      <c r="B12" s="2158"/>
      <c r="C12" s="987" t="str">
        <f>OF!C13</f>
        <v>100-500 ft</v>
      </c>
      <c r="D12" s="273">
        <f>OF!D13</f>
        <v>0</v>
      </c>
      <c r="E12" s="1019">
        <v>2</v>
      </c>
      <c r="F12" s="1019">
        <f t="shared" si="0"/>
        <v>0</v>
      </c>
      <c r="G12" s="1022"/>
      <c r="H12" s="2146"/>
    </row>
    <row r="13" spans="1:9" ht="15" customHeight="1" x14ac:dyDescent="0.2">
      <c r="A13" s="2180"/>
      <c r="B13" s="2158"/>
      <c r="C13" s="987" t="str">
        <f>OF!C14</f>
        <v>500-1000 ft</v>
      </c>
      <c r="D13" s="273">
        <f>OF!D14</f>
        <v>0</v>
      </c>
      <c r="E13" s="1019">
        <v>4</v>
      </c>
      <c r="F13" s="1019">
        <f t="shared" si="0"/>
        <v>0</v>
      </c>
      <c r="G13" s="1022"/>
      <c r="H13" s="2146"/>
    </row>
    <row r="14" spans="1:9" ht="15" customHeight="1" x14ac:dyDescent="0.2">
      <c r="A14" s="2180"/>
      <c r="B14" s="2158"/>
      <c r="C14" s="987" t="str">
        <f>OF!C15</f>
        <v>1000 ft - 0.5 mile</v>
      </c>
      <c r="D14" s="273">
        <f>OF!D15</f>
        <v>0</v>
      </c>
      <c r="E14" s="1019">
        <v>5</v>
      </c>
      <c r="F14" s="1019">
        <f t="shared" si="0"/>
        <v>0</v>
      </c>
      <c r="G14" s="1022"/>
      <c r="H14" s="2146"/>
    </row>
    <row r="15" spans="1:9" ht="15" customHeight="1" x14ac:dyDescent="0.2">
      <c r="A15" s="2180"/>
      <c r="B15" s="2158"/>
      <c r="C15" s="987" t="str">
        <f>OF!C16</f>
        <v>0.5- 1 mile</v>
      </c>
      <c r="D15" s="273">
        <f>OF!D16</f>
        <v>0</v>
      </c>
      <c r="E15" s="1019">
        <v>6</v>
      </c>
      <c r="F15" s="1019">
        <f t="shared" si="0"/>
        <v>0</v>
      </c>
      <c r="G15" s="1022"/>
      <c r="H15" s="2146"/>
    </row>
    <row r="16" spans="1:9" ht="15.6" customHeight="1" thickBot="1" x14ac:dyDescent="0.25">
      <c r="A16" s="2181"/>
      <c r="B16" s="2159"/>
      <c r="C16" s="988" t="str">
        <f>OF!C17</f>
        <v>&gt;1 mile</v>
      </c>
      <c r="D16" s="274">
        <f>OF!D17</f>
        <v>0</v>
      </c>
      <c r="E16" s="1023">
        <v>7</v>
      </c>
      <c r="F16" s="1023">
        <f t="shared" si="0"/>
        <v>0</v>
      </c>
      <c r="G16" s="1025"/>
      <c r="H16" s="2147"/>
    </row>
    <row r="17" spans="1:9" ht="39" customHeight="1" thickBot="1" x14ac:dyDescent="0.25">
      <c r="A17" s="2188" t="str">
        <f>OF!A18</f>
        <v>OF4</v>
      </c>
      <c r="B17" s="2158" t="str">
        <f>OF!B18</f>
        <v>Distance to Natural Land Cover</v>
      </c>
      <c r="C17" s="739" t="str">
        <f>OF!C18</f>
        <v>The minimum distance from the AA edge to the edge of the closest patch or corridor of natural (but not necessarily native-- see definition on right) land cover larger than 100 acres, is:</v>
      </c>
      <c r="D17" s="1017"/>
      <c r="E17" s="1029"/>
      <c r="F17" s="1030"/>
      <c r="G17" s="1031">
        <f>MAX(F18:F22)/MAX(E18:E22)</f>
        <v>0</v>
      </c>
      <c r="H17" s="2149" t="s">
        <v>1232</v>
      </c>
      <c r="I17" s="24" t="s">
        <v>505</v>
      </c>
    </row>
    <row r="18" spans="1:9" ht="15" customHeight="1" x14ac:dyDescent="0.2">
      <c r="A18" s="2188"/>
      <c r="B18" s="2158"/>
      <c r="C18" s="233" t="str">
        <f>OF!C19</f>
        <v>&lt;150 ft.  Or the AA itself contains &gt;100 acres of vegetation.</v>
      </c>
      <c r="D18" s="329">
        <f>OF!D19</f>
        <v>0</v>
      </c>
      <c r="E18" s="1019">
        <v>4</v>
      </c>
      <c r="F18" s="1019">
        <f>D18*E18</f>
        <v>0</v>
      </c>
      <c r="G18" s="1021"/>
      <c r="H18" s="2150"/>
    </row>
    <row r="19" spans="1:9" ht="27" customHeight="1" x14ac:dyDescent="0.2">
      <c r="A19" s="2188"/>
      <c r="B19" s="2158"/>
      <c r="C19" s="989" t="str">
        <f>OF!C20</f>
        <v>&lt;150 ft, but completely separated from the 100-acre natural area by any width of roads, stretches of open water, bare ground, lawn, or impervious surface, AND the AA does not contain &gt;100 acres of vegetation.</v>
      </c>
      <c r="D19" s="330">
        <f>OF!D20</f>
        <v>0</v>
      </c>
      <c r="E19" s="1019">
        <v>3</v>
      </c>
      <c r="F19" s="1019">
        <f>D19*E19</f>
        <v>0</v>
      </c>
      <c r="G19" s="1022"/>
      <c r="H19" s="2150"/>
    </row>
    <row r="20" spans="1:9" ht="15" customHeight="1" x14ac:dyDescent="0.2">
      <c r="A20" s="2188"/>
      <c r="B20" s="2158"/>
      <c r="C20" s="989" t="str">
        <f>OF!C21</f>
        <v>150-300 ft, with or without interrupting features</v>
      </c>
      <c r="D20" s="330">
        <f>OF!D21</f>
        <v>0</v>
      </c>
      <c r="E20" s="1019">
        <v>2</v>
      </c>
      <c r="F20" s="1019">
        <f>D20*E20</f>
        <v>0</v>
      </c>
      <c r="G20" s="1022"/>
      <c r="H20" s="2150"/>
    </row>
    <row r="21" spans="1:9" ht="15" customHeight="1" x14ac:dyDescent="0.2">
      <c r="A21" s="2188"/>
      <c r="B21" s="2158"/>
      <c r="C21" s="989" t="str">
        <f>OF!C22</f>
        <v>300-1000 ft, with or without interrupting features</v>
      </c>
      <c r="D21" s="330">
        <f>OF!D22</f>
        <v>0</v>
      </c>
      <c r="E21" s="1019">
        <v>1</v>
      </c>
      <c r="F21" s="1019">
        <f>D21*E21</f>
        <v>0</v>
      </c>
      <c r="G21" s="1022"/>
      <c r="H21" s="2150"/>
    </row>
    <row r="22" spans="1:9" ht="18.75" customHeight="1" thickBot="1" x14ac:dyDescent="0.25">
      <c r="A22" s="2188"/>
      <c r="B22" s="2158"/>
      <c r="C22" s="989" t="str">
        <f>OF!C23</f>
        <v>none of the above</v>
      </c>
      <c r="D22" s="330">
        <f>OF!D23</f>
        <v>0</v>
      </c>
      <c r="E22" s="1032">
        <v>0</v>
      </c>
      <c r="F22" s="1032">
        <f>D22*E22</f>
        <v>0</v>
      </c>
      <c r="G22" s="1033"/>
      <c r="H22" s="2150"/>
    </row>
    <row r="23" spans="1:9" ht="48" customHeight="1" thickBot="1" x14ac:dyDescent="0.25">
      <c r="A23" s="2179" t="str">
        <f>OF!A30</f>
        <v>OF6</v>
      </c>
      <c r="B23" s="2157" t="str">
        <f>OF!B30</f>
        <v>Natural Land Cover Extent</v>
      </c>
      <c r="C23" s="985" t="str">
        <f>OF!C30</f>
        <v>Within a 2-mile radius measured from the center of the AA, the percent of the land that has natural land cover (see definition above) is:</v>
      </c>
      <c r="D23" s="1017"/>
      <c r="E23" s="1017"/>
      <c r="F23" s="1034"/>
      <c r="G23" s="1010">
        <f>MAX(F24:F28)/MAX(E24:E28)</f>
        <v>0</v>
      </c>
      <c r="H23" s="1727" t="s">
        <v>2248</v>
      </c>
      <c r="I23" s="24" t="s">
        <v>506</v>
      </c>
    </row>
    <row r="24" spans="1:9" ht="24" customHeight="1" x14ac:dyDescent="0.2">
      <c r="A24" s="2180"/>
      <c r="B24" s="2158"/>
      <c r="C24" s="233" t="str">
        <f>OF!C31</f>
        <v>&lt;5% of the land (excluding ocean and bay)</v>
      </c>
      <c r="D24" s="329">
        <f>OF!D31</f>
        <v>0</v>
      </c>
      <c r="E24" s="1019">
        <v>0</v>
      </c>
      <c r="F24" s="1019">
        <f>D24*E24</f>
        <v>0</v>
      </c>
      <c r="G24" s="1021"/>
      <c r="H24" s="2146"/>
    </row>
    <row r="25" spans="1:9" ht="24" customHeight="1" x14ac:dyDescent="0.2">
      <c r="A25" s="2180"/>
      <c r="B25" s="2158"/>
      <c r="C25" s="989" t="str">
        <f>OF!C32</f>
        <v>5 to 20% of the land</v>
      </c>
      <c r="D25" s="330">
        <f>OF!D32</f>
        <v>0</v>
      </c>
      <c r="E25" s="1019">
        <v>1</v>
      </c>
      <c r="F25" s="1019">
        <f>D25*E25</f>
        <v>0</v>
      </c>
      <c r="G25" s="1022"/>
      <c r="H25" s="2146"/>
    </row>
    <row r="26" spans="1:9" ht="24" customHeight="1" x14ac:dyDescent="0.2">
      <c r="A26" s="2180"/>
      <c r="B26" s="2158"/>
      <c r="C26" s="989" t="str">
        <f>OF!C33</f>
        <v>20 to 60% of the land</v>
      </c>
      <c r="D26" s="330">
        <f>OF!D33</f>
        <v>0</v>
      </c>
      <c r="E26" s="1019">
        <v>2</v>
      </c>
      <c r="F26" s="1019">
        <f>D26*E26</f>
        <v>0</v>
      </c>
      <c r="G26" s="1022"/>
      <c r="H26" s="2146"/>
    </row>
    <row r="27" spans="1:9" ht="24" customHeight="1" x14ac:dyDescent="0.2">
      <c r="A27" s="2180"/>
      <c r="B27" s="2158"/>
      <c r="C27" s="989" t="str">
        <f>OF!C34</f>
        <v>60 to 90% of the land</v>
      </c>
      <c r="D27" s="330">
        <f>OF!D34</f>
        <v>0</v>
      </c>
      <c r="E27" s="1019">
        <v>4</v>
      </c>
      <c r="F27" s="1019">
        <f>D27*E27</f>
        <v>0</v>
      </c>
      <c r="G27" s="1022"/>
      <c r="H27" s="2146"/>
    </row>
    <row r="28" spans="1:9" ht="24" customHeight="1" thickBot="1" x14ac:dyDescent="0.25">
      <c r="A28" s="2181"/>
      <c r="B28" s="2159"/>
      <c r="C28" s="988" t="str">
        <f>OF!C35</f>
        <v>&gt;90% of the land.  SKIP to OF8.</v>
      </c>
      <c r="D28" s="274">
        <f>OF!D35</f>
        <v>0</v>
      </c>
      <c r="E28" s="1023">
        <v>6</v>
      </c>
      <c r="F28" s="1023">
        <f>D28*E28</f>
        <v>0</v>
      </c>
      <c r="G28" s="1025"/>
      <c r="H28" s="2147"/>
    </row>
    <row r="29" spans="1:9" ht="63" customHeight="1" thickBot="1" x14ac:dyDescent="0.25">
      <c r="A29" s="2170" t="str">
        <f>OF!A36</f>
        <v>OF7</v>
      </c>
      <c r="B29" s="2161" t="str">
        <f>OF!B36</f>
        <v>Type of Land Cover Alteration</v>
      </c>
      <c r="C29" s="739" t="str">
        <f>OF!C36</f>
        <v>Within a 2-mile radius measured from the center of the AA, the area that is not natural land cover or water is mostly:</v>
      </c>
      <c r="D29" s="1017"/>
      <c r="E29" s="1029"/>
      <c r="F29" s="1030"/>
      <c r="G29" s="1031">
        <f>IF((D28=1),"",MAX(F30:F31)/MAX(E30:E31))</f>
        <v>0</v>
      </c>
      <c r="H29" s="2149" t="s">
        <v>1192</v>
      </c>
      <c r="I29" s="24" t="s">
        <v>507</v>
      </c>
    </row>
    <row r="30" spans="1:9" ht="39" customHeight="1" x14ac:dyDescent="0.2">
      <c r="A30" s="2170"/>
      <c r="B30" s="2161"/>
      <c r="C30" s="233" t="str">
        <f>OF!C37</f>
        <v>impervious surface, e.g., paved road, parking lot, building, exposed rock.</v>
      </c>
      <c r="D30" s="329">
        <f>OF!D37</f>
        <v>0</v>
      </c>
      <c r="E30" s="1019">
        <v>0</v>
      </c>
      <c r="F30" s="1019">
        <f>D30*E30</f>
        <v>0</v>
      </c>
      <c r="G30" s="1021"/>
      <c r="H30" s="2150"/>
    </row>
    <row r="31" spans="1:9" ht="39" customHeight="1" thickBot="1" x14ac:dyDescent="0.25">
      <c r="A31" s="2170"/>
      <c r="B31" s="2161"/>
      <c r="C31" s="989" t="str">
        <f>OF!C38</f>
        <v>bare pervious surface, e.g., recent (5 yrs ago) clearcut, dirt or gravel road, plowed fields, landslide.</v>
      </c>
      <c r="D31" s="330">
        <f>OF!D38</f>
        <v>0</v>
      </c>
      <c r="E31" s="1032">
        <v>1</v>
      </c>
      <c r="F31" s="1032">
        <f>D31*E31</f>
        <v>0</v>
      </c>
      <c r="G31" s="1033"/>
      <c r="H31" s="2150"/>
    </row>
    <row r="32" spans="1:9" ht="72" customHeight="1" thickBot="1" x14ac:dyDescent="0.25">
      <c r="A32" s="2179" t="str">
        <f>OF!A24</f>
        <v>OF5</v>
      </c>
      <c r="B32" s="2157" t="str">
        <f>OF!B24</f>
        <v>Size of Largest Nearby Tract or Corridor of Natural Land Cover</v>
      </c>
      <c r="C32" s="985" t="str">
        <f>OF!C24</f>
        <v>Including the AA's vegetated area, the largest patch or corridor that is natural land cover and is contiguous with vegetation in the AA (i.e., not completely separated by highways or channels that are uniformly wider than 150 ft), occupies:</v>
      </c>
      <c r="D32" s="1017"/>
      <c r="E32" s="1017"/>
      <c r="F32" s="1034"/>
      <c r="G32" s="1010">
        <f>MAX(F33:F37)/MAX(E33:E37)</f>
        <v>0</v>
      </c>
      <c r="H32" s="1727" t="s">
        <v>1259</v>
      </c>
      <c r="I32" s="24" t="s">
        <v>508</v>
      </c>
    </row>
    <row r="33" spans="1:9" ht="30" customHeight="1" x14ac:dyDescent="0.2">
      <c r="A33" s="2180"/>
      <c r="B33" s="2158"/>
      <c r="C33" s="233" t="str">
        <f>OF!C25</f>
        <v>&lt;1 acre, or larger but with average width &lt;150 ft</v>
      </c>
      <c r="D33" s="329">
        <f>OF!D25</f>
        <v>0</v>
      </c>
      <c r="E33" s="1019">
        <v>0</v>
      </c>
      <c r="F33" s="1019">
        <f>D33*E33</f>
        <v>0</v>
      </c>
      <c r="G33" s="1021"/>
      <c r="H33" s="2146"/>
    </row>
    <row r="34" spans="1:9" ht="30" customHeight="1" x14ac:dyDescent="0.2">
      <c r="A34" s="2180"/>
      <c r="B34" s="2158"/>
      <c r="C34" s="989" t="str">
        <f>OF!C26</f>
        <v>1-10 acres</v>
      </c>
      <c r="D34" s="330">
        <f>OF!D26</f>
        <v>0</v>
      </c>
      <c r="E34" s="1019">
        <v>1</v>
      </c>
      <c r="F34" s="1019">
        <f>D34*E34</f>
        <v>0</v>
      </c>
      <c r="G34" s="1022"/>
      <c r="H34" s="2146"/>
    </row>
    <row r="35" spans="1:9" ht="30" customHeight="1" x14ac:dyDescent="0.2">
      <c r="A35" s="2180"/>
      <c r="B35" s="2158"/>
      <c r="C35" s="989" t="str">
        <f>OF!C27</f>
        <v>10-100 acres</v>
      </c>
      <c r="D35" s="330">
        <f>OF!D27</f>
        <v>0</v>
      </c>
      <c r="E35" s="1019">
        <v>3</v>
      </c>
      <c r="F35" s="1019">
        <f>D35*E35</f>
        <v>0</v>
      </c>
      <c r="G35" s="1022"/>
      <c r="H35" s="2146"/>
    </row>
    <row r="36" spans="1:9" ht="30" customHeight="1" x14ac:dyDescent="0.2">
      <c r="A36" s="2180"/>
      <c r="B36" s="2158"/>
      <c r="C36" s="989" t="str">
        <f>OF!C28</f>
        <v>100-1000 acres</v>
      </c>
      <c r="D36" s="330">
        <f>OF!D28</f>
        <v>0</v>
      </c>
      <c r="E36" s="1019">
        <v>4</v>
      </c>
      <c r="F36" s="1019">
        <f>D36*E36</f>
        <v>0</v>
      </c>
      <c r="G36" s="1022"/>
      <c r="H36" s="2146"/>
    </row>
    <row r="37" spans="1:9" ht="30" customHeight="1" thickBot="1" x14ac:dyDescent="0.25">
      <c r="A37" s="2181"/>
      <c r="B37" s="2159"/>
      <c r="C37" s="988" t="str">
        <f>OF!C29</f>
        <v>&gt;1000 acres</v>
      </c>
      <c r="D37" s="274">
        <f>OF!D29</f>
        <v>0</v>
      </c>
      <c r="E37" s="1023">
        <v>5</v>
      </c>
      <c r="F37" s="1023">
        <f>D37*E37</f>
        <v>0</v>
      </c>
      <c r="G37" s="1025"/>
      <c r="H37" s="2147"/>
    </row>
    <row r="38" spans="1:9" ht="30" customHeight="1" thickBot="1" x14ac:dyDescent="0.25">
      <c r="A38" s="2191" t="str">
        <f>OF!A61</f>
        <v>OF10</v>
      </c>
      <c r="B38" s="2157" t="str">
        <f>OF!B61</f>
        <v>Ponded Water in Landscape</v>
      </c>
      <c r="C38" s="985" t="str">
        <f>OF!C61</f>
        <v>Draw a circle of radius of 2 miles centered on the AA.  Including water ponded in the AA itself or in a fringing non-marine water body, the amount of water that is ponded (standing) during most of the year is:</v>
      </c>
      <c r="D38" s="1017"/>
      <c r="E38" s="1017"/>
      <c r="F38" s="1034"/>
      <c r="G38" s="1010">
        <f>MAX(F39:F44)/MAX(E39:E44)</f>
        <v>0</v>
      </c>
      <c r="H38" s="2145" t="s">
        <v>188</v>
      </c>
      <c r="I38" s="3" t="s">
        <v>510</v>
      </c>
    </row>
    <row r="39" spans="1:9" ht="15" customHeight="1" x14ac:dyDescent="0.2">
      <c r="A39" s="2180"/>
      <c r="B39" s="2158"/>
      <c r="C39" s="998">
        <f>OF!C62</f>
        <v>0</v>
      </c>
      <c r="D39" s="329">
        <f>OF!D62</f>
        <v>0</v>
      </c>
      <c r="E39" s="1019">
        <v>0</v>
      </c>
      <c r="F39" s="1019">
        <f t="shared" ref="F39:F44" si="1">D39*E39</f>
        <v>0</v>
      </c>
      <c r="G39" s="1021"/>
      <c r="H39" s="2146"/>
    </row>
    <row r="40" spans="1:9" ht="15" customHeight="1" x14ac:dyDescent="0.2">
      <c r="A40" s="2180"/>
      <c r="B40" s="2158"/>
      <c r="C40" s="989" t="str">
        <f>OF!C63</f>
        <v>1 or 2</v>
      </c>
      <c r="D40" s="330">
        <f>OF!D63</f>
        <v>0</v>
      </c>
      <c r="E40" s="1019">
        <v>0</v>
      </c>
      <c r="F40" s="1019">
        <f t="shared" si="1"/>
        <v>0</v>
      </c>
      <c r="G40" s="1022"/>
      <c r="H40" s="2146"/>
    </row>
    <row r="41" spans="1:9" ht="15" customHeight="1" x14ac:dyDescent="0.2">
      <c r="A41" s="2180"/>
      <c r="B41" s="2158"/>
      <c r="C41" s="989" t="str">
        <f>OF!C64</f>
        <v>3 to 6</v>
      </c>
      <c r="D41" s="330">
        <f>OF!D64</f>
        <v>0</v>
      </c>
      <c r="E41" s="1019">
        <v>1</v>
      </c>
      <c r="F41" s="1019">
        <f t="shared" si="1"/>
        <v>0</v>
      </c>
      <c r="G41" s="1022"/>
      <c r="H41" s="2146"/>
    </row>
    <row r="42" spans="1:9" ht="15" customHeight="1" x14ac:dyDescent="0.2">
      <c r="A42" s="2180"/>
      <c r="B42" s="2158"/>
      <c r="C42" s="989" t="str">
        <f>OF!C65</f>
        <v>7 to 9</v>
      </c>
      <c r="D42" s="330">
        <f>OF!D65</f>
        <v>0</v>
      </c>
      <c r="E42" s="1019">
        <v>1</v>
      </c>
      <c r="F42" s="1019">
        <f t="shared" si="1"/>
        <v>0</v>
      </c>
      <c r="G42" s="1022"/>
      <c r="H42" s="2146"/>
    </row>
    <row r="43" spans="1:9" ht="15" customHeight="1" x14ac:dyDescent="0.2">
      <c r="A43" s="2180"/>
      <c r="B43" s="2158"/>
      <c r="C43" s="989" t="str">
        <f>OF!C66</f>
        <v>10 to 12</v>
      </c>
      <c r="D43" s="330">
        <f>OF!D66</f>
        <v>0</v>
      </c>
      <c r="E43" s="1019">
        <v>2</v>
      </c>
      <c r="F43" s="1019">
        <f t="shared" si="1"/>
        <v>0</v>
      </c>
      <c r="G43" s="1022"/>
      <c r="H43" s="2146"/>
    </row>
    <row r="44" spans="1:9" ht="15.6" customHeight="1" thickBot="1" x14ac:dyDescent="0.25">
      <c r="A44" s="2181"/>
      <c r="B44" s="2159"/>
      <c r="C44" s="988" t="str">
        <f>OF!C67</f>
        <v>&gt;12</v>
      </c>
      <c r="D44" s="274">
        <f>OF!D67</f>
        <v>0</v>
      </c>
      <c r="E44" s="1023">
        <v>2</v>
      </c>
      <c r="F44" s="1023">
        <f t="shared" si="1"/>
        <v>0</v>
      </c>
      <c r="G44" s="1025"/>
      <c r="H44" s="2147"/>
    </row>
    <row r="45" spans="1:9" ht="30" customHeight="1" thickBot="1" x14ac:dyDescent="0.25">
      <c r="A45" s="2200" t="str">
        <f>OF!A68</f>
        <v>OF11</v>
      </c>
      <c r="B45" s="2158" t="str">
        <f>OF!B68</f>
        <v>Ponded Water Proximity</v>
      </c>
      <c r="C45" s="739" t="str">
        <f>OF!C68</f>
        <v>The distance from the AA edge to the closest pond or lake that is larger than 1 acre and is not part of the same wetland, pond, or lake to which the AA is contiguous is:</v>
      </c>
      <c r="D45" s="1017"/>
      <c r="E45" s="1029"/>
      <c r="F45" s="1030"/>
      <c r="G45" s="1031">
        <f>MAX(F46:F51)/MAX(E46:E51)</f>
        <v>0</v>
      </c>
      <c r="H45" s="2149" t="s">
        <v>1193</v>
      </c>
      <c r="I45" s="24" t="s">
        <v>511</v>
      </c>
    </row>
    <row r="46" spans="1:9" ht="15" customHeight="1" x14ac:dyDescent="0.2">
      <c r="A46" s="2188"/>
      <c r="B46" s="2158"/>
      <c r="C46" s="233" t="str">
        <f>OF!C69</f>
        <v>&lt;300 ft, and connected with a natural land corridor</v>
      </c>
      <c r="D46" s="329">
        <f>OF!D69</f>
        <v>0</v>
      </c>
      <c r="E46" s="1019">
        <v>5</v>
      </c>
      <c r="F46" s="1019">
        <f t="shared" ref="F46:F57" si="2">D46*E46</f>
        <v>0</v>
      </c>
      <c r="G46" s="1021"/>
      <c r="H46" s="2150"/>
    </row>
    <row r="47" spans="1:9" ht="15" customHeight="1" x14ac:dyDescent="0.2">
      <c r="A47" s="2188"/>
      <c r="B47" s="2158"/>
      <c r="C47" s="989" t="str">
        <f>OF!C70</f>
        <v>&lt;300 ft, but no uninterrupted natural land corridor</v>
      </c>
      <c r="D47" s="330">
        <f>OF!D70</f>
        <v>0</v>
      </c>
      <c r="E47" s="1019">
        <v>4</v>
      </c>
      <c r="F47" s="1019">
        <f t="shared" si="2"/>
        <v>0</v>
      </c>
      <c r="G47" s="1022"/>
      <c r="H47" s="2150"/>
    </row>
    <row r="48" spans="1:9" ht="15" customHeight="1" x14ac:dyDescent="0.2">
      <c r="A48" s="2188"/>
      <c r="B48" s="2158"/>
      <c r="C48" s="989" t="str">
        <f>OF!C71</f>
        <v>300-1000 ft, and connected with a natural land corridor</v>
      </c>
      <c r="D48" s="330">
        <f>OF!D71</f>
        <v>0</v>
      </c>
      <c r="E48" s="1019">
        <v>3</v>
      </c>
      <c r="F48" s="1019">
        <f t="shared" si="2"/>
        <v>0</v>
      </c>
      <c r="G48" s="1022"/>
      <c r="H48" s="2150"/>
    </row>
    <row r="49" spans="1:9" ht="15" customHeight="1" x14ac:dyDescent="0.2">
      <c r="A49" s="2188"/>
      <c r="B49" s="2158"/>
      <c r="C49" s="989" t="str">
        <f>OF!C72</f>
        <v>300-1000 ft, but no uninterrupted natural land corridor</v>
      </c>
      <c r="D49" s="330">
        <f>OF!D72</f>
        <v>0</v>
      </c>
      <c r="E49" s="1019">
        <v>2</v>
      </c>
      <c r="F49" s="1019">
        <f t="shared" si="2"/>
        <v>0</v>
      </c>
      <c r="G49" s="1022"/>
      <c r="H49" s="2150"/>
    </row>
    <row r="50" spans="1:9" ht="15" customHeight="1" x14ac:dyDescent="0.2">
      <c r="A50" s="2188"/>
      <c r="B50" s="2158"/>
      <c r="C50" s="989" t="str">
        <f>OF!C73</f>
        <v>&gt;1000 ft, and connected with a natural land corridor</v>
      </c>
      <c r="D50" s="330">
        <f>OF!D73</f>
        <v>0</v>
      </c>
      <c r="E50" s="1019">
        <v>1</v>
      </c>
      <c r="F50" s="1019">
        <f t="shared" si="2"/>
        <v>0</v>
      </c>
      <c r="G50" s="1022"/>
      <c r="H50" s="2150"/>
    </row>
    <row r="51" spans="1:9" ht="15.6" customHeight="1" thickBot="1" x14ac:dyDescent="0.25">
      <c r="A51" s="2188"/>
      <c r="B51" s="2158"/>
      <c r="C51" s="989" t="str">
        <f>OF!C74</f>
        <v>&gt;1000 ft, but no uninterrupted natural land corridor</v>
      </c>
      <c r="D51" s="330">
        <f>OF!D74</f>
        <v>0</v>
      </c>
      <c r="E51" s="1032">
        <v>0</v>
      </c>
      <c r="F51" s="1032">
        <f t="shared" si="2"/>
        <v>0</v>
      </c>
      <c r="G51" s="1033"/>
      <c r="H51" s="2150"/>
    </row>
    <row r="52" spans="1:9" ht="51" customHeight="1" thickBot="1" x14ac:dyDescent="0.25">
      <c r="A52" s="2191" t="str">
        <f>OF!A80</f>
        <v>OF13</v>
      </c>
      <c r="B52" s="2151" t="str">
        <f>OF!B80</f>
        <v>Tidal Proximity</v>
      </c>
      <c r="C52" s="990" t="str">
        <f>OF!C80</f>
        <v>The distance from the AA edge to the closest tidal water body is:</v>
      </c>
      <c r="D52" s="1017"/>
      <c r="E52" s="1035"/>
      <c r="F52" s="1034"/>
      <c r="G52" s="1010">
        <f>MAX(F53:F57)/MAX(E53:E57)</f>
        <v>0</v>
      </c>
      <c r="H52" s="1698" t="s">
        <v>1856</v>
      </c>
      <c r="I52" s="3" t="s">
        <v>521</v>
      </c>
    </row>
    <row r="53" spans="1:9" ht="21" customHeight="1" x14ac:dyDescent="0.2">
      <c r="A53" s="2192"/>
      <c r="B53" s="2152"/>
      <c r="C53" s="991" t="str">
        <f>OF!C81</f>
        <v>&lt;300 ft</v>
      </c>
      <c r="D53" s="331">
        <f>OF!D81</f>
        <v>0</v>
      </c>
      <c r="E53" s="1036">
        <v>1</v>
      </c>
      <c r="F53" s="1019">
        <f t="shared" si="2"/>
        <v>0</v>
      </c>
      <c r="G53" s="1037"/>
      <c r="H53" s="2163"/>
    </row>
    <row r="54" spans="1:9" ht="21" customHeight="1" x14ac:dyDescent="0.2">
      <c r="A54" s="2192"/>
      <c r="B54" s="2152"/>
      <c r="C54" s="991" t="str">
        <f>OF!C82</f>
        <v>300-1000 ft</v>
      </c>
      <c r="D54" s="331">
        <f>OF!D82</f>
        <v>0</v>
      </c>
      <c r="E54" s="1036">
        <v>4</v>
      </c>
      <c r="F54" s="1019">
        <f t="shared" si="2"/>
        <v>0</v>
      </c>
      <c r="G54" s="1033"/>
      <c r="H54" s="2163"/>
    </row>
    <row r="55" spans="1:9" ht="21" customHeight="1" x14ac:dyDescent="0.2">
      <c r="A55" s="2192"/>
      <c r="B55" s="2152"/>
      <c r="C55" s="991" t="str">
        <f>OF!C83</f>
        <v>1000 ft - 1 mile</v>
      </c>
      <c r="D55" s="331">
        <f>OF!D83</f>
        <v>0</v>
      </c>
      <c r="E55" s="1036">
        <v>3</v>
      </c>
      <c r="F55" s="1019">
        <f t="shared" si="2"/>
        <v>0</v>
      </c>
      <c r="G55" s="1033"/>
      <c r="H55" s="2163"/>
    </row>
    <row r="56" spans="1:9" ht="21" customHeight="1" x14ac:dyDescent="0.2">
      <c r="A56" s="2192"/>
      <c r="B56" s="2152"/>
      <c r="C56" s="991" t="str">
        <f>OF!C84</f>
        <v>1-5 miles</v>
      </c>
      <c r="D56" s="331">
        <f>OF!D84</f>
        <v>0</v>
      </c>
      <c r="E56" s="1036">
        <v>2</v>
      </c>
      <c r="F56" s="1019">
        <f t="shared" si="2"/>
        <v>0</v>
      </c>
      <c r="G56" s="1033"/>
      <c r="H56" s="2163"/>
    </row>
    <row r="57" spans="1:9" ht="21" customHeight="1" thickBot="1" x14ac:dyDescent="0.25">
      <c r="A57" s="2193"/>
      <c r="B57" s="2153"/>
      <c r="C57" s="992" t="str">
        <f>OF!C85</f>
        <v>&gt;5 miles</v>
      </c>
      <c r="D57" s="332">
        <f>OF!D85</f>
        <v>0</v>
      </c>
      <c r="E57" s="1038">
        <v>1</v>
      </c>
      <c r="F57" s="1023">
        <f t="shared" si="2"/>
        <v>0</v>
      </c>
      <c r="G57" s="1025"/>
      <c r="H57" s="2164"/>
    </row>
    <row r="58" spans="1:9" ht="21" customHeight="1" thickBot="1" x14ac:dyDescent="0.25">
      <c r="A58" s="2188" t="str">
        <f>OF!A86</f>
        <v>OF14</v>
      </c>
      <c r="B58" s="2158" t="str">
        <f>OF!B86</f>
        <v>Upland Edge Contact</v>
      </c>
      <c r="C58" s="739" t="str">
        <f>OF!C86</f>
        <v>Select one:</v>
      </c>
      <c r="D58" s="1017"/>
      <c r="E58" s="1029"/>
      <c r="F58" s="1030"/>
      <c r="G58" s="1031">
        <f>MAX(F59:F61)/MAX(E59:E61)</f>
        <v>0</v>
      </c>
      <c r="H58" s="2149" t="s">
        <v>1194</v>
      </c>
      <c r="I58" s="3" t="s">
        <v>499</v>
      </c>
    </row>
    <row r="59" spans="1:9" ht="27" customHeight="1" x14ac:dyDescent="0.2">
      <c r="A59" s="2188"/>
      <c r="B59" s="2158"/>
      <c r="C59" s="233" t="str">
        <f>OF!C87</f>
        <v>The AA has no upland edge (or upland is &lt;1% of perimeter).  The AA is entirely surrounded by other wetland or water.</v>
      </c>
      <c r="D59" s="329">
        <f>OF!D87</f>
        <v>0</v>
      </c>
      <c r="E59" s="1019">
        <v>0</v>
      </c>
      <c r="F59" s="1019">
        <f>D59*E59</f>
        <v>0</v>
      </c>
      <c r="G59" s="1021"/>
      <c r="H59" s="2150"/>
    </row>
    <row r="60" spans="1:9" ht="27" customHeight="1" x14ac:dyDescent="0.2">
      <c r="A60" s="2188"/>
      <c r="B60" s="2158"/>
      <c r="C60" s="989" t="str">
        <f>OF!C90</f>
        <v>50-75% of the AA's perimeter abuts upland. The rest adjoins other wetlands or water that is mostly wider than the AA.</v>
      </c>
      <c r="D60" s="330">
        <f>OF!D90</f>
        <v>0</v>
      </c>
      <c r="E60" s="1019">
        <v>2</v>
      </c>
      <c r="F60" s="1019">
        <f>D60*E60</f>
        <v>0</v>
      </c>
      <c r="G60" s="1022"/>
      <c r="H60" s="2150"/>
    </row>
    <row r="61" spans="1:9" ht="27" customHeight="1" thickBot="1" x14ac:dyDescent="0.25">
      <c r="A61" s="2188"/>
      <c r="B61" s="2158"/>
      <c r="C61" s="989" t="str">
        <f>OF!C91</f>
        <v>More than 75% of the AA's perimeter abuts upland. Any remainder adjoins other wetlands or water that is mostly wider than the AA.</v>
      </c>
      <c r="D61" s="330">
        <f>OF!D91</f>
        <v>0</v>
      </c>
      <c r="E61" s="1032">
        <v>1</v>
      </c>
      <c r="F61" s="1032">
        <f>D61*E61</f>
        <v>0</v>
      </c>
      <c r="G61" s="1033"/>
      <c r="H61" s="2150"/>
    </row>
    <row r="62" spans="1:9" ht="65.25" customHeight="1" thickBot="1" x14ac:dyDescent="0.25">
      <c r="A62" s="980" t="str">
        <f>OF!A104</f>
        <v>OF19</v>
      </c>
      <c r="B62" s="275" t="str">
        <f>OF!B104</f>
        <v>Deer Winter Habitat Capability</v>
      </c>
      <c r="C62" s="993" t="str">
        <f>OF!C104</f>
        <v xml:space="preserve">Refer to the map in the online WESPAK-SE Wetlands Module: Habitat Layers &gt; Deer Winter Habitat Suitability Value.  Enter 3 if Very High;  2 if High; 1 if Moderate;  0= Lower or all other.  </v>
      </c>
      <c r="D62" s="333">
        <f>OF!D104</f>
        <v>0</v>
      </c>
      <c r="E62" s="1051"/>
      <c r="F62" s="1039"/>
      <c r="G62" s="1010">
        <f>D62/3</f>
        <v>0</v>
      </c>
      <c r="H62" s="224" t="s">
        <v>1236</v>
      </c>
      <c r="I62" s="3" t="s">
        <v>5781</v>
      </c>
    </row>
    <row r="63" spans="1:9" ht="80.25" customHeight="1" thickBot="1" x14ac:dyDescent="0.25">
      <c r="A63" s="1952" t="str">
        <f>OF!A147</f>
        <v>OF28</v>
      </c>
      <c r="B63" s="1688" t="str">
        <f>OF!B147</f>
        <v>Elevation in Multi-scale Watersheds</v>
      </c>
      <c r="C63" s="38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63" s="1017"/>
      <c r="E63" s="1040"/>
      <c r="F63" s="1041"/>
      <c r="G63" s="1042" t="str">
        <f>IF((D64=0),"", (4-D64)/3)</f>
        <v/>
      </c>
      <c r="H63" s="2165" t="s">
        <v>1237</v>
      </c>
      <c r="I63" s="3" t="s">
        <v>522</v>
      </c>
    </row>
    <row r="64" spans="1:9" ht="42" customHeight="1" thickBot="1" x14ac:dyDescent="0.25">
      <c r="A64" s="1952"/>
      <c r="B64" s="1688"/>
      <c r="C64" s="19" t="str">
        <f>OF!C150</f>
        <v>In its HUC6 (the 8-digit* watershed) the AA's elevation puts it in (enter one of the following): 3= upper one-third, 2= middle one-third, 1= lower one-third, 0= no data.  [The 8-digit HUC is obtained by deleting the last 4 digits of the 12-digit HUC code]</v>
      </c>
      <c r="D64" s="380">
        <f>OF!D150</f>
        <v>0</v>
      </c>
      <c r="E64" s="1043"/>
      <c r="F64" s="1043"/>
      <c r="G64" s="1044"/>
      <c r="H64" s="2169"/>
    </row>
    <row r="65" spans="1:9" ht="69" customHeight="1" thickBot="1" x14ac:dyDescent="0.25">
      <c r="A65" s="2185" t="str">
        <f>OF!A188</f>
        <v>OF39</v>
      </c>
      <c r="B65" s="2160" t="str">
        <f>OF!B188</f>
        <v>Geography</v>
      </c>
      <c r="C65" s="985" t="str">
        <f>OF!C188</f>
        <v>Mark ALL that are true.  The AA is located:</v>
      </c>
      <c r="D65" s="1017"/>
      <c r="E65" s="1017"/>
      <c r="F65" s="1045"/>
      <c r="G65" s="1010">
        <f>MAX(F66:F68)/MAX(E66:E68)</f>
        <v>0</v>
      </c>
      <c r="H65" s="2182" t="s">
        <v>1244</v>
      </c>
      <c r="I65" s="3" t="s">
        <v>1266</v>
      </c>
    </row>
    <row r="66" spans="1:9" ht="42" customHeight="1" x14ac:dyDescent="0.2">
      <c r="A66" s="2186"/>
      <c r="B66" s="2161"/>
      <c r="C66" s="986" t="str">
        <f>OF!C189</f>
        <v>in the Stikine, Alsek, Taiya-Chilkat-Skagway, or Taku deltas or floodplains.</v>
      </c>
      <c r="D66" s="328">
        <f>OF!D189</f>
        <v>0</v>
      </c>
      <c r="E66" s="1019">
        <v>3</v>
      </c>
      <c r="F66" s="1046">
        <f>D66*E66</f>
        <v>0</v>
      </c>
      <c r="G66" s="1047"/>
      <c r="H66" s="2183"/>
    </row>
    <row r="67" spans="1:9" ht="42" customHeight="1" x14ac:dyDescent="0.2">
      <c r="A67" s="2186"/>
      <c r="B67" s="2161"/>
      <c r="C67" s="987" t="str">
        <f>OF!C190</f>
        <v>in another mainland area or on an island larger than 20 square miles.</v>
      </c>
      <c r="D67" s="273">
        <f>OF!D190</f>
        <v>0</v>
      </c>
      <c r="E67" s="1019">
        <v>2</v>
      </c>
      <c r="F67" s="1046">
        <f>D67*E67</f>
        <v>0</v>
      </c>
      <c r="G67" s="1048"/>
      <c r="H67" s="2183"/>
    </row>
    <row r="68" spans="1:9" ht="42" customHeight="1" thickBot="1" x14ac:dyDescent="0.25">
      <c r="A68" s="2187"/>
      <c r="B68" s="2162"/>
      <c r="C68" s="988" t="str">
        <f>OF!C191</f>
        <v>on an island smaller than 20 sq. mi. and separated completely from other lands by a gap wider than 150 feet created by tidal or marine waters.</v>
      </c>
      <c r="D68" s="274">
        <f>OF!D191</f>
        <v>0</v>
      </c>
      <c r="E68" s="1023">
        <v>0</v>
      </c>
      <c r="F68" s="1049">
        <f>D68*E68</f>
        <v>0</v>
      </c>
      <c r="G68" s="1050"/>
      <c r="H68" s="2184"/>
    </row>
    <row r="69" spans="1:9" ht="60" customHeight="1" thickBot="1" x14ac:dyDescent="0.25">
      <c r="A69" s="980" t="str">
        <f>OF!A192</f>
        <v>OF40</v>
      </c>
      <c r="B69" s="230" t="str">
        <f>OF!B192</f>
        <v>Unbrowsed Vegetation</v>
      </c>
      <c r="C69" s="994" t="str">
        <f>OF!C192</f>
        <v>The AA is on an island known to lack deer, elk, and moose.  Enter 1 if yes, 0 if no.</v>
      </c>
      <c r="D69" s="334">
        <f>OF!D192</f>
        <v>0</v>
      </c>
      <c r="E69" s="1051"/>
      <c r="F69" s="1052"/>
      <c r="G69" s="1010" t="str">
        <f>IF((D69=1),1,"")</f>
        <v/>
      </c>
      <c r="H69" s="231" t="s">
        <v>1245</v>
      </c>
      <c r="I69" s="3" t="s">
        <v>1971</v>
      </c>
    </row>
    <row r="70" spans="1:9" ht="30" customHeight="1" thickBot="1" x14ac:dyDescent="0.25">
      <c r="A70" s="980" t="str">
        <f>OF!A219</f>
        <v>OF46</v>
      </c>
      <c r="B70" s="230" t="str">
        <f>OF!B219</f>
        <v>Cedar</v>
      </c>
      <c r="C70" s="995" t="str">
        <f>OF!C219</f>
        <v xml:space="preserve">The AA contains (a) more than1 acre of a mature (&gt;24" dbh) living stand of cedar or (b) is in an area documented as Yellow Cedar Decline (see layer in online WESPAK-SE Wetlands Module). </v>
      </c>
      <c r="D70" s="334">
        <f>OF!D219</f>
        <v>0</v>
      </c>
      <c r="E70" s="1051"/>
      <c r="F70" s="1052"/>
      <c r="G70" s="1010" t="str">
        <f>IF((D70=0),"",1)</f>
        <v/>
      </c>
      <c r="H70" s="231" t="s">
        <v>1972</v>
      </c>
      <c r="I70" s="3" t="s">
        <v>1970</v>
      </c>
    </row>
    <row r="71" spans="1:9" ht="30" customHeight="1" thickBot="1" x14ac:dyDescent="0.25">
      <c r="A71" s="2170" t="str">
        <f>F!A11</f>
        <v>F2</v>
      </c>
      <c r="B71" s="2161" t="str">
        <f>F!B11</f>
        <v>% Saturated Only</v>
      </c>
      <c r="C71" s="739" t="str">
        <f>F!C11</f>
        <v>The percentage of the AA that lacks surface water during an average year (that is, except perhaps for a few hours after snowmelt or rainstorms), but which is still a wetland, is:</v>
      </c>
      <c r="D71" s="1017"/>
      <c r="E71" s="1036"/>
      <c r="F71" s="1029"/>
      <c r="G71" s="1031">
        <f>MAX(F72:F77)/MAX(E72:E77)</f>
        <v>0</v>
      </c>
      <c r="H71" s="2169" t="s">
        <v>2297</v>
      </c>
      <c r="I71" s="3" t="s">
        <v>1329</v>
      </c>
    </row>
    <row r="72" spans="1:9" ht="27" customHeight="1" x14ac:dyDescent="0.2">
      <c r="A72" s="2170"/>
      <c r="B72" s="2161"/>
      <c r="C72" s="24" t="str">
        <f>F!C12</f>
        <v>less than 1%, or &lt;0.01 acre (about 20 ft on a side) never has surface water.  In other words, all or nearly all of the AA is inundated permanently or at least seasonally.</v>
      </c>
      <c r="D72" s="335">
        <f>F!D12</f>
        <v>0</v>
      </c>
      <c r="E72" s="1019">
        <v>1</v>
      </c>
      <c r="F72" s="1019">
        <f t="shared" ref="F72:F77" si="3">D72*E72</f>
        <v>0</v>
      </c>
      <c r="G72" s="1033"/>
      <c r="H72" s="2169"/>
      <c r="I72" s="3"/>
    </row>
    <row r="73" spans="1:9" ht="15" customHeight="1" x14ac:dyDescent="0.2">
      <c r="A73" s="2170"/>
      <c r="B73" s="2161"/>
      <c r="C73" s="996" t="str">
        <f>F!C13</f>
        <v xml:space="preserve">1-25% of the AA never contains surface water.  </v>
      </c>
      <c r="D73" s="336">
        <f>F!D13</f>
        <v>0</v>
      </c>
      <c r="E73" s="1019">
        <v>2</v>
      </c>
      <c r="F73" s="1019">
        <f t="shared" si="3"/>
        <v>0</v>
      </c>
      <c r="G73" s="1033"/>
      <c r="H73" s="2169"/>
      <c r="I73" s="3"/>
    </row>
    <row r="74" spans="1:9" ht="15" customHeight="1" x14ac:dyDescent="0.2">
      <c r="A74" s="2170"/>
      <c r="B74" s="2161"/>
      <c r="C74" s="996" t="str">
        <f>F!C14</f>
        <v>25-50% of the AA never contains surface water.</v>
      </c>
      <c r="D74" s="336">
        <f>F!D14</f>
        <v>0</v>
      </c>
      <c r="E74" s="1019">
        <v>3</v>
      </c>
      <c r="F74" s="1019">
        <f t="shared" si="3"/>
        <v>0</v>
      </c>
      <c r="G74" s="1033"/>
      <c r="H74" s="2169"/>
      <c r="I74" s="3"/>
    </row>
    <row r="75" spans="1:9" ht="15" customHeight="1" x14ac:dyDescent="0.2">
      <c r="A75" s="2170"/>
      <c r="B75" s="2161"/>
      <c r="C75" s="996" t="str">
        <f>F!C15</f>
        <v>50-99% of the AA never contains surface water.</v>
      </c>
      <c r="D75" s="336">
        <f>F!D15</f>
        <v>0</v>
      </c>
      <c r="E75" s="1019">
        <v>4</v>
      </c>
      <c r="F75" s="1019">
        <f t="shared" si="3"/>
        <v>0</v>
      </c>
      <c r="G75" s="1033"/>
      <c r="H75" s="2169"/>
      <c r="I75" s="3"/>
    </row>
    <row r="76" spans="1:9" ht="27" customHeight="1" x14ac:dyDescent="0.2">
      <c r="A76" s="2170"/>
      <c r="B76" s="2161"/>
      <c r="C76" s="996" t="str">
        <f>F!C16</f>
        <v>&gt;99% of the AA never contains surface water, except for water flowing in channels and/or in pools that occupy &lt;1% of the AA. SKIP to F30.</v>
      </c>
      <c r="D76" s="336">
        <f>F!D16</f>
        <v>0</v>
      </c>
      <c r="E76" s="1019">
        <v>6</v>
      </c>
      <c r="F76" s="1019">
        <f t="shared" si="3"/>
        <v>0</v>
      </c>
      <c r="G76" s="1033"/>
      <c r="H76" s="2169"/>
      <c r="I76" s="3"/>
    </row>
    <row r="77" spans="1:9" ht="27.6" customHeight="1" thickBot="1" x14ac:dyDescent="0.25">
      <c r="A77" s="2170"/>
      <c r="B77" s="2161"/>
      <c r="C77" s="996" t="str">
        <f>F!C17</f>
        <v>&gt;99% of the AA never contains surface water, and AA is not intersected by channels that have flow, not even for a few days per year. SKIP to F28.</v>
      </c>
      <c r="D77" s="336">
        <f>F!D17</f>
        <v>0</v>
      </c>
      <c r="E77" s="1032">
        <v>5</v>
      </c>
      <c r="F77" s="1032">
        <f t="shared" si="3"/>
        <v>0</v>
      </c>
      <c r="G77" s="1033"/>
      <c r="H77" s="2169"/>
      <c r="I77" s="3"/>
    </row>
    <row r="78" spans="1:9" ht="30" customHeight="1" thickBot="1" x14ac:dyDescent="0.25">
      <c r="A78" s="2185" t="str">
        <f>F!A18</f>
        <v>F3</v>
      </c>
      <c r="B78" s="2160" t="str">
        <f>F!B18</f>
        <v>% with Persistent Surface Water</v>
      </c>
      <c r="C78" s="985" t="str">
        <f>F!C18</f>
        <v>The percentage of the AA that has surface water (either ponded or flowing, either open or obscured by vegetation) during all of the growing season during most years is:</v>
      </c>
      <c r="D78" s="1017"/>
      <c r="E78" s="1017"/>
      <c r="F78" s="1034"/>
      <c r="G78" s="1010">
        <f>IF((AllSat+AllSat1&gt;0),"", MAX(F79:F84)/MAX(E79:E84))</f>
        <v>0</v>
      </c>
      <c r="H78" s="1727" t="s">
        <v>5403</v>
      </c>
      <c r="I78" s="3" t="s">
        <v>487</v>
      </c>
    </row>
    <row r="79" spans="1:9" ht="15" customHeight="1" x14ac:dyDescent="0.2">
      <c r="A79" s="2186"/>
      <c r="B79" s="2161"/>
      <c r="C79" s="233" t="str">
        <f>F!C19</f>
        <v>less than 1%, or &lt;0.01 acre (whichever is less).  SKIP to F7.</v>
      </c>
      <c r="D79" s="329">
        <f>F!D19</f>
        <v>0</v>
      </c>
      <c r="E79" s="1019">
        <v>5</v>
      </c>
      <c r="F79" s="1019">
        <f t="shared" ref="F79:F84" si="4">D79*E79</f>
        <v>0</v>
      </c>
      <c r="G79" s="1021"/>
      <c r="H79" s="2146"/>
    </row>
    <row r="80" spans="1:9" ht="15" customHeight="1" x14ac:dyDescent="0.2">
      <c r="A80" s="2186"/>
      <c r="B80" s="2161"/>
      <c r="C80" s="989" t="str">
        <f>F!C20</f>
        <v>1-25% of the AA, and mostly in narrow channels and/or small scattered pools.</v>
      </c>
      <c r="D80" s="330">
        <f>F!D20</f>
        <v>0</v>
      </c>
      <c r="E80" s="1019">
        <v>4</v>
      </c>
      <c r="F80" s="1019">
        <f t="shared" si="4"/>
        <v>0</v>
      </c>
      <c r="G80" s="1022"/>
      <c r="H80" s="2146"/>
    </row>
    <row r="81" spans="1:9" ht="15" customHeight="1" x14ac:dyDescent="0.2">
      <c r="A81" s="2186"/>
      <c r="B81" s="2161"/>
      <c r="C81" s="989" t="str">
        <f>F!C21</f>
        <v>1-25% of the AA, and mostly in a single large pool, pond, and/or channel.</v>
      </c>
      <c r="D81" s="330">
        <f>F!D21</f>
        <v>0</v>
      </c>
      <c r="E81" s="1019">
        <v>4</v>
      </c>
      <c r="F81" s="1019">
        <f t="shared" si="4"/>
        <v>0</v>
      </c>
      <c r="G81" s="1022"/>
      <c r="H81" s="2146"/>
    </row>
    <row r="82" spans="1:9" ht="15" customHeight="1" x14ac:dyDescent="0.2">
      <c r="A82" s="2186"/>
      <c r="B82" s="2161"/>
      <c r="C82" s="989" t="str">
        <f>F!C22</f>
        <v>25-50% of the AA</v>
      </c>
      <c r="D82" s="330">
        <f>F!D22</f>
        <v>0</v>
      </c>
      <c r="E82" s="1019">
        <v>3</v>
      </c>
      <c r="F82" s="1019">
        <f t="shared" si="4"/>
        <v>0</v>
      </c>
      <c r="G82" s="1022"/>
      <c r="H82" s="2146"/>
    </row>
    <row r="83" spans="1:9" ht="15" customHeight="1" x14ac:dyDescent="0.2">
      <c r="A83" s="2186"/>
      <c r="B83" s="2161"/>
      <c r="C83" s="989" t="str">
        <f>F!C23</f>
        <v>50-95% of the AA</v>
      </c>
      <c r="D83" s="330">
        <f>F!D23</f>
        <v>0</v>
      </c>
      <c r="E83" s="1019">
        <v>2</v>
      </c>
      <c r="F83" s="1019">
        <f t="shared" si="4"/>
        <v>0</v>
      </c>
      <c r="G83" s="1022"/>
      <c r="H83" s="2146"/>
    </row>
    <row r="84" spans="1:9" ht="15.6" customHeight="1" thickBot="1" x14ac:dyDescent="0.25">
      <c r="A84" s="2187"/>
      <c r="B84" s="2162"/>
      <c r="C84" s="988" t="str">
        <f>F!C24</f>
        <v>&gt;95% of the AA</v>
      </c>
      <c r="D84" s="274">
        <f>F!D24</f>
        <v>0</v>
      </c>
      <c r="E84" s="1053">
        <v>0</v>
      </c>
      <c r="F84" s="1023">
        <f t="shared" si="4"/>
        <v>0</v>
      </c>
      <c r="G84" s="1025"/>
      <c r="H84" s="2147"/>
    </row>
    <row r="85" spans="1:9" ht="45" customHeight="1" thickBot="1" x14ac:dyDescent="0.25">
      <c r="A85" s="2170" t="str">
        <f>F!A61</f>
        <v>F13</v>
      </c>
      <c r="B85" s="2161" t="str">
        <f>F!B61</f>
        <v>Width of AA's Vegetated Zone</v>
      </c>
      <c r="C85" s="997" t="str">
        <f>F!C61</f>
        <v>At the driest time of year (or lowest water level), the width of vegetated area in the AA that separates adjoining uplands from most of the open water within or adjoining the AA is:</v>
      </c>
      <c r="D85" s="1017"/>
      <c r="E85" s="1036"/>
      <c r="F85" s="1030"/>
      <c r="G85" s="1054" t="str">
        <f>IF((AllSat+AllSat1&gt;0),"", IF((OpenW=0),"",MAX(F86:F90)/MAX(E86:E90)))</f>
        <v/>
      </c>
      <c r="H85" s="2154" t="s">
        <v>5510</v>
      </c>
      <c r="I85" s="3" t="s">
        <v>516</v>
      </c>
    </row>
    <row r="86" spans="1:9" ht="27" customHeight="1" x14ac:dyDescent="0.2">
      <c r="A86" s="2170"/>
      <c r="B86" s="2161"/>
      <c r="C86" s="998" t="str">
        <f>F!C62</f>
        <v xml:space="preserve">1-5 ft </v>
      </c>
      <c r="D86" s="329">
        <f>F!D62</f>
        <v>0</v>
      </c>
      <c r="E86" s="1055">
        <v>0</v>
      </c>
      <c r="F86" s="1019">
        <f>D86*E86</f>
        <v>0</v>
      </c>
      <c r="G86" s="1056"/>
      <c r="H86" s="2155"/>
    </row>
    <row r="87" spans="1:9" ht="27" customHeight="1" x14ac:dyDescent="0.2">
      <c r="A87" s="2170"/>
      <c r="B87" s="2161"/>
      <c r="C87" s="999" t="str">
        <f>F!C63</f>
        <v>5-25 ft</v>
      </c>
      <c r="D87" s="330">
        <f>F!D63</f>
        <v>0</v>
      </c>
      <c r="E87" s="1055">
        <v>1</v>
      </c>
      <c r="F87" s="1019">
        <f>D87*E87</f>
        <v>0</v>
      </c>
      <c r="G87" s="1048"/>
      <c r="H87" s="2155"/>
    </row>
    <row r="88" spans="1:9" ht="27" customHeight="1" x14ac:dyDescent="0.2">
      <c r="A88" s="2170"/>
      <c r="B88" s="2161"/>
      <c r="C88" s="999" t="str">
        <f>F!C64</f>
        <v>25-100 ft</v>
      </c>
      <c r="D88" s="330">
        <f>F!D64</f>
        <v>0</v>
      </c>
      <c r="E88" s="1055">
        <v>3</v>
      </c>
      <c r="F88" s="1019">
        <f>D88*E88</f>
        <v>0</v>
      </c>
      <c r="G88" s="1048"/>
      <c r="H88" s="2155"/>
    </row>
    <row r="89" spans="1:9" ht="27" customHeight="1" x14ac:dyDescent="0.2">
      <c r="A89" s="2170"/>
      <c r="B89" s="2161"/>
      <c r="C89" s="999" t="str">
        <f>F!C65</f>
        <v>100-300 ft</v>
      </c>
      <c r="D89" s="330">
        <f>F!D65</f>
        <v>0</v>
      </c>
      <c r="E89" s="1055">
        <v>5</v>
      </c>
      <c r="F89" s="1019">
        <f>D89*E89</f>
        <v>0</v>
      </c>
      <c r="G89" s="1048"/>
      <c r="H89" s="2155"/>
    </row>
    <row r="90" spans="1:9" ht="27" customHeight="1" thickBot="1" x14ac:dyDescent="0.25">
      <c r="A90" s="2170"/>
      <c r="B90" s="2161"/>
      <c r="C90" s="999" t="str">
        <f>F!C66</f>
        <v>&gt;300 ft</v>
      </c>
      <c r="D90" s="330">
        <f>F!D66</f>
        <v>0</v>
      </c>
      <c r="E90" s="1057">
        <v>6</v>
      </c>
      <c r="F90" s="1032">
        <f>D90*E90</f>
        <v>0</v>
      </c>
      <c r="G90" s="1058"/>
      <c r="H90" s="2156"/>
    </row>
    <row r="91" spans="1:9" ht="45" customHeight="1" thickBot="1" x14ac:dyDescent="0.25">
      <c r="A91" s="2160" t="str">
        <f>F!A71</f>
        <v>F15</v>
      </c>
      <c r="B91" s="2160" t="str">
        <f>F!B71</f>
        <v>All Ponded Water - Extent</v>
      </c>
      <c r="C91" s="275" t="str">
        <f>F!C71</f>
        <v>During most of the growing season, the percentage of the AA that has ponded surface water (stagnant, or flows so slowly that fine sediment is not held in suspension) which is either open or shaded by emergent vegetation is:</v>
      </c>
      <c r="D91" s="1035"/>
      <c r="E91" s="1017"/>
      <c r="F91" s="1017"/>
      <c r="G91" s="745">
        <f>IF((AllSat+AllSat1&gt;0),"",MAX(F92:F98)/MAX(E92:E98))</f>
        <v>0</v>
      </c>
      <c r="H91" s="1698" t="s">
        <v>5511</v>
      </c>
      <c r="I91" s="3" t="s">
        <v>2586</v>
      </c>
    </row>
    <row r="92" spans="1:9" ht="15" customHeight="1" x14ac:dyDescent="0.2">
      <c r="A92" s="2161"/>
      <c r="B92" s="2161"/>
      <c r="C92" s="1001" t="str">
        <f>F!C72</f>
        <v>&lt;1% or none, or occupies &lt;100 sq. ft cumulatively.  Enter "1" and SKIP to F19.</v>
      </c>
      <c r="D92" s="273">
        <f>F!D72</f>
        <v>0</v>
      </c>
      <c r="E92" s="388">
        <v>4</v>
      </c>
      <c r="F92" s="388">
        <f t="shared" ref="F92:F98" si="5">D92*E92</f>
        <v>0</v>
      </c>
      <c r="G92" s="1022"/>
      <c r="H92" s="1699"/>
    </row>
    <row r="93" spans="1:9" ht="15" customHeight="1" x14ac:dyDescent="0.2">
      <c r="A93" s="2161"/>
      <c r="B93" s="2161"/>
      <c r="C93" s="1000" t="str">
        <f>F!C73</f>
        <v>1-25% of the AA, and mainly in small fishless pools. Enter "1" and SKIP to F19.</v>
      </c>
      <c r="D93" s="273">
        <f>F!D73</f>
        <v>0</v>
      </c>
      <c r="E93" s="388">
        <v>5</v>
      </c>
      <c r="F93" s="388">
        <f t="shared" si="5"/>
        <v>0</v>
      </c>
      <c r="G93" s="1022"/>
      <c r="H93" s="1699"/>
    </row>
    <row r="94" spans="1:9" ht="15" customHeight="1" x14ac:dyDescent="0.2">
      <c r="A94" s="2161"/>
      <c r="B94" s="2161"/>
      <c r="C94" s="1000" t="str">
        <f>F!C74</f>
        <v>1-25% of the AA, and mainly in a single large pool or pond, with or without fish access.</v>
      </c>
      <c r="D94" s="273">
        <f>F!D74</f>
        <v>0</v>
      </c>
      <c r="E94" s="388">
        <v>4</v>
      </c>
      <c r="F94" s="388">
        <f t="shared" si="5"/>
        <v>0</v>
      </c>
      <c r="G94" s="1022"/>
      <c r="H94" s="1699"/>
    </row>
    <row r="95" spans="1:9" ht="15" customHeight="1" x14ac:dyDescent="0.2">
      <c r="A95" s="2161"/>
      <c r="B95" s="2161"/>
      <c r="C95" s="1000" t="str">
        <f>F!C75</f>
        <v>5-30% of the AA.</v>
      </c>
      <c r="D95" s="273">
        <f>F!D75</f>
        <v>0</v>
      </c>
      <c r="E95" s="388">
        <v>3</v>
      </c>
      <c r="F95" s="388">
        <f t="shared" si="5"/>
        <v>0</v>
      </c>
      <c r="G95" s="1022"/>
      <c r="H95" s="1699"/>
    </row>
    <row r="96" spans="1:9" ht="15" customHeight="1" x14ac:dyDescent="0.2">
      <c r="A96" s="2161"/>
      <c r="B96" s="2161"/>
      <c r="C96" s="1000" t="str">
        <f>F!C76</f>
        <v>30-70% of the AA.</v>
      </c>
      <c r="D96" s="273">
        <f>F!D76</f>
        <v>0</v>
      </c>
      <c r="E96" s="388">
        <v>2</v>
      </c>
      <c r="F96" s="388">
        <f t="shared" si="5"/>
        <v>0</v>
      </c>
      <c r="G96" s="1022"/>
      <c r="H96" s="1699"/>
    </row>
    <row r="97" spans="1:9" ht="15" customHeight="1" x14ac:dyDescent="0.2">
      <c r="A97" s="2161"/>
      <c r="B97" s="2161"/>
      <c r="C97" s="1000" t="str">
        <f>F!C77</f>
        <v>70-95% of the AA.</v>
      </c>
      <c r="D97" s="273">
        <f>F!D77</f>
        <v>0</v>
      </c>
      <c r="E97" s="388">
        <v>1</v>
      </c>
      <c r="F97" s="388">
        <f t="shared" si="5"/>
        <v>0</v>
      </c>
      <c r="G97" s="1022"/>
      <c r="H97" s="1699"/>
    </row>
    <row r="98" spans="1:9" ht="15.6" customHeight="1" thickBot="1" x14ac:dyDescent="0.25">
      <c r="A98" s="2162"/>
      <c r="B98" s="2162"/>
      <c r="C98" s="1002" t="str">
        <f>F!C78</f>
        <v>&gt;95% of the AA.</v>
      </c>
      <c r="D98" s="274">
        <f>F!D78</f>
        <v>0</v>
      </c>
      <c r="E98" s="389">
        <v>0</v>
      </c>
      <c r="F98" s="389">
        <f t="shared" si="5"/>
        <v>0</v>
      </c>
      <c r="G98" s="1025"/>
      <c r="H98" s="1700"/>
    </row>
    <row r="99" spans="1:9" ht="30" customHeight="1" thickBot="1" x14ac:dyDescent="0.25">
      <c r="A99" s="2197" t="str">
        <f>F!A86</f>
        <v>F17</v>
      </c>
      <c r="B99" s="2160" t="str">
        <f>F!B86</f>
        <v>Emergent Vegetation - Distribution</v>
      </c>
      <c r="C99" s="985" t="str">
        <f>F!C86</f>
        <v>During most of the growing season, the spatial pattern of herbaceous vegetation that has surface water beneath it (emergent vegetation -- NOT floating-leaved plants) is mostly:</v>
      </c>
      <c r="D99" s="1017"/>
      <c r="E99" s="1035"/>
      <c r="F99" s="1034"/>
      <c r="G99" s="1059">
        <f>IF((AllSat+AllSat1&gt;0),"",IF((OR(puddles=1,NoPonded=1)),"",IF((NoOpenPonded+NoOpenPonded1&gt;0),"",IF((AllOpenPond=1),"",MAX(F100:F102)/MAX(E100:E102)))))</f>
        <v>0</v>
      </c>
      <c r="H99" s="2008" t="s">
        <v>5404</v>
      </c>
      <c r="I99" s="3" t="s">
        <v>515</v>
      </c>
    </row>
    <row r="100" spans="1:9" x14ac:dyDescent="0.2">
      <c r="A100" s="2186"/>
      <c r="B100" s="2161"/>
      <c r="C100" s="986" t="str">
        <f>F!C87</f>
        <v>scattered in small clumps, islands, or patches throughout the surface water area.</v>
      </c>
      <c r="D100" s="328">
        <f>F!D87</f>
        <v>0</v>
      </c>
      <c r="E100" s="1055">
        <v>3</v>
      </c>
      <c r="F100" s="1019">
        <f>D100*E100</f>
        <v>0</v>
      </c>
      <c r="G100" s="1020"/>
      <c r="H100" s="1970"/>
      <c r="I100" s="3"/>
    </row>
    <row r="101" spans="1:9" x14ac:dyDescent="0.2">
      <c r="A101" s="2186"/>
      <c r="B101" s="2161"/>
      <c r="C101" s="987" t="str">
        <f>F!C88</f>
        <v>intermediate</v>
      </c>
      <c r="D101" s="273">
        <f>F!D88</f>
        <v>0</v>
      </c>
      <c r="E101" s="1055">
        <v>2</v>
      </c>
      <c r="F101" s="1019">
        <f>D101*E101</f>
        <v>0</v>
      </c>
      <c r="G101" s="1020"/>
      <c r="H101" s="1970"/>
      <c r="I101" s="3"/>
    </row>
    <row r="102" spans="1:9" ht="27.6" customHeight="1" thickBot="1" x14ac:dyDescent="0.25">
      <c r="A102" s="2187"/>
      <c r="B102" s="2162"/>
      <c r="C102" s="988" t="str">
        <f>F!C89</f>
        <v>clumped along the margin of the surface water area, or mostly surrounds a channel or central area of open water, or such vegetation covers &lt;100 sq ft and &lt;1% of the AA.</v>
      </c>
      <c r="D102" s="274">
        <f>F!D89</f>
        <v>0</v>
      </c>
      <c r="E102" s="1053">
        <v>1</v>
      </c>
      <c r="F102" s="1023">
        <f>D102*E102</f>
        <v>0</v>
      </c>
      <c r="G102" s="1024"/>
      <c r="H102" s="1971"/>
      <c r="I102" s="3"/>
    </row>
    <row r="103" spans="1:9" ht="21" customHeight="1" thickBot="1" x14ac:dyDescent="0.25">
      <c r="A103" s="2179" t="str">
        <f>F!A94</f>
        <v>F22</v>
      </c>
      <c r="B103" s="2160" t="str">
        <f>F!B94</f>
        <v>Beaver</v>
      </c>
      <c r="C103" s="985" t="str">
        <f>F!C94</f>
        <v>Use of the AA by beaver during the past 5 years is (select most applicable ONE):</v>
      </c>
      <c r="D103" s="1017"/>
      <c r="E103" s="1017"/>
      <c r="F103" s="1034"/>
      <c r="G103" s="1010">
        <f>IF((AllSat+AllSat1&gt;0),"", MAX(F104:F107)/MAX(E104:E107))</f>
        <v>0</v>
      </c>
      <c r="H103" s="1698" t="s">
        <v>5512</v>
      </c>
      <c r="I103" s="3" t="s">
        <v>496</v>
      </c>
    </row>
    <row r="104" spans="1:9" ht="27" customHeight="1" x14ac:dyDescent="0.2">
      <c r="A104" s="2180"/>
      <c r="B104" s="2161"/>
      <c r="C104" s="233" t="str">
        <f>F!C95</f>
        <v>evident from direct observation or presence of gnawed limbs, dams, tracks, dens, lodges, or extensive stands of water-killed trees (snags).</v>
      </c>
      <c r="D104" s="329">
        <f>F!D95</f>
        <v>0</v>
      </c>
      <c r="E104" s="1029">
        <v>5</v>
      </c>
      <c r="F104" s="1019">
        <f>D104*E104</f>
        <v>0</v>
      </c>
      <c r="G104" s="1021"/>
      <c r="H104" s="2163"/>
    </row>
    <row r="105" spans="1:9" ht="42" customHeight="1" x14ac:dyDescent="0.2">
      <c r="A105" s="2180"/>
      <c r="B105" s="2161"/>
      <c r="C105" s="989"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05" s="330">
        <f>F!D96</f>
        <v>0</v>
      </c>
      <c r="E105" s="1029">
        <v>2</v>
      </c>
      <c r="F105" s="1019">
        <f>D105*E105</f>
        <v>0</v>
      </c>
      <c r="G105" s="1022"/>
      <c r="H105" s="2163"/>
    </row>
    <row r="106" spans="1:9" ht="27" customHeight="1" x14ac:dyDescent="0.2">
      <c r="A106" s="2180"/>
      <c r="B106" s="2161"/>
      <c r="C106" s="989" t="str">
        <f>F!C97</f>
        <v>unlikely because site characteristics above are deficient, and/or this is a settled area or other area where beaver are routinely removed.  But beaver occur in the region (i.e., within 10 miles, or on same island).</v>
      </c>
      <c r="D106" s="330">
        <f>F!D97</f>
        <v>0</v>
      </c>
      <c r="E106" s="1029">
        <v>1</v>
      </c>
      <c r="F106" s="1019">
        <f>D106*E106</f>
        <v>0</v>
      </c>
      <c r="G106" s="1022"/>
      <c r="H106" s="2163"/>
    </row>
    <row r="107" spans="1:9" ht="15.6" customHeight="1" thickBot="1" x14ac:dyDescent="0.25">
      <c r="A107" s="2181"/>
      <c r="B107" s="2162"/>
      <c r="C107" s="988" t="str">
        <f>F!C98</f>
        <v>none.  Beaver are absent from the region and/or the island.</v>
      </c>
      <c r="D107" s="274">
        <f>F!D98</f>
        <v>0</v>
      </c>
      <c r="E107" s="1060">
        <v>0</v>
      </c>
      <c r="F107" s="1023">
        <f>D107*E107</f>
        <v>0</v>
      </c>
      <c r="G107" s="1025"/>
      <c r="H107" s="2164"/>
    </row>
    <row r="108" spans="1:9" ht="21" customHeight="1" thickBot="1" x14ac:dyDescent="0.25">
      <c r="A108" s="2170" t="str">
        <f>F!A140</f>
        <v>F32</v>
      </c>
      <c r="B108" s="2161" t="str">
        <f>F!B140</f>
        <v>Tree &amp; Tall Shrub Canopy Extent</v>
      </c>
      <c r="C108" s="739" t="str">
        <f>F!C140</f>
        <v>Within the vegetated part of the AA, just the trees that are taller than 20 ft occupy:</v>
      </c>
      <c r="D108" s="1017"/>
      <c r="E108" s="1029"/>
      <c r="F108" s="1030"/>
      <c r="G108" s="1031">
        <f>IF((NoWoodyVeg=1),"", MAX(F109:F113)/MAX(E109:E113))</f>
        <v>0</v>
      </c>
      <c r="H108" s="2165" t="s">
        <v>5513</v>
      </c>
      <c r="I108" s="3" t="s">
        <v>488</v>
      </c>
    </row>
    <row r="109" spans="1:9" ht="15" customHeight="1" x14ac:dyDescent="0.2">
      <c r="A109" s="2170"/>
      <c r="B109" s="2161"/>
      <c r="C109" s="986" t="str">
        <f>F!C141</f>
        <v>&lt;1% of the vegetated AA, or the AA lacks trees.  Enter "1" and SKIP to F37.</v>
      </c>
      <c r="D109" s="328">
        <f>F!D141</f>
        <v>0</v>
      </c>
      <c r="E109" s="1019">
        <v>0</v>
      </c>
      <c r="F109" s="1019">
        <f>D109*E109</f>
        <v>0</v>
      </c>
      <c r="G109" s="1021"/>
      <c r="H109" s="2166"/>
    </row>
    <row r="110" spans="1:9" ht="15" customHeight="1" x14ac:dyDescent="0.2">
      <c r="A110" s="2170"/>
      <c r="B110" s="2161"/>
      <c r="C110" s="987" t="str">
        <f>F!C142</f>
        <v>1-25% of the vegetated AA</v>
      </c>
      <c r="D110" s="273">
        <f>F!D142</f>
        <v>0</v>
      </c>
      <c r="E110" s="1019">
        <v>1</v>
      </c>
      <c r="F110" s="1019">
        <f>D110*E110</f>
        <v>0</v>
      </c>
      <c r="G110" s="1022"/>
      <c r="H110" s="2166"/>
    </row>
    <row r="111" spans="1:9" ht="15" customHeight="1" x14ac:dyDescent="0.2">
      <c r="A111" s="2170"/>
      <c r="B111" s="2161"/>
      <c r="C111" s="987" t="str">
        <f>F!C143</f>
        <v>25-50% of the vegetated AA</v>
      </c>
      <c r="D111" s="273">
        <f>F!D143</f>
        <v>0</v>
      </c>
      <c r="E111" s="1019">
        <v>2</v>
      </c>
      <c r="F111" s="1019">
        <f>D111*E111</f>
        <v>0</v>
      </c>
      <c r="G111" s="1022"/>
      <c r="H111" s="2166"/>
    </row>
    <row r="112" spans="1:9" ht="15" customHeight="1" x14ac:dyDescent="0.2">
      <c r="A112" s="2170"/>
      <c r="B112" s="2161"/>
      <c r="C112" s="987" t="str">
        <f>F!C144</f>
        <v>50-95% of the vegetated AA</v>
      </c>
      <c r="D112" s="273">
        <f>F!D144</f>
        <v>0</v>
      </c>
      <c r="E112" s="1019">
        <v>3</v>
      </c>
      <c r="F112" s="1019">
        <f>D112*E112</f>
        <v>0</v>
      </c>
      <c r="G112" s="1022"/>
      <c r="H112" s="2166"/>
    </row>
    <row r="113" spans="1:9" ht="15.6" customHeight="1" thickBot="1" x14ac:dyDescent="0.25">
      <c r="A113" s="2170"/>
      <c r="B113" s="2161"/>
      <c r="C113" s="989" t="str">
        <f>F!C145</f>
        <v>&gt;95% of the vegetated part of the AA</v>
      </c>
      <c r="D113" s="330">
        <f>F!D145</f>
        <v>0</v>
      </c>
      <c r="E113" s="1057">
        <v>2</v>
      </c>
      <c r="F113" s="1032">
        <f>D113*E113</f>
        <v>0</v>
      </c>
      <c r="G113" s="1033"/>
      <c r="H113" s="2166"/>
    </row>
    <row r="114" spans="1:9" ht="21" customHeight="1" thickBot="1" x14ac:dyDescent="0.25">
      <c r="A114" s="2185" t="str">
        <f>F!A146</f>
        <v>F33</v>
      </c>
      <c r="B114" s="2160" t="str">
        <f>F!B146</f>
        <v>Deciduous Trees</v>
      </c>
      <c r="C114" s="232" t="str">
        <f>F!C146</f>
        <v>Within the vegetated part of the AA, just the deciduous trees that are taller than 20 ft occupy:</v>
      </c>
      <c r="D114" s="1017"/>
      <c r="E114" s="1017"/>
      <c r="F114" s="1017"/>
      <c r="G114" s="1010">
        <f>IF((NoWoodyVeg=1),"",IF((NoTrees=1),"", MAX(F115:F119)/MAX(E115:E119)))</f>
        <v>0</v>
      </c>
      <c r="H114" s="2008" t="s">
        <v>5410</v>
      </c>
      <c r="I114" s="3" t="s">
        <v>2507</v>
      </c>
    </row>
    <row r="115" spans="1:9" ht="15" customHeight="1" x14ac:dyDescent="0.2">
      <c r="A115" s="2186"/>
      <c r="B115" s="2161"/>
      <c r="C115" s="1001" t="str">
        <f>F!C147</f>
        <v>&lt;1% of the vegetated AA</v>
      </c>
      <c r="D115" s="328">
        <f>F!D147</f>
        <v>0</v>
      </c>
      <c r="E115" s="1019">
        <v>0</v>
      </c>
      <c r="F115" s="1019">
        <f>D115*E115</f>
        <v>0</v>
      </c>
      <c r="G115" s="1022"/>
      <c r="H115" s="2163"/>
    </row>
    <row r="116" spans="1:9" ht="15" customHeight="1" x14ac:dyDescent="0.2">
      <c r="A116" s="2186"/>
      <c r="B116" s="2161"/>
      <c r="C116" s="1000" t="str">
        <f>F!C148</f>
        <v>1-25% of the vegetated AA</v>
      </c>
      <c r="D116" s="273">
        <f>F!D148</f>
        <v>0</v>
      </c>
      <c r="E116" s="1019">
        <v>1</v>
      </c>
      <c r="F116" s="1019">
        <f>D116*E116</f>
        <v>0</v>
      </c>
      <c r="G116" s="1022"/>
      <c r="H116" s="2163"/>
    </row>
    <row r="117" spans="1:9" ht="15" customHeight="1" x14ac:dyDescent="0.2">
      <c r="A117" s="2186"/>
      <c r="B117" s="2161"/>
      <c r="C117" s="1000" t="str">
        <f>F!C149</f>
        <v>25-50% of the vegetated AA</v>
      </c>
      <c r="D117" s="273">
        <f>F!D149</f>
        <v>0</v>
      </c>
      <c r="E117" s="1019">
        <v>2</v>
      </c>
      <c r="F117" s="1019">
        <f>D117*E117</f>
        <v>0</v>
      </c>
      <c r="G117" s="1022"/>
      <c r="H117" s="2163"/>
    </row>
    <row r="118" spans="1:9" ht="15" customHeight="1" x14ac:dyDescent="0.2">
      <c r="A118" s="2186"/>
      <c r="B118" s="2161"/>
      <c r="C118" s="1000" t="str">
        <f>F!C150</f>
        <v>50-95% of the vegetated AA</v>
      </c>
      <c r="D118" s="273">
        <f>F!D150</f>
        <v>0</v>
      </c>
      <c r="E118" s="1019">
        <v>3</v>
      </c>
      <c r="F118" s="1019">
        <f>D118*E118</f>
        <v>0</v>
      </c>
      <c r="G118" s="1022"/>
      <c r="H118" s="2163"/>
    </row>
    <row r="119" spans="1:9" ht="15.6" customHeight="1" thickBot="1" x14ac:dyDescent="0.25">
      <c r="A119" s="2187"/>
      <c r="B119" s="2162"/>
      <c r="C119" s="1002" t="str">
        <f>F!C151</f>
        <v>&gt;95% of the vegetated part of the AA</v>
      </c>
      <c r="D119" s="274">
        <f>F!D151</f>
        <v>0</v>
      </c>
      <c r="E119" s="1023">
        <v>4</v>
      </c>
      <c r="F119" s="1023">
        <f>D119*E119</f>
        <v>0</v>
      </c>
      <c r="G119" s="1025"/>
      <c r="H119" s="2164"/>
    </row>
    <row r="120" spans="1:9" ht="39" customHeight="1" thickBot="1" x14ac:dyDescent="0.25">
      <c r="A120" s="2188" t="str">
        <f>F!A152</f>
        <v>F34</v>
      </c>
      <c r="B120" s="2158" t="str">
        <f>F!B152</f>
        <v>Woody Diameter Classes</v>
      </c>
      <c r="C120" s="739" t="str">
        <f>F!C152</f>
        <v>Mark all the classes of woody plants within the AA, but only IF they comprise more than 5% of the woody canopy within the AA.  Do not count trees that adjoin but are not within the AA.</v>
      </c>
      <c r="D120" s="1017"/>
      <c r="E120" s="1029"/>
      <c r="F120" s="1030"/>
      <c r="G120" s="1054">
        <f>IF((NoWoodyVeg=1),"",IF((NoTrees=1),"", ((SUM(D121:D128)/8+ MAX(F121:F128)/MAX(E121:E128))/2)))</f>
        <v>0</v>
      </c>
      <c r="H120" s="2176" t="s">
        <v>5405</v>
      </c>
      <c r="I120" s="3" t="s">
        <v>2506</v>
      </c>
    </row>
    <row r="121" spans="1:9" ht="18" customHeight="1" x14ac:dyDescent="0.2">
      <c r="A121" s="2188"/>
      <c r="B121" s="2158"/>
      <c r="C121" s="233" t="str">
        <f>F!C153</f>
        <v>evergreen 1-4" diameter and &gt;3 ft tall</v>
      </c>
      <c r="D121" s="329">
        <f>F!D153</f>
        <v>0</v>
      </c>
      <c r="E121" s="1019">
        <v>1</v>
      </c>
      <c r="F121" s="1019">
        <f t="shared" ref="F121:F128" si="6">D121*E121</f>
        <v>0</v>
      </c>
      <c r="G121" s="1047"/>
      <c r="H121" s="2177"/>
    </row>
    <row r="122" spans="1:9" ht="18" customHeight="1" x14ac:dyDescent="0.2">
      <c r="A122" s="2188"/>
      <c r="B122" s="2158"/>
      <c r="C122" s="989" t="str">
        <f>F!C154</f>
        <v>deciduous 1-4" diameter and &gt;3 ft tall</v>
      </c>
      <c r="D122" s="330">
        <f>F!D154</f>
        <v>0</v>
      </c>
      <c r="E122" s="1019">
        <v>3</v>
      </c>
      <c r="F122" s="1019">
        <f t="shared" si="6"/>
        <v>0</v>
      </c>
      <c r="G122" s="1048"/>
      <c r="H122" s="2177"/>
    </row>
    <row r="123" spans="1:9" ht="18" customHeight="1" x14ac:dyDescent="0.2">
      <c r="A123" s="2188"/>
      <c r="B123" s="2158"/>
      <c r="C123" s="989" t="str">
        <f>F!C155</f>
        <v>evergreen 4-9" diameter</v>
      </c>
      <c r="D123" s="330">
        <f>F!D155</f>
        <v>0</v>
      </c>
      <c r="E123" s="1019">
        <v>2</v>
      </c>
      <c r="F123" s="1019">
        <f t="shared" si="6"/>
        <v>0</v>
      </c>
      <c r="G123" s="1048"/>
      <c r="H123" s="2177"/>
    </row>
    <row r="124" spans="1:9" ht="18" customHeight="1" x14ac:dyDescent="0.2">
      <c r="A124" s="2188"/>
      <c r="B124" s="2158"/>
      <c r="C124" s="989" t="str">
        <f>F!C156</f>
        <v>deciduous 4-9" diameter</v>
      </c>
      <c r="D124" s="330">
        <f>F!D156</f>
        <v>0</v>
      </c>
      <c r="E124" s="1019">
        <v>4</v>
      </c>
      <c r="F124" s="1019">
        <f t="shared" si="6"/>
        <v>0</v>
      </c>
      <c r="G124" s="1048"/>
      <c r="H124" s="2177"/>
    </row>
    <row r="125" spans="1:9" ht="18" customHeight="1" x14ac:dyDescent="0.2">
      <c r="A125" s="2188"/>
      <c r="B125" s="2158"/>
      <c r="C125" s="989" t="str">
        <f>F!C157</f>
        <v>evergreen 9-21" diameter</v>
      </c>
      <c r="D125" s="330">
        <f>F!D157</f>
        <v>0</v>
      </c>
      <c r="E125" s="1019">
        <v>3</v>
      </c>
      <c r="F125" s="1019">
        <f t="shared" si="6"/>
        <v>0</v>
      </c>
      <c r="G125" s="1048"/>
      <c r="H125" s="2177"/>
    </row>
    <row r="126" spans="1:9" ht="18" customHeight="1" x14ac:dyDescent="0.2">
      <c r="A126" s="2188"/>
      <c r="B126" s="2158"/>
      <c r="C126" s="989" t="str">
        <f>F!C158</f>
        <v>deciduous 9-21" diameter</v>
      </c>
      <c r="D126" s="330">
        <f>F!D158</f>
        <v>0</v>
      </c>
      <c r="E126" s="1019">
        <v>6</v>
      </c>
      <c r="F126" s="1019">
        <f t="shared" si="6"/>
        <v>0</v>
      </c>
      <c r="G126" s="1048"/>
      <c r="H126" s="2177"/>
    </row>
    <row r="127" spans="1:9" ht="18" customHeight="1" x14ac:dyDescent="0.2">
      <c r="A127" s="2188"/>
      <c r="B127" s="2158"/>
      <c r="C127" s="989" t="str">
        <f>F!C159</f>
        <v>evergreen &gt;21" diameter</v>
      </c>
      <c r="D127" s="330">
        <f>F!D159</f>
        <v>0</v>
      </c>
      <c r="E127" s="1019">
        <v>5</v>
      </c>
      <c r="F127" s="1019">
        <f t="shared" si="6"/>
        <v>0</v>
      </c>
      <c r="G127" s="1048"/>
      <c r="H127" s="2177"/>
    </row>
    <row r="128" spans="1:9" ht="18" customHeight="1" thickBot="1" x14ac:dyDescent="0.25">
      <c r="A128" s="2188"/>
      <c r="B128" s="2158"/>
      <c r="C128" s="989" t="str">
        <f>F!C160</f>
        <v>deciduous &gt;21" diameter</v>
      </c>
      <c r="D128" s="330">
        <f>F!D160</f>
        <v>0</v>
      </c>
      <c r="E128" s="1032">
        <v>8</v>
      </c>
      <c r="F128" s="1032">
        <f t="shared" si="6"/>
        <v>0</v>
      </c>
      <c r="G128" s="1058"/>
      <c r="H128" s="2178"/>
    </row>
    <row r="129" spans="1:9" ht="30" customHeight="1" thickBot="1" x14ac:dyDescent="0.25">
      <c r="A129" s="2185" t="str">
        <f>F!A161</f>
        <v>F35</v>
      </c>
      <c r="B129" s="2160" t="str">
        <f>F!B161</f>
        <v>Snags</v>
      </c>
      <c r="C129" s="985" t="str">
        <f>F!C161</f>
        <v>The number of large snags (diameter &gt;8") in the AA plus the area within 100 ft uphill of the closest upland to the wetland edge is:</v>
      </c>
      <c r="D129" s="1017"/>
      <c r="E129" s="1017"/>
      <c r="F129" s="1034"/>
      <c r="G129" s="1010">
        <f>IF((NoWoodyVeg=1),"", IF((NoTrees=1),"", MAX(F130:F132)/MAX(E130:E132)))</f>
        <v>0</v>
      </c>
      <c r="H129" s="2008" t="s">
        <v>5406</v>
      </c>
      <c r="I129" s="3" t="s">
        <v>490</v>
      </c>
    </row>
    <row r="130" spans="1:9" ht="15" customHeight="1" x14ac:dyDescent="0.2">
      <c r="A130" s="2189"/>
      <c r="B130" s="2171"/>
      <c r="C130" s="986" t="str">
        <f>F!C162</f>
        <v>Several ( &gt;2/acre) and a pond or lake of at least 1 acre is within 1 mile.</v>
      </c>
      <c r="D130" s="328">
        <f>F!D162</f>
        <v>0</v>
      </c>
      <c r="E130" s="1019">
        <v>2</v>
      </c>
      <c r="F130" s="1019">
        <f>D130*E130</f>
        <v>0</v>
      </c>
      <c r="G130" s="1021"/>
      <c r="H130" s="2163"/>
    </row>
    <row r="131" spans="1:9" ht="15" customHeight="1" x14ac:dyDescent="0.2">
      <c r="A131" s="2189"/>
      <c r="B131" s="2171"/>
      <c r="C131" s="986" t="str">
        <f>F!C163</f>
        <v>Several ( &gt;2/acre) but above not true.</v>
      </c>
      <c r="D131" s="328">
        <f>F!D163</f>
        <v>0</v>
      </c>
      <c r="E131" s="1019">
        <v>1</v>
      </c>
      <c r="F131" s="1019">
        <f>D131*E131</f>
        <v>0</v>
      </c>
      <c r="G131" s="1021"/>
      <c r="H131" s="2163"/>
    </row>
    <row r="132" spans="1:9" ht="15.6" customHeight="1" thickBot="1" x14ac:dyDescent="0.25">
      <c r="A132" s="2190"/>
      <c r="B132" s="2172"/>
      <c r="C132" s="1003" t="str">
        <f>F!C164</f>
        <v xml:space="preserve">Few or none </v>
      </c>
      <c r="D132" s="337">
        <f>F!D164</f>
        <v>0</v>
      </c>
      <c r="E132" s="1023">
        <v>0</v>
      </c>
      <c r="F132" s="1023">
        <f>D132*E132</f>
        <v>0</v>
      </c>
      <c r="G132" s="1025"/>
      <c r="H132" s="2164"/>
    </row>
    <row r="133" spans="1:9" ht="30" customHeight="1" thickBot="1" x14ac:dyDescent="0.25">
      <c r="A133" s="2188" t="str">
        <f>F!A165</f>
        <v>F36</v>
      </c>
      <c r="B133" s="2158" t="str">
        <f>F!B165</f>
        <v>Downed Wood</v>
      </c>
      <c r="C133" s="739" t="str">
        <f>F!C165</f>
        <v>The number of downed wood pieces longer than 6 ft and with diameter &gt;6", and not persistently submerged, is:</v>
      </c>
      <c r="D133" s="1017"/>
      <c r="E133" s="1029"/>
      <c r="F133" s="1030"/>
      <c r="G133" s="1031">
        <f>IF((NoWoodyVeg=1),"", IF((NoTrees=1),"", MAX(F134:F135)))</f>
        <v>0</v>
      </c>
      <c r="H133" s="2149" t="s">
        <v>5407</v>
      </c>
      <c r="I133" s="3" t="s">
        <v>491</v>
      </c>
    </row>
    <row r="134" spans="1:9" ht="15" customHeight="1" x14ac:dyDescent="0.2">
      <c r="A134" s="2188"/>
      <c r="B134" s="2158"/>
      <c r="C134" s="233" t="str">
        <f>F!C166</f>
        <v>Several ( &gt;5 if AA is &gt;10 acres, or &gt;2 for smaller AAs)</v>
      </c>
      <c r="D134" s="329">
        <f>F!D166</f>
        <v>0</v>
      </c>
      <c r="E134" s="1019">
        <v>1</v>
      </c>
      <c r="F134" s="1019">
        <f>D134*E134</f>
        <v>0</v>
      </c>
      <c r="G134" s="1021"/>
      <c r="H134" s="2150"/>
    </row>
    <row r="135" spans="1:9" ht="15.6" customHeight="1" thickBot="1" x14ac:dyDescent="0.25">
      <c r="A135" s="2188"/>
      <c r="B135" s="2158"/>
      <c r="C135" s="989" t="str">
        <f>F!C167</f>
        <v xml:space="preserve">Few or none </v>
      </c>
      <c r="D135" s="330">
        <f>F!D167</f>
        <v>0</v>
      </c>
      <c r="E135" s="1032">
        <v>0</v>
      </c>
      <c r="F135" s="1032">
        <f>D135*E135</f>
        <v>0</v>
      </c>
      <c r="G135" s="1033"/>
      <c r="H135" s="2150"/>
    </row>
    <row r="136" spans="1:9" ht="21" customHeight="1" thickBot="1" x14ac:dyDescent="0.25">
      <c r="A136" s="2185" t="str">
        <f>F!A168</f>
        <v>F37</v>
      </c>
      <c r="B136" s="2160" t="str">
        <f>F!B168</f>
        <v>Exposed Shrub Canopy</v>
      </c>
      <c r="C136" s="985" t="str">
        <f>F!C168</f>
        <v>Woody vegetation 3 to 20 ft tall that is not under the drip line of trees is:</v>
      </c>
      <c r="D136" s="1017"/>
      <c r="E136" s="1017"/>
      <c r="F136" s="1034"/>
      <c r="G136" s="1010">
        <f>IF((NoWoodyVeg=1),"", MAX(F137:F141)/MAX(E137:E141))</f>
        <v>0</v>
      </c>
      <c r="H136" s="1698" t="s">
        <v>5409</v>
      </c>
      <c r="I136" s="3" t="s">
        <v>519</v>
      </c>
    </row>
    <row r="137" spans="1:9" ht="15" customHeight="1" x14ac:dyDescent="0.2">
      <c r="A137" s="2186"/>
      <c r="B137" s="2161"/>
      <c r="C137" s="1004" t="str">
        <f>F!C169</f>
        <v>&lt;5% of the vegetated AA and (if a fringe wetland) &lt;5% of its water edge.  Or &lt;0.01 acre.  SKIP to F41.</v>
      </c>
      <c r="D137" s="338">
        <f>F!D169</f>
        <v>0</v>
      </c>
      <c r="E137" s="1019">
        <v>0</v>
      </c>
      <c r="F137" s="1019">
        <f>D137*E137</f>
        <v>0</v>
      </c>
      <c r="G137" s="1021"/>
      <c r="H137" s="2167"/>
    </row>
    <row r="138" spans="1:9" ht="15" customHeight="1" x14ac:dyDescent="0.2">
      <c r="A138" s="2186"/>
      <c r="B138" s="2161"/>
      <c r="C138" s="1005" t="str">
        <f>F!C170</f>
        <v>5-25% of the vegetated AA or (if a fringe wetland) 5-25% of the water edge  -- whichever is greater.</v>
      </c>
      <c r="D138" s="339">
        <f>F!D170</f>
        <v>0</v>
      </c>
      <c r="E138" s="1019">
        <v>2</v>
      </c>
      <c r="F138" s="1019">
        <f>D138*E138</f>
        <v>0</v>
      </c>
      <c r="G138" s="1022"/>
      <c r="H138" s="2167"/>
    </row>
    <row r="139" spans="1:9" ht="15" customHeight="1" x14ac:dyDescent="0.2">
      <c r="A139" s="2186"/>
      <c r="B139" s="2161"/>
      <c r="C139" s="1005" t="str">
        <f>F!C171</f>
        <v xml:space="preserve">25-50% of the vegetated AA or the water edge, whichever is greater. </v>
      </c>
      <c r="D139" s="339">
        <f>F!D171</f>
        <v>0</v>
      </c>
      <c r="E139" s="1019">
        <v>3</v>
      </c>
      <c r="F139" s="1019">
        <f>D139*E139</f>
        <v>0</v>
      </c>
      <c r="G139" s="1022"/>
      <c r="H139" s="2167"/>
    </row>
    <row r="140" spans="1:9" ht="15" customHeight="1" x14ac:dyDescent="0.2">
      <c r="A140" s="2186"/>
      <c r="B140" s="2161"/>
      <c r="C140" s="1005" t="str">
        <f>F!C172</f>
        <v>50-95% of the vegetated AA or the water edge, whichever is greater.</v>
      </c>
      <c r="D140" s="339">
        <f>F!D172</f>
        <v>0</v>
      </c>
      <c r="E140" s="1019">
        <v>3</v>
      </c>
      <c r="F140" s="1019">
        <f>D140*E140</f>
        <v>0</v>
      </c>
      <c r="G140" s="1022"/>
      <c r="H140" s="2167"/>
    </row>
    <row r="141" spans="1:9" ht="15.6" customHeight="1" thickBot="1" x14ac:dyDescent="0.25">
      <c r="A141" s="2187"/>
      <c r="B141" s="2162"/>
      <c r="C141" s="1006" t="str">
        <f>F!C173</f>
        <v>&gt;95% of the vegetated part of the AA or the water edge, whichever is greater.</v>
      </c>
      <c r="D141" s="340">
        <f>F!D173</f>
        <v>0</v>
      </c>
      <c r="E141" s="1023">
        <v>2</v>
      </c>
      <c r="F141" s="1023">
        <f>D141*E141</f>
        <v>0</v>
      </c>
      <c r="G141" s="1025"/>
      <c r="H141" s="2168"/>
    </row>
    <row r="142" spans="1:9" ht="30" customHeight="1" thickBot="1" x14ac:dyDescent="0.25">
      <c r="A142" s="2170" t="str">
        <f>F!A174</f>
        <v>F38</v>
      </c>
      <c r="B142" s="2161" t="str">
        <f>F!B174</f>
        <v>Shrub Species Dominance</v>
      </c>
      <c r="C142" s="739" t="str">
        <f>F!C174</f>
        <v>Determine which two native shrub species (3 to 20 ft tall) comprise the greatest portion of the native shrub cover.  Then choose one:</v>
      </c>
      <c r="D142" s="1017"/>
      <c r="E142" s="1029"/>
      <c r="F142" s="1030"/>
      <c r="G142" s="1031">
        <f>IF((NoWoodyVeg=1),"",IF((NoShrub=1),"", MAX(F143:F144)/MAX(E143:E144)))</f>
        <v>0</v>
      </c>
      <c r="H142" s="2165" t="s">
        <v>5408</v>
      </c>
      <c r="I142" s="3" t="s">
        <v>520</v>
      </c>
    </row>
    <row r="143" spans="1:9" ht="15" customHeight="1" x14ac:dyDescent="0.2">
      <c r="A143" s="2170"/>
      <c r="B143" s="2161"/>
      <c r="C143" s="1004" t="str">
        <f>F!C175</f>
        <v>those species together comprise &gt; 50% of the areal cover of native shrub species.</v>
      </c>
      <c r="D143" s="338">
        <f>F!D175</f>
        <v>0</v>
      </c>
      <c r="E143" s="1019">
        <v>1</v>
      </c>
      <c r="F143" s="1019">
        <f>D143*E143</f>
        <v>0</v>
      </c>
      <c r="G143" s="1021"/>
      <c r="H143" s="2174"/>
    </row>
    <row r="144" spans="1:9" ht="15.6" customHeight="1" thickBot="1" x14ac:dyDescent="0.25">
      <c r="A144" s="2170"/>
      <c r="B144" s="2161"/>
      <c r="C144" s="996" t="str">
        <f>F!C176</f>
        <v>those species together do not comprise &gt; 50% of the areal cover of native shrub species.</v>
      </c>
      <c r="D144" s="336">
        <f>F!D176</f>
        <v>0</v>
      </c>
      <c r="E144" s="1032">
        <v>2</v>
      </c>
      <c r="F144" s="1032">
        <f>D144*E144</f>
        <v>0</v>
      </c>
      <c r="G144" s="1033"/>
      <c r="H144" s="2174"/>
    </row>
    <row r="145" spans="1:9" ht="30" customHeight="1" thickBot="1" x14ac:dyDescent="0.25">
      <c r="A145" s="2179" t="str">
        <f>F!A177</f>
        <v>F39</v>
      </c>
      <c r="B145" s="2157" t="str">
        <f>F!B177</f>
        <v>Woody-Herbaceous Interspersion</v>
      </c>
      <c r="C145" s="985" t="str">
        <f>F!C177</f>
        <v>In "ducks-eye view", the distribution pattern of woody vegetation (including low shrubs) VS. unshaded herbaceous/moss vegetation within the AA is:</v>
      </c>
      <c r="D145" s="1017"/>
      <c r="E145" s="1017"/>
      <c r="F145" s="1034"/>
      <c r="G145" s="1010">
        <f>IF((NoWoodyVeg=1),"", MAX(F146:F149)/MAX(E146:E149))</f>
        <v>0</v>
      </c>
      <c r="H145" s="1727" t="s">
        <v>5514</v>
      </c>
      <c r="I145" s="3" t="s">
        <v>489</v>
      </c>
    </row>
    <row r="146" spans="1:9" ht="42" customHeight="1" x14ac:dyDescent="0.2">
      <c r="A146" s="2180"/>
      <c r="B146" s="2158"/>
      <c r="C146" s="233" t="str">
        <f>F!C178</f>
        <v>(a) Woody cover and herbaceous/moss cover EACH comprise 30-70% of the vegetated part of the AA, AND (b) There are many patches of woody vegetation scattered widely within herbaceous/moss vegetation, or many patches of herbaceous vegetation scattered widely within woody vegetation.</v>
      </c>
      <c r="D146" s="329">
        <f>F!D178</f>
        <v>0</v>
      </c>
      <c r="E146" s="1029">
        <v>3</v>
      </c>
      <c r="F146" s="1019">
        <f>D146*E146</f>
        <v>0</v>
      </c>
      <c r="G146" s="1021"/>
      <c r="H146" s="1728"/>
      <c r="I146" s="3"/>
    </row>
    <row r="147" spans="1:9" ht="42" customHeight="1" x14ac:dyDescent="0.2">
      <c r="A147" s="2180"/>
      <c r="B147" s="2158"/>
      <c r="C147" s="989" t="str">
        <f>F!C179</f>
        <v>(a) Woody cover and herbaceous/moss EACH comprise 30-70% of the vegetated AA, AND (b) There are few patches ("islands") of woody vegetation scattered widely within herbaceous vegetation, or few patches of herbaceous/moss vegetation ("gaps") scattered widely within woody vegetation.</v>
      </c>
      <c r="D147" s="330">
        <f>F!D179</f>
        <v>0</v>
      </c>
      <c r="E147" s="1019">
        <v>2</v>
      </c>
      <c r="F147" s="1019">
        <f>D147*E147</f>
        <v>0</v>
      </c>
      <c r="G147" s="1021"/>
      <c r="H147" s="1728"/>
    </row>
    <row r="148" spans="1:9" ht="42" customHeight="1" x14ac:dyDescent="0.2">
      <c r="A148" s="2180"/>
      <c r="B148" s="2158"/>
      <c r="C148" s="989" t="str">
        <f>F!C180</f>
        <v>(a) Woody cover OR herbaceous/moss comprise &gt;70% of the vegetated AA, AND (b) There are several patches of the other scattered within it. (e.g., forested AAs with patches -- not limited to corridors -- of skunk cabbage, or muskeg with scattered shrubs).</v>
      </c>
      <c r="D148" s="330">
        <f>F!D180</f>
        <v>0</v>
      </c>
      <c r="E148" s="1019">
        <v>1</v>
      </c>
      <c r="F148" s="1019">
        <f>D148*E148</f>
        <v>0</v>
      </c>
      <c r="G148" s="1022"/>
      <c r="H148" s="1728"/>
    </row>
    <row r="149" spans="1:9" ht="42" customHeight="1" thickBot="1" x14ac:dyDescent="0.25">
      <c r="A149" s="2181"/>
      <c r="B149" s="2159"/>
      <c r="C149" s="988" t="str">
        <f>F!C181</f>
        <v>(a) Woody over OR herbaceous/moss comprise &gt;70% of the vegetated AA, AND (b) The other is absent or is mostly in a single area or distinct zone with almost no intermixing of woody and unshaded herbaceous/moss vegetation.</v>
      </c>
      <c r="D149" s="274">
        <f>F!D181</f>
        <v>0</v>
      </c>
      <c r="E149" s="1023">
        <v>0</v>
      </c>
      <c r="F149" s="1023">
        <f>D149*E149</f>
        <v>0</v>
      </c>
      <c r="G149" s="1025"/>
      <c r="H149" s="1729"/>
    </row>
    <row r="150" spans="1:9" ht="30" customHeight="1" thickBot="1" x14ac:dyDescent="0.25">
      <c r="A150" s="1845" t="str">
        <f>F!A182</f>
        <v>F40</v>
      </c>
      <c r="B150" s="1688" t="str">
        <f>F!B182</f>
        <v>Deciduous Shrubs</v>
      </c>
      <c r="C150" s="385" t="str">
        <f>F!C182</f>
        <v>Woody vegetation in the 3 to 20 ft height class which is deciduous (e.g., blueberry, menziesia, alder) comprises:</v>
      </c>
      <c r="D150" s="1017"/>
      <c r="E150" s="1029"/>
      <c r="F150" s="1047"/>
      <c r="G150" s="1031">
        <f>IF((NoWoodyVeg=1),"",IF((NoShrub=1),"",MAX(F151:F155)/MAX(E151:E155)))</f>
        <v>0</v>
      </c>
      <c r="H150" s="2173" t="s">
        <v>5411</v>
      </c>
      <c r="I150" s="3" t="s">
        <v>517</v>
      </c>
    </row>
    <row r="151" spans="1:9" ht="15" customHeight="1" x14ac:dyDescent="0.2">
      <c r="A151" s="1845"/>
      <c r="B151" s="1688"/>
      <c r="C151" s="21" t="str">
        <f>F!C183</f>
        <v>&lt;1% of the AA's vegetated area, or largest patch occupies less than 400 sq. ft</v>
      </c>
      <c r="D151" s="280">
        <f>F!D183</f>
        <v>0</v>
      </c>
      <c r="E151" s="1019">
        <v>0</v>
      </c>
      <c r="F151" s="1019">
        <f>D151*E151</f>
        <v>0</v>
      </c>
      <c r="G151" s="1021"/>
      <c r="H151" s="2155"/>
    </row>
    <row r="152" spans="1:9" ht="15" customHeight="1" x14ac:dyDescent="0.2">
      <c r="A152" s="1845"/>
      <c r="B152" s="1688"/>
      <c r="C152" s="6" t="str">
        <f>F!C184</f>
        <v>1-25% of the vegetated area</v>
      </c>
      <c r="D152" s="46">
        <f>F!D184</f>
        <v>0</v>
      </c>
      <c r="E152" s="1019">
        <v>1</v>
      </c>
      <c r="F152" s="1019">
        <f>D152*E152</f>
        <v>0</v>
      </c>
      <c r="G152" s="1022"/>
      <c r="H152" s="2155"/>
    </row>
    <row r="153" spans="1:9" ht="15" customHeight="1" x14ac:dyDescent="0.2">
      <c r="A153" s="1845"/>
      <c r="B153" s="1688"/>
      <c r="C153" s="6" t="str">
        <f>F!C185</f>
        <v>25-50% of the vegetated area</v>
      </c>
      <c r="D153" s="46">
        <f>F!D185</f>
        <v>0</v>
      </c>
      <c r="E153" s="1019">
        <v>2</v>
      </c>
      <c r="F153" s="1019">
        <f>D153*E153</f>
        <v>0</v>
      </c>
      <c r="G153" s="1022"/>
      <c r="H153" s="2155"/>
    </row>
    <row r="154" spans="1:9" ht="15" customHeight="1" x14ac:dyDescent="0.2">
      <c r="A154" s="1845"/>
      <c r="B154" s="1688"/>
      <c r="C154" s="6" t="str">
        <f>F!C186</f>
        <v>50-75% of the vegetated area</v>
      </c>
      <c r="D154" s="46">
        <f>F!D186</f>
        <v>0</v>
      </c>
      <c r="E154" s="1019">
        <v>3</v>
      </c>
      <c r="F154" s="1019">
        <f>D154*E154</f>
        <v>0</v>
      </c>
      <c r="G154" s="1022"/>
      <c r="H154" s="2155"/>
    </row>
    <row r="155" spans="1:9" ht="15.6" customHeight="1" thickBot="1" x14ac:dyDescent="0.25">
      <c r="A155" s="1845"/>
      <c r="B155" s="1688"/>
      <c r="C155" s="470" t="str">
        <f>F!C187</f>
        <v>&gt;75% of the vegetated area</v>
      </c>
      <c r="D155" s="20">
        <f>F!D187</f>
        <v>0</v>
      </c>
      <c r="E155" s="1032">
        <v>4</v>
      </c>
      <c r="F155" s="1032">
        <f>D155*E155</f>
        <v>0</v>
      </c>
      <c r="G155" s="1033"/>
      <c r="H155" s="2156"/>
    </row>
    <row r="156" spans="1:9" ht="30" customHeight="1" thickBot="1" x14ac:dyDescent="0.25">
      <c r="A156" s="1868" t="str">
        <f>F!A188</f>
        <v>F41</v>
      </c>
      <c r="B156" s="1687" t="str">
        <f>F!B188</f>
        <v>N Fixers</v>
      </c>
      <c r="C156" s="231" t="str">
        <f>F!C188</f>
        <v>The percent of the AA's vegetated cover that is nitrogen-fixing  plants -- e.g., alder, sweet clover (Meliolotus), sweetgale (Myrica gale), buffaloberry, clover, lupine, other legumes -- is:</v>
      </c>
      <c r="D156" s="1017"/>
      <c r="E156" s="1061"/>
      <c r="F156" s="1062"/>
      <c r="G156" s="1010">
        <f>MAX(F157:F161)/MAX(E157:E161)</f>
        <v>0</v>
      </c>
      <c r="H156" s="1698" t="s">
        <v>934</v>
      </c>
      <c r="I156" s="3" t="s">
        <v>518</v>
      </c>
    </row>
    <row r="157" spans="1:9" ht="15" customHeight="1" x14ac:dyDescent="0.2">
      <c r="A157" s="1869"/>
      <c r="B157" s="1688"/>
      <c r="C157" s="21" t="str">
        <f>F!C189</f>
        <v>&lt;1% or none</v>
      </c>
      <c r="D157" s="280">
        <f>F!D189</f>
        <v>0</v>
      </c>
      <c r="E157" s="1019">
        <v>0</v>
      </c>
      <c r="F157" s="1019">
        <f>D157*E157</f>
        <v>0</v>
      </c>
      <c r="G157" s="1021"/>
      <c r="H157" s="1970"/>
    </row>
    <row r="158" spans="1:9" ht="15" customHeight="1" x14ac:dyDescent="0.2">
      <c r="A158" s="1869"/>
      <c r="B158" s="1688"/>
      <c r="C158" s="6" t="str">
        <f>F!C190</f>
        <v>1-25% of the shrub plus ground cover, in the AA or along its water edge (whichever has more).</v>
      </c>
      <c r="D158" s="46">
        <f>F!D190</f>
        <v>0</v>
      </c>
      <c r="E158" s="1019">
        <v>1</v>
      </c>
      <c r="F158" s="1019">
        <f>D158*E158</f>
        <v>0</v>
      </c>
      <c r="G158" s="1022"/>
      <c r="H158" s="1970"/>
    </row>
    <row r="159" spans="1:9" ht="15" customHeight="1" x14ac:dyDescent="0.2">
      <c r="A159" s="1869"/>
      <c r="B159" s="1688"/>
      <c r="C159" s="6" t="str">
        <f>F!C191</f>
        <v>25-50% of the shrub plus ground cover, in the AA or along its water edge (whichever has more).</v>
      </c>
      <c r="D159" s="46">
        <f>F!D191</f>
        <v>0</v>
      </c>
      <c r="E159" s="1019">
        <v>2</v>
      </c>
      <c r="F159" s="1019">
        <f>D159*E159</f>
        <v>0</v>
      </c>
      <c r="G159" s="1022"/>
      <c r="H159" s="1970"/>
    </row>
    <row r="160" spans="1:9" ht="15" customHeight="1" x14ac:dyDescent="0.2">
      <c r="A160" s="1869"/>
      <c r="B160" s="1688"/>
      <c r="C160" s="6" t="str">
        <f>F!C192</f>
        <v>50-75% of the shrub plus ground cover, in the AA or along its water edge (whichever has more).</v>
      </c>
      <c r="D160" s="46">
        <f>F!D192</f>
        <v>0</v>
      </c>
      <c r="E160" s="1019">
        <v>3</v>
      </c>
      <c r="F160" s="1019">
        <f>D160*E160</f>
        <v>0</v>
      </c>
      <c r="G160" s="1022"/>
      <c r="H160" s="1970"/>
    </row>
    <row r="161" spans="1:9" ht="15.6" customHeight="1" thickBot="1" x14ac:dyDescent="0.25">
      <c r="A161" s="1870"/>
      <c r="B161" s="1689"/>
      <c r="C161" s="214" t="str">
        <f>F!C193</f>
        <v>&gt;75% of the shrub plus ground cover, in the AA or along its water edge (whichever has more).</v>
      </c>
      <c r="D161" s="213">
        <f>F!D193</f>
        <v>0</v>
      </c>
      <c r="E161" s="1023">
        <v>4</v>
      </c>
      <c r="F161" s="1023">
        <f>D161*E161</f>
        <v>0</v>
      </c>
      <c r="G161" s="1025"/>
      <c r="H161" s="1971"/>
    </row>
    <row r="162" spans="1:9" ht="60" customHeight="1" thickBot="1" x14ac:dyDescent="0.25">
      <c r="A162" s="2188" t="str">
        <f>F!A200</f>
        <v>F43</v>
      </c>
      <c r="B162" s="2158" t="str">
        <f>F!B200</f>
        <v>Bare Ground &amp; Accumulated Plant Litter</v>
      </c>
      <c r="C162" s="739" t="str">
        <f>F!C200</f>
        <v>As viewed from above at mid-summer, the extent of bare ground (unvegetated mineral or organic soil or rock) within the AA, excluding parts not visible because under water, snow, or dense thatch) is:</v>
      </c>
      <c r="D162" s="1017"/>
      <c r="E162" s="1029"/>
      <c r="F162" s="1030"/>
      <c r="G162" s="1031">
        <f>MAX(F163:F166)/MAX(E163:E166)</f>
        <v>0</v>
      </c>
      <c r="H162" s="2175" t="s">
        <v>242</v>
      </c>
      <c r="I162" s="3" t="s">
        <v>492</v>
      </c>
    </row>
    <row r="163" spans="1:9" ht="42" customHeight="1" x14ac:dyDescent="0.2">
      <c r="A163" s="2188"/>
      <c r="B163" s="2158"/>
      <c r="C163" s="233" t="str">
        <f>F!C201</f>
        <v xml:space="preserve">little or no (&lt;5%) bare ground is visible between erect stems or under canopy and ground surface is extensively blanketed by moss, lichens, graminoids with great stem densities, or plants with ground-hugging foliage.  </v>
      </c>
      <c r="D163" s="329">
        <f>F!D201</f>
        <v>0</v>
      </c>
      <c r="E163" s="1019">
        <v>5</v>
      </c>
      <c r="F163" s="1019">
        <f>D163*E163</f>
        <v>0</v>
      </c>
      <c r="G163" s="1021"/>
      <c r="H163" s="2150"/>
    </row>
    <row r="164" spans="1:9" ht="27" customHeight="1" x14ac:dyDescent="0.2">
      <c r="A164" s="2188"/>
      <c r="B164" s="2158"/>
      <c r="C164" s="989" t="str">
        <f>F!C202</f>
        <v>Slightly bare ground (5-20% bare between plants) is visible in places, but those areas comprise less than 5% of the unflooded parts of the AA.</v>
      </c>
      <c r="D164" s="330">
        <f>F!D202</f>
        <v>0</v>
      </c>
      <c r="E164" s="1019">
        <v>4</v>
      </c>
      <c r="F164" s="1019">
        <f>D164*E164</f>
        <v>0</v>
      </c>
      <c r="G164" s="1022"/>
      <c r="H164" s="2150"/>
    </row>
    <row r="165" spans="1:9" ht="27" customHeight="1" x14ac:dyDescent="0.2">
      <c r="A165" s="2188"/>
      <c r="B165" s="2158"/>
      <c r="C165" s="989" t="str">
        <f>F!C203</f>
        <v>Much bare ground (20-50% bare between plants) is visible in places, and those areas comprise more than 5% of the unflooded parts of the AA. </v>
      </c>
      <c r="D165" s="330">
        <f>F!D203</f>
        <v>0</v>
      </c>
      <c r="E165" s="1019">
        <v>1</v>
      </c>
      <c r="F165" s="1019">
        <f>D165*E165</f>
        <v>0</v>
      </c>
      <c r="G165" s="1022"/>
      <c r="H165" s="2150"/>
    </row>
    <row r="166" spans="1:9" ht="15.6" customHeight="1" thickBot="1" x14ac:dyDescent="0.25">
      <c r="A166" s="2188"/>
      <c r="B166" s="2158"/>
      <c r="C166" s="989" t="str">
        <f>F!C204</f>
        <v>mostly (&gt;50%) bare ground or ground covered only with thatch.</v>
      </c>
      <c r="D166" s="330">
        <f>F!D204</f>
        <v>0</v>
      </c>
      <c r="E166" s="1032">
        <v>0</v>
      </c>
      <c r="F166" s="1032">
        <f>D166*E166</f>
        <v>0</v>
      </c>
      <c r="G166" s="1033"/>
      <c r="H166" s="2150"/>
    </row>
    <row r="167" spans="1:9" ht="45" customHeight="1" thickBot="1" x14ac:dyDescent="0.25">
      <c r="A167" s="2179" t="str">
        <f>F!A206</f>
        <v>F44</v>
      </c>
      <c r="B167" s="2157" t="str">
        <f>F!B206</f>
        <v>Ground Irregularity</v>
      </c>
      <c r="C167" s="985"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67" s="1017"/>
      <c r="E167" s="1017"/>
      <c r="F167" s="1034"/>
      <c r="G167" s="1010">
        <f>MAX(F168:F170)/MAX(E168:E170)</f>
        <v>0</v>
      </c>
      <c r="H167" s="2145" t="s">
        <v>914</v>
      </c>
      <c r="I167" s="3" t="s">
        <v>493</v>
      </c>
    </row>
    <row r="168" spans="1:9" ht="15" customHeight="1" x14ac:dyDescent="0.2">
      <c r="A168" s="2180"/>
      <c r="B168" s="2158"/>
      <c r="C168" s="233" t="str">
        <f>F!C207</f>
        <v xml:space="preserve">Few or none (minimal microtopography; &lt;1% of that area) </v>
      </c>
      <c r="D168" s="329">
        <f>F!D207</f>
        <v>0</v>
      </c>
      <c r="E168" s="1019">
        <v>0</v>
      </c>
      <c r="F168" s="1019">
        <f>D168*E168</f>
        <v>0</v>
      </c>
      <c r="G168" s="1021"/>
      <c r="H168" s="2146"/>
    </row>
    <row r="169" spans="1:9" ht="15" customHeight="1" x14ac:dyDescent="0.2">
      <c r="A169" s="2180"/>
      <c r="B169" s="2158"/>
      <c r="C169" s="989" t="str">
        <f>F!C208</f>
        <v>Intermediate</v>
      </c>
      <c r="D169" s="330">
        <f>F!D208</f>
        <v>0</v>
      </c>
      <c r="E169" s="1019">
        <v>1</v>
      </c>
      <c r="F169" s="1019">
        <f>D169*E169</f>
        <v>0</v>
      </c>
      <c r="G169" s="1022"/>
      <c r="H169" s="2146"/>
    </row>
    <row r="170" spans="1:9" ht="15.6" customHeight="1" thickBot="1" x14ac:dyDescent="0.25">
      <c r="A170" s="2181"/>
      <c r="B170" s="2159"/>
      <c r="C170" s="988" t="str">
        <f>F!C209</f>
        <v>Several (extensive micro-topography)</v>
      </c>
      <c r="D170" s="274">
        <f>F!D209</f>
        <v>0</v>
      </c>
      <c r="E170" s="1023">
        <v>2</v>
      </c>
      <c r="F170" s="1023">
        <f>D170*E170</f>
        <v>0</v>
      </c>
      <c r="G170" s="1025"/>
      <c r="H170" s="2147"/>
    </row>
    <row r="171" spans="1:9" ht="21" customHeight="1" thickBot="1" x14ac:dyDescent="0.25">
      <c r="A171" s="2170" t="str">
        <f>F!A210</f>
        <v>F45</v>
      </c>
      <c r="B171" s="2161" t="str">
        <f>F!B210</f>
        <v>Upland Inclusions</v>
      </c>
      <c r="C171" s="739" t="str">
        <f>F!C210</f>
        <v>Within the AA, inclusions of upland that individually are &gt;100 sq. ft. are:</v>
      </c>
      <c r="D171" s="1017"/>
      <c r="E171" s="1029"/>
      <c r="F171" s="1030"/>
      <c r="G171" s="1031">
        <f>IF((D172=1),"", MAX(F172:F174)/MAX(E172:E174))</f>
        <v>0</v>
      </c>
      <c r="H171" s="2149" t="s">
        <v>114</v>
      </c>
      <c r="I171" s="3" t="s">
        <v>494</v>
      </c>
    </row>
    <row r="172" spans="1:9" ht="15" customHeight="1" x14ac:dyDescent="0.2">
      <c r="A172" s="2170"/>
      <c r="B172" s="2161"/>
      <c r="C172" s="986" t="str">
        <f>F!C211</f>
        <v>Few or none</v>
      </c>
      <c r="D172" s="328">
        <f>F!D211</f>
        <v>0</v>
      </c>
      <c r="E172" s="1019">
        <v>0</v>
      </c>
      <c r="F172" s="1019">
        <f>D172*E172</f>
        <v>0</v>
      </c>
      <c r="G172" s="1021"/>
      <c r="H172" s="2150"/>
    </row>
    <row r="173" spans="1:9" ht="15" customHeight="1" x14ac:dyDescent="0.2">
      <c r="A173" s="2170"/>
      <c r="B173" s="2161"/>
      <c r="C173" s="987" t="str">
        <f>F!C212</f>
        <v>Intermediate (1 - 10% of vegetated part of the AA).</v>
      </c>
      <c r="D173" s="273">
        <f>F!D212</f>
        <v>0</v>
      </c>
      <c r="E173" s="1019">
        <v>1</v>
      </c>
      <c r="F173" s="1019">
        <f>D173*E173</f>
        <v>0</v>
      </c>
      <c r="G173" s="1037"/>
      <c r="H173" s="2150"/>
    </row>
    <row r="174" spans="1:9" ht="15.6" customHeight="1" thickBot="1" x14ac:dyDescent="0.25">
      <c r="A174" s="2170"/>
      <c r="B174" s="2161"/>
      <c r="C174" s="989" t="str">
        <f>F!C213</f>
        <v>Many (e.g., wetland-upland "mosaic", &gt;10% of the vegetated AA).</v>
      </c>
      <c r="D174" s="330">
        <f>F!D213</f>
        <v>0</v>
      </c>
      <c r="E174" s="1032">
        <v>2</v>
      </c>
      <c r="F174" s="1032">
        <f>D174*E174</f>
        <v>0</v>
      </c>
      <c r="G174" s="1033"/>
      <c r="H174" s="2150"/>
    </row>
    <row r="175" spans="1:9" ht="45" customHeight="1" thickBot="1" x14ac:dyDescent="0.25">
      <c r="A175" s="2179" t="str">
        <f>F!A226</f>
        <v>F48</v>
      </c>
      <c r="B175" s="2157" t="str">
        <f>F!B226</f>
        <v>Largest Herbaceous Patch</v>
      </c>
      <c r="C175" s="985"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175" s="1017"/>
      <c r="E175" s="1017"/>
      <c r="F175" s="1018"/>
      <c r="G175" s="1010">
        <f>MAX(F176:F181)/MAX(E176:E181)</f>
        <v>0</v>
      </c>
      <c r="H175" s="1727" t="s">
        <v>2104</v>
      </c>
      <c r="I175" s="3" t="s">
        <v>509</v>
      </c>
    </row>
    <row r="176" spans="1:9" ht="15" customHeight="1" x14ac:dyDescent="0.2">
      <c r="A176" s="2180"/>
      <c r="B176" s="2158"/>
      <c r="C176" s="986" t="str">
        <f>F!C227</f>
        <v>&lt;0.1 acre.  SKIP to F54.</v>
      </c>
      <c r="D176" s="328">
        <f>F!D227</f>
        <v>0</v>
      </c>
      <c r="E176" s="1019">
        <v>0</v>
      </c>
      <c r="F176" s="1046">
        <f t="shared" ref="F176:F181" si="7">D176*E176</f>
        <v>0</v>
      </c>
      <c r="G176" s="1021"/>
      <c r="H176" s="2146"/>
    </row>
    <row r="177" spans="1:9" ht="15" customHeight="1" x14ac:dyDescent="0.2">
      <c r="A177" s="2180"/>
      <c r="B177" s="2158"/>
      <c r="C177" s="986" t="str">
        <f>F!C228</f>
        <v>0.1 - 1 acre</v>
      </c>
      <c r="D177" s="328">
        <f>F!D228</f>
        <v>0</v>
      </c>
      <c r="E177" s="1019">
        <v>3</v>
      </c>
      <c r="F177" s="1046">
        <f t="shared" si="7"/>
        <v>0</v>
      </c>
      <c r="G177" s="1022"/>
      <c r="H177" s="2146"/>
    </row>
    <row r="178" spans="1:9" ht="15" customHeight="1" x14ac:dyDescent="0.2">
      <c r="A178" s="2180"/>
      <c r="B178" s="2158"/>
      <c r="C178" s="986" t="str">
        <f>F!C229</f>
        <v>1 to 10 acres</v>
      </c>
      <c r="D178" s="328">
        <f>F!D229</f>
        <v>0</v>
      </c>
      <c r="E178" s="1019">
        <v>5</v>
      </c>
      <c r="F178" s="1046">
        <f t="shared" si="7"/>
        <v>0</v>
      </c>
      <c r="G178" s="1022"/>
      <c r="H178" s="2146"/>
    </row>
    <row r="179" spans="1:9" ht="15" customHeight="1" x14ac:dyDescent="0.2">
      <c r="A179" s="2180"/>
      <c r="B179" s="2158"/>
      <c r="C179" s="986" t="str">
        <f>F!C230</f>
        <v>10 to 100 acres</v>
      </c>
      <c r="D179" s="328">
        <f>F!D230</f>
        <v>0</v>
      </c>
      <c r="E179" s="1019">
        <v>7</v>
      </c>
      <c r="F179" s="1046">
        <f t="shared" si="7"/>
        <v>0</v>
      </c>
      <c r="G179" s="1022"/>
      <c r="H179" s="2146"/>
    </row>
    <row r="180" spans="1:9" ht="15" customHeight="1" x14ac:dyDescent="0.2">
      <c r="A180" s="2180"/>
      <c r="B180" s="2158"/>
      <c r="C180" s="986" t="str">
        <f>F!C231</f>
        <v>100 to 1000 acres</v>
      </c>
      <c r="D180" s="328">
        <f>F!D231</f>
        <v>0</v>
      </c>
      <c r="E180" s="1019">
        <v>10</v>
      </c>
      <c r="F180" s="1046">
        <f t="shared" si="7"/>
        <v>0</v>
      </c>
      <c r="G180" s="1022"/>
      <c r="H180" s="2146"/>
    </row>
    <row r="181" spans="1:9" ht="15.6" customHeight="1" thickBot="1" x14ac:dyDescent="0.25">
      <c r="A181" s="2181"/>
      <c r="B181" s="2159"/>
      <c r="C181" s="1003" t="str">
        <f>F!C232</f>
        <v>&gt;1000 acres</v>
      </c>
      <c r="D181" s="337">
        <f>F!D232</f>
        <v>0</v>
      </c>
      <c r="E181" s="1023">
        <v>12</v>
      </c>
      <c r="F181" s="1049">
        <f t="shared" si="7"/>
        <v>0</v>
      </c>
      <c r="G181" s="1025"/>
      <c r="H181" s="2147"/>
    </row>
    <row r="182" spans="1:9" ht="51" customHeight="1" thickBot="1" x14ac:dyDescent="0.25">
      <c r="A182" s="2179" t="str">
        <f>F!A264</f>
        <v>F55</v>
      </c>
      <c r="B182" s="2157" t="str">
        <f>F!B264</f>
        <v>Natural Cover in Buffer</v>
      </c>
      <c r="C182" s="985" t="str">
        <f>F!C264</f>
        <v>Along the wetland-upland edge and extending 100 ft upslope, the percentage of the upland that contains natural (not necessarily native -- see column E) land cover taller than 6 inches is:</v>
      </c>
      <c r="D182" s="1017"/>
      <c r="E182" s="1017"/>
      <c r="F182" s="1034"/>
      <c r="G182" s="1010">
        <f>MAX(F183:F187)/MAX(E183:E187)</f>
        <v>0</v>
      </c>
      <c r="H182" s="1727" t="s">
        <v>1220</v>
      </c>
      <c r="I182" s="3" t="s">
        <v>500</v>
      </c>
    </row>
    <row r="183" spans="1:9" ht="21.75" customHeight="1" x14ac:dyDescent="0.2">
      <c r="A183" s="2180"/>
      <c r="B183" s="2158"/>
      <c r="C183" s="233" t="str">
        <f>F!C265</f>
        <v xml:space="preserve">&lt;5% </v>
      </c>
      <c r="D183" s="329">
        <f>F!D265</f>
        <v>0</v>
      </c>
      <c r="E183" s="1019">
        <v>0</v>
      </c>
      <c r="F183" s="1019">
        <f>D183*E183</f>
        <v>0</v>
      </c>
      <c r="G183" s="1021"/>
      <c r="H183" s="2146"/>
    </row>
    <row r="184" spans="1:9" ht="21.75" customHeight="1" x14ac:dyDescent="0.2">
      <c r="A184" s="2180"/>
      <c r="B184" s="2158"/>
      <c r="C184" s="989" t="str">
        <f>F!C266</f>
        <v>5 to 30%</v>
      </c>
      <c r="D184" s="330">
        <f>F!D266</f>
        <v>0</v>
      </c>
      <c r="E184" s="1019">
        <v>1</v>
      </c>
      <c r="F184" s="1019">
        <f>D184*E184</f>
        <v>0</v>
      </c>
      <c r="G184" s="1022"/>
      <c r="H184" s="2146"/>
    </row>
    <row r="185" spans="1:9" ht="21.75" customHeight="1" x14ac:dyDescent="0.2">
      <c r="A185" s="2180"/>
      <c r="B185" s="2158"/>
      <c r="C185" s="989" t="str">
        <f>F!C267</f>
        <v>30 to 60%</v>
      </c>
      <c r="D185" s="330">
        <f>F!D267</f>
        <v>0</v>
      </c>
      <c r="E185" s="1019">
        <v>2</v>
      </c>
      <c r="F185" s="1019">
        <f>D185*E185</f>
        <v>0</v>
      </c>
      <c r="G185" s="1022"/>
      <c r="H185" s="2146"/>
    </row>
    <row r="186" spans="1:9" ht="21.75" customHeight="1" x14ac:dyDescent="0.2">
      <c r="A186" s="2180"/>
      <c r="B186" s="2158"/>
      <c r="C186" s="989" t="str">
        <f>F!C268</f>
        <v>60 to 90%</v>
      </c>
      <c r="D186" s="330">
        <f>F!D268</f>
        <v>0</v>
      </c>
      <c r="E186" s="1019">
        <v>4</v>
      </c>
      <c r="F186" s="1019">
        <f>D186*E186</f>
        <v>0</v>
      </c>
      <c r="G186" s="1022"/>
      <c r="H186" s="2146"/>
    </row>
    <row r="187" spans="1:9" ht="21" customHeight="1" thickBot="1" x14ac:dyDescent="0.25">
      <c r="A187" s="2181"/>
      <c r="B187" s="2159"/>
      <c r="C187" s="988" t="str">
        <f>F!C269</f>
        <v>&gt;90%.  SKIP to F58.</v>
      </c>
      <c r="D187" s="274">
        <f>F!D269</f>
        <v>0</v>
      </c>
      <c r="E187" s="1023">
        <v>5</v>
      </c>
      <c r="F187" s="1024">
        <f>D187*E187</f>
        <v>0</v>
      </c>
      <c r="G187" s="1025"/>
      <c r="H187" s="2148"/>
    </row>
    <row r="188" spans="1:9" ht="30" customHeight="1" thickBot="1" x14ac:dyDescent="0.25">
      <c r="A188" s="2188" t="str">
        <f>F!A270</f>
        <v>F56</v>
      </c>
      <c r="B188" s="2158" t="str">
        <f>F!B270</f>
        <v>Type of Cover in Buffer</v>
      </c>
      <c r="C188" s="739" t="str">
        <f>F!C270</f>
        <v>Within 100 ft upslope of the wetland-upland edge closest to the AA, the upland land cover that is NOT unmanaged vegetation or water is mostly (mark ONE):</v>
      </c>
      <c r="D188" s="1017"/>
      <c r="E188" s="1029"/>
      <c r="F188" s="1030"/>
      <c r="G188" s="1054">
        <f>IF((BuffAllNat=1),"", MAX(F189:F190)/MAX(E189:E190))</f>
        <v>0</v>
      </c>
      <c r="H188" s="2176" t="s">
        <v>5412</v>
      </c>
      <c r="I188" s="24" t="s">
        <v>501</v>
      </c>
    </row>
    <row r="189" spans="1:9" ht="15" customHeight="1" x14ac:dyDescent="0.2">
      <c r="A189" s="2188"/>
      <c r="B189" s="2158"/>
      <c r="C189" s="233" t="str">
        <f>F!C271</f>
        <v>impervious surface, e.g., paved road, parking lot, building, exposed rock.</v>
      </c>
      <c r="D189" s="329">
        <f>F!D271</f>
        <v>0</v>
      </c>
      <c r="E189" s="1019">
        <v>0</v>
      </c>
      <c r="F189" s="1019">
        <f>D189*E189</f>
        <v>0</v>
      </c>
      <c r="G189" s="1047"/>
      <c r="H189" s="2177"/>
    </row>
    <row r="190" spans="1:9" ht="27.6" customHeight="1" thickBot="1" x14ac:dyDescent="0.25">
      <c r="A190" s="2188"/>
      <c r="B190" s="2158"/>
      <c r="C190" s="989" t="str">
        <f>F!C272</f>
        <v>bare or nearly bare pervious surface or managed vegetation, e.g., lawn, mostly-unvegetated clearcut, landslide, unpaved road, dike.</v>
      </c>
      <c r="D190" s="330">
        <f>F!D272</f>
        <v>0</v>
      </c>
      <c r="E190" s="1032">
        <v>1</v>
      </c>
      <c r="F190" s="1032">
        <f>D190*E190</f>
        <v>0</v>
      </c>
      <c r="G190" s="1058"/>
      <c r="H190" s="2178"/>
    </row>
    <row r="191" spans="1:9" ht="60" customHeight="1" thickBot="1" x14ac:dyDescent="0.25">
      <c r="A191" s="980" t="str">
        <f>F!A278</f>
        <v>F58</v>
      </c>
      <c r="B191" s="230" t="str">
        <f>F!B278</f>
        <v>Cliffs, Banks, Beaver, Muskrat</v>
      </c>
      <c r="C191" s="995" t="str">
        <f>F!C278</f>
        <v>In the AA or within 300 ft, there are (a) muskrat houses or beaver lodges, or (b) mineral licks, or (c) elevated terrestrial features such as cliffs, talus slopes, stream banks, or excavated pits (but not riprap) that extend at least 6 ft nearly vertically, are unvegetated, and potentially contain crevices or other substrate suitable for nesting or den areas.  Enter 1 (yes) or 0 (no).</v>
      </c>
      <c r="D191" s="334">
        <f>F!D278</f>
        <v>0</v>
      </c>
      <c r="E191" s="1051">
        <v>1</v>
      </c>
      <c r="F191" s="1063">
        <f>D191*E191</f>
        <v>0</v>
      </c>
      <c r="G191" s="1010">
        <f>D191</f>
        <v>0</v>
      </c>
      <c r="H191" s="232" t="s">
        <v>915</v>
      </c>
      <c r="I191" s="3" t="s">
        <v>495</v>
      </c>
    </row>
    <row r="192" spans="1:9" ht="60" customHeight="1" thickBot="1" x14ac:dyDescent="0.25">
      <c r="A192" s="2188" t="str">
        <f>F!A300</f>
        <v>F63</v>
      </c>
      <c r="B192" s="2158" t="str">
        <f>F!B300</f>
        <v>Core Area 1</v>
      </c>
      <c r="C192" s="739"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92" s="1017"/>
      <c r="E192" s="1029"/>
      <c r="F192" s="1030"/>
      <c r="G192" s="1031">
        <f>MAX(F193:F198)/MAX(E193:E198)</f>
        <v>0</v>
      </c>
      <c r="H192" s="2175" t="s">
        <v>1221</v>
      </c>
      <c r="I192" s="3" t="s">
        <v>497</v>
      </c>
    </row>
    <row r="193" spans="1:9" ht="15" customHeight="1" x14ac:dyDescent="0.2">
      <c r="A193" s="2188"/>
      <c r="B193" s="2158"/>
      <c r="C193" s="986" t="str">
        <f>F!C301</f>
        <v>&lt;5% and no inhabited building is within 300 ft of the AA</v>
      </c>
      <c r="D193" s="328">
        <f>F!D301</f>
        <v>0</v>
      </c>
      <c r="E193" s="412">
        <v>1</v>
      </c>
      <c r="F193" s="1019">
        <f t="shared" ref="F193:F198" si="8">D193*E193</f>
        <v>0</v>
      </c>
      <c r="G193" s="1021"/>
      <c r="H193" s="2150"/>
    </row>
    <row r="194" spans="1:9" ht="15" customHeight="1" x14ac:dyDescent="0.2">
      <c r="A194" s="2188"/>
      <c r="B194" s="2158"/>
      <c r="C194" s="987" t="str">
        <f>F!C302</f>
        <v>&lt;5% and inhabited building is within 300 ft of the AA</v>
      </c>
      <c r="D194" s="273">
        <f>F!D302</f>
        <v>0</v>
      </c>
      <c r="E194" s="412">
        <v>0</v>
      </c>
      <c r="F194" s="1019">
        <f t="shared" si="8"/>
        <v>0</v>
      </c>
      <c r="G194" s="1022"/>
      <c r="H194" s="2150"/>
    </row>
    <row r="195" spans="1:9" ht="15" customHeight="1" x14ac:dyDescent="0.2">
      <c r="A195" s="2188"/>
      <c r="B195" s="2158"/>
      <c r="C195" s="987" t="str">
        <f>F!C303</f>
        <v>5-50% and no inhabited building is within 300 ft of the AA</v>
      </c>
      <c r="D195" s="273">
        <f>F!D303</f>
        <v>0</v>
      </c>
      <c r="E195" s="412">
        <v>3</v>
      </c>
      <c r="F195" s="1019">
        <f t="shared" si="8"/>
        <v>0</v>
      </c>
      <c r="G195" s="1022"/>
      <c r="H195" s="2150"/>
    </row>
    <row r="196" spans="1:9" ht="15" customHeight="1" x14ac:dyDescent="0.2">
      <c r="A196" s="2188"/>
      <c r="B196" s="2158"/>
      <c r="C196" s="987" t="str">
        <f>F!C304</f>
        <v>5-50% and inhabited building is within 300 ft of the AA</v>
      </c>
      <c r="D196" s="273">
        <f>F!D304</f>
        <v>0</v>
      </c>
      <c r="E196" s="412">
        <v>2</v>
      </c>
      <c r="F196" s="1019">
        <f t="shared" si="8"/>
        <v>0</v>
      </c>
      <c r="G196" s="1033"/>
      <c r="H196" s="2150"/>
    </row>
    <row r="197" spans="1:9" ht="15" customHeight="1" x14ac:dyDescent="0.2">
      <c r="A197" s="2188"/>
      <c r="B197" s="2158"/>
      <c r="C197" s="987" t="str">
        <f>F!C305</f>
        <v>50-95%</v>
      </c>
      <c r="D197" s="273">
        <f>F!D305</f>
        <v>0</v>
      </c>
      <c r="E197" s="412">
        <v>4</v>
      </c>
      <c r="F197" s="1019">
        <f t="shared" si="8"/>
        <v>0</v>
      </c>
      <c r="G197" s="1033"/>
      <c r="H197" s="2150"/>
    </row>
    <row r="198" spans="1:9" ht="15.6" customHeight="1" thickBot="1" x14ac:dyDescent="0.25">
      <c r="A198" s="2188"/>
      <c r="B198" s="2158"/>
      <c r="C198" s="989" t="str">
        <f>F!C306</f>
        <v>&gt;95% of the AA</v>
      </c>
      <c r="D198" s="330">
        <f>F!D306</f>
        <v>0</v>
      </c>
      <c r="E198" s="414">
        <v>5</v>
      </c>
      <c r="F198" s="1032">
        <f t="shared" si="8"/>
        <v>0</v>
      </c>
      <c r="G198" s="1033"/>
      <c r="H198" s="2150"/>
    </row>
    <row r="199" spans="1:9" ht="60" customHeight="1" thickBot="1" x14ac:dyDescent="0.25">
      <c r="A199" s="2179" t="str">
        <f>F!A307</f>
        <v>F64</v>
      </c>
      <c r="B199" s="2157" t="str">
        <f>F!B307</f>
        <v>Core Area 2</v>
      </c>
      <c r="C199" s="985"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199" s="1017"/>
      <c r="E199" s="549"/>
      <c r="F199" s="1034"/>
      <c r="G199" s="1010">
        <f>MAX(F200:F203)/MAX(E200:E203)</f>
        <v>0</v>
      </c>
      <c r="H199" s="2145" t="s">
        <v>287</v>
      </c>
      <c r="I199" s="3" t="s">
        <v>498</v>
      </c>
    </row>
    <row r="200" spans="1:9" ht="15" customHeight="1" x14ac:dyDescent="0.2">
      <c r="A200" s="2180"/>
      <c r="B200" s="2158"/>
      <c r="C200" s="986" t="str">
        <f>F!C308</f>
        <v>&lt;5%.  If F63 was answered "&gt;95%", SKIP to F67.</v>
      </c>
      <c r="D200" s="328">
        <f>F!D308</f>
        <v>0</v>
      </c>
      <c r="E200" s="412">
        <v>3</v>
      </c>
      <c r="F200" s="1019">
        <f>D200*E200</f>
        <v>0</v>
      </c>
      <c r="G200" s="1021"/>
      <c r="H200" s="2146"/>
    </row>
    <row r="201" spans="1:9" ht="15" customHeight="1" x14ac:dyDescent="0.2">
      <c r="A201" s="2180"/>
      <c r="B201" s="2158"/>
      <c r="C201" s="987" t="str">
        <f>F!C309</f>
        <v>5-50%</v>
      </c>
      <c r="D201" s="273">
        <f>F!D309</f>
        <v>0</v>
      </c>
      <c r="E201" s="412">
        <v>2</v>
      </c>
      <c r="F201" s="1019">
        <f>D201*E201</f>
        <v>0</v>
      </c>
      <c r="G201" s="1022"/>
      <c r="H201" s="2146"/>
    </row>
    <row r="202" spans="1:9" ht="15" customHeight="1" x14ac:dyDescent="0.2">
      <c r="A202" s="2180"/>
      <c r="B202" s="2158"/>
      <c r="C202" s="987" t="str">
        <f>F!C310</f>
        <v>50-95%</v>
      </c>
      <c r="D202" s="273">
        <f>F!D310</f>
        <v>0</v>
      </c>
      <c r="E202" s="412">
        <v>1</v>
      </c>
      <c r="F202" s="1019">
        <f>D202*E202</f>
        <v>0</v>
      </c>
      <c r="G202" s="1022"/>
      <c r="H202" s="2146"/>
    </row>
    <row r="203" spans="1:9" ht="15.6" customHeight="1" thickBot="1" x14ac:dyDescent="0.25">
      <c r="A203" s="2181"/>
      <c r="B203" s="2159"/>
      <c r="C203" s="988" t="str">
        <f>F!C311</f>
        <v>&gt;95% of the AA</v>
      </c>
      <c r="D203" s="274">
        <f>F!D311</f>
        <v>0</v>
      </c>
      <c r="E203" s="416">
        <v>0</v>
      </c>
      <c r="F203" s="1023">
        <f>D203*E203</f>
        <v>0</v>
      </c>
      <c r="G203" s="1025"/>
      <c r="H203" s="2147"/>
    </row>
    <row r="204" spans="1:9" ht="30" customHeight="1" thickBot="1" x14ac:dyDescent="0.25">
      <c r="A204" s="483" t="s">
        <v>290</v>
      </c>
      <c r="B204" s="488" t="s">
        <v>2613</v>
      </c>
      <c r="C204" s="475" t="s">
        <v>2606</v>
      </c>
      <c r="D204" s="474" t="s">
        <v>117</v>
      </c>
      <c r="E204" s="626" t="s">
        <v>5438</v>
      </c>
      <c r="F204" s="627" t="s">
        <v>5439</v>
      </c>
      <c r="G204" s="628" t="s">
        <v>5825</v>
      </c>
      <c r="H204" s="488" t="s">
        <v>919</v>
      </c>
    </row>
    <row r="205" spans="1:9" ht="60" customHeight="1" thickBot="1" x14ac:dyDescent="0.25">
      <c r="A205" s="2160" t="str">
        <f>OF!A39</f>
        <v>OF8</v>
      </c>
      <c r="B205" s="2160" t="str">
        <f>OF!B39</f>
        <v xml:space="preserve">Wetland Local Uniqueness </v>
      </c>
      <c r="C205" s="985"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205" s="1064"/>
      <c r="E205" s="1064"/>
      <c r="F205" s="1065"/>
      <c r="G205" s="1011">
        <f>IF((MAX(D206:D216,D218)=2), 1, 0)</f>
        <v>0</v>
      </c>
      <c r="H205" s="1698" t="s">
        <v>2520</v>
      </c>
      <c r="I205" s="3" t="s">
        <v>512</v>
      </c>
    </row>
    <row r="206" spans="1:9" ht="15" customHeight="1" x14ac:dyDescent="0.2">
      <c r="A206" s="2161"/>
      <c r="B206" s="2161"/>
      <c r="C206" s="986" t="str">
        <f>OF!C40</f>
        <v>Fresh Water</v>
      </c>
      <c r="D206" s="328">
        <f>OF!D40</f>
        <v>0</v>
      </c>
      <c r="E206" s="1046"/>
      <c r="F206" s="1046"/>
      <c r="G206" s="1066"/>
      <c r="H206" s="2167"/>
    </row>
    <row r="207" spans="1:9" ht="15" customHeight="1" x14ac:dyDescent="0.2">
      <c r="A207" s="2161"/>
      <c r="B207" s="2161"/>
      <c r="C207" s="987" t="str">
        <f>OF!C41</f>
        <v>Wetland</v>
      </c>
      <c r="D207" s="273">
        <f>OF!D41</f>
        <v>0</v>
      </c>
      <c r="E207" s="1046"/>
      <c r="F207" s="1046"/>
      <c r="G207" s="1066"/>
      <c r="H207" s="2167"/>
    </row>
    <row r="208" spans="1:9" ht="15" customHeight="1" x14ac:dyDescent="0.2">
      <c r="A208" s="2161"/>
      <c r="B208" s="2161"/>
      <c r="C208" s="987" t="str">
        <f>OF!C42</f>
        <v>Muskeg</v>
      </c>
      <c r="D208" s="273">
        <f>OF!D42</f>
        <v>0</v>
      </c>
      <c r="E208" s="1046"/>
      <c r="F208" s="1046"/>
      <c r="G208" s="1066"/>
      <c r="H208" s="2167"/>
    </row>
    <row r="209" spans="1:9" ht="15" customHeight="1" x14ac:dyDescent="0.2">
      <c r="A209" s="2161"/>
      <c r="B209" s="2161"/>
      <c r="C209" s="987" t="str">
        <f>OF!C43</f>
        <v>Herbaceous</v>
      </c>
      <c r="D209" s="273">
        <f>OF!D43</f>
        <v>0</v>
      </c>
      <c r="E209" s="1046"/>
      <c r="F209" s="1046"/>
      <c r="G209" s="1067"/>
      <c r="H209" s="2167"/>
    </row>
    <row r="210" spans="1:9" ht="15" customHeight="1" x14ac:dyDescent="0.2">
      <c r="A210" s="2161"/>
      <c r="B210" s="2161"/>
      <c r="C210" s="987" t="str">
        <f>OF!C44</f>
        <v>Shrubland (Low)</v>
      </c>
      <c r="D210" s="273">
        <f>OF!D44</f>
        <v>0</v>
      </c>
      <c r="E210" s="1043"/>
      <c r="F210" s="1043"/>
      <c r="G210" s="1044"/>
      <c r="H210" s="2167"/>
    </row>
    <row r="211" spans="1:9" ht="15" customHeight="1" x14ac:dyDescent="0.2">
      <c r="A211" s="2161"/>
      <c r="B211" s="2161"/>
      <c r="C211" s="987" t="str">
        <f>OF!C45</f>
        <v>Shrubland (Tall)</v>
      </c>
      <c r="D211" s="273">
        <f>OF!D45</f>
        <v>0</v>
      </c>
      <c r="E211" s="1043"/>
      <c r="F211" s="1043"/>
      <c r="G211" s="1044"/>
      <c r="H211" s="2167"/>
    </row>
    <row r="212" spans="1:9" ht="15" customHeight="1" x14ac:dyDescent="0.2">
      <c r="A212" s="2161"/>
      <c r="B212" s="2161"/>
      <c r="C212" s="987" t="str">
        <f>OF!C46</f>
        <v>Deciduous/Mixed Forest</v>
      </c>
      <c r="D212" s="273">
        <f>OF!D46</f>
        <v>0</v>
      </c>
      <c r="E212" s="1043"/>
      <c r="F212" s="1043"/>
      <c r="G212" s="1044"/>
      <c r="H212" s="2167"/>
    </row>
    <row r="213" spans="1:9" ht="15" customHeight="1" x14ac:dyDescent="0.2">
      <c r="A213" s="2161"/>
      <c r="B213" s="2161"/>
      <c r="C213" s="987" t="str">
        <f>OF!C47</f>
        <v>Conifer Forest - Young or Small</v>
      </c>
      <c r="D213" s="273">
        <f>OF!D47</f>
        <v>0</v>
      </c>
      <c r="E213" s="1043"/>
      <c r="F213" s="1043"/>
      <c r="G213" s="1044"/>
      <c r="H213" s="2167"/>
    </row>
    <row r="214" spans="1:9" ht="15" customHeight="1" x14ac:dyDescent="0.2">
      <c r="A214" s="2161"/>
      <c r="B214" s="2161"/>
      <c r="C214" s="987" t="str">
        <f>OF!C48</f>
        <v>Conifer Forest - Medium</v>
      </c>
      <c r="D214" s="273">
        <f>OF!D48</f>
        <v>0</v>
      </c>
      <c r="E214" s="1043"/>
      <c r="F214" s="1043"/>
      <c r="G214" s="1044"/>
      <c r="H214" s="2167"/>
    </row>
    <row r="215" spans="1:9" ht="15" customHeight="1" x14ac:dyDescent="0.2">
      <c r="A215" s="2161"/>
      <c r="B215" s="2161"/>
      <c r="C215" s="987" t="str">
        <f>OF!C49</f>
        <v>Conifer Forest - Large</v>
      </c>
      <c r="D215" s="273">
        <f>OF!D49</f>
        <v>0</v>
      </c>
      <c r="E215" s="1043"/>
      <c r="F215" s="1043"/>
      <c r="G215" s="1044"/>
      <c r="H215" s="2167"/>
    </row>
    <row r="216" spans="1:9" ht="15" customHeight="1" x14ac:dyDescent="0.2">
      <c r="A216" s="2161"/>
      <c r="B216" s="2161"/>
      <c r="C216" s="987" t="str">
        <f>OF!C50</f>
        <v>Wetland Shrub Forest</v>
      </c>
      <c r="D216" s="273">
        <f>OF!D50</f>
        <v>0</v>
      </c>
      <c r="E216" s="1043"/>
      <c r="F216" s="1043"/>
      <c r="G216" s="1044"/>
      <c r="H216" s="2167"/>
    </row>
    <row r="217" spans="1:9" ht="15" customHeight="1" x14ac:dyDescent="0.2">
      <c r="A217" s="2161"/>
      <c r="B217" s="2161"/>
      <c r="C217" s="987" t="str">
        <f>OF!C51</f>
        <v>other</v>
      </c>
      <c r="D217" s="273">
        <f>OF!D51</f>
        <v>0</v>
      </c>
      <c r="E217" s="1043"/>
      <c r="F217" s="1043"/>
      <c r="G217" s="1044"/>
      <c r="H217" s="2167"/>
    </row>
    <row r="218" spans="1:9" ht="42" customHeight="1" x14ac:dyDescent="0.2">
      <c r="A218" s="2161"/>
      <c r="B218" s="2161"/>
      <c r="C218" s="987" t="str">
        <f>OF!C52</f>
        <v>no Level 3 cover type maps available for this area, but from aerial imagery it appears that the AA contains a cover type (list above) that is absent from 90% of the landscape outside of the AA and within 2 miles.  Enter "2" in the next column.</v>
      </c>
      <c r="D218" s="273">
        <f>OF!D52</f>
        <v>0</v>
      </c>
      <c r="E218" s="1043"/>
      <c r="F218" s="1043"/>
      <c r="G218" s="1044"/>
      <c r="H218" s="2167"/>
    </row>
    <row r="219" spans="1:9" ht="42" customHeight="1" thickBot="1" x14ac:dyDescent="0.25">
      <c r="A219" s="2162"/>
      <c r="B219" s="2162"/>
      <c r="C219" s="989" t="str">
        <f>OF!C53</f>
        <v>no Level 3 cover type maps available for this area, but from aerial imagery it appears that the AA does NOT contain a cover type that is absent from 90% of the landscape outside of the AA and within 2 miles.  Enter "1" in the next column.</v>
      </c>
      <c r="D219" s="330">
        <f>OF!D53</f>
        <v>0</v>
      </c>
      <c r="E219" s="1043"/>
      <c r="F219" s="1043"/>
      <c r="G219" s="1044"/>
      <c r="H219" s="2168"/>
    </row>
    <row r="220" spans="1:9" ht="21" customHeight="1" thickBot="1" x14ac:dyDescent="0.25">
      <c r="A220" s="2185" t="str">
        <f>OF!A54</f>
        <v>OF9</v>
      </c>
      <c r="B220" s="2160" t="str">
        <f>OF!B54</f>
        <v>Distance to Locally Uncommon Cover Type</v>
      </c>
      <c r="C220" s="230" t="str">
        <f>OF!C54</f>
        <v>If any of the above were marked "2", the distance from the AA edge to the closest one that was so marked is:</v>
      </c>
      <c r="D220" s="1035"/>
      <c r="E220" s="1068"/>
      <c r="F220" s="1068"/>
      <c r="G220" s="1011">
        <f>IF((D219=1),"", IF((D226=1),"", MAX(F221:F225)/MAX(E221:E225)))</f>
        <v>0</v>
      </c>
      <c r="H220" s="2008" t="s">
        <v>287</v>
      </c>
      <c r="I220" s="3" t="s">
        <v>2527</v>
      </c>
    </row>
    <row r="221" spans="1:9" ht="15" customHeight="1" x14ac:dyDescent="0.2">
      <c r="A221" s="2186"/>
      <c r="B221" s="2161"/>
      <c r="C221" s="986" t="str">
        <f>OF!C55</f>
        <v>&lt;150 ft</v>
      </c>
      <c r="D221" s="273">
        <f>OF!D55</f>
        <v>0</v>
      </c>
      <c r="E221" s="1069">
        <v>5</v>
      </c>
      <c r="F221" s="1070">
        <f>D221*E221</f>
        <v>0</v>
      </c>
      <c r="G221" s="1071"/>
      <c r="H221" s="2163"/>
    </row>
    <row r="222" spans="1:9" ht="15" customHeight="1" x14ac:dyDescent="0.2">
      <c r="A222" s="2186"/>
      <c r="B222" s="2161"/>
      <c r="C222" s="987" t="str">
        <f>OF!C56</f>
        <v>150 - 500 ft</v>
      </c>
      <c r="D222" s="273">
        <f>OF!D56</f>
        <v>0</v>
      </c>
      <c r="E222" s="1069">
        <v>4</v>
      </c>
      <c r="F222" s="1070">
        <f>D222*E222</f>
        <v>0</v>
      </c>
      <c r="G222" s="1044"/>
      <c r="H222" s="2163"/>
    </row>
    <row r="223" spans="1:9" ht="15" customHeight="1" x14ac:dyDescent="0.2">
      <c r="A223" s="2186"/>
      <c r="B223" s="2161"/>
      <c r="C223" s="987" t="str">
        <f>OF!C57</f>
        <v>500 - 1000 ft</v>
      </c>
      <c r="D223" s="273">
        <f>OF!D57</f>
        <v>0</v>
      </c>
      <c r="E223" s="1069">
        <v>3</v>
      </c>
      <c r="F223" s="1070">
        <f>D223*E223</f>
        <v>0</v>
      </c>
      <c r="G223" s="1044"/>
      <c r="H223" s="2163"/>
    </row>
    <row r="224" spans="1:9" ht="15" customHeight="1" x14ac:dyDescent="0.2">
      <c r="A224" s="2186"/>
      <c r="B224" s="2161"/>
      <c r="C224" s="987" t="str">
        <f>OF!C58</f>
        <v>1000 ft - 1 mile</v>
      </c>
      <c r="D224" s="273">
        <f>OF!D58</f>
        <v>0</v>
      </c>
      <c r="E224" s="1069">
        <v>2</v>
      </c>
      <c r="F224" s="1070">
        <f>D224*E224</f>
        <v>0</v>
      </c>
      <c r="G224" s="1044"/>
      <c r="H224" s="2163"/>
    </row>
    <row r="225" spans="1:9" ht="15" customHeight="1" x14ac:dyDescent="0.2">
      <c r="A225" s="2186"/>
      <c r="B225" s="2161"/>
      <c r="C225" s="987" t="str">
        <f>OF!C59</f>
        <v>1-2 miles</v>
      </c>
      <c r="D225" s="273">
        <f>OF!D59</f>
        <v>0</v>
      </c>
      <c r="E225" s="1069">
        <v>1</v>
      </c>
      <c r="F225" s="1070">
        <f>D225*E225</f>
        <v>0</v>
      </c>
      <c r="G225" s="1044"/>
      <c r="H225" s="2163"/>
    </row>
    <row r="226" spans="1:9" ht="15.6" customHeight="1" thickBot="1" x14ac:dyDescent="0.25">
      <c r="A226" s="2187"/>
      <c r="B226" s="2162"/>
      <c r="C226" s="988" t="str">
        <f>OF!C60</f>
        <v>none of the above land cover classes were marked "2"</v>
      </c>
      <c r="D226" s="274">
        <f>OF!D60</f>
        <v>0</v>
      </c>
      <c r="E226" s="1049"/>
      <c r="F226" s="1049"/>
      <c r="G226" s="1072"/>
      <c r="H226" s="2164"/>
    </row>
    <row r="227" spans="1:9" ht="30" customHeight="1" thickBot="1" x14ac:dyDescent="0.25">
      <c r="A227" s="1896" t="str">
        <f>OF!A61</f>
        <v>OF10</v>
      </c>
      <c r="B227" s="1687" t="str">
        <f>OF!B61</f>
        <v>Ponded Water in Landscape</v>
      </c>
      <c r="C227" s="49" t="str">
        <f>OF!C61</f>
        <v>Draw a circle of radius of 2 miles centered on the AA.  Including water ponded in the AA itself or in a fringing non-marine water body, the amount of water that is ponded (standing) during most of the year is:</v>
      </c>
      <c r="D227" s="419"/>
      <c r="E227" s="549"/>
      <c r="F227" s="549"/>
      <c r="G227" s="548">
        <f>MAX(F228:F233)/MAX(E228:E233)</f>
        <v>0</v>
      </c>
      <c r="H227" s="2008" t="s">
        <v>5413</v>
      </c>
      <c r="I227" s="3" t="s">
        <v>2574</v>
      </c>
    </row>
    <row r="228" spans="1:9" ht="15" customHeight="1" x14ac:dyDescent="0.2">
      <c r="A228" s="1869"/>
      <c r="B228" s="1688"/>
      <c r="C228" s="384">
        <f>OF!C62</f>
        <v>0</v>
      </c>
      <c r="D228" s="46">
        <f>OF!D62</f>
        <v>0</v>
      </c>
      <c r="E228" s="412">
        <v>6</v>
      </c>
      <c r="F228" s="388">
        <f t="shared" ref="F228:F233" si="9">D228*E228</f>
        <v>0</v>
      </c>
      <c r="G228" s="873"/>
      <c r="H228" s="1970"/>
      <c r="I228" s="3"/>
    </row>
    <row r="229" spans="1:9" ht="15" customHeight="1" x14ac:dyDescent="0.2">
      <c r="A229" s="1869"/>
      <c r="B229" s="1688"/>
      <c r="C229" s="842" t="str">
        <f>OF!C63</f>
        <v>1 or 2</v>
      </c>
      <c r="D229" s="46">
        <f>OF!D63</f>
        <v>0</v>
      </c>
      <c r="E229" s="412">
        <v>4</v>
      </c>
      <c r="F229" s="388">
        <f t="shared" si="9"/>
        <v>0</v>
      </c>
      <c r="G229" s="873"/>
      <c r="H229" s="1970"/>
      <c r="I229" s="3"/>
    </row>
    <row r="230" spans="1:9" ht="15" customHeight="1" x14ac:dyDescent="0.2">
      <c r="A230" s="1869"/>
      <c r="B230" s="1688"/>
      <c r="C230" s="487" t="str">
        <f>OF!C64</f>
        <v>3 to 6</v>
      </c>
      <c r="D230" s="46">
        <f>OF!D64</f>
        <v>0</v>
      </c>
      <c r="E230" s="412">
        <v>3</v>
      </c>
      <c r="F230" s="388">
        <f t="shared" si="9"/>
        <v>0</v>
      </c>
      <c r="G230" s="873"/>
      <c r="H230" s="1970"/>
      <c r="I230" s="3"/>
    </row>
    <row r="231" spans="1:9" ht="15" customHeight="1" x14ac:dyDescent="0.2">
      <c r="A231" s="1869"/>
      <c r="B231" s="1688"/>
      <c r="C231" s="487" t="str">
        <f>OF!C65</f>
        <v>7 to 9</v>
      </c>
      <c r="D231" s="46">
        <f>OF!D65</f>
        <v>0</v>
      </c>
      <c r="E231" s="412">
        <v>2</v>
      </c>
      <c r="F231" s="388">
        <f t="shared" si="9"/>
        <v>0</v>
      </c>
      <c r="G231" s="873"/>
      <c r="H231" s="1970"/>
      <c r="I231" s="3"/>
    </row>
    <row r="232" spans="1:9" ht="15" customHeight="1" x14ac:dyDescent="0.2">
      <c r="A232" s="1869"/>
      <c r="B232" s="1688"/>
      <c r="C232" s="487" t="str">
        <f>OF!C66</f>
        <v>10 to 12</v>
      </c>
      <c r="D232" s="46">
        <f>OF!D66</f>
        <v>0</v>
      </c>
      <c r="E232" s="412">
        <v>1</v>
      </c>
      <c r="F232" s="388">
        <f t="shared" si="9"/>
        <v>0</v>
      </c>
      <c r="G232" s="873"/>
      <c r="H232" s="1970"/>
      <c r="I232" s="3"/>
    </row>
    <row r="233" spans="1:9" ht="15.6" customHeight="1" thickBot="1" x14ac:dyDescent="0.25">
      <c r="A233" s="1870"/>
      <c r="B233" s="1689"/>
      <c r="C233" s="486" t="str">
        <f>OF!C67</f>
        <v>&gt;12</v>
      </c>
      <c r="D233" s="213">
        <f>OF!D67</f>
        <v>0</v>
      </c>
      <c r="E233" s="416">
        <v>0</v>
      </c>
      <c r="F233" s="389">
        <f t="shared" si="9"/>
        <v>0</v>
      </c>
      <c r="G233" s="874"/>
      <c r="H233" s="1971"/>
      <c r="I233" s="3"/>
    </row>
    <row r="234" spans="1:9" ht="45" customHeight="1" thickBot="1" x14ac:dyDescent="0.25">
      <c r="A234" s="738" t="str">
        <f>OF!A103</f>
        <v>OF18</v>
      </c>
      <c r="B234" s="1008" t="str">
        <f>OF!B103</f>
        <v>Designated IBA</v>
      </c>
      <c r="C234" s="233" t="str">
        <f>OF!C103</f>
        <v xml:space="preserve">See list in last column.  Then if necessary refer to the map in the online WESPAK-SE Wetlands Module: Habitat Layers &gt; Important Bird Areas (IBAs). The AA is within or contains part of an IBA.  Enter 1= yes, 0= no. </v>
      </c>
      <c r="D234" s="329">
        <f>OF!D103</f>
        <v>0</v>
      </c>
      <c r="E234" s="1073"/>
      <c r="F234" s="1074"/>
      <c r="G234" s="1075">
        <f>D234</f>
        <v>0</v>
      </c>
      <c r="H234" s="233" t="s">
        <v>235</v>
      </c>
      <c r="I234" s="3" t="s">
        <v>513</v>
      </c>
    </row>
    <row r="235" spans="1:9" ht="75" customHeight="1" thickBot="1" x14ac:dyDescent="0.25">
      <c r="A235" s="980" t="str">
        <f>OF!A151</f>
        <v>OF29</v>
      </c>
      <c r="B235" s="230" t="str">
        <f>OF!B151</f>
        <v>Wetland Class Scarcity in HUC6</v>
      </c>
      <c r="C235" s="995"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235" s="334">
        <f>OF!D151</f>
        <v>0</v>
      </c>
      <c r="E235" s="1039"/>
      <c r="F235" s="1076"/>
      <c r="G235" s="1011">
        <f>IF((D235=""),"",IF((ForestedPeat=1),"",D235))</f>
        <v>0</v>
      </c>
      <c r="H235" s="111" t="s">
        <v>2094</v>
      </c>
      <c r="I235" s="3" t="s">
        <v>2095</v>
      </c>
    </row>
    <row r="236" spans="1:9" ht="60" customHeight="1" thickBot="1" x14ac:dyDescent="0.25">
      <c r="A236" s="2179" t="str">
        <f>OF!A209</f>
        <v>OF44</v>
      </c>
      <c r="B236" s="2157" t="str">
        <f>OF!B209</f>
        <v>Songbird or Raptor Species of Conservation Concern</v>
      </c>
      <c r="C236" s="231" t="str">
        <f>OF!C209</f>
        <v xml:space="preserve">One or more of these species -- Osprey, Peregrine Falcon, Northern (Queen Charlotte) Goshawk, Olive-sided Flycatcher, Rusty Blackbird -- has been detected nesting semi-annually in the AA or along the AA's upland edge (within 300 ft) under conditions similar to what now occur, by a qualified observer. Mark just the first choice that is true: </v>
      </c>
      <c r="D236" s="1017"/>
      <c r="E236" s="1064"/>
      <c r="F236" s="1065"/>
      <c r="G236" s="1011">
        <f>IF((D241=1),"",MAX(F237:F240)/MAX(E237:E240))</f>
        <v>0</v>
      </c>
      <c r="H236" s="1727" t="s">
        <v>115</v>
      </c>
      <c r="I236" s="3" t="s">
        <v>514</v>
      </c>
    </row>
    <row r="237" spans="1:9" ht="15" customHeight="1" x14ac:dyDescent="0.2">
      <c r="A237" s="2180"/>
      <c r="B237" s="2158"/>
      <c r="C237" s="21" t="str">
        <f>OF!C210</f>
        <v xml:space="preserve">in the AA </v>
      </c>
      <c r="D237" s="280">
        <f>OF!D210</f>
        <v>0</v>
      </c>
      <c r="E237" s="1046">
        <v>4</v>
      </c>
      <c r="F237" s="1019">
        <f>D237*E237</f>
        <v>0</v>
      </c>
      <c r="G237" s="1066"/>
      <c r="H237" s="2146"/>
    </row>
    <row r="238" spans="1:9" ht="15" customHeight="1" x14ac:dyDescent="0.2">
      <c r="A238" s="2180"/>
      <c r="B238" s="2158"/>
      <c r="C238" s="6" t="str">
        <f>OF!C211</f>
        <v>outside the AA but within 0.5 mile, in a generally similar wetland.</v>
      </c>
      <c r="D238" s="46">
        <f>OF!D211</f>
        <v>0</v>
      </c>
      <c r="E238" s="1046">
        <v>2</v>
      </c>
      <c r="F238" s="1019">
        <f>D238*E238</f>
        <v>0</v>
      </c>
      <c r="G238" s="1067"/>
      <c r="H238" s="2146"/>
    </row>
    <row r="239" spans="1:9" ht="15" customHeight="1" x14ac:dyDescent="0.2">
      <c r="A239" s="2180"/>
      <c r="B239" s="2158"/>
      <c r="C239" s="6" t="str">
        <f>OF!C212</f>
        <v>outside the AA and 0.5 to 2 miles away, in a generally similar wetland.</v>
      </c>
      <c r="D239" s="46">
        <f>OF!D212</f>
        <v>0</v>
      </c>
      <c r="E239" s="1046">
        <v>1</v>
      </c>
      <c r="F239" s="1019">
        <f>D239*E239</f>
        <v>0</v>
      </c>
      <c r="G239" s="1067"/>
      <c r="H239" s="2146"/>
    </row>
    <row r="240" spans="1:9" ht="54" customHeight="1" x14ac:dyDescent="0.2">
      <c r="A240" s="2180"/>
      <c r="B240" s="2158"/>
      <c r="C240" s="6" t="str">
        <f>OF!C213</f>
        <v>beyond 2 miles, or no recent observation of these species by a qualified observer under conditions similar to what now occur. However: at least one of the following have been confirmed nesting in the AA: Short-eared Owl, Alder Flycatcher, Warbling Vireo, Red-eyed Vireo, Northern Waterthrush, Common Yellowthroat, Red-winged Blackbird.</v>
      </c>
      <c r="D240" s="46">
        <f>OF!D213</f>
        <v>0</v>
      </c>
      <c r="E240" s="1046">
        <v>1</v>
      </c>
      <c r="F240" s="1019">
        <f>D240*E240</f>
        <v>0</v>
      </c>
      <c r="G240" s="1067"/>
      <c r="H240" s="2146"/>
    </row>
    <row r="241" spans="1:8" ht="15.6" customHeight="1" thickBot="1" x14ac:dyDescent="0.25">
      <c r="A241" s="2181"/>
      <c r="B241" s="2159"/>
      <c r="C241" s="988" t="str">
        <f>OF!C214</f>
        <v>none of above, or no data</v>
      </c>
      <c r="D241" s="274">
        <f>OF!D214</f>
        <v>0</v>
      </c>
      <c r="E241" s="1049"/>
      <c r="F241" s="1023"/>
      <c r="G241" s="1072"/>
      <c r="H241" s="2147"/>
    </row>
    <row r="242" spans="1:8" ht="21" customHeight="1" thickBot="1" x14ac:dyDescent="0.25">
      <c r="A242" s="2203"/>
      <c r="B242" s="2203"/>
      <c r="C242" s="2203"/>
      <c r="D242" s="2205"/>
      <c r="E242" s="2205"/>
      <c r="F242" s="2205"/>
      <c r="G242" s="2205"/>
      <c r="H242" s="2205"/>
    </row>
    <row r="243" spans="1:8" ht="21" customHeight="1" x14ac:dyDescent="0.2">
      <c r="A243" s="2204"/>
      <c r="B243" s="2204"/>
      <c r="C243" s="2204"/>
      <c r="D243" s="2208" t="s">
        <v>979</v>
      </c>
      <c r="E243" s="2209"/>
      <c r="F243" s="2209"/>
      <c r="G243" s="1013">
        <f>AVERAGE(Gcover14, Unbrow,Girreg14,Cliffs14, Cedar14,SnagD14,WoodDown14)</f>
        <v>0</v>
      </c>
      <c r="H243" s="228" t="s">
        <v>1973</v>
      </c>
    </row>
    <row r="244" spans="1:8" ht="21" customHeight="1" x14ac:dyDescent="0.2">
      <c r="A244" s="2204"/>
      <c r="B244" s="2204"/>
      <c r="C244" s="2204"/>
      <c r="D244" s="2038" t="s">
        <v>980</v>
      </c>
      <c r="E244" s="2039"/>
      <c r="F244" s="2039"/>
      <c r="G244" s="1014">
        <f>IF((NoWoodyVeg=1),"", AVERAGE(WoodyPct14, OWpct14, ShrubCanop14, ShrubDiv14, WoodPatt14, TreeTypes14))</f>
        <v>0</v>
      </c>
      <c r="H244" s="216" t="s">
        <v>2497</v>
      </c>
    </row>
    <row r="245" spans="1:8" ht="21" customHeight="1" x14ac:dyDescent="0.2">
      <c r="A245" s="2204"/>
      <c r="B245" s="2204"/>
      <c r="C245" s="2204"/>
      <c r="D245" s="2038" t="s">
        <v>372</v>
      </c>
      <c r="E245" s="2039"/>
      <c r="F245" s="2039"/>
      <c r="G245" s="1014">
        <f>(AVERAGE(Size14,Vwidth14))*((AVERAGE(Nfix14, DecidTree14,Inclus14, UpEdge14, Hardwd14, TidalProx14, Elev14)))</f>
        <v>0</v>
      </c>
      <c r="H245" s="216" t="s">
        <v>1085</v>
      </c>
    </row>
    <row r="246" spans="1:8" ht="30" customHeight="1" x14ac:dyDescent="0.2">
      <c r="A246" s="2204"/>
      <c r="B246" s="2204"/>
      <c r="C246" s="2204"/>
      <c r="D246" s="2038" t="s">
        <v>327</v>
      </c>
      <c r="E246" s="2039"/>
      <c r="F246" s="2039"/>
      <c r="G246" s="1014">
        <f>AVERAGE(Mainland14, CUbuffNatPct14, CUtypeLU14, NatVegProx14, NatVegPctScape14, ScapeLU14, NatVegSize14,DeerHab14)</f>
        <v>0</v>
      </c>
      <c r="H246" s="216" t="s">
        <v>5782</v>
      </c>
    </row>
    <row r="247" spans="1:8" ht="21" customHeight="1" x14ac:dyDescent="0.2">
      <c r="A247" s="2204"/>
      <c r="B247" s="2204"/>
      <c r="C247" s="2204"/>
      <c r="D247" s="2210" t="s">
        <v>426</v>
      </c>
      <c r="E247" s="2211"/>
      <c r="F247" s="2211"/>
      <c r="G247" s="1015">
        <f>AVERAGE(SatPct14, PermWpct14, PondPctScape14, PondProx14, Beaver14a, Interspers14)</f>
        <v>0</v>
      </c>
      <c r="H247" s="216" t="s">
        <v>2201</v>
      </c>
    </row>
    <row r="248" spans="1:8" ht="21" customHeight="1" thickBot="1" x14ac:dyDescent="0.25">
      <c r="A248" s="2204"/>
      <c r="B248" s="2204"/>
      <c r="C248" s="2204"/>
      <c r="D248" s="2040" t="s">
        <v>873</v>
      </c>
      <c r="E248" s="2041"/>
      <c r="F248" s="2041"/>
      <c r="G248" s="1016">
        <f>AVERAGE(Core14a, Core14b, PopCtr14, RdBox14, DisRd14)</f>
        <v>0.2</v>
      </c>
      <c r="H248" s="229" t="s">
        <v>2422</v>
      </c>
    </row>
    <row r="249" spans="1:8" ht="21" customHeight="1" thickBot="1" x14ac:dyDescent="0.25">
      <c r="A249" s="2204"/>
      <c r="B249" s="2204"/>
      <c r="C249" s="2204"/>
      <c r="D249" s="2206"/>
      <c r="E249" s="2206"/>
      <c r="F249" s="2206"/>
      <c r="G249" s="2206"/>
      <c r="H249" s="2206"/>
    </row>
    <row r="250" spans="1:8" ht="30" customHeight="1" thickBot="1" x14ac:dyDescent="0.25">
      <c r="A250" s="2204"/>
      <c r="B250" s="2207"/>
      <c r="C250" s="2194" t="s">
        <v>172</v>
      </c>
      <c r="D250" s="2195"/>
      <c r="E250" s="2196"/>
      <c r="F250" s="1009" t="s">
        <v>141</v>
      </c>
      <c r="G250" s="1010">
        <f>IF((AllWet=1),0,10*(AVERAGE(PermWpct14, AVERAGE(StrucA,StrucB,Produc,Lscape14,Wscape14,Stress14))))</f>
        <v>0.16666666666666666</v>
      </c>
      <c r="H250" s="49" t="s">
        <v>2284</v>
      </c>
    </row>
    <row r="251" spans="1:8" ht="30" customHeight="1" thickBot="1" x14ac:dyDescent="0.25">
      <c r="A251" s="2204"/>
      <c r="B251" s="2207"/>
      <c r="C251" s="2194" t="s">
        <v>594</v>
      </c>
      <c r="D251" s="2195"/>
      <c r="E251" s="2196"/>
      <c r="F251" s="1009" t="s">
        <v>142</v>
      </c>
      <c r="G251" s="1011">
        <f>10*(MAX(Rare14,_IBA14,AVERAGE(RareWclass14,UniqPatch14, PondNum14v,DistRareTyp14)))</f>
        <v>0</v>
      </c>
      <c r="H251" s="49" t="s">
        <v>2528</v>
      </c>
    </row>
    <row r="252" spans="1:8" ht="21" customHeight="1" thickBot="1" x14ac:dyDescent="0.25">
      <c r="A252" s="2204"/>
      <c r="B252" s="2204"/>
      <c r="C252" s="2204"/>
      <c r="D252" s="2204"/>
      <c r="E252" s="2204"/>
      <c r="F252" s="2204"/>
      <c r="G252" s="2204"/>
      <c r="H252" s="1012"/>
    </row>
    <row r="253" spans="1:8" ht="21" customHeight="1" thickBot="1" x14ac:dyDescent="0.25">
      <c r="A253" s="2204"/>
      <c r="B253" s="2204"/>
      <c r="C253" s="2204"/>
      <c r="D253" s="2204"/>
      <c r="E253" s="2204"/>
      <c r="F253" s="2204"/>
      <c r="G253" s="2204"/>
      <c r="H253" s="80" t="s">
        <v>1345</v>
      </c>
    </row>
    <row r="254" spans="1:8" ht="27" customHeight="1" x14ac:dyDescent="0.2">
      <c r="A254" s="2204"/>
      <c r="B254" s="2204"/>
      <c r="C254" s="2204"/>
      <c r="D254" s="2204"/>
      <c r="E254" s="2204"/>
      <c r="F254" s="2204"/>
      <c r="G254" s="2204"/>
      <c r="H254" s="145" t="s">
        <v>1635</v>
      </c>
    </row>
    <row r="255" spans="1:8" ht="27" customHeight="1" x14ac:dyDescent="0.2">
      <c r="A255" s="2204"/>
      <c r="B255" s="2204"/>
      <c r="C255" s="2204"/>
      <c r="D255" s="2204"/>
      <c r="E255" s="2204"/>
      <c r="F255" s="2204"/>
      <c r="G255" s="2204"/>
      <c r="H255" s="116" t="s">
        <v>1636</v>
      </c>
    </row>
    <row r="256" spans="1:8" ht="27" customHeight="1" x14ac:dyDescent="0.2">
      <c r="A256" s="2204"/>
      <c r="B256" s="2204"/>
      <c r="C256" s="2204"/>
      <c r="D256" s="2204"/>
      <c r="E256" s="2204"/>
      <c r="F256" s="2204"/>
      <c r="G256" s="2204"/>
      <c r="H256" s="116" t="s">
        <v>1637</v>
      </c>
    </row>
    <row r="257" spans="1:8" ht="27" customHeight="1" x14ac:dyDescent="0.2">
      <c r="A257" s="2204"/>
      <c r="B257" s="2204"/>
      <c r="C257" s="2204"/>
      <c r="D257" s="2204"/>
      <c r="E257" s="2204"/>
      <c r="F257" s="2204"/>
      <c r="G257" s="2204"/>
      <c r="H257" s="116" t="s">
        <v>1638</v>
      </c>
    </row>
    <row r="258" spans="1:8" ht="27" customHeight="1" x14ac:dyDescent="0.2">
      <c r="A258" s="2204"/>
      <c r="B258" s="2204"/>
      <c r="C258" s="2204"/>
      <c r="D258" s="2204"/>
      <c r="E258" s="2204"/>
      <c r="F258" s="2204"/>
      <c r="G258" s="2204"/>
      <c r="H258" s="116" t="s">
        <v>1639</v>
      </c>
    </row>
    <row r="259" spans="1:8" ht="27" customHeight="1" x14ac:dyDescent="0.2">
      <c r="A259" s="2204"/>
      <c r="B259" s="2204"/>
      <c r="C259" s="2204"/>
      <c r="D259" s="2204"/>
      <c r="E259" s="2204"/>
      <c r="F259" s="2204"/>
      <c r="G259" s="2204"/>
      <c r="H259" s="116" t="s">
        <v>2107</v>
      </c>
    </row>
    <row r="260" spans="1:8" ht="27" customHeight="1" x14ac:dyDescent="0.2">
      <c r="A260" s="2204"/>
      <c r="B260" s="2204"/>
      <c r="C260" s="2204"/>
      <c r="D260" s="2204"/>
      <c r="E260" s="2204"/>
      <c r="F260" s="2204"/>
      <c r="G260" s="2204"/>
      <c r="H260" s="116" t="s">
        <v>1640</v>
      </c>
    </row>
    <row r="261" spans="1:8" ht="27" customHeight="1" x14ac:dyDescent="0.2">
      <c r="A261" s="2204"/>
      <c r="B261" s="2204"/>
      <c r="C261" s="2204"/>
      <c r="D261" s="2204"/>
      <c r="E261" s="2204"/>
      <c r="F261" s="2204"/>
      <c r="G261" s="2204"/>
      <c r="H261" s="116" t="s">
        <v>1641</v>
      </c>
    </row>
    <row r="262" spans="1:8" ht="27" customHeight="1" x14ac:dyDescent="0.2">
      <c r="A262" s="2204"/>
      <c r="B262" s="2204"/>
      <c r="C262" s="2204"/>
      <c r="D262" s="2204"/>
      <c r="E262" s="2204"/>
      <c r="F262" s="2204"/>
      <c r="G262" s="2204"/>
      <c r="H262" s="116" t="s">
        <v>1642</v>
      </c>
    </row>
    <row r="263" spans="1:8" ht="27" customHeight="1" x14ac:dyDescent="0.2">
      <c r="A263" s="2204"/>
      <c r="B263" s="2204"/>
      <c r="C263" s="2204"/>
      <c r="D263" s="2204"/>
      <c r="E263" s="2204"/>
      <c r="F263" s="2204"/>
      <c r="G263" s="2204"/>
      <c r="H263" s="116" t="s">
        <v>2106</v>
      </c>
    </row>
    <row r="264" spans="1:8" ht="27" customHeight="1" x14ac:dyDescent="0.2">
      <c r="A264" s="2204"/>
      <c r="B264" s="2204"/>
      <c r="C264" s="2204"/>
      <c r="D264" s="2204"/>
      <c r="E264" s="2204"/>
      <c r="F264" s="2204"/>
      <c r="G264" s="2204"/>
      <c r="H264" s="116" t="s">
        <v>2105</v>
      </c>
    </row>
    <row r="265" spans="1:8" ht="54" customHeight="1" x14ac:dyDescent="0.2">
      <c r="A265" s="2204"/>
      <c r="B265" s="2204"/>
      <c r="C265" s="2204"/>
      <c r="D265" s="2204"/>
      <c r="E265" s="2204"/>
      <c r="F265" s="2204"/>
      <c r="G265" s="2204"/>
      <c r="H265" s="116" t="s">
        <v>1643</v>
      </c>
    </row>
    <row r="266" spans="1:8" ht="27" customHeight="1" x14ac:dyDescent="0.2">
      <c r="A266" s="2204"/>
      <c r="B266" s="2204"/>
      <c r="C266" s="2204"/>
      <c r="D266" s="2204"/>
      <c r="E266" s="2204"/>
      <c r="F266" s="2204"/>
      <c r="G266" s="2204"/>
      <c r="H266" s="116" t="s">
        <v>1644</v>
      </c>
    </row>
    <row r="267" spans="1:8" ht="27" customHeight="1" x14ac:dyDescent="0.2">
      <c r="A267" s="2204"/>
      <c r="B267" s="2204"/>
      <c r="C267" s="2204"/>
      <c r="D267" s="2204"/>
      <c r="E267" s="2204"/>
      <c r="F267" s="2204"/>
      <c r="G267" s="2204"/>
      <c r="H267" s="116" t="s">
        <v>1645</v>
      </c>
    </row>
    <row r="268" spans="1:8" ht="27" customHeight="1" x14ac:dyDescent="0.2">
      <c r="A268" s="2204"/>
      <c r="B268" s="2204"/>
      <c r="C268" s="2204"/>
      <c r="D268" s="2204"/>
      <c r="E268" s="2204"/>
      <c r="F268" s="2204"/>
      <c r="G268" s="2204"/>
      <c r="H268" s="116" t="s">
        <v>1646</v>
      </c>
    </row>
    <row r="269" spans="1:8" ht="27" customHeight="1" x14ac:dyDescent="0.2">
      <c r="A269" s="2204"/>
      <c r="B269" s="2204"/>
      <c r="C269" s="2204"/>
      <c r="D269" s="2204"/>
      <c r="E269" s="2204"/>
      <c r="F269" s="2204"/>
      <c r="G269" s="2204"/>
      <c r="H269" s="116" t="s">
        <v>1647</v>
      </c>
    </row>
    <row r="270" spans="1:8" ht="27" customHeight="1" x14ac:dyDescent="0.2">
      <c r="A270" s="2204"/>
      <c r="B270" s="2204"/>
      <c r="C270" s="2204"/>
      <c r="D270" s="2204"/>
      <c r="E270" s="2204"/>
      <c r="F270" s="2204"/>
      <c r="G270" s="2204"/>
      <c r="H270" s="116" t="s">
        <v>1648</v>
      </c>
    </row>
    <row r="271" spans="1:8" ht="27" customHeight="1" x14ac:dyDescent="0.2">
      <c r="A271" s="2204"/>
      <c r="B271" s="2204"/>
      <c r="C271" s="2204"/>
      <c r="D271" s="2204"/>
      <c r="E271" s="2204"/>
      <c r="F271" s="2204"/>
      <c r="G271" s="2204"/>
      <c r="H271" s="116" t="s">
        <v>2108</v>
      </c>
    </row>
    <row r="272" spans="1:8" ht="42" customHeight="1" x14ac:dyDescent="0.2">
      <c r="A272" s="2204"/>
      <c r="B272" s="2204"/>
      <c r="C272" s="2204"/>
      <c r="D272" s="2204"/>
      <c r="E272" s="2204"/>
      <c r="F272" s="2204"/>
      <c r="G272" s="2204"/>
      <c r="H272" s="116" t="s">
        <v>1649</v>
      </c>
    </row>
    <row r="273" spans="1:8" ht="27" customHeight="1" x14ac:dyDescent="0.2">
      <c r="A273" s="2204"/>
      <c r="B273" s="2204"/>
      <c r="C273" s="2204"/>
      <c r="D273" s="2204"/>
      <c r="E273" s="2204"/>
      <c r="F273" s="2204"/>
      <c r="G273" s="2204"/>
      <c r="H273" s="116" t="s">
        <v>1650</v>
      </c>
    </row>
    <row r="274" spans="1:8" ht="27" customHeight="1" x14ac:dyDescent="0.2">
      <c r="A274" s="2204"/>
      <c r="B274" s="2204"/>
      <c r="C274" s="2204"/>
      <c r="D274" s="2204"/>
      <c r="E274" s="2204"/>
      <c r="F274" s="2204"/>
      <c r="G274" s="2204"/>
      <c r="H274" s="116" t="s">
        <v>1651</v>
      </c>
    </row>
    <row r="275" spans="1:8" ht="42" customHeight="1" x14ac:dyDescent="0.2">
      <c r="A275" s="2204"/>
      <c r="B275" s="2204"/>
      <c r="C275" s="2204"/>
      <c r="D275" s="2204"/>
      <c r="E275" s="2204"/>
      <c r="F275" s="2204"/>
      <c r="G275" s="2204"/>
      <c r="H275" s="116" t="s">
        <v>1652</v>
      </c>
    </row>
    <row r="276" spans="1:8" ht="27" customHeight="1" x14ac:dyDescent="0.2">
      <c r="A276" s="2204"/>
      <c r="B276" s="2204"/>
      <c r="C276" s="2204"/>
      <c r="D276" s="2204"/>
      <c r="E276" s="2204"/>
      <c r="F276" s="2204"/>
      <c r="G276" s="2204"/>
      <c r="H276" s="116" t="s">
        <v>1653</v>
      </c>
    </row>
    <row r="277" spans="1:8" ht="27" customHeight="1" x14ac:dyDescent="0.2">
      <c r="A277" s="2204"/>
      <c r="B277" s="2204"/>
      <c r="C277" s="2204"/>
      <c r="D277" s="2204"/>
      <c r="E277" s="2204"/>
      <c r="F277" s="2204"/>
      <c r="G277" s="2204"/>
      <c r="H277" s="116" t="s">
        <v>1654</v>
      </c>
    </row>
    <row r="278" spans="1:8" ht="27" customHeight="1" x14ac:dyDescent="0.2">
      <c r="A278" s="2204"/>
      <c r="B278" s="2204"/>
      <c r="C278" s="2204"/>
      <c r="D278" s="2204"/>
      <c r="E278" s="2204"/>
      <c r="F278" s="2204"/>
      <c r="G278" s="2204"/>
      <c r="H278" s="116" t="s">
        <v>5505</v>
      </c>
    </row>
    <row r="279" spans="1:8" ht="27" customHeight="1" x14ac:dyDescent="0.2">
      <c r="A279" s="2204"/>
      <c r="B279" s="2204"/>
      <c r="C279" s="2204"/>
      <c r="D279" s="2204"/>
      <c r="E279" s="2204"/>
      <c r="F279" s="2204"/>
      <c r="G279" s="2204"/>
      <c r="H279" s="116" t="s">
        <v>1655</v>
      </c>
    </row>
    <row r="280" spans="1:8" ht="27" customHeight="1" x14ac:dyDescent="0.2">
      <c r="A280" s="2204"/>
      <c r="B280" s="2204"/>
      <c r="C280" s="2204"/>
      <c r="D280" s="2204"/>
      <c r="E280" s="2204"/>
      <c r="F280" s="2204"/>
      <c r="G280" s="2204"/>
      <c r="H280" s="116" t="s">
        <v>1656</v>
      </c>
    </row>
    <row r="281" spans="1:8" ht="27" customHeight="1" x14ac:dyDescent="0.2">
      <c r="A281" s="2204"/>
      <c r="B281" s="2204"/>
      <c r="C281" s="2204"/>
      <c r="D281" s="2204"/>
      <c r="E281" s="2204"/>
      <c r="F281" s="2204"/>
      <c r="G281" s="2204"/>
      <c r="H281" s="116" t="s">
        <v>1657</v>
      </c>
    </row>
    <row r="282" spans="1:8" ht="27" customHeight="1" x14ac:dyDescent="0.2">
      <c r="A282" s="2204"/>
      <c r="B282" s="2204"/>
      <c r="C282" s="2204"/>
      <c r="D282" s="2204"/>
      <c r="E282" s="2204"/>
      <c r="F282" s="2204"/>
      <c r="G282" s="2204"/>
      <c r="H282" s="116" t="s">
        <v>1658</v>
      </c>
    </row>
    <row r="283" spans="1:8" ht="42" customHeight="1" x14ac:dyDescent="0.2">
      <c r="A283" s="2204"/>
      <c r="B283" s="2204"/>
      <c r="C283" s="2204"/>
      <c r="D283" s="2204"/>
      <c r="E283" s="2204"/>
      <c r="F283" s="2204"/>
      <c r="G283" s="2204"/>
      <c r="H283" s="116" t="s">
        <v>2109</v>
      </c>
    </row>
    <row r="284" spans="1:8" ht="42" customHeight="1" x14ac:dyDescent="0.2">
      <c r="A284" s="2204"/>
      <c r="B284" s="2204"/>
      <c r="C284" s="2204"/>
      <c r="D284" s="2204"/>
      <c r="E284" s="2204"/>
      <c r="F284" s="2204"/>
      <c r="G284" s="2204"/>
      <c r="H284" s="116" t="s">
        <v>1659</v>
      </c>
    </row>
    <row r="285" spans="1:8" ht="27" customHeight="1" x14ac:dyDescent="0.2">
      <c r="A285" s="2204"/>
      <c r="B285" s="2204"/>
      <c r="C285" s="2204"/>
      <c r="D285" s="2204"/>
      <c r="E285" s="2204"/>
      <c r="F285" s="2204"/>
      <c r="G285" s="2204"/>
      <c r="H285" s="116" t="s">
        <v>1660</v>
      </c>
    </row>
    <row r="286" spans="1:8" ht="27" customHeight="1" x14ac:dyDescent="0.2">
      <c r="A286" s="2204"/>
      <c r="B286" s="2204"/>
      <c r="C286" s="2204"/>
      <c r="D286" s="2204"/>
      <c r="E286" s="2204"/>
      <c r="F286" s="2204"/>
      <c r="G286" s="2204"/>
      <c r="H286" s="116" t="s">
        <v>1661</v>
      </c>
    </row>
    <row r="287" spans="1:8" ht="27" customHeight="1" x14ac:dyDescent="0.2">
      <c r="A287" s="2204"/>
      <c r="B287" s="2204"/>
      <c r="C287" s="2204"/>
      <c r="D287" s="2204"/>
      <c r="E287" s="2204"/>
      <c r="F287" s="2204"/>
      <c r="G287" s="2204"/>
      <c r="H287" s="116" t="s">
        <v>1662</v>
      </c>
    </row>
    <row r="288" spans="1:8" ht="27" customHeight="1" x14ac:dyDescent="0.2">
      <c r="A288" s="2204"/>
      <c r="B288" s="2204"/>
      <c r="C288" s="2204"/>
      <c r="D288" s="2204"/>
      <c r="E288" s="2204"/>
      <c r="F288" s="2204"/>
      <c r="G288" s="2204"/>
      <c r="H288" s="116" t="s">
        <v>1663</v>
      </c>
    </row>
    <row r="289" spans="1:8" ht="27" customHeight="1" x14ac:dyDescent="0.2">
      <c r="A289" s="2204"/>
      <c r="B289" s="2204"/>
      <c r="C289" s="2204"/>
      <c r="D289" s="2204"/>
      <c r="E289" s="2204"/>
      <c r="F289" s="2204"/>
      <c r="G289" s="2204"/>
      <c r="H289" s="116" t="s">
        <v>5506</v>
      </c>
    </row>
    <row r="290" spans="1:8" ht="42" customHeight="1" x14ac:dyDescent="0.2">
      <c r="A290" s="2204"/>
      <c r="B290" s="2204"/>
      <c r="C290" s="2204"/>
      <c r="D290" s="2204"/>
      <c r="E290" s="2204"/>
      <c r="F290" s="2204"/>
      <c r="G290" s="2204"/>
      <c r="H290" s="116" t="s">
        <v>1475</v>
      </c>
    </row>
    <row r="291" spans="1:8" ht="42" customHeight="1" x14ac:dyDescent="0.2">
      <c r="A291" s="2204"/>
      <c r="B291" s="2204"/>
      <c r="C291" s="2204"/>
      <c r="D291" s="2204"/>
      <c r="E291" s="2204"/>
      <c r="F291" s="2204"/>
      <c r="G291" s="2204"/>
      <c r="H291" s="116" t="s">
        <v>1664</v>
      </c>
    </row>
    <row r="292" spans="1:8" ht="27" customHeight="1" x14ac:dyDescent="0.2">
      <c r="A292" s="2204"/>
      <c r="B292" s="2204"/>
      <c r="C292" s="2204"/>
      <c r="D292" s="2204"/>
      <c r="E292" s="2204"/>
      <c r="F292" s="2204"/>
      <c r="G292" s="2204"/>
      <c r="H292" s="116" t="s">
        <v>1665</v>
      </c>
    </row>
    <row r="293" spans="1:8" ht="27" customHeight="1" x14ac:dyDescent="0.2">
      <c r="A293" s="2204"/>
      <c r="B293" s="2204"/>
      <c r="C293" s="2204"/>
      <c r="D293" s="2204"/>
      <c r="E293" s="2204"/>
      <c r="F293" s="2204"/>
      <c r="G293" s="2204"/>
      <c r="H293" s="116" t="s">
        <v>1666</v>
      </c>
    </row>
    <row r="294" spans="1:8" ht="27" customHeight="1" x14ac:dyDescent="0.2">
      <c r="A294" s="2204"/>
      <c r="B294" s="2204"/>
      <c r="C294" s="2204"/>
      <c r="D294" s="2204"/>
      <c r="E294" s="2204"/>
      <c r="F294" s="2204"/>
      <c r="G294" s="2204"/>
      <c r="H294" s="116" t="s">
        <v>1667</v>
      </c>
    </row>
    <row r="295" spans="1:8" ht="27" customHeight="1" x14ac:dyDescent="0.2">
      <c r="A295" s="2204"/>
      <c r="B295" s="2204"/>
      <c r="C295" s="2204"/>
      <c r="D295" s="2204"/>
      <c r="E295" s="2204"/>
      <c r="F295" s="2204"/>
      <c r="G295" s="2204"/>
      <c r="H295" s="116" t="s">
        <v>1438</v>
      </c>
    </row>
    <row r="296" spans="1:8" ht="42" customHeight="1" x14ac:dyDescent="0.2">
      <c r="A296" s="2204"/>
      <c r="B296" s="2204"/>
      <c r="C296" s="2204"/>
      <c r="D296" s="2204"/>
      <c r="E296" s="2204"/>
      <c r="F296" s="2204"/>
      <c r="G296" s="2204"/>
      <c r="H296" s="116" t="s">
        <v>1668</v>
      </c>
    </row>
    <row r="297" spans="1:8" ht="27" customHeight="1" x14ac:dyDescent="0.2">
      <c r="A297" s="2204"/>
      <c r="B297" s="2204"/>
      <c r="C297" s="2204"/>
      <c r="D297" s="2204"/>
      <c r="E297" s="2204"/>
      <c r="F297" s="2204"/>
      <c r="G297" s="2204"/>
      <c r="H297" s="116" t="s">
        <v>1669</v>
      </c>
    </row>
    <row r="298" spans="1:8" ht="27" customHeight="1" x14ac:dyDescent="0.2">
      <c r="A298" s="2204"/>
      <c r="B298" s="2204"/>
      <c r="C298" s="2204"/>
      <c r="D298" s="2204"/>
      <c r="E298" s="2204"/>
      <c r="F298" s="2204"/>
      <c r="G298" s="2204"/>
      <c r="H298" s="116" t="s">
        <v>1670</v>
      </c>
    </row>
    <row r="299" spans="1:8" ht="27" customHeight="1" x14ac:dyDescent="0.2">
      <c r="A299" s="2204"/>
      <c r="B299" s="2204"/>
      <c r="C299" s="2204"/>
      <c r="D299" s="2204"/>
      <c r="E299" s="2204"/>
      <c r="F299" s="2204"/>
      <c r="G299" s="2204"/>
      <c r="H299" s="116" t="s">
        <v>1671</v>
      </c>
    </row>
    <row r="300" spans="1:8" ht="27" customHeight="1" x14ac:dyDescent="0.2">
      <c r="A300" s="2204"/>
      <c r="B300" s="2204"/>
      <c r="C300" s="2204"/>
      <c r="D300" s="2204"/>
      <c r="E300" s="2204"/>
      <c r="F300" s="2204"/>
      <c r="G300" s="2204"/>
      <c r="H300" s="116" t="s">
        <v>1672</v>
      </c>
    </row>
    <row r="301" spans="1:8" ht="27" customHeight="1" x14ac:dyDescent="0.2">
      <c r="A301" s="2204"/>
      <c r="B301" s="2204"/>
      <c r="C301" s="2204"/>
      <c r="D301" s="2204"/>
      <c r="E301" s="2204"/>
      <c r="F301" s="2204"/>
      <c r="G301" s="2204"/>
      <c r="H301" s="116" t="s">
        <v>1673</v>
      </c>
    </row>
    <row r="302" spans="1:8" ht="27" customHeight="1" x14ac:dyDescent="0.2">
      <c r="A302" s="2204"/>
      <c r="B302" s="2204"/>
      <c r="C302" s="2204"/>
      <c r="D302" s="2204"/>
      <c r="E302" s="2204"/>
      <c r="F302" s="2204"/>
      <c r="G302" s="2204"/>
      <c r="H302" s="116" t="s">
        <v>1674</v>
      </c>
    </row>
    <row r="303" spans="1:8" ht="42" customHeight="1" x14ac:dyDescent="0.2">
      <c r="A303" s="2204"/>
      <c r="B303" s="2204"/>
      <c r="C303" s="2204"/>
      <c r="D303" s="2204"/>
      <c r="E303" s="2204"/>
      <c r="F303" s="2204"/>
      <c r="G303" s="2204"/>
      <c r="H303" s="116" t="s">
        <v>1675</v>
      </c>
    </row>
    <row r="304" spans="1:8" ht="42" customHeight="1" x14ac:dyDescent="0.2">
      <c r="A304" s="2204"/>
      <c r="B304" s="2204"/>
      <c r="C304" s="2204"/>
      <c r="D304" s="2204"/>
      <c r="E304" s="2204"/>
      <c r="F304" s="2204"/>
      <c r="G304" s="2204"/>
      <c r="H304" s="116" t="s">
        <v>1676</v>
      </c>
    </row>
    <row r="305" spans="1:8" ht="27" customHeight="1" x14ac:dyDescent="0.2">
      <c r="A305" s="2204"/>
      <c r="B305" s="2204"/>
      <c r="C305" s="2204"/>
      <c r="D305" s="2204"/>
      <c r="E305" s="2204"/>
      <c r="F305" s="2204"/>
      <c r="G305" s="2204"/>
      <c r="H305" s="116" t="s">
        <v>1677</v>
      </c>
    </row>
    <row r="306" spans="1:8" ht="42" customHeight="1" x14ac:dyDescent="0.2">
      <c r="A306" s="2204"/>
      <c r="B306" s="2204"/>
      <c r="C306" s="2204"/>
      <c r="D306" s="2204"/>
      <c r="E306" s="2204"/>
      <c r="F306" s="2204"/>
      <c r="G306" s="2204"/>
      <c r="H306" s="116" t="s">
        <v>5507</v>
      </c>
    </row>
    <row r="307" spans="1:8" ht="27" customHeight="1" x14ac:dyDescent="0.2">
      <c r="A307" s="2204"/>
      <c r="B307" s="2204"/>
      <c r="C307" s="2204"/>
      <c r="D307" s="2204"/>
      <c r="E307" s="2204"/>
      <c r="F307" s="2204"/>
      <c r="G307" s="2204"/>
      <c r="H307" s="116" t="s">
        <v>1678</v>
      </c>
    </row>
    <row r="308" spans="1:8" ht="27" customHeight="1" x14ac:dyDescent="0.2">
      <c r="A308" s="2204"/>
      <c r="B308" s="2204"/>
      <c r="C308" s="2204"/>
      <c r="D308" s="2204"/>
      <c r="E308" s="2204"/>
      <c r="F308" s="2204"/>
      <c r="G308" s="2204"/>
      <c r="H308" s="116" t="s">
        <v>1679</v>
      </c>
    </row>
    <row r="309" spans="1:8" ht="27" customHeight="1" x14ac:dyDescent="0.2">
      <c r="A309" s="2204"/>
      <c r="B309" s="2204"/>
      <c r="C309" s="2204"/>
      <c r="D309" s="2204"/>
      <c r="E309" s="2204"/>
      <c r="F309" s="2204"/>
      <c r="G309" s="2204"/>
      <c r="H309" s="116" t="s">
        <v>5508</v>
      </c>
    </row>
    <row r="310" spans="1:8" ht="27" customHeight="1" x14ac:dyDescent="0.2">
      <c r="A310" s="2204"/>
      <c r="B310" s="2204"/>
      <c r="C310" s="2204"/>
      <c r="D310" s="2204"/>
      <c r="E310" s="2204"/>
      <c r="F310" s="2204"/>
      <c r="G310" s="2204"/>
      <c r="H310" s="116" t="s">
        <v>1680</v>
      </c>
    </row>
    <row r="311" spans="1:8" ht="27" customHeight="1" x14ac:dyDescent="0.2">
      <c r="A311" s="2204"/>
      <c r="B311" s="2204"/>
      <c r="C311" s="2204"/>
      <c r="D311" s="2204"/>
      <c r="E311" s="2204"/>
      <c r="F311" s="2204"/>
      <c r="G311" s="2204"/>
      <c r="H311" s="116" t="s">
        <v>1681</v>
      </c>
    </row>
    <row r="312" spans="1:8" ht="27" customHeight="1" x14ac:dyDescent="0.2">
      <c r="A312" s="2204"/>
      <c r="B312" s="2204"/>
      <c r="C312" s="2204"/>
      <c r="D312" s="2204"/>
      <c r="E312" s="2204"/>
      <c r="F312" s="2204"/>
      <c r="G312" s="2204"/>
      <c r="H312" s="116" t="s">
        <v>1682</v>
      </c>
    </row>
    <row r="313" spans="1:8" ht="42" customHeight="1" x14ac:dyDescent="0.2">
      <c r="A313" s="2204"/>
      <c r="B313" s="2204"/>
      <c r="C313" s="2204"/>
      <c r="D313" s="2204"/>
      <c r="E313" s="2204"/>
      <c r="F313" s="2204"/>
      <c r="G313" s="2204"/>
      <c r="H313" s="116" t="s">
        <v>1683</v>
      </c>
    </row>
    <row r="314" spans="1:8" ht="27" customHeight="1" x14ac:dyDescent="0.2">
      <c r="A314" s="2204"/>
      <c r="B314" s="2204"/>
      <c r="C314" s="2204"/>
      <c r="D314" s="2204"/>
      <c r="E314" s="2204"/>
      <c r="F314" s="2204"/>
      <c r="G314" s="2204"/>
      <c r="H314" s="116" t="s">
        <v>1684</v>
      </c>
    </row>
    <row r="315" spans="1:8" ht="42" customHeight="1" x14ac:dyDescent="0.2">
      <c r="A315" s="2204"/>
      <c r="B315" s="2204"/>
      <c r="C315" s="2204"/>
      <c r="D315" s="2204"/>
      <c r="E315" s="2204"/>
      <c r="F315" s="2204"/>
      <c r="G315" s="2204"/>
      <c r="H315" s="116" t="s">
        <v>1685</v>
      </c>
    </row>
    <row r="316" spans="1:8" ht="27" customHeight="1" x14ac:dyDescent="0.2">
      <c r="A316" s="2204"/>
      <c r="B316" s="2204"/>
      <c r="C316" s="2204"/>
      <c r="D316" s="2204"/>
      <c r="E316" s="2204"/>
      <c r="F316" s="2204"/>
      <c r="G316" s="2204"/>
      <c r="H316" s="116" t="s">
        <v>1686</v>
      </c>
    </row>
    <row r="317" spans="1:8" ht="27" customHeight="1" x14ac:dyDescent="0.2">
      <c r="A317" s="2204"/>
      <c r="B317" s="2204"/>
      <c r="C317" s="2204"/>
      <c r="D317" s="2204"/>
      <c r="E317" s="2204"/>
      <c r="F317" s="2204"/>
      <c r="G317" s="2204"/>
      <c r="H317" s="116" t="s">
        <v>5509</v>
      </c>
    </row>
    <row r="318" spans="1:8" ht="42" customHeight="1" x14ac:dyDescent="0.2">
      <c r="A318" s="2204"/>
      <c r="B318" s="2204"/>
      <c r="C318" s="2204"/>
      <c r="D318" s="2204"/>
      <c r="E318" s="2204"/>
      <c r="F318" s="2204"/>
      <c r="G318" s="2204"/>
      <c r="H318" s="116" t="s">
        <v>1687</v>
      </c>
    </row>
    <row r="319" spans="1:8" ht="27" customHeight="1" x14ac:dyDescent="0.2">
      <c r="A319" s="2204"/>
      <c r="B319" s="2204"/>
      <c r="C319" s="2204"/>
      <c r="D319" s="2204"/>
      <c r="E319" s="2204"/>
      <c r="F319" s="2204"/>
      <c r="G319" s="2204"/>
      <c r="H319" s="116" t="s">
        <v>1688</v>
      </c>
    </row>
    <row r="320" spans="1:8" ht="27" customHeight="1" x14ac:dyDescent="0.2">
      <c r="A320" s="2204"/>
      <c r="B320" s="2204"/>
      <c r="C320" s="2204"/>
      <c r="D320" s="2204"/>
      <c r="E320" s="2204"/>
      <c r="F320" s="2204"/>
      <c r="G320" s="2204"/>
      <c r="H320" s="116" t="s">
        <v>1689</v>
      </c>
    </row>
    <row r="321" spans="1:8" ht="27" customHeight="1" x14ac:dyDescent="0.2">
      <c r="A321" s="2204"/>
      <c r="B321" s="2204"/>
      <c r="C321" s="2204"/>
      <c r="D321" s="2204"/>
      <c r="E321" s="2204"/>
      <c r="F321" s="2204"/>
      <c r="G321" s="2204"/>
      <c r="H321" s="116" t="s">
        <v>1690</v>
      </c>
    </row>
    <row r="322" spans="1:8" ht="27" customHeight="1" x14ac:dyDescent="0.2">
      <c r="A322" s="2204"/>
      <c r="B322" s="2204"/>
      <c r="C322" s="2204"/>
      <c r="D322" s="2204"/>
      <c r="E322" s="2204"/>
      <c r="F322" s="2204"/>
      <c r="G322" s="2204"/>
      <c r="H322" s="116" t="s">
        <v>1691</v>
      </c>
    </row>
    <row r="323" spans="1:8" ht="27" customHeight="1" x14ac:dyDescent="0.2">
      <c r="A323" s="2204"/>
      <c r="B323" s="2204"/>
      <c r="C323" s="2204"/>
      <c r="D323" s="2204"/>
      <c r="E323" s="2204"/>
      <c r="F323" s="2204"/>
      <c r="G323" s="2204"/>
      <c r="H323" s="116" t="s">
        <v>1692</v>
      </c>
    </row>
    <row r="324" spans="1:8" ht="27" customHeight="1" x14ac:dyDescent="0.2">
      <c r="A324" s="2204"/>
      <c r="B324" s="2204"/>
      <c r="C324" s="2204"/>
      <c r="D324" s="2204"/>
      <c r="E324" s="2204"/>
      <c r="F324" s="2204"/>
      <c r="G324" s="2204"/>
      <c r="H324" s="116" t="s">
        <v>1693</v>
      </c>
    </row>
    <row r="325" spans="1:8" ht="27" customHeight="1" x14ac:dyDescent="0.2">
      <c r="A325" s="2204"/>
      <c r="B325" s="2204"/>
      <c r="C325" s="2204"/>
      <c r="D325" s="2204"/>
      <c r="E325" s="2204"/>
      <c r="F325" s="2204"/>
      <c r="G325" s="2204"/>
      <c r="H325" s="116" t="s">
        <v>1694</v>
      </c>
    </row>
    <row r="326" spans="1:8" ht="27" customHeight="1" x14ac:dyDescent="0.2">
      <c r="A326" s="2204"/>
      <c r="B326" s="2204"/>
      <c r="C326" s="2204"/>
      <c r="D326" s="2204"/>
      <c r="E326" s="2204"/>
      <c r="F326" s="2204"/>
      <c r="G326" s="2204"/>
      <c r="H326" s="116" t="s">
        <v>1695</v>
      </c>
    </row>
    <row r="327" spans="1:8" ht="27" customHeight="1" x14ac:dyDescent="0.2">
      <c r="A327" s="2204"/>
      <c r="B327" s="2204"/>
      <c r="C327" s="2204"/>
      <c r="D327" s="2204"/>
      <c r="E327" s="2204"/>
      <c r="F327" s="2204"/>
      <c r="G327" s="2204"/>
      <c r="H327" s="116" t="s">
        <v>1696</v>
      </c>
    </row>
    <row r="328" spans="1:8" ht="27" customHeight="1" x14ac:dyDescent="0.2">
      <c r="A328" s="2204"/>
      <c r="B328" s="2204"/>
      <c r="C328" s="2204"/>
      <c r="D328" s="2204"/>
      <c r="E328" s="2204"/>
      <c r="F328" s="2204"/>
      <c r="G328" s="2204"/>
      <c r="H328" s="116" t="s">
        <v>1697</v>
      </c>
    </row>
    <row r="329" spans="1:8" ht="30" customHeight="1" thickBot="1" x14ac:dyDescent="0.25">
      <c r="A329" s="2204"/>
      <c r="B329" s="2204"/>
      <c r="C329" s="2204"/>
      <c r="D329" s="2204"/>
      <c r="E329" s="2204"/>
      <c r="F329" s="2204"/>
      <c r="G329" s="2204"/>
      <c r="H329" s="119" t="s">
        <v>1698</v>
      </c>
    </row>
    <row r="330" spans="1:8" x14ac:dyDescent="0.2">
      <c r="C330" s="25"/>
    </row>
    <row r="331" spans="1:8" x14ac:dyDescent="0.2">
      <c r="C331" s="25"/>
    </row>
    <row r="332" spans="1:8" x14ac:dyDescent="0.2">
      <c r="C332" s="25"/>
    </row>
    <row r="333" spans="1:8" x14ac:dyDescent="0.2">
      <c r="C333" s="25"/>
    </row>
    <row r="334" spans="1:8" x14ac:dyDescent="0.2">
      <c r="C334" s="25"/>
    </row>
    <row r="335" spans="1:8" x14ac:dyDescent="0.2">
      <c r="C335" s="25"/>
    </row>
    <row r="336" spans="1:8" x14ac:dyDescent="0.2">
      <c r="C336" s="25"/>
    </row>
    <row r="337" spans="3:3" x14ac:dyDescent="0.2">
      <c r="C337" s="25"/>
    </row>
    <row r="338" spans="3:3" x14ac:dyDescent="0.2">
      <c r="C338" s="25"/>
    </row>
    <row r="339" spans="3:3" x14ac:dyDescent="0.2">
      <c r="C339" s="25"/>
    </row>
    <row r="340" spans="3:3" x14ac:dyDescent="0.2">
      <c r="C340" s="25"/>
    </row>
    <row r="341" spans="3:3" x14ac:dyDescent="0.2">
      <c r="C341" s="25"/>
    </row>
    <row r="342" spans="3:3" x14ac:dyDescent="0.2">
      <c r="C342" s="25"/>
    </row>
    <row r="343" spans="3:3" x14ac:dyDescent="0.2">
      <c r="C343" s="25"/>
    </row>
    <row r="344" spans="3:3" x14ac:dyDescent="0.2">
      <c r="C344" s="25"/>
    </row>
    <row r="345" spans="3:3" x14ac:dyDescent="0.2">
      <c r="C345" s="25"/>
    </row>
    <row r="346" spans="3:3" x14ac:dyDescent="0.2">
      <c r="C346" s="25"/>
    </row>
    <row r="347" spans="3:3" x14ac:dyDescent="0.2">
      <c r="C347" s="25"/>
    </row>
    <row r="348" spans="3:3" x14ac:dyDescent="0.2">
      <c r="C348" s="25"/>
    </row>
    <row r="349" spans="3:3" x14ac:dyDescent="0.2">
      <c r="C349" s="25"/>
    </row>
    <row r="350" spans="3:3" x14ac:dyDescent="0.2">
      <c r="C350" s="25"/>
    </row>
    <row r="351" spans="3:3" x14ac:dyDescent="0.2">
      <c r="C351" s="25"/>
    </row>
    <row r="352" spans="3:3" x14ac:dyDescent="0.2">
      <c r="C352" s="25"/>
    </row>
    <row r="353" spans="3:3" x14ac:dyDescent="0.2">
      <c r="C353" s="25"/>
    </row>
    <row r="354" spans="3:3" x14ac:dyDescent="0.2">
      <c r="C354" s="25"/>
    </row>
    <row r="355" spans="3:3" x14ac:dyDescent="0.2">
      <c r="C355" s="25"/>
    </row>
    <row r="356" spans="3:3" x14ac:dyDescent="0.2">
      <c r="C356" s="25"/>
    </row>
    <row r="357" spans="3:3" x14ac:dyDescent="0.2">
      <c r="C357" s="25"/>
    </row>
    <row r="358" spans="3:3" x14ac:dyDescent="0.2">
      <c r="C358" s="25"/>
    </row>
    <row r="359" spans="3:3" x14ac:dyDescent="0.2">
      <c r="C359" s="25"/>
    </row>
    <row r="360" spans="3:3" x14ac:dyDescent="0.2">
      <c r="C360" s="25"/>
    </row>
    <row r="361" spans="3:3" x14ac:dyDescent="0.2">
      <c r="C361" s="25"/>
    </row>
    <row r="362" spans="3:3" x14ac:dyDescent="0.2">
      <c r="C362" s="25"/>
    </row>
    <row r="363" spans="3:3" x14ac:dyDescent="0.2">
      <c r="C363" s="25"/>
    </row>
    <row r="364" spans="3:3" x14ac:dyDescent="0.2">
      <c r="C364" s="25"/>
    </row>
    <row r="365" spans="3:3" x14ac:dyDescent="0.2">
      <c r="C365" s="25"/>
    </row>
    <row r="366" spans="3:3" x14ac:dyDescent="0.2">
      <c r="C366" s="25"/>
    </row>
    <row r="367" spans="3:3" x14ac:dyDescent="0.2">
      <c r="C367" s="25"/>
    </row>
    <row r="368" spans="3:3" x14ac:dyDescent="0.2">
      <c r="C368" s="25"/>
    </row>
    <row r="369" spans="3:3" x14ac:dyDescent="0.2">
      <c r="C369" s="25"/>
    </row>
    <row r="370" spans="3:3" x14ac:dyDescent="0.2">
      <c r="C370" s="25"/>
    </row>
    <row r="371" spans="3:3" x14ac:dyDescent="0.2">
      <c r="C371" s="25"/>
    </row>
    <row r="372" spans="3:3" x14ac:dyDescent="0.2">
      <c r="C372" s="25"/>
    </row>
    <row r="373" spans="3:3" x14ac:dyDescent="0.2">
      <c r="C373" s="25"/>
    </row>
    <row r="374" spans="3:3" x14ac:dyDescent="0.2">
      <c r="C374" s="25"/>
    </row>
    <row r="375" spans="3:3" x14ac:dyDescent="0.2">
      <c r="C375" s="25"/>
    </row>
    <row r="376" spans="3:3" x14ac:dyDescent="0.2">
      <c r="C376" s="25"/>
    </row>
    <row r="377" spans="3:3" x14ac:dyDescent="0.2">
      <c r="C377" s="25"/>
    </row>
    <row r="378" spans="3:3" x14ac:dyDescent="0.2">
      <c r="C378" s="25"/>
    </row>
    <row r="379" spans="3:3" x14ac:dyDescent="0.2">
      <c r="C379" s="25"/>
    </row>
    <row r="380" spans="3:3" x14ac:dyDescent="0.2">
      <c r="C380" s="25"/>
    </row>
    <row r="381" spans="3:3" x14ac:dyDescent="0.2">
      <c r="C381" s="25"/>
    </row>
    <row r="382" spans="3:3" x14ac:dyDescent="0.2">
      <c r="C382" s="25"/>
    </row>
    <row r="383" spans="3:3" x14ac:dyDescent="0.2">
      <c r="C383" s="25"/>
    </row>
    <row r="384" spans="3:3" x14ac:dyDescent="0.2">
      <c r="C384" s="25"/>
    </row>
    <row r="385" spans="3:3" x14ac:dyDescent="0.2">
      <c r="C385" s="25"/>
    </row>
    <row r="386" spans="3:3" x14ac:dyDescent="0.2">
      <c r="C386" s="25"/>
    </row>
    <row r="387" spans="3:3" x14ac:dyDescent="0.2">
      <c r="C387" s="25"/>
    </row>
    <row r="388" spans="3:3" x14ac:dyDescent="0.2">
      <c r="C388" s="25"/>
    </row>
    <row r="389" spans="3:3" x14ac:dyDescent="0.2">
      <c r="C389" s="25"/>
    </row>
    <row r="390" spans="3:3" x14ac:dyDescent="0.2">
      <c r="C390" s="25"/>
    </row>
    <row r="391" spans="3:3" x14ac:dyDescent="0.2">
      <c r="C391" s="25"/>
    </row>
    <row r="392" spans="3:3" x14ac:dyDescent="0.2">
      <c r="C392" s="25"/>
    </row>
    <row r="393" spans="3:3" x14ac:dyDescent="0.2">
      <c r="C393" s="25"/>
    </row>
    <row r="394" spans="3:3" x14ac:dyDescent="0.2">
      <c r="C394" s="25"/>
    </row>
    <row r="395" spans="3:3" x14ac:dyDescent="0.2">
      <c r="C395" s="25"/>
    </row>
    <row r="396" spans="3:3" x14ac:dyDescent="0.2">
      <c r="C396" s="25"/>
    </row>
    <row r="397" spans="3:3" x14ac:dyDescent="0.2">
      <c r="C397" s="25"/>
    </row>
    <row r="398" spans="3:3" x14ac:dyDescent="0.2">
      <c r="C398" s="25"/>
    </row>
    <row r="399" spans="3:3" x14ac:dyDescent="0.2">
      <c r="C399" s="25"/>
    </row>
    <row r="400" spans="3:3" x14ac:dyDescent="0.2">
      <c r="C400" s="25"/>
    </row>
    <row r="401" spans="3:3" x14ac:dyDescent="0.2">
      <c r="C401" s="25"/>
    </row>
    <row r="402" spans="3:3" x14ac:dyDescent="0.2">
      <c r="C402" s="25"/>
    </row>
    <row r="403" spans="3:3" x14ac:dyDescent="0.2">
      <c r="C403" s="25"/>
    </row>
    <row r="404" spans="3:3" x14ac:dyDescent="0.2">
      <c r="C404" s="25"/>
    </row>
    <row r="405" spans="3:3" x14ac:dyDescent="0.2">
      <c r="C405" s="25"/>
    </row>
    <row r="406" spans="3:3" x14ac:dyDescent="0.2">
      <c r="C406" s="25"/>
    </row>
    <row r="407" spans="3:3" x14ac:dyDescent="0.2">
      <c r="C407" s="25"/>
    </row>
    <row r="408" spans="3:3" x14ac:dyDescent="0.2">
      <c r="C408" s="25"/>
    </row>
    <row r="409" spans="3:3" x14ac:dyDescent="0.2">
      <c r="C409" s="25"/>
    </row>
    <row r="410" spans="3:3" x14ac:dyDescent="0.2">
      <c r="C410" s="25"/>
    </row>
    <row r="411" spans="3:3" x14ac:dyDescent="0.2">
      <c r="C411" s="25"/>
    </row>
    <row r="412" spans="3:3" x14ac:dyDescent="0.2">
      <c r="C412" s="25"/>
    </row>
    <row r="413" spans="3:3" x14ac:dyDescent="0.2">
      <c r="C413" s="25"/>
    </row>
    <row r="414" spans="3:3" x14ac:dyDescent="0.2">
      <c r="C414" s="25"/>
    </row>
    <row r="415" spans="3:3" x14ac:dyDescent="0.2">
      <c r="C415" s="25"/>
    </row>
    <row r="416" spans="3:3" x14ac:dyDescent="0.2">
      <c r="C416" s="25"/>
    </row>
    <row r="417" spans="3:3" x14ac:dyDescent="0.2">
      <c r="C417" s="25"/>
    </row>
    <row r="418" spans="3:3" x14ac:dyDescent="0.2">
      <c r="C418" s="25"/>
    </row>
    <row r="419" spans="3:3" x14ac:dyDescent="0.2">
      <c r="C419" s="25"/>
    </row>
    <row r="420" spans="3:3" x14ac:dyDescent="0.2">
      <c r="C420" s="25"/>
    </row>
    <row r="421" spans="3:3" x14ac:dyDescent="0.2">
      <c r="C421" s="25"/>
    </row>
    <row r="422" spans="3:3" x14ac:dyDescent="0.2">
      <c r="C422" s="25"/>
    </row>
    <row r="423" spans="3:3" x14ac:dyDescent="0.2">
      <c r="C423" s="25"/>
    </row>
    <row r="424" spans="3:3" x14ac:dyDescent="0.2">
      <c r="C424" s="25"/>
    </row>
    <row r="425" spans="3:3" x14ac:dyDescent="0.2">
      <c r="C425" s="25"/>
    </row>
    <row r="426" spans="3:3" x14ac:dyDescent="0.2">
      <c r="C426" s="25"/>
    </row>
    <row r="427" spans="3:3" x14ac:dyDescent="0.2">
      <c r="C427" s="25"/>
    </row>
    <row r="428" spans="3:3" x14ac:dyDescent="0.2">
      <c r="C428" s="25"/>
    </row>
    <row r="429" spans="3:3" x14ac:dyDescent="0.2">
      <c r="C429" s="25"/>
    </row>
    <row r="430" spans="3:3" x14ac:dyDescent="0.2">
      <c r="C430" s="25"/>
    </row>
    <row r="431" spans="3:3" x14ac:dyDescent="0.2">
      <c r="C431" s="25"/>
    </row>
    <row r="432" spans="3:3" x14ac:dyDescent="0.2">
      <c r="C432" s="25"/>
    </row>
    <row r="433" spans="3:3" x14ac:dyDescent="0.2">
      <c r="C433" s="25"/>
    </row>
    <row r="434" spans="3:3" x14ac:dyDescent="0.2">
      <c r="C434" s="25"/>
    </row>
    <row r="435" spans="3:3" x14ac:dyDescent="0.2">
      <c r="C435" s="25"/>
    </row>
    <row r="436" spans="3:3" x14ac:dyDescent="0.2">
      <c r="C436" s="25"/>
    </row>
    <row r="437" spans="3:3" x14ac:dyDescent="0.2">
      <c r="C437" s="25"/>
    </row>
    <row r="438" spans="3:3" x14ac:dyDescent="0.2">
      <c r="C438" s="25"/>
    </row>
    <row r="439" spans="3:3" x14ac:dyDescent="0.2">
      <c r="C439" s="25"/>
    </row>
    <row r="440" spans="3:3" x14ac:dyDescent="0.2">
      <c r="C440" s="25"/>
    </row>
    <row r="441" spans="3:3" x14ac:dyDescent="0.2">
      <c r="C441" s="25"/>
    </row>
    <row r="442" spans="3:3" x14ac:dyDescent="0.2">
      <c r="C442" s="25"/>
    </row>
    <row r="443" spans="3:3" x14ac:dyDescent="0.2">
      <c r="C443" s="25"/>
    </row>
    <row r="444" spans="3:3" x14ac:dyDescent="0.2">
      <c r="C444" s="25"/>
    </row>
    <row r="445" spans="3:3" x14ac:dyDescent="0.2">
      <c r="C445" s="25"/>
    </row>
    <row r="446" spans="3:3" x14ac:dyDescent="0.2">
      <c r="C446" s="25"/>
    </row>
    <row r="447" spans="3:3" x14ac:dyDescent="0.2">
      <c r="C447" s="25"/>
    </row>
    <row r="448" spans="3:3" x14ac:dyDescent="0.2">
      <c r="C448" s="25"/>
    </row>
    <row r="449" spans="3:3" x14ac:dyDescent="0.2">
      <c r="C449" s="25"/>
    </row>
    <row r="450" spans="3:3" x14ac:dyDescent="0.2">
      <c r="C450" s="25"/>
    </row>
    <row r="451" spans="3:3" x14ac:dyDescent="0.2">
      <c r="C451" s="25"/>
    </row>
    <row r="452" spans="3:3" x14ac:dyDescent="0.2">
      <c r="C452" s="25"/>
    </row>
    <row r="453" spans="3:3" x14ac:dyDescent="0.2">
      <c r="C453" s="25"/>
    </row>
    <row r="454" spans="3:3" x14ac:dyDescent="0.2">
      <c r="C454" s="25"/>
    </row>
    <row r="455" spans="3:3" x14ac:dyDescent="0.2">
      <c r="C455" s="25"/>
    </row>
    <row r="456" spans="3:3" x14ac:dyDescent="0.2">
      <c r="C456" s="25"/>
    </row>
    <row r="457" spans="3:3" x14ac:dyDescent="0.2">
      <c r="C457" s="25"/>
    </row>
    <row r="458" spans="3:3" x14ac:dyDescent="0.2">
      <c r="C458" s="25"/>
    </row>
    <row r="459" spans="3:3" x14ac:dyDescent="0.2">
      <c r="C459" s="25"/>
    </row>
    <row r="460" spans="3:3" x14ac:dyDescent="0.2">
      <c r="C460" s="25"/>
    </row>
    <row r="461" spans="3:3" x14ac:dyDescent="0.2">
      <c r="C461" s="25"/>
    </row>
    <row r="462" spans="3:3" x14ac:dyDescent="0.2">
      <c r="C462" s="25"/>
    </row>
    <row r="463" spans="3:3" x14ac:dyDescent="0.2">
      <c r="C463" s="25"/>
    </row>
    <row r="464" spans="3:3" x14ac:dyDescent="0.2">
      <c r="C464" s="25"/>
    </row>
    <row r="465" spans="3:3" x14ac:dyDescent="0.2">
      <c r="C465" s="25"/>
    </row>
    <row r="466" spans="3:3" x14ac:dyDescent="0.2">
      <c r="C466" s="25"/>
    </row>
    <row r="467" spans="3:3" x14ac:dyDescent="0.2">
      <c r="C467" s="25"/>
    </row>
    <row r="468" spans="3:3" x14ac:dyDescent="0.2">
      <c r="C468" s="25"/>
    </row>
    <row r="469" spans="3:3" x14ac:dyDescent="0.2">
      <c r="C469" s="25"/>
    </row>
    <row r="470" spans="3:3" x14ac:dyDescent="0.2">
      <c r="C470" s="25"/>
    </row>
    <row r="471" spans="3:3" x14ac:dyDescent="0.2">
      <c r="C471" s="25"/>
    </row>
    <row r="472" spans="3:3" x14ac:dyDescent="0.2">
      <c r="C472" s="25"/>
    </row>
    <row r="473" spans="3:3" x14ac:dyDescent="0.2">
      <c r="C473" s="25"/>
    </row>
    <row r="474" spans="3:3" x14ac:dyDescent="0.2">
      <c r="C474" s="25"/>
    </row>
    <row r="475" spans="3:3" x14ac:dyDescent="0.2">
      <c r="C475" s="25"/>
    </row>
    <row r="476" spans="3:3" x14ac:dyDescent="0.2">
      <c r="C476" s="25"/>
    </row>
    <row r="477" spans="3:3" x14ac:dyDescent="0.2">
      <c r="C477" s="25"/>
    </row>
    <row r="478" spans="3:3" x14ac:dyDescent="0.2">
      <c r="C478" s="25"/>
    </row>
    <row r="479" spans="3:3" x14ac:dyDescent="0.2">
      <c r="C479" s="25"/>
    </row>
    <row r="480" spans="3:3" x14ac:dyDescent="0.2">
      <c r="C480" s="25"/>
    </row>
  </sheetData>
  <sheetProtection algorithmName="SHA-512" hashValue="oTXxhz3EwXhLThwUhVQOo0jD0OF5H/tyV21Xe8oq411QN+Xf44AIu9EZDM+BKd6l+mz0sQ97NnpgyeyNJyXZKg==" saltValue="k1u+GSQ/c5xwZ1moMiNigA==" spinCount="100000" sheet="1" formatCells="0" formatColumns="0" formatRows="0"/>
  <customSheetViews>
    <customSheetView guid="{B8E02330-2419-4DE6-AD01-7ACC7A5D18DD}" scale="80" topLeftCell="D35">
      <selection activeCell="J44" sqref="J44"/>
      <pageMargins left="0.75" right="0.75" top="1" bottom="1" header="0.5" footer="0.5"/>
      <pageSetup orientation="portrait" horizontalDpi="4294967294" r:id="rId1"/>
      <headerFooter alignWithMargins="0"/>
    </customSheetView>
  </customSheetViews>
  <mergeCells count="135">
    <mergeCell ref="E1:H1"/>
    <mergeCell ref="A91:A98"/>
    <mergeCell ref="A205:A219"/>
    <mergeCell ref="B205:B219"/>
    <mergeCell ref="A242:C249"/>
    <mergeCell ref="D242:H242"/>
    <mergeCell ref="D249:H249"/>
    <mergeCell ref="A250:B251"/>
    <mergeCell ref="A252:G329"/>
    <mergeCell ref="B162:B166"/>
    <mergeCell ref="B236:B241"/>
    <mergeCell ref="A167:A170"/>
    <mergeCell ref="A220:A226"/>
    <mergeCell ref="B227:B233"/>
    <mergeCell ref="A199:A203"/>
    <mergeCell ref="A162:A166"/>
    <mergeCell ref="A182:A187"/>
    <mergeCell ref="C251:E251"/>
    <mergeCell ref="D243:F243"/>
    <mergeCell ref="D244:F244"/>
    <mergeCell ref="D245:F245"/>
    <mergeCell ref="D246:F246"/>
    <mergeCell ref="D247:F247"/>
    <mergeCell ref="D248:F248"/>
    <mergeCell ref="A188:A190"/>
    <mergeCell ref="B171:B174"/>
    <mergeCell ref="A192:A198"/>
    <mergeCell ref="B182:B187"/>
    <mergeCell ref="C250:E250"/>
    <mergeCell ref="A227:A233"/>
    <mergeCell ref="A236:A241"/>
    <mergeCell ref="A3:A8"/>
    <mergeCell ref="A10:A16"/>
    <mergeCell ref="B29:B31"/>
    <mergeCell ref="B175:B181"/>
    <mergeCell ref="A32:A37"/>
    <mergeCell ref="B10:B16"/>
    <mergeCell ref="A23:A28"/>
    <mergeCell ref="A120:A128"/>
    <mergeCell ref="A136:A141"/>
    <mergeCell ref="A85:A90"/>
    <mergeCell ref="A78:A84"/>
    <mergeCell ref="A45:A51"/>
    <mergeCell ref="A38:A44"/>
    <mergeCell ref="A99:A102"/>
    <mergeCell ref="A58:A61"/>
    <mergeCell ref="A103:A107"/>
    <mergeCell ref="A108:A113"/>
    <mergeCell ref="A17:A22"/>
    <mergeCell ref="B52:B57"/>
    <mergeCell ref="A129:A132"/>
    <mergeCell ref="A52:A57"/>
    <mergeCell ref="A175:A181"/>
    <mergeCell ref="A65:A68"/>
    <mergeCell ref="A63:A64"/>
    <mergeCell ref="A29:A31"/>
    <mergeCell ref="A156:A161"/>
    <mergeCell ref="A133:A135"/>
    <mergeCell ref="B156:B161"/>
    <mergeCell ref="H133:H135"/>
    <mergeCell ref="H145:H149"/>
    <mergeCell ref="A150:A155"/>
    <mergeCell ref="A145:A149"/>
    <mergeCell ref="H65:H68"/>
    <mergeCell ref="H38:H44"/>
    <mergeCell ref="B65:B68"/>
    <mergeCell ref="H99:H102"/>
    <mergeCell ref="B108:B113"/>
    <mergeCell ref="H120:H128"/>
    <mergeCell ref="B120:B128"/>
    <mergeCell ref="B136:B141"/>
    <mergeCell ref="A114:A119"/>
    <mergeCell ref="H91:H98"/>
    <mergeCell ref="B91:B98"/>
    <mergeCell ref="B133:B135"/>
    <mergeCell ref="A71:A77"/>
    <mergeCell ref="H167:H170"/>
    <mergeCell ref="A142:A144"/>
    <mergeCell ref="A171:A174"/>
    <mergeCell ref="H236:H241"/>
    <mergeCell ref="B129:B132"/>
    <mergeCell ref="B188:B190"/>
    <mergeCell ref="B167:B170"/>
    <mergeCell ref="H129:H132"/>
    <mergeCell ref="B199:B203"/>
    <mergeCell ref="H150:H155"/>
    <mergeCell ref="B145:B149"/>
    <mergeCell ref="B142:B144"/>
    <mergeCell ref="H220:H226"/>
    <mergeCell ref="B220:B226"/>
    <mergeCell ref="B192:B198"/>
    <mergeCell ref="H227:H233"/>
    <mergeCell ref="H205:H219"/>
    <mergeCell ref="H142:H144"/>
    <mergeCell ref="H192:H198"/>
    <mergeCell ref="H162:H166"/>
    <mergeCell ref="H188:H190"/>
    <mergeCell ref="H136:H141"/>
    <mergeCell ref="H156:H161"/>
    <mergeCell ref="B150:B155"/>
    <mergeCell ref="H10:H16"/>
    <mergeCell ref="B17:B22"/>
    <mergeCell ref="H45:H51"/>
    <mergeCell ref="H78:H84"/>
    <mergeCell ref="H71:H77"/>
    <mergeCell ref="H63:H64"/>
    <mergeCell ref="H58:H61"/>
    <mergeCell ref="B78:B84"/>
    <mergeCell ref="H32:H37"/>
    <mergeCell ref="H52:H57"/>
    <mergeCell ref="B32:B37"/>
    <mergeCell ref="H199:H203"/>
    <mergeCell ref="H182:H187"/>
    <mergeCell ref="H171:H174"/>
    <mergeCell ref="A1:B1"/>
    <mergeCell ref="B3:B8"/>
    <mergeCell ref="H85:H90"/>
    <mergeCell ref="B23:B28"/>
    <mergeCell ref="B45:B51"/>
    <mergeCell ref="B114:B119"/>
    <mergeCell ref="H114:H119"/>
    <mergeCell ref="B103:B107"/>
    <mergeCell ref="H17:H22"/>
    <mergeCell ref="H23:H28"/>
    <mergeCell ref="B38:B44"/>
    <mergeCell ref="H103:H107"/>
    <mergeCell ref="B85:B90"/>
    <mergeCell ref="B58:B61"/>
    <mergeCell ref="B99:B102"/>
    <mergeCell ref="B71:B77"/>
    <mergeCell ref="H29:H31"/>
    <mergeCell ref="H108:H113"/>
    <mergeCell ref="H175:H181"/>
    <mergeCell ref="B63:B64"/>
    <mergeCell ref="H3:H8"/>
  </mergeCells>
  <phoneticPr fontId="3" type="noConversion"/>
  <pageMargins left="0.75" right="0.75" top="1" bottom="1" header="0.5" footer="0.5"/>
  <pageSetup orientation="portrait" horizontalDpi="4294967294" r:id="rId2"/>
  <headerFooter alignWithMargins="0"/>
  <ignoredErrors>
    <ignoredError sqref="G188"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dimension ref="A1:I109"/>
  <sheetViews>
    <sheetView topLeftCell="C1" zoomScaleNormal="100" workbookViewId="0">
      <selection activeCell="H3" sqref="H3:H17"/>
    </sheetView>
  </sheetViews>
  <sheetFormatPr defaultColWidth="9.33203125" defaultRowHeight="12.75" x14ac:dyDescent="0.2"/>
  <cols>
    <col min="1" max="1" width="5.83203125" style="29" customWidth="1"/>
    <col min="2" max="2" width="18.83203125" style="29" customWidth="1"/>
    <col min="3" max="3" width="75.83203125" style="29" customWidth="1"/>
    <col min="4" max="4" width="6.83203125" style="31" customWidth="1"/>
    <col min="5" max="5" width="7.83203125" style="62" customWidth="1"/>
    <col min="6" max="6" width="8" style="31" customWidth="1"/>
    <col min="7" max="7" width="9.83203125" style="1103" customWidth="1"/>
    <col min="8" max="8" width="75.83203125" style="29" customWidth="1"/>
    <col min="9" max="9" width="16.1640625" style="29" customWidth="1"/>
    <col min="10" max="16384" width="9.33203125" style="29"/>
  </cols>
  <sheetData>
    <row r="1" spans="1:9" s="91" customFormat="1" ht="45" customHeight="1" thickBot="1" x14ac:dyDescent="0.25">
      <c r="A1" s="1893" t="s">
        <v>5517</v>
      </c>
      <c r="B1" s="1894"/>
      <c r="C1" s="89" t="s">
        <v>2591</v>
      </c>
      <c r="D1" s="133" t="s">
        <v>2148</v>
      </c>
      <c r="E1" s="2212"/>
      <c r="F1" s="2213"/>
      <c r="G1" s="2213"/>
      <c r="H1" s="2213"/>
    </row>
    <row r="2" spans="1:9" s="12" customFormat="1" ht="30" customHeight="1" thickBot="1" x14ac:dyDescent="0.25">
      <c r="A2" s="766" t="s">
        <v>290</v>
      </c>
      <c r="B2" s="772" t="s">
        <v>5516</v>
      </c>
      <c r="C2" s="484" t="s">
        <v>2606</v>
      </c>
      <c r="D2" s="450" t="s">
        <v>117</v>
      </c>
      <c r="E2" s="775" t="s">
        <v>5438</v>
      </c>
      <c r="F2" s="472" t="s">
        <v>5439</v>
      </c>
      <c r="G2" s="776" t="s">
        <v>5825</v>
      </c>
      <c r="H2" s="450" t="s">
        <v>919</v>
      </c>
    </row>
    <row r="3" spans="1:9" ht="60" customHeight="1" thickBot="1" x14ac:dyDescent="0.25">
      <c r="A3" s="2144" t="str">
        <f>OF!A39</f>
        <v>OF8</v>
      </c>
      <c r="B3" s="2134" t="str">
        <f>OF!B39</f>
        <v xml:space="preserve">Wetland Local Uniqueness </v>
      </c>
      <c r="C3" s="226"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3" s="241"/>
      <c r="E3" s="241"/>
      <c r="F3" s="242"/>
      <c r="G3" s="1087">
        <f>SUM(F4:F14)/11</f>
        <v>0</v>
      </c>
      <c r="H3" s="1709" t="s">
        <v>2529</v>
      </c>
      <c r="I3" s="3" t="s">
        <v>2499</v>
      </c>
    </row>
    <row r="4" spans="1:9" ht="15" customHeight="1" x14ac:dyDescent="0.2">
      <c r="A4" s="2106"/>
      <c r="B4" s="2111"/>
      <c r="C4" s="212" t="str">
        <f>OF!C40</f>
        <v>Fresh Water</v>
      </c>
      <c r="D4" s="30">
        <f>OF!D40</f>
        <v>0</v>
      </c>
      <c r="E4" s="55"/>
      <c r="F4" s="55">
        <f t="shared" ref="F4:F15" si="0">IF((D4=2),1, IF((D4=1),1,0))</f>
        <v>0</v>
      </c>
      <c r="G4" s="1600"/>
      <c r="H4" s="2220"/>
    </row>
    <row r="5" spans="1:9" ht="15" customHeight="1" x14ac:dyDescent="0.2">
      <c r="A5" s="2106"/>
      <c r="B5" s="2111"/>
      <c r="C5" s="901" t="str">
        <f>OF!C41</f>
        <v>Wetland</v>
      </c>
      <c r="D5" s="30">
        <f>OF!D41</f>
        <v>0</v>
      </c>
      <c r="E5" s="55"/>
      <c r="F5" s="55">
        <f t="shared" si="0"/>
        <v>0</v>
      </c>
      <c r="G5" s="1090"/>
      <c r="H5" s="2220"/>
    </row>
    <row r="6" spans="1:9" ht="15" customHeight="1" x14ac:dyDescent="0.2">
      <c r="A6" s="2106"/>
      <c r="B6" s="2111"/>
      <c r="C6" s="901" t="str">
        <f>OF!C42</f>
        <v>Muskeg</v>
      </c>
      <c r="D6" s="30">
        <f>OF!D42</f>
        <v>0</v>
      </c>
      <c r="E6" s="55"/>
      <c r="F6" s="55">
        <f t="shared" si="0"/>
        <v>0</v>
      </c>
      <c r="G6" s="1090"/>
      <c r="H6" s="2220"/>
    </row>
    <row r="7" spans="1:9" ht="15" customHeight="1" x14ac:dyDescent="0.2">
      <c r="A7" s="2106"/>
      <c r="B7" s="2111"/>
      <c r="C7" s="901" t="str">
        <f>OF!C43</f>
        <v>Herbaceous</v>
      </c>
      <c r="D7" s="30">
        <f>OF!D43</f>
        <v>0</v>
      </c>
      <c r="E7" s="55"/>
      <c r="F7" s="55">
        <f t="shared" si="0"/>
        <v>0</v>
      </c>
      <c r="G7" s="1090"/>
      <c r="H7" s="2220"/>
    </row>
    <row r="8" spans="1:9" ht="15" customHeight="1" x14ac:dyDescent="0.2">
      <c r="A8" s="2106"/>
      <c r="B8" s="2111"/>
      <c r="C8" s="901" t="str">
        <f>OF!C44</f>
        <v>Shrubland (Low)</v>
      </c>
      <c r="D8" s="30">
        <f>OF!D44</f>
        <v>0</v>
      </c>
      <c r="E8" s="55"/>
      <c r="F8" s="55">
        <f t="shared" si="0"/>
        <v>0</v>
      </c>
      <c r="G8" s="1090"/>
      <c r="H8" s="2220"/>
    </row>
    <row r="9" spans="1:9" ht="15" customHeight="1" x14ac:dyDescent="0.2">
      <c r="A9" s="2106"/>
      <c r="B9" s="2111"/>
      <c r="C9" s="901" t="str">
        <f>OF!C45</f>
        <v>Shrubland (Tall)</v>
      </c>
      <c r="D9" s="30">
        <f>OF!D45</f>
        <v>0</v>
      </c>
      <c r="E9" s="55"/>
      <c r="F9" s="55">
        <f t="shared" si="0"/>
        <v>0</v>
      </c>
      <c r="G9" s="1090"/>
      <c r="H9" s="2220"/>
    </row>
    <row r="10" spans="1:9" ht="15" customHeight="1" x14ac:dyDescent="0.2">
      <c r="A10" s="2106"/>
      <c r="B10" s="2111"/>
      <c r="C10" s="901" t="str">
        <f>OF!C46</f>
        <v>Deciduous/Mixed Forest</v>
      </c>
      <c r="D10" s="30">
        <f>OF!D46</f>
        <v>0</v>
      </c>
      <c r="E10" s="55"/>
      <c r="F10" s="55">
        <f t="shared" si="0"/>
        <v>0</v>
      </c>
      <c r="G10" s="1090"/>
      <c r="H10" s="2220"/>
    </row>
    <row r="11" spans="1:9" ht="15" customHeight="1" x14ac:dyDescent="0.2">
      <c r="A11" s="2106"/>
      <c r="B11" s="2111"/>
      <c r="C11" s="901" t="str">
        <f>OF!C47</f>
        <v>Conifer Forest - Young or Small</v>
      </c>
      <c r="D11" s="30">
        <f>OF!D47</f>
        <v>0</v>
      </c>
      <c r="E11" s="55"/>
      <c r="F11" s="55">
        <f t="shared" si="0"/>
        <v>0</v>
      </c>
      <c r="G11" s="1090"/>
      <c r="H11" s="2220"/>
    </row>
    <row r="12" spans="1:9" ht="15" customHeight="1" x14ac:dyDescent="0.2">
      <c r="A12" s="2106"/>
      <c r="B12" s="2111"/>
      <c r="C12" s="901" t="str">
        <f>OF!C48</f>
        <v>Conifer Forest - Medium</v>
      </c>
      <c r="D12" s="30">
        <f>OF!D48</f>
        <v>0</v>
      </c>
      <c r="E12" s="55"/>
      <c r="F12" s="55">
        <f t="shared" si="0"/>
        <v>0</v>
      </c>
      <c r="G12" s="1090"/>
      <c r="H12" s="2220"/>
    </row>
    <row r="13" spans="1:9" ht="15" customHeight="1" x14ac:dyDescent="0.2">
      <c r="A13" s="2106"/>
      <c r="B13" s="2111"/>
      <c r="C13" s="901" t="str">
        <f>OF!C49</f>
        <v>Conifer Forest - Large</v>
      </c>
      <c r="D13" s="30">
        <f>OF!D49</f>
        <v>0</v>
      </c>
      <c r="E13" s="55"/>
      <c r="F13" s="55">
        <f t="shared" si="0"/>
        <v>0</v>
      </c>
      <c r="G13" s="1090"/>
      <c r="H13" s="2220"/>
    </row>
    <row r="14" spans="1:9" ht="15" customHeight="1" x14ac:dyDescent="0.2">
      <c r="A14" s="2106"/>
      <c r="B14" s="2111"/>
      <c r="C14" s="901" t="str">
        <f>OF!C50</f>
        <v>Wetland Shrub Forest</v>
      </c>
      <c r="D14" s="30">
        <f>OF!D50</f>
        <v>0</v>
      </c>
      <c r="E14" s="55"/>
      <c r="F14" s="55">
        <f t="shared" si="0"/>
        <v>0</v>
      </c>
      <c r="G14" s="1090"/>
      <c r="H14" s="2220"/>
    </row>
    <row r="15" spans="1:9" ht="15" customHeight="1" x14ac:dyDescent="0.2">
      <c r="A15" s="2106"/>
      <c r="B15" s="2111"/>
      <c r="C15" s="901" t="str">
        <f>OF!C51</f>
        <v>other</v>
      </c>
      <c r="D15" s="30">
        <f>OF!D51</f>
        <v>0</v>
      </c>
      <c r="E15" s="55"/>
      <c r="F15" s="55">
        <f t="shared" si="0"/>
        <v>0</v>
      </c>
      <c r="G15" s="1090"/>
      <c r="H15" s="2220"/>
    </row>
    <row r="16" spans="1:9" ht="42" customHeight="1" x14ac:dyDescent="0.2">
      <c r="A16" s="2106"/>
      <c r="B16" s="2111"/>
      <c r="C16" s="901" t="str">
        <f>OF!C52</f>
        <v>no Level 3 cover type maps available for this area, but from aerial imagery it appears that the AA contains a cover type (list above) that is absent from 90% of the landscape outside of the AA and within 2 miles.  Enter "2" in the next column.</v>
      </c>
      <c r="D16" s="30">
        <f>OF!D52</f>
        <v>0</v>
      </c>
      <c r="E16" s="55"/>
      <c r="F16" s="58"/>
      <c r="G16" s="1091"/>
      <c r="H16" s="2111"/>
    </row>
    <row r="17" spans="1:9" ht="42" customHeight="1" thickBot="1" x14ac:dyDescent="0.25">
      <c r="A17" s="2107"/>
      <c r="B17" s="2112"/>
      <c r="C17" s="902" t="str">
        <f>OF!C53</f>
        <v>no Level 3 cover type maps available for this area, but from aerial imagery it appears that the AA does NOT contain a cover type that is absent from 90% of the landscape outside of the AA and within 2 miles.  Enter "1" in the next column.</v>
      </c>
      <c r="D17" s="238">
        <f>OF!D53</f>
        <v>0</v>
      </c>
      <c r="E17" s="247"/>
      <c r="F17" s="244"/>
      <c r="G17" s="1092"/>
      <c r="H17" s="2112"/>
    </row>
    <row r="18" spans="1:9" ht="21" customHeight="1" thickBot="1" x14ac:dyDescent="0.25">
      <c r="A18" s="2221" t="str">
        <f>OF!A165</f>
        <v>OF33</v>
      </c>
      <c r="B18" s="2224" t="str">
        <f>OF!B165</f>
        <v>Aspect</v>
      </c>
      <c r="C18" s="911" t="str">
        <f>OF!C165</f>
        <v>The overland flow direction of most surface water (in streams or runoff) that enters the AA is:</v>
      </c>
      <c r="D18" s="241"/>
      <c r="E18" s="60"/>
      <c r="F18" s="60"/>
      <c r="G18" s="933">
        <f>IF((NoCA=1),"", MAX(F19:F21)/MAX(E19:E21))</f>
        <v>0</v>
      </c>
      <c r="H18" s="1688" t="s">
        <v>993</v>
      </c>
      <c r="I18" s="3" t="s">
        <v>994</v>
      </c>
    </row>
    <row r="19" spans="1:9" ht="15" customHeight="1" x14ac:dyDescent="0.2">
      <c r="A19" s="2222"/>
      <c r="B19" s="1707"/>
      <c r="C19" s="212" t="str">
        <f>OF!C166</f>
        <v>Northward (N, NE).  north-facing CA.</v>
      </c>
      <c r="D19" s="64">
        <f>OF!D166</f>
        <v>0</v>
      </c>
      <c r="E19" s="57">
        <v>0</v>
      </c>
      <c r="F19" s="54">
        <f>D18*E18</f>
        <v>0</v>
      </c>
      <c r="G19" s="1093"/>
      <c r="H19" s="1705"/>
    </row>
    <row r="20" spans="1:9" ht="15" customHeight="1" x14ac:dyDescent="0.2">
      <c r="A20" s="2222"/>
      <c r="B20" s="1707"/>
      <c r="C20" s="212" t="str">
        <f>OF!C167</f>
        <v>Southward (S, SW).  south-facing CA.</v>
      </c>
      <c r="D20" s="64">
        <f>OF!D167</f>
        <v>0</v>
      </c>
      <c r="E20" s="57">
        <v>2</v>
      </c>
      <c r="F20" s="54">
        <f>D19*E19</f>
        <v>0</v>
      </c>
      <c r="G20" s="1094"/>
      <c r="H20" s="1705"/>
    </row>
    <row r="21" spans="1:9" ht="15.6" customHeight="1" thickBot="1" x14ac:dyDescent="0.25">
      <c r="A21" s="2223"/>
      <c r="B21" s="1718"/>
      <c r="C21" s="1083" t="str">
        <f>OF!C168</f>
        <v>other (E, SE, W, NW), or no detectable uphill slope or input channel (flat)</v>
      </c>
      <c r="D21" s="248">
        <f>OF!D168</f>
        <v>0</v>
      </c>
      <c r="E21" s="243">
        <v>1</v>
      </c>
      <c r="F21" s="239">
        <f>D20*E20</f>
        <v>0</v>
      </c>
      <c r="G21" s="944"/>
      <c r="H21" s="1706"/>
    </row>
    <row r="22" spans="1:9" ht="30" customHeight="1" thickBot="1" x14ac:dyDescent="0.25">
      <c r="A22" s="2124" t="str">
        <f>F!A18</f>
        <v>F3</v>
      </c>
      <c r="B22" s="1705" t="str">
        <f>F!B18</f>
        <v>% with Persistent Surface Water</v>
      </c>
      <c r="C22" s="911" t="str">
        <f>F!C18</f>
        <v>The percentage of the AA that has surface water (either ponded or flowing, either open or obscured by vegetation) during all of the growing season during most years is:</v>
      </c>
      <c r="D22" s="241"/>
      <c r="E22" s="60"/>
      <c r="F22" s="59"/>
      <c r="G22" s="933">
        <f>IF((AllSat+AllSat1&gt;0),"", MAX(F23:F28)/MAX(E23:E28))</f>
        <v>0</v>
      </c>
      <c r="H22" s="1710" t="s">
        <v>5414</v>
      </c>
      <c r="I22" s="3" t="s">
        <v>981</v>
      </c>
    </row>
    <row r="23" spans="1:9" ht="15" customHeight="1" x14ac:dyDescent="0.2">
      <c r="A23" s="2124"/>
      <c r="B23" s="1705"/>
      <c r="C23" s="249" t="str">
        <f>F!C19</f>
        <v>less than 1%, or &lt;0.01 acre (whichever is less).  SKIP to F7.</v>
      </c>
      <c r="D23" s="270">
        <f>F!D19</f>
        <v>0</v>
      </c>
      <c r="E23" s="57">
        <v>4</v>
      </c>
      <c r="F23" s="58">
        <f t="shared" ref="F23:F28" si="1">D23*E23</f>
        <v>0</v>
      </c>
      <c r="G23" s="1095"/>
      <c r="H23" s="2111"/>
    </row>
    <row r="24" spans="1:9" ht="15" customHeight="1" x14ac:dyDescent="0.2">
      <c r="A24" s="2124"/>
      <c r="B24" s="1705"/>
      <c r="C24" s="912" t="str">
        <f>F!C20</f>
        <v>1-25% of the AA, and mostly in narrow channels and/or small scattered pools.</v>
      </c>
      <c r="D24" s="56">
        <f>F!D20</f>
        <v>0</v>
      </c>
      <c r="E24" s="57">
        <v>3</v>
      </c>
      <c r="F24" s="58">
        <f t="shared" si="1"/>
        <v>0</v>
      </c>
      <c r="G24" s="1091"/>
      <c r="H24" s="2111"/>
    </row>
    <row r="25" spans="1:9" ht="15" customHeight="1" x14ac:dyDescent="0.2">
      <c r="A25" s="2124"/>
      <c r="B25" s="1705"/>
      <c r="C25" s="912" t="str">
        <f>F!C21</f>
        <v>1-25% of the AA, and mostly in a single large pool, pond, and/or channel.</v>
      </c>
      <c r="D25" s="56">
        <f>F!D21</f>
        <v>0</v>
      </c>
      <c r="E25" s="57">
        <v>3</v>
      </c>
      <c r="F25" s="58">
        <f t="shared" si="1"/>
        <v>0</v>
      </c>
      <c r="G25" s="1091"/>
      <c r="H25" s="2111"/>
    </row>
    <row r="26" spans="1:9" ht="15" customHeight="1" x14ac:dyDescent="0.2">
      <c r="A26" s="2124"/>
      <c r="B26" s="1705"/>
      <c r="C26" s="912" t="str">
        <f>F!C22</f>
        <v>25-50% of the AA</v>
      </c>
      <c r="D26" s="56">
        <f>F!D22</f>
        <v>0</v>
      </c>
      <c r="E26" s="57">
        <v>2</v>
      </c>
      <c r="F26" s="58">
        <f t="shared" si="1"/>
        <v>0</v>
      </c>
      <c r="G26" s="1091"/>
      <c r="H26" s="2111"/>
    </row>
    <row r="27" spans="1:9" ht="15" customHeight="1" x14ac:dyDescent="0.2">
      <c r="A27" s="2124"/>
      <c r="B27" s="1705"/>
      <c r="C27" s="912" t="str">
        <f>F!C23</f>
        <v>50-95% of the AA</v>
      </c>
      <c r="D27" s="56">
        <f>F!D23</f>
        <v>0</v>
      </c>
      <c r="E27" s="57">
        <v>1</v>
      </c>
      <c r="F27" s="58">
        <f t="shared" si="1"/>
        <v>0</v>
      </c>
      <c r="G27" s="1091"/>
      <c r="H27" s="2111"/>
    </row>
    <row r="28" spans="1:9" ht="15.6" customHeight="1" thickBot="1" x14ac:dyDescent="0.25">
      <c r="A28" s="2124"/>
      <c r="B28" s="1705"/>
      <c r="C28" s="912" t="str">
        <f>F!C24</f>
        <v>&gt;95% of the AA</v>
      </c>
      <c r="D28" s="56">
        <f>F!D24</f>
        <v>0</v>
      </c>
      <c r="E28" s="245">
        <v>0</v>
      </c>
      <c r="F28" s="240">
        <f t="shared" si="1"/>
        <v>0</v>
      </c>
      <c r="G28" s="1096"/>
      <c r="H28" s="2111"/>
    </row>
    <row r="29" spans="1:9" ht="30" customHeight="1" thickBot="1" x14ac:dyDescent="0.25">
      <c r="A29" s="2144" t="str">
        <f>F!A152</f>
        <v>F34</v>
      </c>
      <c r="B29" s="2134" t="str">
        <f>F!B152</f>
        <v>Woody Diameter Classes</v>
      </c>
      <c r="C29" s="900" t="str">
        <f>F!C152</f>
        <v>Mark all the classes of woody plants within the AA, but only IF they comprise more than 5% of the woody canopy within the AA.  Do not count trees that adjoin but are not within the AA.</v>
      </c>
      <c r="D29" s="241"/>
      <c r="E29" s="241"/>
      <c r="F29" s="242"/>
      <c r="G29" s="947">
        <f>IF((NoWoodyVeg=1),"", IF((NoTrees=1),"",((SUM(D30:D37)/8+MAX(F30:F37)/MAX(E30:E37))/2)))</f>
        <v>0</v>
      </c>
      <c r="H29" s="1709" t="s">
        <v>5415</v>
      </c>
      <c r="I29" s="3" t="s">
        <v>982</v>
      </c>
    </row>
    <row r="30" spans="1:9" ht="15" customHeight="1" x14ac:dyDescent="0.2">
      <c r="A30" s="2106"/>
      <c r="B30" s="2111"/>
      <c r="C30" s="212" t="str">
        <f>F!C153</f>
        <v>evergreen 1-4" diameter and &gt;3 ft tall</v>
      </c>
      <c r="D30" s="64">
        <f>F!D153</f>
        <v>0</v>
      </c>
      <c r="E30" s="55">
        <v>0</v>
      </c>
      <c r="F30" s="58">
        <f t="shared" ref="F30:F37" si="2">D30*E30</f>
        <v>0</v>
      </c>
      <c r="G30" s="1095"/>
      <c r="H30" s="2111"/>
    </row>
    <row r="31" spans="1:9" ht="15" customHeight="1" x14ac:dyDescent="0.2">
      <c r="A31" s="2106"/>
      <c r="B31" s="2111"/>
      <c r="C31" s="901" t="str">
        <f>F!C154</f>
        <v>deciduous 1-4" diameter and &gt;3 ft tall</v>
      </c>
      <c r="D31" s="30">
        <f>F!D154</f>
        <v>0</v>
      </c>
      <c r="E31" s="55">
        <v>1</v>
      </c>
      <c r="F31" s="58">
        <f t="shared" si="2"/>
        <v>0</v>
      </c>
      <c r="G31" s="1091"/>
      <c r="H31" s="2111"/>
    </row>
    <row r="32" spans="1:9" ht="15" customHeight="1" x14ac:dyDescent="0.2">
      <c r="A32" s="2106"/>
      <c r="B32" s="2111"/>
      <c r="C32" s="901" t="str">
        <f>F!C155</f>
        <v>evergreen 4-9" diameter</v>
      </c>
      <c r="D32" s="30">
        <f>F!D155</f>
        <v>0</v>
      </c>
      <c r="E32" s="55">
        <v>2</v>
      </c>
      <c r="F32" s="58">
        <f t="shared" si="2"/>
        <v>0</v>
      </c>
      <c r="G32" s="1091"/>
      <c r="H32" s="2111"/>
    </row>
    <row r="33" spans="1:9" ht="15" customHeight="1" x14ac:dyDescent="0.2">
      <c r="A33" s="2106"/>
      <c r="B33" s="2111"/>
      <c r="C33" s="901" t="str">
        <f>F!C156</f>
        <v>deciduous 4-9" diameter</v>
      </c>
      <c r="D33" s="30">
        <f>F!D156</f>
        <v>0</v>
      </c>
      <c r="E33" s="55">
        <v>3</v>
      </c>
      <c r="F33" s="58">
        <f t="shared" si="2"/>
        <v>0</v>
      </c>
      <c r="G33" s="1091"/>
      <c r="H33" s="2111"/>
    </row>
    <row r="34" spans="1:9" ht="15" customHeight="1" x14ac:dyDescent="0.2">
      <c r="A34" s="2106"/>
      <c r="B34" s="2111"/>
      <c r="C34" s="901" t="str">
        <f>F!C157</f>
        <v>evergreen 9-21" diameter</v>
      </c>
      <c r="D34" s="30">
        <f>F!D157</f>
        <v>0</v>
      </c>
      <c r="E34" s="55">
        <v>4</v>
      </c>
      <c r="F34" s="58">
        <f t="shared" si="2"/>
        <v>0</v>
      </c>
      <c r="G34" s="1091"/>
      <c r="H34" s="2111"/>
    </row>
    <row r="35" spans="1:9" ht="15" customHeight="1" x14ac:dyDescent="0.2">
      <c r="A35" s="2106"/>
      <c r="B35" s="2111"/>
      <c r="C35" s="901" t="str">
        <f>F!C158</f>
        <v>deciduous 9-21" diameter</v>
      </c>
      <c r="D35" s="30">
        <f>F!D158</f>
        <v>0</v>
      </c>
      <c r="E35" s="55">
        <v>6</v>
      </c>
      <c r="F35" s="58">
        <f t="shared" si="2"/>
        <v>0</v>
      </c>
      <c r="G35" s="1091"/>
      <c r="H35" s="2111"/>
    </row>
    <row r="36" spans="1:9" ht="15" customHeight="1" x14ac:dyDescent="0.2">
      <c r="A36" s="2106"/>
      <c r="B36" s="2111"/>
      <c r="C36" s="901" t="str">
        <f>F!C159</f>
        <v>evergreen &gt;21" diameter</v>
      </c>
      <c r="D36" s="30">
        <f>F!D159</f>
        <v>0</v>
      </c>
      <c r="E36" s="55">
        <v>5</v>
      </c>
      <c r="F36" s="58">
        <f t="shared" si="2"/>
        <v>0</v>
      </c>
      <c r="G36" s="1091"/>
      <c r="H36" s="2111"/>
    </row>
    <row r="37" spans="1:9" ht="15.6" customHeight="1" thickBot="1" x14ac:dyDescent="0.25">
      <c r="A37" s="2107"/>
      <c r="B37" s="2112"/>
      <c r="C37" s="902" t="str">
        <f>F!C160</f>
        <v>deciduous &gt;21" diameter</v>
      </c>
      <c r="D37" s="238">
        <f>F!D160</f>
        <v>0</v>
      </c>
      <c r="E37" s="247">
        <v>8</v>
      </c>
      <c r="F37" s="244">
        <f t="shared" si="2"/>
        <v>0</v>
      </c>
      <c r="G37" s="1092"/>
      <c r="H37" s="2112"/>
    </row>
    <row r="38" spans="1:9" ht="30" customHeight="1" thickBot="1" x14ac:dyDescent="0.25">
      <c r="A38" s="2124" t="str">
        <f>F!A161</f>
        <v>F35</v>
      </c>
      <c r="B38" s="1705" t="str">
        <f>F!B161</f>
        <v>Snags</v>
      </c>
      <c r="C38" s="911" t="str">
        <f>F!C161</f>
        <v>The number of large snags (diameter &gt;8") in the AA plus the area within 100 ft uphill of the closest upland to the wetland edge is:</v>
      </c>
      <c r="D38" s="241"/>
      <c r="E38" s="59"/>
      <c r="F38" s="59"/>
      <c r="G38" s="933">
        <f>IF((NoWoodyVeg=1),"",IF((NoTrees=1),"",MAX(F39:F41)/MAX(E39:E41)))</f>
        <v>0</v>
      </c>
      <c r="H38" s="1688" t="s">
        <v>5518</v>
      </c>
      <c r="I38" s="3" t="s">
        <v>983</v>
      </c>
    </row>
    <row r="39" spans="1:9" ht="15" customHeight="1" x14ac:dyDescent="0.2">
      <c r="A39" s="2124"/>
      <c r="B39" s="1705"/>
      <c r="C39" s="212" t="str">
        <f>F!C162</f>
        <v>Several ( &gt;2/acre) and a pond or lake of at least 1 acre is within 1 mile.</v>
      </c>
      <c r="D39" s="64">
        <f>F!D162</f>
        <v>0</v>
      </c>
      <c r="E39" s="57">
        <v>1</v>
      </c>
      <c r="F39" s="58">
        <f>D39*E39</f>
        <v>0</v>
      </c>
      <c r="G39" s="1097"/>
      <c r="H39" s="1705"/>
    </row>
    <row r="40" spans="1:9" ht="15" customHeight="1" x14ac:dyDescent="0.2">
      <c r="A40" s="2124"/>
      <c r="B40" s="1705"/>
      <c r="C40" s="901" t="str">
        <f>F!C163</f>
        <v>Several ( &gt;2/acre) but above not true.</v>
      </c>
      <c r="D40" s="30">
        <f>F!D163</f>
        <v>0</v>
      </c>
      <c r="E40" s="57">
        <v>1</v>
      </c>
      <c r="F40" s="58">
        <f>D40*E40</f>
        <v>0</v>
      </c>
      <c r="G40" s="1094"/>
      <c r="H40" s="1705"/>
    </row>
    <row r="41" spans="1:9" ht="15.6" customHeight="1" thickBot="1" x14ac:dyDescent="0.25">
      <c r="A41" s="2124"/>
      <c r="B41" s="1705"/>
      <c r="C41" s="912" t="str">
        <f>F!C164</f>
        <v xml:space="preserve">Few or none </v>
      </c>
      <c r="D41" s="56">
        <f>F!D164</f>
        <v>0</v>
      </c>
      <c r="E41" s="61">
        <v>0</v>
      </c>
      <c r="F41" s="240">
        <f>D41*E41</f>
        <v>0</v>
      </c>
      <c r="G41" s="1096"/>
      <c r="H41" s="1705"/>
    </row>
    <row r="42" spans="1:9" ht="30" customHeight="1" thickBot="1" x14ac:dyDescent="0.25">
      <c r="A42" s="2144" t="str">
        <f>F!A165</f>
        <v>F36</v>
      </c>
      <c r="B42" s="2134" t="str">
        <f>F!B165</f>
        <v>Downed Wood</v>
      </c>
      <c r="C42" s="900" t="str">
        <f>F!C165</f>
        <v>The number of downed wood pieces longer than 6 ft and with diameter &gt;6", and not persistently submerged, is:</v>
      </c>
      <c r="D42" s="241"/>
      <c r="E42" s="241"/>
      <c r="F42" s="242"/>
      <c r="G42" s="947">
        <f>IF((NoWoodyVeg=1),"", IF((NoTrees=1),"",MAX(F43:F44)))</f>
        <v>0</v>
      </c>
      <c r="H42" s="1709" t="s">
        <v>5519</v>
      </c>
      <c r="I42" s="3" t="s">
        <v>984</v>
      </c>
    </row>
    <row r="43" spans="1:9" ht="15" customHeight="1" x14ac:dyDescent="0.2">
      <c r="A43" s="2106"/>
      <c r="B43" s="2111"/>
      <c r="C43" s="212" t="str">
        <f>F!C166</f>
        <v>Several ( &gt;5 if AA is &gt;10 acres, or &gt;2 for smaller AAs)</v>
      </c>
      <c r="D43" s="64">
        <f>F!D166</f>
        <v>0</v>
      </c>
      <c r="E43" s="57">
        <v>1</v>
      </c>
      <c r="F43" s="58">
        <f>D43*E43</f>
        <v>0</v>
      </c>
      <c r="G43" s="1095"/>
      <c r="H43" s="2111"/>
    </row>
    <row r="44" spans="1:9" ht="15.6" customHeight="1" thickBot="1" x14ac:dyDescent="0.25">
      <c r="A44" s="2107"/>
      <c r="B44" s="2112"/>
      <c r="C44" s="902" t="str">
        <f>F!C167</f>
        <v xml:space="preserve">Few or none </v>
      </c>
      <c r="D44" s="238">
        <f>F!D167</f>
        <v>0</v>
      </c>
      <c r="E44" s="243">
        <v>0</v>
      </c>
      <c r="F44" s="244">
        <f>D44*E44</f>
        <v>0</v>
      </c>
      <c r="G44" s="1092"/>
      <c r="H44" s="2112"/>
    </row>
    <row r="45" spans="1:9" ht="60" customHeight="1" thickBot="1" x14ac:dyDescent="0.25">
      <c r="A45" s="2118" t="str">
        <f>F!A200</f>
        <v>F43</v>
      </c>
      <c r="B45" s="2111" t="str">
        <f>F!B200</f>
        <v>Bare Ground &amp; Accumulated Plant Litter</v>
      </c>
      <c r="C45" s="911" t="str">
        <f>F!C200</f>
        <v>As viewed from above at mid-summer, the extent of bare ground (unvegetated mineral or organic soil or rock) within the AA, excluding parts not visible because under water, snow, or dense thatch) is:</v>
      </c>
      <c r="D45" s="241"/>
      <c r="E45" s="60"/>
      <c r="F45" s="59"/>
      <c r="G45" s="933">
        <f>MAX(F46:F49)/MAX(E46:E49)</f>
        <v>0</v>
      </c>
      <c r="H45" s="1710" t="s">
        <v>923</v>
      </c>
      <c r="I45" s="3" t="s">
        <v>985</v>
      </c>
    </row>
    <row r="46" spans="1:9" ht="42" customHeight="1" x14ac:dyDescent="0.2">
      <c r="A46" s="2118"/>
      <c r="B46" s="2111"/>
      <c r="C46" s="212" t="str">
        <f>F!C201</f>
        <v xml:space="preserve">little or no (&lt;5%) bare ground is visible between erect stems or under canopy and ground surface is extensively blanketed by moss, lichens, graminoids with great stem densities, or plants with ground-hugging foliage.  </v>
      </c>
      <c r="D46" s="64">
        <f>F!D201</f>
        <v>0</v>
      </c>
      <c r="E46" s="57">
        <v>1</v>
      </c>
      <c r="F46" s="58">
        <f>D46*E46</f>
        <v>0</v>
      </c>
      <c r="G46" s="1095"/>
      <c r="H46" s="2111"/>
    </row>
    <row r="47" spans="1:9" ht="27" customHeight="1" x14ac:dyDescent="0.2">
      <c r="A47" s="2118"/>
      <c r="B47" s="2111"/>
      <c r="C47" s="901" t="str">
        <f>F!C202</f>
        <v>Slightly bare ground (5-20% bare between plants) is visible in places, but those areas comprise less than 5% of the unflooded parts of the AA.</v>
      </c>
      <c r="D47" s="30">
        <f>F!D202</f>
        <v>0</v>
      </c>
      <c r="E47" s="57">
        <v>2</v>
      </c>
      <c r="F47" s="58">
        <f>D47*E47</f>
        <v>0</v>
      </c>
      <c r="G47" s="1091"/>
      <c r="H47" s="2111"/>
    </row>
    <row r="48" spans="1:9" ht="27" customHeight="1" x14ac:dyDescent="0.2">
      <c r="A48" s="2118"/>
      <c r="B48" s="2111"/>
      <c r="C48" s="901" t="str">
        <f>F!C203</f>
        <v>Much bare ground (20-50% bare between plants) is visible in places, and those areas comprise more than 5% of the unflooded parts of the AA. </v>
      </c>
      <c r="D48" s="30">
        <f>F!D203</f>
        <v>0</v>
      </c>
      <c r="E48" s="57">
        <v>3</v>
      </c>
      <c r="F48" s="58">
        <f>D48*E48</f>
        <v>0</v>
      </c>
      <c r="G48" s="1091"/>
      <c r="H48" s="2111"/>
    </row>
    <row r="49" spans="1:9" ht="15.6" customHeight="1" thickBot="1" x14ac:dyDescent="0.25">
      <c r="A49" s="2118"/>
      <c r="B49" s="2111"/>
      <c r="C49" s="912" t="str">
        <f>F!C204</f>
        <v>mostly (&gt;50%) bare ground or ground covered only with thatch.</v>
      </c>
      <c r="D49" s="56">
        <f>F!D204</f>
        <v>0</v>
      </c>
      <c r="E49" s="61">
        <v>0</v>
      </c>
      <c r="F49" s="240">
        <f>D49*E49</f>
        <v>0</v>
      </c>
      <c r="G49" s="1096"/>
      <c r="H49" s="2111"/>
    </row>
    <row r="50" spans="1:9" ht="45" customHeight="1" thickBot="1" x14ac:dyDescent="0.25">
      <c r="A50" s="2144" t="str">
        <f>F!A206</f>
        <v>F44</v>
      </c>
      <c r="B50" s="2134" t="str">
        <f>F!B206</f>
        <v>Ground Irregularity</v>
      </c>
      <c r="C50" s="900"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50" s="241"/>
      <c r="E50" s="241"/>
      <c r="F50" s="242"/>
      <c r="G50" s="947">
        <f>MAX(F51:F53)/MAX(E51:E53)</f>
        <v>0</v>
      </c>
      <c r="H50" s="2134" t="s">
        <v>30</v>
      </c>
      <c r="I50" s="3" t="s">
        <v>986</v>
      </c>
    </row>
    <row r="51" spans="1:9" ht="15" customHeight="1" x14ac:dyDescent="0.2">
      <c r="A51" s="2106"/>
      <c r="B51" s="2111"/>
      <c r="C51" s="212" t="str">
        <f>F!C207</f>
        <v xml:space="preserve">Few or none (minimal microtopography; &lt;1% of that area) </v>
      </c>
      <c r="D51" s="64">
        <f>F!D207</f>
        <v>0</v>
      </c>
      <c r="E51" s="57">
        <v>0</v>
      </c>
      <c r="F51" s="58">
        <f>D51*E51</f>
        <v>0</v>
      </c>
      <c r="G51" s="1095"/>
      <c r="H51" s="2111"/>
    </row>
    <row r="52" spans="1:9" ht="15" customHeight="1" x14ac:dyDescent="0.2">
      <c r="A52" s="2106"/>
      <c r="B52" s="2111"/>
      <c r="C52" s="901" t="str">
        <f>F!C208</f>
        <v>Intermediate</v>
      </c>
      <c r="D52" s="30">
        <f>F!D208</f>
        <v>0</v>
      </c>
      <c r="E52" s="57">
        <v>1</v>
      </c>
      <c r="F52" s="58">
        <f>D52*E52</f>
        <v>0</v>
      </c>
      <c r="G52" s="1091"/>
      <c r="H52" s="2111"/>
    </row>
    <row r="53" spans="1:9" ht="15.6" customHeight="1" thickBot="1" x14ac:dyDescent="0.25">
      <c r="A53" s="2107"/>
      <c r="B53" s="2112"/>
      <c r="C53" s="902" t="str">
        <f>F!C209</f>
        <v>Several (extensive micro-topography)</v>
      </c>
      <c r="D53" s="238">
        <f>F!D209</f>
        <v>0</v>
      </c>
      <c r="E53" s="243">
        <v>2</v>
      </c>
      <c r="F53" s="244">
        <f>D53*E53</f>
        <v>0</v>
      </c>
      <c r="G53" s="1092"/>
      <c r="H53" s="2112"/>
    </row>
    <row r="54" spans="1:9" ht="30" customHeight="1" thickBot="1" x14ac:dyDescent="0.25">
      <c r="A54" s="2118" t="str">
        <f>F!A233</f>
        <v>F49</v>
      </c>
      <c r="B54" s="2111" t="str">
        <f>F!B233</f>
        <v>Unshaded Herbaceous Extent</v>
      </c>
      <c r="C54" s="911" t="str">
        <f>F!C233</f>
        <v>As visible in birds-eye view, herbaceous vegetation (excluding mosses and submerged and floating aquatics) comprises:</v>
      </c>
      <c r="D54" s="241"/>
      <c r="E54" s="60"/>
      <c r="F54" s="246"/>
      <c r="G54" s="933">
        <f>MAX(F55:F59)/MAX(E55:E59)</f>
        <v>0</v>
      </c>
      <c r="H54" s="2111" t="s">
        <v>864</v>
      </c>
      <c r="I54" s="3" t="s">
        <v>2427</v>
      </c>
    </row>
    <row r="55" spans="1:9" ht="15" customHeight="1" x14ac:dyDescent="0.2">
      <c r="A55" s="2118"/>
      <c r="B55" s="2111"/>
      <c r="C55" s="212" t="str">
        <f>F!C234</f>
        <v>&lt;5% of the vegetated part of the AA.  Mark "1" here and SKIP to F54.</v>
      </c>
      <c r="D55" s="64">
        <f>F!D234</f>
        <v>0</v>
      </c>
      <c r="E55" s="63">
        <v>0</v>
      </c>
      <c r="F55" s="58">
        <f>D55*E55</f>
        <v>0</v>
      </c>
      <c r="G55" s="1096"/>
      <c r="H55" s="2111"/>
      <c r="I55" s="3"/>
    </row>
    <row r="56" spans="1:9" ht="15" customHeight="1" x14ac:dyDescent="0.2">
      <c r="A56" s="2118"/>
      <c r="B56" s="2111"/>
      <c r="C56" s="901" t="str">
        <f>F!C235</f>
        <v xml:space="preserve">5-25% of the vegetated AA </v>
      </c>
      <c r="D56" s="30">
        <f>F!D235</f>
        <v>0</v>
      </c>
      <c r="E56" s="63">
        <v>2</v>
      </c>
      <c r="F56" s="58">
        <f>D56*E56</f>
        <v>0</v>
      </c>
      <c r="G56" s="1096"/>
      <c r="H56" s="2111"/>
      <c r="I56" s="3"/>
    </row>
    <row r="57" spans="1:9" ht="15" customHeight="1" x14ac:dyDescent="0.2">
      <c r="A57" s="2118"/>
      <c r="B57" s="2111"/>
      <c r="C57" s="901" t="str">
        <f>F!C236</f>
        <v xml:space="preserve">25-50% of the vegetated AA </v>
      </c>
      <c r="D57" s="30">
        <f>F!D236</f>
        <v>0</v>
      </c>
      <c r="E57" s="63">
        <v>3</v>
      </c>
      <c r="F57" s="58">
        <f>D57*E57</f>
        <v>0</v>
      </c>
      <c r="G57" s="1096"/>
      <c r="H57" s="2111"/>
      <c r="I57" s="3"/>
    </row>
    <row r="58" spans="1:9" ht="15" customHeight="1" x14ac:dyDescent="0.2">
      <c r="A58" s="2118"/>
      <c r="B58" s="2111"/>
      <c r="C58" s="901" t="str">
        <f>F!C237</f>
        <v xml:space="preserve">50-95% of the vegetated AA </v>
      </c>
      <c r="D58" s="30">
        <f>F!D237</f>
        <v>0</v>
      </c>
      <c r="E58" s="63">
        <v>4</v>
      </c>
      <c r="F58" s="58">
        <f>D58*E58</f>
        <v>0</v>
      </c>
      <c r="G58" s="1096"/>
      <c r="H58" s="2111"/>
      <c r="I58" s="3"/>
    </row>
    <row r="59" spans="1:9" ht="15.6" customHeight="1" thickBot="1" x14ac:dyDescent="0.25">
      <c r="A59" s="2118"/>
      <c r="B59" s="2111"/>
      <c r="C59" s="912" t="str">
        <f>F!C238</f>
        <v>&gt;95% of the vegetated AA</v>
      </c>
      <c r="D59" s="56">
        <f>F!D238</f>
        <v>0</v>
      </c>
      <c r="E59" s="245">
        <v>5</v>
      </c>
      <c r="F59" s="240">
        <f>D59*E59</f>
        <v>0</v>
      </c>
      <c r="G59" s="1096"/>
      <c r="H59" s="2111"/>
    </row>
    <row r="60" spans="1:9" ht="30" customHeight="1" thickBot="1" x14ac:dyDescent="0.25">
      <c r="A60" s="2127" t="str">
        <f>F!A239</f>
        <v>F50</v>
      </c>
      <c r="B60" s="1704" t="str">
        <f>F!B239</f>
        <v>Forb Cover</v>
      </c>
      <c r="C60" s="900" t="str">
        <f>F!C239</f>
        <v>The percent of the vegetated ground cover that is forbs (e.g., flowering herbaceous plants including skunk cabbage, buckbean, others) reaches an annual maximum of:</v>
      </c>
      <c r="D60" s="241"/>
      <c r="E60" s="241"/>
      <c r="F60" s="242"/>
      <c r="G60" s="947">
        <f>IF((NoHerbCov=1),"", MAX(F61:F65)/MAX(E61:E65))</f>
        <v>0</v>
      </c>
      <c r="H60" s="1709" t="s">
        <v>1168</v>
      </c>
      <c r="I60" s="3" t="s">
        <v>987</v>
      </c>
    </row>
    <row r="61" spans="1:9" ht="15" customHeight="1" x14ac:dyDescent="0.2">
      <c r="A61" s="2128"/>
      <c r="B61" s="1705"/>
      <c r="C61" s="212" t="str">
        <f>F!C240</f>
        <v>&lt;5% of the vegetated ground cover</v>
      </c>
      <c r="D61" s="64">
        <f>F!D240</f>
        <v>0</v>
      </c>
      <c r="E61" s="57">
        <v>0</v>
      </c>
      <c r="F61" s="58">
        <f>D61*E61</f>
        <v>0</v>
      </c>
      <c r="G61" s="1095"/>
      <c r="H61" s="2111"/>
    </row>
    <row r="62" spans="1:9" ht="15" customHeight="1" x14ac:dyDescent="0.2">
      <c r="A62" s="2128"/>
      <c r="B62" s="1705"/>
      <c r="C62" s="901" t="str">
        <f>F!C241</f>
        <v>5-25% of the vegetated ground cover</v>
      </c>
      <c r="D62" s="30">
        <f>F!D241</f>
        <v>0</v>
      </c>
      <c r="E62" s="57">
        <v>1</v>
      </c>
      <c r="F62" s="58">
        <f>D62*E62</f>
        <v>0</v>
      </c>
      <c r="G62" s="1095"/>
      <c r="H62" s="2111"/>
    </row>
    <row r="63" spans="1:9" ht="15" customHeight="1" x14ac:dyDescent="0.2">
      <c r="A63" s="2128"/>
      <c r="B63" s="1705"/>
      <c r="C63" s="901" t="str">
        <f>F!C242</f>
        <v>25-50% of the vegetated ground cover</v>
      </c>
      <c r="D63" s="30">
        <f>F!D242</f>
        <v>0</v>
      </c>
      <c r="E63" s="57">
        <v>2</v>
      </c>
      <c r="F63" s="58">
        <f>D63*E63</f>
        <v>0</v>
      </c>
      <c r="G63" s="1095"/>
      <c r="H63" s="2111"/>
    </row>
    <row r="64" spans="1:9" ht="15" customHeight="1" x14ac:dyDescent="0.2">
      <c r="A64" s="2128"/>
      <c r="B64" s="1705"/>
      <c r="C64" s="901" t="str">
        <f>F!C243</f>
        <v>50-95% of the vegetated ground cover</v>
      </c>
      <c r="D64" s="30">
        <f>F!D243</f>
        <v>0</v>
      </c>
      <c r="E64" s="57">
        <v>3</v>
      </c>
      <c r="F64" s="58">
        <f>D64*E64</f>
        <v>0</v>
      </c>
      <c r="G64" s="1091"/>
      <c r="H64" s="2111"/>
    </row>
    <row r="65" spans="1:9" ht="15.6" customHeight="1" thickBot="1" x14ac:dyDescent="0.25">
      <c r="A65" s="2129"/>
      <c r="B65" s="1706"/>
      <c r="C65" s="902" t="str">
        <f>F!C244</f>
        <v>&gt;95% of the vegetated ground cover. SKIP to F52.</v>
      </c>
      <c r="D65" s="238">
        <f>F!D244</f>
        <v>0</v>
      </c>
      <c r="E65" s="243">
        <v>4</v>
      </c>
      <c r="F65" s="244">
        <f>D65*E65</f>
        <v>0</v>
      </c>
      <c r="G65" s="1092"/>
      <c r="H65" s="2112"/>
    </row>
    <row r="66" spans="1:9" ht="30" customHeight="1" thickBot="1" x14ac:dyDescent="0.25">
      <c r="A66" s="2124" t="str">
        <f>F!A250</f>
        <v>F52</v>
      </c>
      <c r="B66" s="1705" t="str">
        <f>F!B250</f>
        <v>Herbaceous Species Dominance</v>
      </c>
      <c r="C66" s="911" t="str">
        <f>F!C250</f>
        <v>Determine which two native herbaceous (forb, graminoid, fern) species comprise the greatest portion of the herbaceous cover that is unshaded by a woody canopy. Then choose one:</v>
      </c>
      <c r="D66" s="241"/>
      <c r="E66" s="60"/>
      <c r="F66" s="59"/>
      <c r="G66" s="933">
        <f>IF((NoHerbCov=1),"",MAX(F67:F68))</f>
        <v>0</v>
      </c>
      <c r="H66" s="2111" t="s">
        <v>865</v>
      </c>
      <c r="I66" s="3" t="s">
        <v>989</v>
      </c>
    </row>
    <row r="67" spans="1:9" ht="27" customHeight="1" x14ac:dyDescent="0.2">
      <c r="A67" s="2124"/>
      <c r="B67" s="1705"/>
      <c r="C67" s="212" t="str">
        <f>F!C251</f>
        <v>those species together comprise &gt; 50% of the areal cover of native herbaceous plants at any time during the year.</v>
      </c>
      <c r="D67" s="64">
        <f>F!D251</f>
        <v>0</v>
      </c>
      <c r="E67" s="57">
        <v>0</v>
      </c>
      <c r="F67" s="58">
        <f>D67*E67</f>
        <v>0</v>
      </c>
      <c r="G67" s="1091"/>
      <c r="H67" s="2111"/>
    </row>
    <row r="68" spans="1:9" ht="27" customHeight="1" thickBot="1" x14ac:dyDescent="0.25">
      <c r="A68" s="2124"/>
      <c r="B68" s="1705"/>
      <c r="C68" s="912" t="str">
        <f>F!C252</f>
        <v>those species together do not comprise &gt; 50% of the areal cover of native herbaceous plants at any time during the year.</v>
      </c>
      <c r="D68" s="56">
        <f>F!D252</f>
        <v>0</v>
      </c>
      <c r="E68" s="61">
        <v>1</v>
      </c>
      <c r="F68" s="240">
        <f>D68*E68</f>
        <v>0</v>
      </c>
      <c r="G68" s="1096"/>
      <c r="H68" s="2111"/>
    </row>
    <row r="69" spans="1:9" ht="55.5" customHeight="1" thickBot="1" x14ac:dyDescent="0.25">
      <c r="A69" s="2144" t="str">
        <f>F!A253</f>
        <v>F53</v>
      </c>
      <c r="B69" s="2134" t="str">
        <f>F!B253</f>
        <v>Invasive &amp; Non-native Cover</v>
      </c>
      <c r="C69" s="900" t="str">
        <f>F!C253</f>
        <v>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v>
      </c>
      <c r="D69" s="241"/>
      <c r="E69" s="241"/>
      <c r="F69" s="242"/>
      <c r="G69" s="947">
        <f>IF((NoHerbCov=1),"",MAX(F70:F73)/MAX(E70:E73))</f>
        <v>0</v>
      </c>
      <c r="H69" s="2217" t="s">
        <v>1169</v>
      </c>
      <c r="I69" s="3" t="s">
        <v>988</v>
      </c>
    </row>
    <row r="70" spans="1:9" ht="15" customHeight="1" x14ac:dyDescent="0.2">
      <c r="A70" s="2106"/>
      <c r="B70" s="2111"/>
      <c r="C70" s="212" t="str">
        <f>F!C254</f>
        <v>apparently no invasive species are present in the AA.</v>
      </c>
      <c r="D70" s="64">
        <f>F!D254</f>
        <v>0</v>
      </c>
      <c r="E70" s="57">
        <v>3</v>
      </c>
      <c r="F70" s="58">
        <f>D70*E70</f>
        <v>0</v>
      </c>
      <c r="G70" s="1095"/>
      <c r="H70" s="2218"/>
    </row>
    <row r="71" spans="1:9" ht="15" customHeight="1" x14ac:dyDescent="0.2">
      <c r="A71" s="2106"/>
      <c r="B71" s="2111"/>
      <c r="C71" s="901" t="str">
        <f>F!C256</f>
        <v>Invasive species comprise 5-20% of the herb or shrub cover.</v>
      </c>
      <c r="D71" s="30">
        <f>F!D256</f>
        <v>0</v>
      </c>
      <c r="E71" s="57">
        <v>2</v>
      </c>
      <c r="F71" s="58">
        <f>D71*E71</f>
        <v>0</v>
      </c>
      <c r="G71" s="1091"/>
      <c r="H71" s="2218"/>
    </row>
    <row r="72" spans="1:9" ht="15" customHeight="1" x14ac:dyDescent="0.2">
      <c r="A72" s="2106"/>
      <c r="B72" s="2111"/>
      <c r="C72" s="901" t="str">
        <f>F!C257</f>
        <v>Invasive species comprise 20-50% of the herb or shrub cover.</v>
      </c>
      <c r="D72" s="30">
        <f>F!D257</f>
        <v>0</v>
      </c>
      <c r="E72" s="57">
        <v>1</v>
      </c>
      <c r="F72" s="58">
        <f>D72*E72</f>
        <v>0</v>
      </c>
      <c r="G72" s="1091"/>
      <c r="H72" s="2218"/>
    </row>
    <row r="73" spans="1:9" ht="15.6" customHeight="1" thickBot="1" x14ac:dyDescent="0.25">
      <c r="A73" s="2107"/>
      <c r="B73" s="2112"/>
      <c r="C73" s="902" t="str">
        <f>F!C258</f>
        <v>Invasive species comprise &gt;50% of the herb or shrub cover.</v>
      </c>
      <c r="D73" s="238">
        <f>F!D258</f>
        <v>0</v>
      </c>
      <c r="E73" s="243">
        <v>0</v>
      </c>
      <c r="F73" s="244">
        <f>D73*E73</f>
        <v>0</v>
      </c>
      <c r="G73" s="1092"/>
      <c r="H73" s="2219"/>
    </row>
    <row r="74" spans="1:9" ht="60" customHeight="1" thickBot="1" x14ac:dyDescent="0.25">
      <c r="A74" s="1082" t="str">
        <f>F!A278</f>
        <v>F58</v>
      </c>
      <c r="B74" s="810" t="str">
        <f>F!B278</f>
        <v>Cliffs, Banks, Beaver, Muskrat</v>
      </c>
      <c r="C74" s="212" t="str">
        <f>F!C278</f>
        <v>In the AA or within 300 ft, there are (a) muskrat houses or beaver lodges, or (b) mineral licks, or (c) elevated terrestrial features such as cliffs, talus slopes, stream banks, or excavated pits (but not riprap) that extend at least 6 ft nearly vertically, are unvegetated, and potentially contain crevices or other substrate suitable for nesting or den areas.  Enter 1 (yes) or 0 (no).</v>
      </c>
      <c r="D74" s="64">
        <f>F!D278</f>
        <v>0</v>
      </c>
      <c r="E74" s="60">
        <v>1</v>
      </c>
      <c r="F74" s="59">
        <f>D74*E74</f>
        <v>0</v>
      </c>
      <c r="G74" s="933" t="str">
        <f>IF((D74=0),"",1)</f>
        <v/>
      </c>
      <c r="H74" s="121" t="s">
        <v>270</v>
      </c>
      <c r="I74" s="3" t="s">
        <v>990</v>
      </c>
    </row>
    <row r="75" spans="1:9" ht="30" customHeight="1" thickBot="1" x14ac:dyDescent="0.25">
      <c r="A75" s="483" t="s">
        <v>290</v>
      </c>
      <c r="B75" s="488" t="s">
        <v>5515</v>
      </c>
      <c r="C75" s="475" t="s">
        <v>2606</v>
      </c>
      <c r="D75" s="474" t="s">
        <v>117</v>
      </c>
      <c r="E75" s="626" t="s">
        <v>5438</v>
      </c>
      <c r="F75" s="627" t="s">
        <v>5439</v>
      </c>
      <c r="G75" s="628" t="s">
        <v>5825</v>
      </c>
      <c r="H75" s="488" t="s">
        <v>919</v>
      </c>
    </row>
    <row r="76" spans="1:9" ht="60" customHeight="1" thickBot="1" x14ac:dyDescent="0.25">
      <c r="A76" s="2127" t="str">
        <f>OF!A39</f>
        <v>OF8</v>
      </c>
      <c r="B76" s="1704" t="str">
        <f>OF!B39</f>
        <v xml:space="preserve">Wetland Local Uniqueness </v>
      </c>
      <c r="C76" s="900"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76" s="241"/>
      <c r="E76" s="237"/>
      <c r="F76" s="237"/>
      <c r="G76" s="1088">
        <f>IF((MAX(D77:D87,D89)=2), 1, 0)</f>
        <v>0</v>
      </c>
      <c r="H76" s="1687" t="s">
        <v>2521</v>
      </c>
      <c r="I76" s="3" t="s">
        <v>991</v>
      </c>
    </row>
    <row r="77" spans="1:9" ht="15" customHeight="1" x14ac:dyDescent="0.2">
      <c r="A77" s="2128"/>
      <c r="B77" s="1705"/>
      <c r="C77" s="212" t="str">
        <f>OF!C40</f>
        <v>Fresh Water</v>
      </c>
      <c r="D77" s="64">
        <f>OF!D40</f>
        <v>0</v>
      </c>
      <c r="E77" s="54"/>
      <c r="F77" s="58"/>
      <c r="G77" s="1098"/>
      <c r="H77" s="1705"/>
      <c r="I77" s="3"/>
    </row>
    <row r="78" spans="1:9" ht="15" customHeight="1" x14ac:dyDescent="0.2">
      <c r="A78" s="2128"/>
      <c r="B78" s="1705"/>
      <c r="C78" s="901" t="str">
        <f>OF!C41</f>
        <v>Wetland</v>
      </c>
      <c r="D78" s="30">
        <f>OF!D41</f>
        <v>0</v>
      </c>
      <c r="E78" s="54"/>
      <c r="F78" s="58"/>
      <c r="G78" s="1099"/>
      <c r="H78" s="1705"/>
      <c r="I78" s="3"/>
    </row>
    <row r="79" spans="1:9" ht="15" customHeight="1" x14ac:dyDescent="0.2">
      <c r="A79" s="2128"/>
      <c r="B79" s="1705"/>
      <c r="C79" s="901" t="str">
        <f>OF!C42</f>
        <v>Muskeg</v>
      </c>
      <c r="D79" s="30">
        <f>OF!D42</f>
        <v>0</v>
      </c>
      <c r="E79" s="54"/>
      <c r="F79" s="58"/>
      <c r="G79" s="1099"/>
      <c r="H79" s="1705"/>
    </row>
    <row r="80" spans="1:9" ht="15" customHeight="1" x14ac:dyDescent="0.2">
      <c r="A80" s="2128"/>
      <c r="B80" s="1705"/>
      <c r="C80" s="901" t="str">
        <f>OF!C43</f>
        <v>Herbaceous</v>
      </c>
      <c r="D80" s="30">
        <f>OF!D43</f>
        <v>0</v>
      </c>
      <c r="E80" s="54"/>
      <c r="F80" s="58"/>
      <c r="G80" s="1099"/>
      <c r="H80" s="1705"/>
    </row>
    <row r="81" spans="1:9" ht="15" customHeight="1" x14ac:dyDescent="0.2">
      <c r="A81" s="2128"/>
      <c r="B81" s="1705"/>
      <c r="C81" s="901" t="str">
        <f>OF!C44</f>
        <v>Shrubland (Low)</v>
      </c>
      <c r="D81" s="30">
        <f>OF!D44</f>
        <v>0</v>
      </c>
      <c r="E81" s="54"/>
      <c r="F81" s="58"/>
      <c r="G81" s="1099"/>
      <c r="H81" s="1705"/>
    </row>
    <row r="82" spans="1:9" ht="15" customHeight="1" x14ac:dyDescent="0.2">
      <c r="A82" s="2128"/>
      <c r="B82" s="1705"/>
      <c r="C82" s="901" t="str">
        <f>OF!C45</f>
        <v>Shrubland (Tall)</v>
      </c>
      <c r="D82" s="30">
        <f>OF!D45</f>
        <v>0</v>
      </c>
      <c r="E82" s="54"/>
      <c r="F82" s="58"/>
      <c r="G82" s="1099"/>
      <c r="H82" s="1705"/>
    </row>
    <row r="83" spans="1:9" ht="15" customHeight="1" x14ac:dyDescent="0.2">
      <c r="A83" s="2128"/>
      <c r="B83" s="1705"/>
      <c r="C83" s="901" t="str">
        <f>OF!C46</f>
        <v>Deciduous/Mixed Forest</v>
      </c>
      <c r="D83" s="30">
        <f>OF!D46</f>
        <v>0</v>
      </c>
      <c r="E83" s="54"/>
      <c r="F83" s="58"/>
      <c r="G83" s="1099"/>
      <c r="H83" s="1705"/>
    </row>
    <row r="84" spans="1:9" ht="15" customHeight="1" x14ac:dyDescent="0.2">
      <c r="A84" s="2128"/>
      <c r="B84" s="1705"/>
      <c r="C84" s="901" t="str">
        <f>OF!C47</f>
        <v>Conifer Forest - Young or Small</v>
      </c>
      <c r="D84" s="30">
        <f>OF!D47</f>
        <v>0</v>
      </c>
      <c r="E84" s="54"/>
      <c r="F84" s="58"/>
      <c r="G84" s="1099"/>
      <c r="H84" s="1705"/>
    </row>
    <row r="85" spans="1:9" ht="15" customHeight="1" x14ac:dyDescent="0.2">
      <c r="A85" s="2128"/>
      <c r="B85" s="1705"/>
      <c r="C85" s="901" t="str">
        <f>OF!C48</f>
        <v>Conifer Forest - Medium</v>
      </c>
      <c r="D85" s="30">
        <f>OF!D48</f>
        <v>0</v>
      </c>
      <c r="E85" s="54"/>
      <c r="F85" s="58"/>
      <c r="G85" s="1099"/>
      <c r="H85" s="1705"/>
    </row>
    <row r="86" spans="1:9" ht="15" customHeight="1" x14ac:dyDescent="0.2">
      <c r="A86" s="2128"/>
      <c r="B86" s="1705"/>
      <c r="C86" s="901" t="str">
        <f>OF!C49</f>
        <v>Conifer Forest - Large</v>
      </c>
      <c r="D86" s="30">
        <f>OF!D49</f>
        <v>0</v>
      </c>
      <c r="E86" s="54"/>
      <c r="F86" s="58"/>
      <c r="G86" s="1099"/>
      <c r="H86" s="1705"/>
    </row>
    <row r="87" spans="1:9" ht="15" customHeight="1" x14ac:dyDescent="0.2">
      <c r="A87" s="2128"/>
      <c r="B87" s="1705"/>
      <c r="C87" s="901" t="str">
        <f>OF!C50</f>
        <v>Wetland Shrub Forest</v>
      </c>
      <c r="D87" s="30">
        <f>OF!D50</f>
        <v>0</v>
      </c>
      <c r="E87" s="54"/>
      <c r="F87" s="58"/>
      <c r="G87" s="1099"/>
      <c r="H87" s="1705"/>
    </row>
    <row r="88" spans="1:9" ht="15" customHeight="1" x14ac:dyDescent="0.2">
      <c r="A88" s="2128"/>
      <c r="B88" s="1705"/>
      <c r="C88" s="901" t="str">
        <f>OF!C51</f>
        <v>other</v>
      </c>
      <c r="D88" s="30">
        <f>OF!D51</f>
        <v>0</v>
      </c>
      <c r="E88" s="54"/>
      <c r="F88" s="58"/>
      <c r="G88" s="1099"/>
      <c r="H88" s="1705"/>
    </row>
    <row r="89" spans="1:9" ht="42" customHeight="1" x14ac:dyDescent="0.2">
      <c r="A89" s="2128"/>
      <c r="B89" s="1705"/>
      <c r="C89" s="901" t="str">
        <f>OF!C52</f>
        <v>no Level 3 cover type maps available for this area, but from aerial imagery it appears that the AA contains a cover type (list above) that is absent from 90% of the landscape outside of the AA and within 2 miles.  Enter "2" in the next column.</v>
      </c>
      <c r="D89" s="30">
        <f>OF!D52</f>
        <v>0</v>
      </c>
      <c r="E89" s="54"/>
      <c r="F89" s="58"/>
      <c r="G89" s="1099"/>
      <c r="H89" s="1705"/>
    </row>
    <row r="90" spans="1:9" ht="42" customHeight="1" thickBot="1" x14ac:dyDescent="0.25">
      <c r="A90" s="2129"/>
      <c r="B90" s="1706"/>
      <c r="C90" s="902" t="str">
        <f>OF!C53</f>
        <v>no Level 3 cover type maps available for this area, but from aerial imagery it appears that the AA does NOT contain a cover type that is absent from 90% of the landscape outside of the AA and within 2 miles.  Enter "1" in the next column.</v>
      </c>
      <c r="D90" s="238">
        <f>OF!D53</f>
        <v>0</v>
      </c>
      <c r="E90" s="239"/>
      <c r="F90" s="244"/>
      <c r="G90" s="1100"/>
      <c r="H90" s="1706"/>
    </row>
    <row r="91" spans="1:9" ht="26.25" customHeight="1" thickBot="1" x14ac:dyDescent="0.25">
      <c r="A91" s="2127" t="str">
        <f>OF!A54</f>
        <v>OF9</v>
      </c>
      <c r="B91" s="1704" t="str">
        <f>OF!B54</f>
        <v>Distance to Locally Uncommon Cover Type</v>
      </c>
      <c r="C91" s="226" t="str">
        <f>OF!C54</f>
        <v>If any of the above were marked "2", the distance from the AA edge to the closest one that was so marked is:</v>
      </c>
      <c r="D91" s="1084"/>
      <c r="E91" s="278"/>
      <c r="F91" s="279"/>
      <c r="G91" s="1088">
        <f>IF((D90=1),"", IF((D97=1),"", MAX(F92:F96)/MAX(E92:E96)))</f>
        <v>0</v>
      </c>
      <c r="H91" s="1704"/>
      <c r="I91" s="3" t="s">
        <v>2592</v>
      </c>
    </row>
    <row r="92" spans="1:9" ht="15" customHeight="1" x14ac:dyDescent="0.2">
      <c r="A92" s="2128"/>
      <c r="B92" s="1705"/>
      <c r="C92" s="212" t="str">
        <f>OF!C55</f>
        <v>&lt;150 ft</v>
      </c>
      <c r="D92" s="30">
        <f>OF!D55</f>
        <v>0</v>
      </c>
      <c r="E92" s="54">
        <v>5</v>
      </c>
      <c r="F92" s="58">
        <f>D92*E92</f>
        <v>0</v>
      </c>
      <c r="G92" s="1098"/>
      <c r="H92" s="1705"/>
    </row>
    <row r="93" spans="1:9" ht="15" customHeight="1" x14ac:dyDescent="0.2">
      <c r="A93" s="2128"/>
      <c r="B93" s="1705"/>
      <c r="C93" s="901" t="str">
        <f>OF!C56</f>
        <v>150 - 500 ft</v>
      </c>
      <c r="D93" s="30">
        <f>OF!D56</f>
        <v>0</v>
      </c>
      <c r="E93" s="54">
        <v>4</v>
      </c>
      <c r="F93" s="58">
        <f>D93*E93</f>
        <v>0</v>
      </c>
      <c r="G93" s="1099"/>
      <c r="H93" s="1705"/>
    </row>
    <row r="94" spans="1:9" ht="15" customHeight="1" x14ac:dyDescent="0.2">
      <c r="A94" s="2128"/>
      <c r="B94" s="1705"/>
      <c r="C94" s="901" t="str">
        <f>OF!C57</f>
        <v>500 - 1000 ft</v>
      </c>
      <c r="D94" s="30">
        <f>OF!D57</f>
        <v>0</v>
      </c>
      <c r="E94" s="54">
        <v>3</v>
      </c>
      <c r="F94" s="58">
        <f>D94*E94</f>
        <v>0</v>
      </c>
      <c r="G94" s="1099"/>
      <c r="H94" s="1705"/>
    </row>
    <row r="95" spans="1:9" ht="15" customHeight="1" x14ac:dyDescent="0.2">
      <c r="A95" s="2128"/>
      <c r="B95" s="1705"/>
      <c r="C95" s="901" t="str">
        <f>OF!C58</f>
        <v>1000 ft - 1 mile</v>
      </c>
      <c r="D95" s="30">
        <f>OF!D58</f>
        <v>0</v>
      </c>
      <c r="E95" s="54">
        <v>2</v>
      </c>
      <c r="F95" s="58">
        <f>D95*E95</f>
        <v>0</v>
      </c>
      <c r="G95" s="1099"/>
      <c r="H95" s="1705"/>
    </row>
    <row r="96" spans="1:9" ht="15" customHeight="1" x14ac:dyDescent="0.2">
      <c r="A96" s="2128"/>
      <c r="B96" s="1705"/>
      <c r="C96" s="901" t="str">
        <f>OF!C59</f>
        <v>1-2 miles</v>
      </c>
      <c r="D96" s="30">
        <f>OF!D59</f>
        <v>0</v>
      </c>
      <c r="E96" s="54">
        <v>1</v>
      </c>
      <c r="F96" s="58">
        <f>D96*E96</f>
        <v>0</v>
      </c>
      <c r="G96" s="1099"/>
      <c r="H96" s="1705"/>
    </row>
    <row r="97" spans="1:9" ht="15.6" customHeight="1" thickBot="1" x14ac:dyDescent="0.25">
      <c r="A97" s="2129"/>
      <c r="B97" s="1706"/>
      <c r="C97" s="902" t="str">
        <f>OF!C60</f>
        <v>none of the above land cover classes were marked "2"</v>
      </c>
      <c r="D97" s="238">
        <f>OF!D60</f>
        <v>0</v>
      </c>
      <c r="E97" s="239"/>
      <c r="F97" s="244"/>
      <c r="G97" s="1100"/>
      <c r="H97" s="1706"/>
    </row>
    <row r="98" spans="1:9" ht="75" customHeight="1" thickBot="1" x14ac:dyDescent="0.25">
      <c r="A98" s="28" t="str">
        <f>OF!A151</f>
        <v>OF29</v>
      </c>
      <c r="B98" s="740" t="str">
        <f>OF!B151</f>
        <v>Wetland Class Scarcity in HUC6</v>
      </c>
      <c r="C98" s="249"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98" s="270">
        <f>OF!D151</f>
        <v>0</v>
      </c>
      <c r="E98" s="72"/>
      <c r="F98" s="236"/>
      <c r="G98" s="1101">
        <f>IF((D98=""),"", D98)</f>
        <v>0</v>
      </c>
      <c r="H98" s="143" t="s">
        <v>2096</v>
      </c>
      <c r="I98" s="3" t="s">
        <v>2097</v>
      </c>
    </row>
    <row r="99" spans="1:9" ht="60" customHeight="1" thickBot="1" x14ac:dyDescent="0.25">
      <c r="A99" s="250" t="str">
        <f>OF!A215</f>
        <v>OF45</v>
      </c>
      <c r="B99" s="226" t="str">
        <f>OF!B215</f>
        <v>Plants of Conservation Concern</v>
      </c>
      <c r="C99" s="252" t="str">
        <f>OF!C215</f>
        <v>The AA contains an uncommon or imperiled wetland indicator plant that is (a) listed in Table C-6 of the Manual, or (b) is a native species that is not listed as occurring in Southeast Alaska in the PlantList worksheet, has been detected within the AA under conditions similar to what now occur, by a qualified observer, and:</v>
      </c>
      <c r="D99" s="234">
        <f>OF!D215</f>
        <v>0</v>
      </c>
      <c r="E99" s="235"/>
      <c r="F99" s="235"/>
      <c r="G99" s="1102">
        <f>D99</f>
        <v>0</v>
      </c>
      <c r="H99" s="226" t="s">
        <v>29</v>
      </c>
      <c r="I99" s="3" t="s">
        <v>2098</v>
      </c>
    </row>
    <row r="100" spans="1:9" ht="21" customHeight="1" thickBot="1" x14ac:dyDescent="0.25">
      <c r="A100" s="2085"/>
      <c r="B100" s="2085"/>
      <c r="C100" s="2085"/>
      <c r="D100" s="2214"/>
      <c r="E100" s="2214"/>
      <c r="F100" s="2214"/>
      <c r="G100" s="2214"/>
      <c r="H100" s="2215"/>
      <c r="I100" s="3"/>
    </row>
    <row r="101" spans="1:9" ht="21" customHeight="1" x14ac:dyDescent="0.2">
      <c r="A101" s="2084"/>
      <c r="B101" s="2084"/>
      <c r="C101" s="2084"/>
      <c r="D101" s="2021" t="s">
        <v>1254</v>
      </c>
      <c r="E101" s="2022"/>
      <c r="F101" s="2022"/>
      <c r="G101" s="1085">
        <f>AVERAGE(persist0, herbpct0,gramin0, AVERAGE(gcover0, herblt50, herbsens0, herbdiv0, aspect0))</f>
        <v>0</v>
      </c>
      <c r="H101" s="228" t="s">
        <v>2530</v>
      </c>
    </row>
    <row r="102" spans="1:9" ht="21" customHeight="1" thickBot="1" x14ac:dyDescent="0.25">
      <c r="A102" s="2084"/>
      <c r="B102" s="2084"/>
      <c r="C102" s="2084"/>
      <c r="D102" s="2027" t="s">
        <v>992</v>
      </c>
      <c r="E102" s="2028"/>
      <c r="F102" s="2028"/>
      <c r="G102" s="1086">
        <f>AVERAGE(woodydbh0, Snags0, downwood0, girreg0, cliff0)</f>
        <v>0</v>
      </c>
      <c r="H102" s="229" t="s">
        <v>1167</v>
      </c>
    </row>
    <row r="103" spans="1:9" ht="21" customHeight="1" thickBot="1" x14ac:dyDescent="0.25">
      <c r="A103" s="2084"/>
      <c r="B103" s="2084"/>
      <c r="C103" s="2084"/>
      <c r="D103" s="2085"/>
      <c r="E103" s="2085"/>
      <c r="F103" s="2085"/>
      <c r="G103" s="2085"/>
      <c r="H103" s="2216"/>
    </row>
    <row r="104" spans="1:9" ht="30" customHeight="1" thickBot="1" x14ac:dyDescent="0.25">
      <c r="A104" s="2084"/>
      <c r="B104" s="2084"/>
      <c r="C104" s="2227" t="s">
        <v>169</v>
      </c>
      <c r="D104" s="2228"/>
      <c r="E104" s="2228"/>
      <c r="F104" s="970" t="s">
        <v>141</v>
      </c>
      <c r="G104" s="1087">
        <f>10*AVERAGE(Cover2miDiv,PollenOn,NestSites)</f>
        <v>0</v>
      </c>
      <c r="H104" s="1104" t="s">
        <v>2500</v>
      </c>
    </row>
    <row r="105" spans="1:9" ht="30" customHeight="1" thickBot="1" x14ac:dyDescent="0.25">
      <c r="A105" s="2084"/>
      <c r="B105" s="2084"/>
      <c r="C105" s="2225" t="s">
        <v>31</v>
      </c>
      <c r="D105" s="2226"/>
      <c r="E105" s="2226"/>
      <c r="F105" s="1106" t="s">
        <v>142</v>
      </c>
      <c r="G105" s="1088">
        <f>10*(AVERAGE(wetuniq,Dist2RareCov0,RareWclass0,rareherb))</f>
        <v>0</v>
      </c>
      <c r="H105" s="1105" t="s">
        <v>2593</v>
      </c>
    </row>
    <row r="106" spans="1:9" ht="21" customHeight="1" thickBot="1" x14ac:dyDescent="0.25">
      <c r="A106" s="2084"/>
      <c r="B106" s="2084"/>
      <c r="C106" s="2084"/>
      <c r="D106" s="2084"/>
      <c r="E106" s="2084"/>
      <c r="F106" s="2084"/>
      <c r="G106" s="2084"/>
      <c r="H106" s="31"/>
    </row>
    <row r="107" spans="1:9" ht="21" customHeight="1" thickBot="1" x14ac:dyDescent="0.25">
      <c r="A107" s="2084"/>
      <c r="B107" s="2084"/>
      <c r="C107" s="2084"/>
      <c r="D107" s="2084"/>
      <c r="E107" s="2084"/>
      <c r="F107" s="2084"/>
      <c r="G107" s="2084"/>
      <c r="H107" s="79" t="s">
        <v>1345</v>
      </c>
    </row>
    <row r="108" spans="1:9" ht="42" customHeight="1" x14ac:dyDescent="0.2">
      <c r="A108" s="2084"/>
      <c r="B108" s="2084"/>
      <c r="C108" s="2084"/>
      <c r="D108" s="2084"/>
      <c r="E108" s="2084"/>
      <c r="F108" s="2084"/>
      <c r="G108" s="2084"/>
      <c r="H108" s="145" t="s">
        <v>1699</v>
      </c>
    </row>
    <row r="109" spans="1:9" ht="27.6" customHeight="1" thickBot="1" x14ac:dyDescent="0.25">
      <c r="A109" s="2084"/>
      <c r="B109" s="2084"/>
      <c r="C109" s="2084"/>
      <c r="D109" s="2084"/>
      <c r="E109" s="2084"/>
      <c r="F109" s="2084"/>
      <c r="G109" s="2084"/>
      <c r="H109" s="119" t="s">
        <v>1700</v>
      </c>
    </row>
  </sheetData>
  <sheetProtection algorithmName="SHA-512" hashValue="8mxrMfzSfWxUF6t3g9Fz5/q75rPq2gKD7XQcEqCCav5qwVxRY3f4Sp8BW1kfJCzthOYG5W6PWX6/zmx6Q297mA==" saltValue="mSu2HbKE0sOdg+9bjXby8Q==" spinCount="100000" sheet="1" formatCells="0" formatColumns="0" formatRows="0"/>
  <customSheetViews>
    <customSheetView guid="{B8E02330-2419-4DE6-AD01-7ACC7A5D18DD}" scale="70">
      <selection activeCell="C9" sqref="C9"/>
      <pageMargins left="0.75" right="0.75" top="1" bottom="1" header="0.5" footer="0.5"/>
      <pageSetup orientation="portrait" r:id="rId1"/>
      <headerFooter alignWithMargins="0"/>
    </customSheetView>
  </customSheetViews>
  <mergeCells count="53">
    <mergeCell ref="C105:E105"/>
    <mergeCell ref="D102:F102"/>
    <mergeCell ref="A60:A65"/>
    <mergeCell ref="B60:B65"/>
    <mergeCell ref="D101:F101"/>
    <mergeCell ref="C104:E104"/>
    <mergeCell ref="B69:B73"/>
    <mergeCell ref="A69:A73"/>
    <mergeCell ref="A66:A68"/>
    <mergeCell ref="A91:A97"/>
    <mergeCell ref="B76:B90"/>
    <mergeCell ref="A76:A90"/>
    <mergeCell ref="A3:A17"/>
    <mergeCell ref="A18:A21"/>
    <mergeCell ref="H18:H21"/>
    <mergeCell ref="B38:B41"/>
    <mergeCell ref="H38:H41"/>
    <mergeCell ref="A29:A37"/>
    <mergeCell ref="H22:H28"/>
    <mergeCell ref="B18:B21"/>
    <mergeCell ref="A54:A59"/>
    <mergeCell ref="A45:A49"/>
    <mergeCell ref="A50:A53"/>
    <mergeCell ref="H54:H59"/>
    <mergeCell ref="B54:B59"/>
    <mergeCell ref="H45:H49"/>
    <mergeCell ref="B45:B49"/>
    <mergeCell ref="H50:H53"/>
    <mergeCell ref="H42:H44"/>
    <mergeCell ref="B50:B53"/>
    <mergeCell ref="H29:H37"/>
    <mergeCell ref="A22:A28"/>
    <mergeCell ref="B22:B28"/>
    <mergeCell ref="B29:B37"/>
    <mergeCell ref="B42:B44"/>
    <mergeCell ref="A42:A44"/>
    <mergeCell ref="A38:A41"/>
    <mergeCell ref="A106:G109"/>
    <mergeCell ref="E1:H1"/>
    <mergeCell ref="A100:C103"/>
    <mergeCell ref="D100:H100"/>
    <mergeCell ref="D103:H103"/>
    <mergeCell ref="A104:B105"/>
    <mergeCell ref="H76:H90"/>
    <mergeCell ref="B66:B68"/>
    <mergeCell ref="H69:H73"/>
    <mergeCell ref="H91:H97"/>
    <mergeCell ref="B91:B97"/>
    <mergeCell ref="A1:B1"/>
    <mergeCell ref="B3:B17"/>
    <mergeCell ref="H3:H17"/>
    <mergeCell ref="H66:H68"/>
    <mergeCell ref="H60:H65"/>
  </mergeCells>
  <phoneticPr fontId="3" type="noConversion"/>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I305"/>
  <sheetViews>
    <sheetView zoomScaleNormal="100" workbookViewId="0">
      <selection sqref="A1:B1"/>
    </sheetView>
  </sheetViews>
  <sheetFormatPr defaultColWidth="9.33203125" defaultRowHeight="12.75" x14ac:dyDescent="0.2"/>
  <cols>
    <col min="1" max="1" width="5.83203125" style="35" customWidth="1"/>
    <col min="2" max="2" width="18.83203125" style="29" customWidth="1"/>
    <col min="3" max="3" width="75.83203125" style="29" customWidth="1"/>
    <col min="4" max="4" width="6.83203125" style="31" customWidth="1"/>
    <col min="5" max="5" width="7.83203125" style="62" customWidth="1"/>
    <col min="6" max="6" width="8" style="31" customWidth="1"/>
    <col min="7" max="7" width="9.83203125" style="1103" customWidth="1"/>
    <col min="8" max="8" width="75.83203125" style="29" customWidth="1"/>
    <col min="9" max="9" width="16.1640625" style="27" customWidth="1"/>
    <col min="10" max="16384" width="9.33203125" style="27"/>
  </cols>
  <sheetData>
    <row r="1" spans="1:9" s="92" customFormat="1" ht="60" customHeight="1" thickBot="1" x14ac:dyDescent="0.25">
      <c r="A1" s="2231" t="s">
        <v>5520</v>
      </c>
      <c r="B1" s="2232"/>
      <c r="C1" s="87" t="s">
        <v>2166</v>
      </c>
      <c r="D1" s="1107" t="s">
        <v>2149</v>
      </c>
      <c r="E1" s="1922"/>
      <c r="F1" s="1922"/>
      <c r="G1" s="1922"/>
      <c r="H1" s="1922"/>
    </row>
    <row r="2" spans="1:9" ht="30" customHeight="1" thickBot="1" x14ac:dyDescent="0.25">
      <c r="A2" s="451" t="s">
        <v>290</v>
      </c>
      <c r="B2" s="450" t="s">
        <v>2616</v>
      </c>
      <c r="C2" s="484" t="s">
        <v>2606</v>
      </c>
      <c r="D2" s="450" t="s">
        <v>117</v>
      </c>
      <c r="E2" s="592" t="s">
        <v>5438</v>
      </c>
      <c r="F2" s="472" t="s">
        <v>5439</v>
      </c>
      <c r="G2" s="593" t="s">
        <v>5825</v>
      </c>
      <c r="H2" s="450" t="s">
        <v>919</v>
      </c>
    </row>
    <row r="3" spans="1:9" ht="32.25" customHeight="1" thickBot="1" x14ac:dyDescent="0.25">
      <c r="A3" s="2144" t="str">
        <f>OF!A4</f>
        <v>OF1</v>
      </c>
      <c r="B3" s="1704" t="str">
        <f>OF!B4</f>
        <v>Distance by Road to Nearest Population Center</v>
      </c>
      <c r="C3" s="900" t="str">
        <f>OF!C4</f>
        <v>Measured along the maintained road or boat landing that is nearest the AA, the distance to the nearest population center is:</v>
      </c>
      <c r="D3" s="278"/>
      <c r="E3" s="278"/>
      <c r="F3" s="241"/>
      <c r="G3" s="947">
        <f>MAX(F4:F8)/MAX(E4:E8)</f>
        <v>0</v>
      </c>
      <c r="H3" s="1687" t="s">
        <v>2236</v>
      </c>
      <c r="I3" s="4" t="s">
        <v>625</v>
      </c>
    </row>
    <row r="4" spans="1:9" ht="15" customHeight="1" x14ac:dyDescent="0.2">
      <c r="A4" s="2106"/>
      <c r="B4" s="1705"/>
      <c r="C4" s="212" t="str">
        <f>OF!C5</f>
        <v>&lt;0.5 mile</v>
      </c>
      <c r="D4" s="64">
        <f>OF!D5</f>
        <v>0</v>
      </c>
      <c r="E4" s="54">
        <v>0</v>
      </c>
      <c r="F4" s="934">
        <f>D4*E4</f>
        <v>0</v>
      </c>
      <c r="G4" s="1093"/>
      <c r="H4" s="1705"/>
    </row>
    <row r="5" spans="1:9" ht="15" customHeight="1" x14ac:dyDescent="0.2">
      <c r="A5" s="2106"/>
      <c r="B5" s="1705"/>
      <c r="C5" s="901" t="str">
        <f>OF!C6</f>
        <v>0.5 - 2 miles</v>
      </c>
      <c r="D5" s="30">
        <f>OF!D6</f>
        <v>0</v>
      </c>
      <c r="E5" s="54">
        <v>2</v>
      </c>
      <c r="F5" s="934">
        <f>D5*E5</f>
        <v>0</v>
      </c>
      <c r="G5" s="1094"/>
      <c r="H5" s="1705"/>
    </row>
    <row r="6" spans="1:9" ht="15" customHeight="1" x14ac:dyDescent="0.2">
      <c r="A6" s="2106"/>
      <c r="B6" s="1705"/>
      <c r="C6" s="901" t="str">
        <f>OF!C7</f>
        <v>2-5 miles</v>
      </c>
      <c r="D6" s="30">
        <f>OF!D7</f>
        <v>0</v>
      </c>
      <c r="E6" s="54">
        <v>3</v>
      </c>
      <c r="F6" s="934">
        <f>D6*E6</f>
        <v>0</v>
      </c>
      <c r="G6" s="1094"/>
      <c r="H6" s="1705"/>
    </row>
    <row r="7" spans="1:9" ht="15" customHeight="1" x14ac:dyDescent="0.2">
      <c r="A7" s="2106"/>
      <c r="B7" s="1705"/>
      <c r="C7" s="901" t="str">
        <f>OF!C8</f>
        <v>5-10 miles</v>
      </c>
      <c r="D7" s="30">
        <f>OF!D8</f>
        <v>0</v>
      </c>
      <c r="E7" s="54">
        <v>4</v>
      </c>
      <c r="F7" s="934">
        <f>D7*E7</f>
        <v>0</v>
      </c>
      <c r="G7" s="1094"/>
      <c r="H7" s="1705"/>
    </row>
    <row r="8" spans="1:9" ht="15.6" customHeight="1" thickBot="1" x14ac:dyDescent="0.25">
      <c r="A8" s="2107"/>
      <c r="B8" s="1706"/>
      <c r="C8" s="902" t="str">
        <f>OF!C9</f>
        <v>&gt;10 miles</v>
      </c>
      <c r="D8" s="238">
        <f>OF!D9</f>
        <v>0</v>
      </c>
      <c r="E8" s="239">
        <v>5</v>
      </c>
      <c r="F8" s="239">
        <f>D8*E8</f>
        <v>0</v>
      </c>
      <c r="G8" s="944"/>
      <c r="H8" s="1706"/>
    </row>
    <row r="9" spans="1:9" ht="21" customHeight="1" thickBot="1" x14ac:dyDescent="0.25">
      <c r="A9" s="2237" t="str">
        <f>OF!A11</f>
        <v>OF3</v>
      </c>
      <c r="B9" s="2235" t="str">
        <f>OF!B11</f>
        <v>Distance to Nearest Maintained Road</v>
      </c>
      <c r="C9" s="226" t="str">
        <f>OF!C11</f>
        <v>From the center of the AA, the distance to the nearest maintained public road (dirt or paved) is:</v>
      </c>
      <c r="D9" s="278"/>
      <c r="E9" s="932"/>
      <c r="F9" s="60"/>
      <c r="G9" s="933">
        <f>MAX(F10:F15)/MAX(E10:E15)</f>
        <v>0</v>
      </c>
      <c r="H9" s="1953" t="s">
        <v>901</v>
      </c>
      <c r="I9" s="4" t="s">
        <v>626</v>
      </c>
    </row>
    <row r="10" spans="1:9" ht="15" customHeight="1" x14ac:dyDescent="0.2">
      <c r="A10" s="2238"/>
      <c r="B10" s="2218"/>
      <c r="C10" s="212" t="str">
        <f>OF!C12</f>
        <v>&lt;100 ft</v>
      </c>
      <c r="D10" s="64">
        <f>OF!D12</f>
        <v>0</v>
      </c>
      <c r="E10" s="54">
        <v>0</v>
      </c>
      <c r="F10" s="54">
        <f t="shared" ref="F10:F15" si="0">D10*E10</f>
        <v>0</v>
      </c>
      <c r="G10" s="1093"/>
      <c r="H10" s="2218"/>
    </row>
    <row r="11" spans="1:9" ht="15" customHeight="1" x14ac:dyDescent="0.2">
      <c r="A11" s="2238"/>
      <c r="B11" s="2218"/>
      <c r="C11" s="901" t="str">
        <f>OF!C13</f>
        <v>100-500 ft</v>
      </c>
      <c r="D11" s="30">
        <f>OF!D13</f>
        <v>0</v>
      </c>
      <c r="E11" s="54">
        <v>4</v>
      </c>
      <c r="F11" s="54">
        <f t="shared" si="0"/>
        <v>0</v>
      </c>
      <c r="G11" s="1094"/>
      <c r="H11" s="2218"/>
    </row>
    <row r="12" spans="1:9" ht="15" customHeight="1" x14ac:dyDescent="0.2">
      <c r="A12" s="2238"/>
      <c r="B12" s="2218"/>
      <c r="C12" s="901" t="str">
        <f>OF!C14</f>
        <v>500-1000 ft</v>
      </c>
      <c r="D12" s="30">
        <f>OF!D14</f>
        <v>0</v>
      </c>
      <c r="E12" s="54">
        <v>5</v>
      </c>
      <c r="F12" s="54">
        <f t="shared" si="0"/>
        <v>0</v>
      </c>
      <c r="G12" s="1094"/>
      <c r="H12" s="2218"/>
    </row>
    <row r="13" spans="1:9" ht="15" customHeight="1" x14ac:dyDescent="0.2">
      <c r="A13" s="2238"/>
      <c r="B13" s="2218"/>
      <c r="C13" s="901" t="str">
        <f>OF!C15</f>
        <v>1000 ft - 0.5 mile</v>
      </c>
      <c r="D13" s="30">
        <f>OF!D15</f>
        <v>0</v>
      </c>
      <c r="E13" s="54">
        <v>5</v>
      </c>
      <c r="F13" s="54">
        <f t="shared" si="0"/>
        <v>0</v>
      </c>
      <c r="G13" s="1094"/>
      <c r="H13" s="2218"/>
    </row>
    <row r="14" spans="1:9" ht="15" customHeight="1" x14ac:dyDescent="0.2">
      <c r="A14" s="2238"/>
      <c r="B14" s="2218"/>
      <c r="C14" s="901" t="str">
        <f>OF!C16</f>
        <v>0.5- 1 mile</v>
      </c>
      <c r="D14" s="30">
        <f>OF!D16</f>
        <v>0</v>
      </c>
      <c r="E14" s="54">
        <v>5</v>
      </c>
      <c r="F14" s="54">
        <f t="shared" si="0"/>
        <v>0</v>
      </c>
      <c r="G14" s="1094"/>
      <c r="H14" s="2218"/>
    </row>
    <row r="15" spans="1:9" ht="15.6" customHeight="1" thickBot="1" x14ac:dyDescent="0.25">
      <c r="A15" s="2239"/>
      <c r="B15" s="2236"/>
      <c r="C15" s="912" t="str">
        <f>OF!C17</f>
        <v>&gt;1 mile</v>
      </c>
      <c r="D15" s="56">
        <f>OF!D17</f>
        <v>0</v>
      </c>
      <c r="E15" s="934">
        <v>5</v>
      </c>
      <c r="F15" s="934">
        <f t="shared" si="0"/>
        <v>0</v>
      </c>
      <c r="G15" s="946"/>
      <c r="H15" s="2236"/>
    </row>
    <row r="16" spans="1:9" ht="42" customHeight="1" thickBot="1" x14ac:dyDescent="0.25">
      <c r="A16" s="2240" t="str">
        <f>OF!A61</f>
        <v>OF10</v>
      </c>
      <c r="B16" s="2134" t="str">
        <f>OF!B61</f>
        <v>Ponded Water in Landscape</v>
      </c>
      <c r="C16" s="900" t="str">
        <f>OF!C61</f>
        <v>Draw a circle of radius of 2 miles centered on the AA.  Including water ponded in the AA itself or in a fringing non-marine water body, the amount of water that is ponded (standing) during most of the year is:</v>
      </c>
      <c r="D16" s="278"/>
      <c r="E16" s="278"/>
      <c r="F16" s="241"/>
      <c r="G16" s="947">
        <f>MAX(F17:F22)/MAX(E17:E22)</f>
        <v>0</v>
      </c>
      <c r="H16" s="1709" t="s">
        <v>1213</v>
      </c>
      <c r="I16" s="27" t="s">
        <v>627</v>
      </c>
    </row>
    <row r="17" spans="1:9" s="1130" customFormat="1" ht="15" customHeight="1" x14ac:dyDescent="0.2">
      <c r="A17" s="2106"/>
      <c r="B17" s="2111"/>
      <c r="C17" s="1113">
        <f>OF!C62</f>
        <v>0</v>
      </c>
      <c r="D17" s="64">
        <f>OF!D62</f>
        <v>0</v>
      </c>
      <c r="E17" s="54">
        <v>0</v>
      </c>
      <c r="F17" s="54">
        <f t="shared" ref="F17:F22" si="1">D17*E17</f>
        <v>0</v>
      </c>
      <c r="G17" s="1093"/>
      <c r="H17" s="2111"/>
    </row>
    <row r="18" spans="1:9" s="1130" customFormat="1" ht="15" customHeight="1" x14ac:dyDescent="0.2">
      <c r="A18" s="2106"/>
      <c r="B18" s="2111"/>
      <c r="C18" s="1114" t="str">
        <f>OF!C63</f>
        <v>1 or 2</v>
      </c>
      <c r="D18" s="30">
        <f>OF!D63</f>
        <v>0</v>
      </c>
      <c r="E18" s="54">
        <v>1</v>
      </c>
      <c r="F18" s="54">
        <f t="shared" si="1"/>
        <v>0</v>
      </c>
      <c r="G18" s="1094"/>
      <c r="H18" s="2111"/>
    </row>
    <row r="19" spans="1:9" s="1130" customFormat="1" ht="15" customHeight="1" x14ac:dyDescent="0.2">
      <c r="A19" s="2106"/>
      <c r="B19" s="2111"/>
      <c r="C19" s="1114" t="str">
        <f>OF!C64</f>
        <v>3 to 6</v>
      </c>
      <c r="D19" s="30">
        <f>OF!D64</f>
        <v>0</v>
      </c>
      <c r="E19" s="54">
        <v>2</v>
      </c>
      <c r="F19" s="54">
        <f t="shared" si="1"/>
        <v>0</v>
      </c>
      <c r="G19" s="1094"/>
      <c r="H19" s="2111"/>
    </row>
    <row r="20" spans="1:9" s="1130" customFormat="1" ht="15" customHeight="1" x14ac:dyDescent="0.2">
      <c r="A20" s="2106"/>
      <c r="B20" s="2111"/>
      <c r="C20" s="1114" t="str">
        <f>OF!C65</f>
        <v>7 to 9</v>
      </c>
      <c r="D20" s="30">
        <f>OF!D65</f>
        <v>0</v>
      </c>
      <c r="E20" s="54">
        <v>3</v>
      </c>
      <c r="F20" s="54">
        <f t="shared" si="1"/>
        <v>0</v>
      </c>
      <c r="G20" s="1094"/>
      <c r="H20" s="2111"/>
    </row>
    <row r="21" spans="1:9" s="1130" customFormat="1" ht="15" customHeight="1" x14ac:dyDescent="0.2">
      <c r="A21" s="2106"/>
      <c r="B21" s="2111"/>
      <c r="C21" s="1114" t="str">
        <f>OF!C66</f>
        <v>10 to 12</v>
      </c>
      <c r="D21" s="30">
        <f>OF!D66</f>
        <v>0</v>
      </c>
      <c r="E21" s="54">
        <v>4</v>
      </c>
      <c r="F21" s="54">
        <f t="shared" si="1"/>
        <v>0</v>
      </c>
      <c r="G21" s="1094"/>
      <c r="H21" s="2111"/>
    </row>
    <row r="22" spans="1:9" s="1130" customFormat="1" ht="15.6" customHeight="1" thickBot="1" x14ac:dyDescent="0.25">
      <c r="A22" s="2107"/>
      <c r="B22" s="2112"/>
      <c r="C22" s="1120" t="str">
        <f>OF!C67</f>
        <v>&gt;12</v>
      </c>
      <c r="D22" s="238">
        <f>OF!D67</f>
        <v>0</v>
      </c>
      <c r="E22" s="239">
        <v>5</v>
      </c>
      <c r="F22" s="239">
        <f t="shared" si="1"/>
        <v>0</v>
      </c>
      <c r="G22" s="944"/>
      <c r="H22" s="2112"/>
    </row>
    <row r="23" spans="1:9" ht="30" customHeight="1" thickBot="1" x14ac:dyDescent="0.25">
      <c r="A23" s="2240" t="str">
        <f>OF!A68</f>
        <v>OF11</v>
      </c>
      <c r="B23" s="2134" t="str">
        <f>OF!B68</f>
        <v>Ponded Water Proximity</v>
      </c>
      <c r="C23" s="900" t="str">
        <f>OF!C68</f>
        <v>The distance from the AA edge to the closest pond or lake that is larger than 1 acre and is not part of the same wetland, pond, or lake to which the AA is contiguous is:</v>
      </c>
      <c r="D23" s="278"/>
      <c r="E23" s="278"/>
      <c r="F23" s="241"/>
      <c r="G23" s="947">
        <f>MAX(F24:F29)/MAX(E24:E29)</f>
        <v>0</v>
      </c>
      <c r="H23" s="2134" t="s">
        <v>867</v>
      </c>
      <c r="I23" s="27" t="s">
        <v>628</v>
      </c>
    </row>
    <row r="24" spans="1:9" ht="15" customHeight="1" x14ac:dyDescent="0.2">
      <c r="A24" s="2106"/>
      <c r="B24" s="2111"/>
      <c r="C24" s="212" t="str">
        <f>OF!C69</f>
        <v>&lt;300 ft, and connected with a natural land corridor</v>
      </c>
      <c r="D24" s="64">
        <f>OF!D69</f>
        <v>0</v>
      </c>
      <c r="E24" s="54">
        <v>5</v>
      </c>
      <c r="F24" s="54">
        <f t="shared" ref="F24:F35" si="2">D24*E24</f>
        <v>0</v>
      </c>
      <c r="G24" s="1093"/>
      <c r="H24" s="2111"/>
    </row>
    <row r="25" spans="1:9" ht="15" customHeight="1" x14ac:dyDescent="0.2">
      <c r="A25" s="2106"/>
      <c r="B25" s="2111"/>
      <c r="C25" s="901" t="str">
        <f>OF!C70</f>
        <v>&lt;300 ft, but no uninterrupted natural land corridor</v>
      </c>
      <c r="D25" s="30">
        <f>OF!D70</f>
        <v>0</v>
      </c>
      <c r="E25" s="54">
        <v>4</v>
      </c>
      <c r="F25" s="54">
        <f t="shared" si="2"/>
        <v>0</v>
      </c>
      <c r="G25" s="1094"/>
      <c r="H25" s="2111"/>
    </row>
    <row r="26" spans="1:9" ht="15" customHeight="1" x14ac:dyDescent="0.2">
      <c r="A26" s="2106"/>
      <c r="B26" s="2111"/>
      <c r="C26" s="901" t="str">
        <f>OF!C71</f>
        <v>300-1000 ft, and connected with a natural land corridor</v>
      </c>
      <c r="D26" s="30">
        <f>OF!D71</f>
        <v>0</v>
      </c>
      <c r="E26" s="54">
        <v>3</v>
      </c>
      <c r="F26" s="54">
        <f t="shared" si="2"/>
        <v>0</v>
      </c>
      <c r="G26" s="1094"/>
      <c r="H26" s="2111"/>
    </row>
    <row r="27" spans="1:9" ht="15" customHeight="1" x14ac:dyDescent="0.2">
      <c r="A27" s="2106"/>
      <c r="B27" s="2111"/>
      <c r="C27" s="901" t="str">
        <f>OF!C72</f>
        <v>300-1000 ft, but no uninterrupted natural land corridor</v>
      </c>
      <c r="D27" s="30">
        <f>OF!D72</f>
        <v>0</v>
      </c>
      <c r="E27" s="54">
        <v>2</v>
      </c>
      <c r="F27" s="54">
        <f t="shared" si="2"/>
        <v>0</v>
      </c>
      <c r="G27" s="1094"/>
      <c r="H27" s="2111"/>
    </row>
    <row r="28" spans="1:9" ht="15" customHeight="1" x14ac:dyDescent="0.2">
      <c r="A28" s="2106"/>
      <c r="B28" s="2111"/>
      <c r="C28" s="901" t="str">
        <f>OF!C73</f>
        <v>&gt;1000 ft, and connected with a natural land corridor</v>
      </c>
      <c r="D28" s="30">
        <f>OF!D73</f>
        <v>0</v>
      </c>
      <c r="E28" s="54">
        <v>1</v>
      </c>
      <c r="F28" s="54">
        <f t="shared" si="2"/>
        <v>0</v>
      </c>
      <c r="G28" s="1094"/>
      <c r="H28" s="2111"/>
    </row>
    <row r="29" spans="1:9" ht="15.6" customHeight="1" thickBot="1" x14ac:dyDescent="0.25">
      <c r="A29" s="2107"/>
      <c r="B29" s="2112"/>
      <c r="C29" s="902" t="str">
        <f>OF!C74</f>
        <v>&gt;1000 ft, but no uninterrupted natural land corridor</v>
      </c>
      <c r="D29" s="238">
        <f>OF!D74</f>
        <v>0</v>
      </c>
      <c r="E29" s="239">
        <v>0</v>
      </c>
      <c r="F29" s="239">
        <f t="shared" si="2"/>
        <v>0</v>
      </c>
      <c r="G29" s="944"/>
      <c r="H29" s="2112"/>
    </row>
    <row r="30" spans="1:9" ht="21" customHeight="1" thickBot="1" x14ac:dyDescent="0.25">
      <c r="A30" s="2124" t="str">
        <f>OF!A80</f>
        <v>OF13</v>
      </c>
      <c r="B30" s="1705" t="str">
        <f>OF!B80</f>
        <v>Tidal Proximity</v>
      </c>
      <c r="C30" s="900" t="str">
        <f>OF!C80</f>
        <v>The distance from the AA edge to the closest tidal water body is:</v>
      </c>
      <c r="D30" s="278"/>
      <c r="E30" s="932"/>
      <c r="F30" s="60"/>
      <c r="G30" s="933">
        <f>MAX(F31:F35)/MAX(E31:E35)</f>
        <v>0</v>
      </c>
      <c r="H30" s="1688" t="s">
        <v>656</v>
      </c>
      <c r="I30" s="4" t="s">
        <v>657</v>
      </c>
    </row>
    <row r="31" spans="1:9" ht="15" customHeight="1" x14ac:dyDescent="0.2">
      <c r="A31" s="2124"/>
      <c r="B31" s="1705"/>
      <c r="C31" s="212" t="str">
        <f>OF!C81</f>
        <v>&lt;300 ft</v>
      </c>
      <c r="D31" s="64">
        <f>OF!D81</f>
        <v>0</v>
      </c>
      <c r="E31" s="54">
        <v>6</v>
      </c>
      <c r="F31" s="54">
        <f t="shared" si="2"/>
        <v>0</v>
      </c>
      <c r="G31" s="1093"/>
      <c r="H31" s="1705"/>
    </row>
    <row r="32" spans="1:9" ht="15" customHeight="1" x14ac:dyDescent="0.2">
      <c r="A32" s="2124"/>
      <c r="B32" s="1705"/>
      <c r="C32" s="901" t="str">
        <f>OF!C82</f>
        <v>300-1000 ft</v>
      </c>
      <c r="D32" s="30">
        <f>OF!D82</f>
        <v>0</v>
      </c>
      <c r="E32" s="54">
        <v>4</v>
      </c>
      <c r="F32" s="54">
        <f t="shared" si="2"/>
        <v>0</v>
      </c>
      <c r="G32" s="1094"/>
      <c r="H32" s="1705"/>
    </row>
    <row r="33" spans="1:9" ht="15" customHeight="1" x14ac:dyDescent="0.2">
      <c r="A33" s="2124"/>
      <c r="B33" s="1705"/>
      <c r="C33" s="901" t="str">
        <f>OF!C83</f>
        <v>1000 ft - 1 mile</v>
      </c>
      <c r="D33" s="30">
        <f>OF!D83</f>
        <v>0</v>
      </c>
      <c r="E33" s="54">
        <v>3</v>
      </c>
      <c r="F33" s="54">
        <f t="shared" si="2"/>
        <v>0</v>
      </c>
      <c r="G33" s="1094"/>
      <c r="H33" s="1705"/>
    </row>
    <row r="34" spans="1:9" ht="15" customHeight="1" x14ac:dyDescent="0.2">
      <c r="A34" s="2124"/>
      <c r="B34" s="1705"/>
      <c r="C34" s="901" t="str">
        <f>OF!C84</f>
        <v>1-5 miles</v>
      </c>
      <c r="D34" s="30">
        <f>OF!D84</f>
        <v>0</v>
      </c>
      <c r="E34" s="54">
        <v>2</v>
      </c>
      <c r="F34" s="54">
        <f t="shared" si="2"/>
        <v>0</v>
      </c>
      <c r="G34" s="1094"/>
      <c r="H34" s="1705"/>
    </row>
    <row r="35" spans="1:9" ht="15.6" customHeight="1" thickBot="1" x14ac:dyDescent="0.25">
      <c r="A35" s="2124"/>
      <c r="B35" s="1705"/>
      <c r="C35" s="912" t="str">
        <f>OF!C85</f>
        <v>&gt;5 miles</v>
      </c>
      <c r="D35" s="56">
        <f>OF!D85</f>
        <v>0</v>
      </c>
      <c r="E35" s="934">
        <v>0</v>
      </c>
      <c r="F35" s="934">
        <f t="shared" si="2"/>
        <v>0</v>
      </c>
      <c r="G35" s="946"/>
      <c r="H35" s="1705"/>
    </row>
    <row r="36" spans="1:9" ht="30" customHeight="1" thickBot="1" x14ac:dyDescent="0.25">
      <c r="A36" s="1831" t="str">
        <f>OF!A113</f>
        <v>OF21</v>
      </c>
      <c r="B36" s="1836" t="str">
        <f>OF!B113</f>
        <v>Temperature, Mean Annual</v>
      </c>
      <c r="C36" s="454" t="str">
        <f>OF!C113</f>
        <v>Refer to the Temperature layer in the online WESPAK-SE Wetlands Module. The mean annual temperature in the vicinity of the AA was modeled as (rounded to the nearest whole number):</v>
      </c>
      <c r="D36" s="278"/>
      <c r="E36" s="635"/>
      <c r="F36" s="639"/>
      <c r="G36" s="496">
        <f>IF((D42=1),"",MAX(F37:F41)/MAX(E37:E41))</f>
        <v>0</v>
      </c>
      <c r="H36" s="1687" t="s">
        <v>1902</v>
      </c>
      <c r="I36" s="4" t="s">
        <v>650</v>
      </c>
    </row>
    <row r="37" spans="1:9" ht="15" customHeight="1" x14ac:dyDescent="0.2">
      <c r="A37" s="1832"/>
      <c r="B37" s="1837"/>
      <c r="C37" s="144" t="str">
        <f>OF!C114</f>
        <v>&lt;38 degrees F</v>
      </c>
      <c r="D37" s="286">
        <f>OF!D114</f>
        <v>0</v>
      </c>
      <c r="E37" s="396">
        <v>0</v>
      </c>
      <c r="F37" s="397">
        <f>D37*E37</f>
        <v>0</v>
      </c>
      <c r="G37" s="521"/>
      <c r="H37" s="1688"/>
    </row>
    <row r="38" spans="1:9" ht="15" customHeight="1" x14ac:dyDescent="0.2">
      <c r="A38" s="1832"/>
      <c r="B38" s="1837"/>
      <c r="C38" s="50" t="str">
        <f>OF!C115</f>
        <v>38-40 degrees F</v>
      </c>
      <c r="D38" s="271">
        <f>OF!D115</f>
        <v>0</v>
      </c>
      <c r="E38" s="396">
        <v>1</v>
      </c>
      <c r="F38" s="397">
        <f>D38*E38</f>
        <v>0</v>
      </c>
      <c r="G38" s="521"/>
      <c r="H38" s="1688"/>
    </row>
    <row r="39" spans="1:9" ht="15" customHeight="1" x14ac:dyDescent="0.2">
      <c r="A39" s="1832"/>
      <c r="B39" s="1837"/>
      <c r="C39" s="50" t="str">
        <f>OF!C116</f>
        <v>41-42 degrees F</v>
      </c>
      <c r="D39" s="271">
        <f>OF!D116</f>
        <v>0</v>
      </c>
      <c r="E39" s="396">
        <v>2</v>
      </c>
      <c r="F39" s="397">
        <f>D39*E39</f>
        <v>0</v>
      </c>
      <c r="G39" s="521"/>
      <c r="H39" s="1688"/>
    </row>
    <row r="40" spans="1:9" ht="15" customHeight="1" x14ac:dyDescent="0.2">
      <c r="A40" s="1832"/>
      <c r="B40" s="1837"/>
      <c r="C40" s="50" t="str">
        <f>OF!C117</f>
        <v>43-44 degrees F</v>
      </c>
      <c r="D40" s="271">
        <f>OF!D117</f>
        <v>0</v>
      </c>
      <c r="E40" s="396">
        <v>3</v>
      </c>
      <c r="F40" s="397">
        <f>D40*E40</f>
        <v>0</v>
      </c>
      <c r="G40" s="521"/>
      <c r="H40" s="1688"/>
    </row>
    <row r="41" spans="1:9" ht="15" customHeight="1" x14ac:dyDescent="0.2">
      <c r="A41" s="1832"/>
      <c r="B41" s="1837"/>
      <c r="C41" s="50" t="str">
        <f>OF!C118</f>
        <v>&gt; 44 degrees F</v>
      </c>
      <c r="D41" s="271">
        <f>OF!D118</f>
        <v>0</v>
      </c>
      <c r="E41" s="396">
        <v>4</v>
      </c>
      <c r="F41" s="397">
        <f>D41*E41</f>
        <v>0</v>
      </c>
      <c r="G41" s="515"/>
      <c r="H41" s="1688"/>
    </row>
    <row r="42" spans="1:9" ht="15.6" customHeight="1" thickBot="1" x14ac:dyDescent="0.25">
      <c r="A42" s="1832"/>
      <c r="B42" s="1837"/>
      <c r="C42" s="204" t="str">
        <f>OF!C119</f>
        <v>no information available</v>
      </c>
      <c r="D42" s="288">
        <f>OF!D119</f>
        <v>0</v>
      </c>
      <c r="E42" s="398"/>
      <c r="F42" s="399"/>
      <c r="G42" s="500"/>
      <c r="H42" s="1688"/>
    </row>
    <row r="43" spans="1:9" ht="60" customHeight="1" thickBot="1" x14ac:dyDescent="0.25">
      <c r="A43" s="250" t="str">
        <f>OF!A120</f>
        <v>OF22</v>
      </c>
      <c r="B43" s="226" t="str">
        <f>OF!B120</f>
        <v>Basic pH or Karst</v>
      </c>
      <c r="C43" s="1110"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43" s="341">
        <f>OF!D120</f>
        <v>0</v>
      </c>
      <c r="E43" s="952"/>
      <c r="F43" s="1132"/>
      <c r="G43" s="947" t="str">
        <f>IF((D43=0),"",1)</f>
        <v/>
      </c>
      <c r="H43" s="5" t="s">
        <v>649</v>
      </c>
      <c r="I43" s="4" t="s">
        <v>816</v>
      </c>
    </row>
    <row r="44" spans="1:9" ht="45" customHeight="1" thickBot="1" x14ac:dyDescent="0.25">
      <c r="A44" s="250" t="str">
        <f>OF!A121</f>
        <v>OF23</v>
      </c>
      <c r="B44" s="226" t="str">
        <f>OF!B121</f>
        <v>Granitic Soils</v>
      </c>
      <c r="C44" s="1110" t="str">
        <f>OF!C121</f>
        <v>Refer to the map in the online WESPAK-SE Wetlands Module: Geology&gt; Granitic Geology. The AA is underlain primarily by granitic formations or glacial till that is known to be granitic, as indicated by maps or preferably from direct observation.  Enter 1= yes, 0= no.</v>
      </c>
      <c r="D44" s="341">
        <f>OF!D121</f>
        <v>0</v>
      </c>
      <c r="E44" s="952"/>
      <c r="F44" s="1132"/>
      <c r="G44" s="947" t="str">
        <f>IF((D44=0),"",1-D44)</f>
        <v/>
      </c>
      <c r="H44" s="5" t="s">
        <v>1171</v>
      </c>
      <c r="I44" s="4" t="s">
        <v>814</v>
      </c>
    </row>
    <row r="45" spans="1:9" ht="45" customHeight="1" thickBot="1" x14ac:dyDescent="0.25">
      <c r="A45" s="2128" t="str">
        <f>OF!A122</f>
        <v>OF24</v>
      </c>
      <c r="B45" s="1705" t="str">
        <f>OF!B122</f>
        <v>Upslope Soil Erodibility &amp; Debris Flow Potential</v>
      </c>
      <c r="C45" s="911" t="str">
        <f>OF!C122</f>
        <v>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v>
      </c>
      <c r="D45" s="932"/>
      <c r="E45" s="932"/>
      <c r="F45" s="60"/>
      <c r="G45" s="933">
        <f>IF((D48=1),"",IF((D49=1),"",MAX(F46:F48)/MAX(E46:E48)))</f>
        <v>0</v>
      </c>
      <c r="H45" s="1688" t="s">
        <v>1071</v>
      </c>
      <c r="I45" s="4" t="s">
        <v>1072</v>
      </c>
    </row>
    <row r="46" spans="1:9" ht="15" customHeight="1" x14ac:dyDescent="0.2">
      <c r="A46" s="2128"/>
      <c r="B46" s="1705"/>
      <c r="C46" s="212" t="str">
        <f>OF!C123</f>
        <v>yes, and such conditions or classifications intersect the AA.</v>
      </c>
      <c r="D46" s="64">
        <f>OF!D123</f>
        <v>0</v>
      </c>
      <c r="E46" s="54">
        <v>3</v>
      </c>
      <c r="F46" s="54">
        <f>D46*E46</f>
        <v>0</v>
      </c>
      <c r="G46" s="1093"/>
      <c r="H46" s="1705"/>
    </row>
    <row r="47" spans="1:9" ht="15" customHeight="1" x14ac:dyDescent="0.2">
      <c r="A47" s="2128"/>
      <c r="B47" s="1705"/>
      <c r="C47" s="901" t="str">
        <f>OF!C124</f>
        <v>yes, but the conditions or classifications do not reach or intersect the AA.</v>
      </c>
      <c r="D47" s="30">
        <f>OF!D124</f>
        <v>0</v>
      </c>
      <c r="E47" s="54">
        <v>2</v>
      </c>
      <c r="F47" s="54">
        <f>D47*E47</f>
        <v>0</v>
      </c>
      <c r="G47" s="1094"/>
      <c r="H47" s="1705"/>
    </row>
    <row r="48" spans="1:9" ht="15" customHeight="1" x14ac:dyDescent="0.2">
      <c r="A48" s="2128"/>
      <c r="B48" s="1705"/>
      <c r="C48" s="901" t="str">
        <f>OF!C125</f>
        <v>no, or no information but very unlikely that AA is intersected by highly erodible lands or landslides</v>
      </c>
      <c r="D48" s="30">
        <f>OF!D125</f>
        <v>0</v>
      </c>
      <c r="E48" s="54">
        <v>0</v>
      </c>
      <c r="F48" s="54">
        <f>D48*E48</f>
        <v>0</v>
      </c>
      <c r="G48" s="1094"/>
      <c r="H48" s="1705"/>
    </row>
    <row r="49" spans="1:9" ht="15.6" customHeight="1" thickBot="1" x14ac:dyDescent="0.25">
      <c r="A49" s="2129"/>
      <c r="B49" s="1706"/>
      <c r="C49" s="902" t="str">
        <f>OF!C126</f>
        <v>no information</v>
      </c>
      <c r="D49" s="238">
        <f>OF!D126</f>
        <v>0</v>
      </c>
      <c r="E49" s="239"/>
      <c r="F49" s="239"/>
      <c r="G49" s="944"/>
      <c r="H49" s="1706"/>
    </row>
    <row r="50" spans="1:9" ht="76.5" customHeight="1" thickBot="1" x14ac:dyDescent="0.25">
      <c r="A50" s="2127" t="str">
        <f>OF!A147</f>
        <v>OF28</v>
      </c>
      <c r="B50" s="1704" t="str">
        <f>OF!B147</f>
        <v>Elevation in Multi-scale Watersheds</v>
      </c>
      <c r="C50" s="1111"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50" s="278"/>
      <c r="E50" s="278"/>
      <c r="F50" s="241"/>
      <c r="G50" s="947" t="str">
        <f>IF((D51=0),"", (4-D51)/3)</f>
        <v/>
      </c>
      <c r="H50" s="1687" t="s">
        <v>1990</v>
      </c>
      <c r="I50" s="4" t="s">
        <v>651</v>
      </c>
    </row>
    <row r="51" spans="1:9" ht="42.6" customHeight="1" thickBot="1" x14ac:dyDescent="0.25">
      <c r="A51" s="2129"/>
      <c r="B51" s="1706"/>
      <c r="C51" s="1112" t="str">
        <f>OF!C150</f>
        <v>In its HUC6 (the 8-digit* watershed) the AA's elevation puts it in (enter one of the following): 3= upper one-third, 2= middle one-third, 1= lower one-third, 0= no data.  [The 8-digit HUC is obtained by deleting the last 4 digits of the 12-digit HUC code]</v>
      </c>
      <c r="D51" s="248">
        <f>OF!D150</f>
        <v>0</v>
      </c>
      <c r="E51" s="239"/>
      <c r="F51" s="239"/>
      <c r="G51" s="944"/>
      <c r="H51" s="1706"/>
    </row>
    <row r="52" spans="1:9" ht="21" customHeight="1" thickBot="1" x14ac:dyDescent="0.25">
      <c r="A52" s="2124" t="str">
        <f>OF!A165</f>
        <v>OF33</v>
      </c>
      <c r="B52" s="1705" t="str">
        <f>OF!B165</f>
        <v>Aspect</v>
      </c>
      <c r="C52" s="1111" t="str">
        <f>OF!C165</f>
        <v>The overland flow direction of most surface water (in streams or runoff) that enters the AA is:</v>
      </c>
      <c r="D52" s="278"/>
      <c r="E52" s="932"/>
      <c r="F52" s="60"/>
      <c r="G52" s="933">
        <f>IF((NoCA=1),"", MAX(F53:F55)/MAX(E53:E55))</f>
        <v>0</v>
      </c>
      <c r="H52" s="1688" t="s">
        <v>1215</v>
      </c>
      <c r="I52" s="4" t="s">
        <v>652</v>
      </c>
    </row>
    <row r="53" spans="1:9" ht="15" customHeight="1" x14ac:dyDescent="0.2">
      <c r="A53" s="2124"/>
      <c r="B53" s="1705"/>
      <c r="C53" s="1113" t="str">
        <f>OF!C166</f>
        <v>Northward (N, NE).  north-facing CA.</v>
      </c>
      <c r="D53" s="64">
        <f>OF!D166</f>
        <v>0</v>
      </c>
      <c r="E53" s="54">
        <v>0</v>
      </c>
      <c r="F53" s="54">
        <f>D53*E53</f>
        <v>0</v>
      </c>
      <c r="G53" s="1093"/>
      <c r="H53" s="1705"/>
    </row>
    <row r="54" spans="1:9" ht="15" customHeight="1" x14ac:dyDescent="0.2">
      <c r="A54" s="2124"/>
      <c r="B54" s="1705"/>
      <c r="C54" s="1114" t="str">
        <f>OF!C167</f>
        <v>Southward (S, SW).  south-facing CA.</v>
      </c>
      <c r="D54" s="30">
        <f>OF!D167</f>
        <v>0</v>
      </c>
      <c r="E54" s="54">
        <v>2</v>
      </c>
      <c r="F54" s="54">
        <f>D54*E54</f>
        <v>0</v>
      </c>
      <c r="G54" s="1094"/>
      <c r="H54" s="1705"/>
    </row>
    <row r="55" spans="1:9" ht="15.6" customHeight="1" thickBot="1" x14ac:dyDescent="0.25">
      <c r="A55" s="2124"/>
      <c r="B55" s="1705"/>
      <c r="C55" s="1115" t="str">
        <f>OF!C168</f>
        <v>other (E, SE, W, NW), or no detectable uphill slope or input channel (flat)</v>
      </c>
      <c r="D55" s="56">
        <f>OF!D168</f>
        <v>0</v>
      </c>
      <c r="E55" s="934">
        <v>1</v>
      </c>
      <c r="F55" s="934">
        <f>D55*E55</f>
        <v>0</v>
      </c>
      <c r="G55" s="946"/>
      <c r="H55" s="1705"/>
    </row>
    <row r="56" spans="1:9" ht="99" customHeight="1" thickBot="1" x14ac:dyDescent="0.25">
      <c r="A56" s="250" t="str">
        <f>OF!A192</f>
        <v>OF40</v>
      </c>
      <c r="B56" s="226" t="str">
        <f>OF!B192</f>
        <v>Unbrowsed Vegetation</v>
      </c>
      <c r="C56" s="1110" t="str">
        <f>OF!C192</f>
        <v>The AA is on an island known to lack deer, elk, and moose.  Enter 1 if yes, 0 if no.</v>
      </c>
      <c r="D56" s="341">
        <f>OF!D192</f>
        <v>0</v>
      </c>
      <c r="E56" s="952"/>
      <c r="F56" s="235"/>
      <c r="G56" s="947" t="str">
        <f>IF((D56=0),"",D56)</f>
        <v/>
      </c>
      <c r="H56" s="5" t="s">
        <v>1214</v>
      </c>
      <c r="I56" s="4" t="s">
        <v>1246</v>
      </c>
    </row>
    <row r="57" spans="1:9" s="4" customFormat="1" ht="21" customHeight="1" thickBot="1" x14ac:dyDescent="0.25">
      <c r="A57" s="149" t="str">
        <f>F!A4</f>
        <v>F1</v>
      </c>
      <c r="B57" s="1688" t="str">
        <f>F!B4</f>
        <v>Wetland Type</v>
      </c>
      <c r="C57" s="231" t="str">
        <f>F!C4</f>
        <v>Most of the vegetated part of the AA (wetland Assessment Area) is a (select ONE):</v>
      </c>
      <c r="D57" s="278"/>
      <c r="E57" s="932"/>
      <c r="F57" s="60"/>
      <c r="G57" s="933">
        <f>IF((D63=1),"",MAX(F58:F62)/MAX(E58:E62))</f>
        <v>0</v>
      </c>
      <c r="H57" s="1688" t="s">
        <v>2423</v>
      </c>
      <c r="I57" s="4" t="s">
        <v>636</v>
      </c>
    </row>
    <row r="58" spans="1:9" s="4" customFormat="1" ht="15" customHeight="1" x14ac:dyDescent="0.2">
      <c r="A58" s="10" t="str">
        <f>F!A5</f>
        <v>F1.1</v>
      </c>
      <c r="B58" s="1688"/>
      <c r="C58" s="3" t="str">
        <f>F!C5</f>
        <v>Forested Peatland</v>
      </c>
      <c r="D58" s="282">
        <f>F!D5</f>
        <v>0</v>
      </c>
      <c r="E58" s="54">
        <v>1</v>
      </c>
      <c r="F58" s="58">
        <f>D58*E58</f>
        <v>0</v>
      </c>
      <c r="G58" s="1093"/>
      <c r="H58" s="1688"/>
    </row>
    <row r="59" spans="1:9" s="4" customFormat="1" ht="15" customHeight="1" x14ac:dyDescent="0.2">
      <c r="A59" s="10" t="str">
        <f>F!A6</f>
        <v>F1.2</v>
      </c>
      <c r="B59" s="1688"/>
      <c r="C59" s="701" t="str">
        <f>F!C6</f>
        <v>Open Peatland</v>
      </c>
      <c r="D59" s="306">
        <f>F!D6</f>
        <v>0</v>
      </c>
      <c r="E59" s="54">
        <v>2</v>
      </c>
      <c r="F59" s="58">
        <f>D59*E59</f>
        <v>0</v>
      </c>
      <c r="G59" s="1094"/>
      <c r="H59" s="1688"/>
    </row>
    <row r="60" spans="1:9" s="4" customFormat="1" ht="15" customHeight="1" x14ac:dyDescent="0.2">
      <c r="A60" s="10" t="str">
        <f>F!A7</f>
        <v>F1.3</v>
      </c>
      <c r="B60" s="1688"/>
      <c r="C60" s="701" t="str">
        <f>F!C7</f>
        <v>Fen/ Marsh</v>
      </c>
      <c r="D60" s="306">
        <f>F!D7</f>
        <v>0</v>
      </c>
      <c r="E60" s="54">
        <v>4</v>
      </c>
      <c r="F60" s="58">
        <f>D60*E60</f>
        <v>0</v>
      </c>
      <c r="G60" s="1094"/>
      <c r="H60" s="1688"/>
    </row>
    <row r="61" spans="1:9" s="4" customFormat="1" ht="15" customHeight="1" x14ac:dyDescent="0.2">
      <c r="A61" s="10" t="str">
        <f>F!A8</f>
        <v>F1.4</v>
      </c>
      <c r="B61" s="1688"/>
      <c r="C61" s="701" t="str">
        <f>F!C8</f>
        <v>Floodplain Wetland</v>
      </c>
      <c r="D61" s="306">
        <f>F!D8</f>
        <v>0</v>
      </c>
      <c r="E61" s="54">
        <v>5</v>
      </c>
      <c r="F61" s="58">
        <f>D61*E61</f>
        <v>0</v>
      </c>
      <c r="G61" s="1094"/>
      <c r="H61" s="1688"/>
    </row>
    <row r="62" spans="1:9" s="4" customFormat="1" ht="15" customHeight="1" x14ac:dyDescent="0.2">
      <c r="A62" s="10" t="str">
        <f>F!A9</f>
        <v>F1.5</v>
      </c>
      <c r="B62" s="1688"/>
      <c r="C62" s="701" t="str">
        <f>F!C9</f>
        <v>Uplift Meadow</v>
      </c>
      <c r="D62" s="306">
        <f>F!D9</f>
        <v>0</v>
      </c>
      <c r="E62" s="54">
        <v>3</v>
      </c>
      <c r="F62" s="58">
        <f>D62*E62</f>
        <v>0</v>
      </c>
      <c r="G62" s="1094"/>
      <c r="H62" s="1688"/>
    </row>
    <row r="63" spans="1:9" s="4" customFormat="1" ht="15.6" customHeight="1" thickBot="1" x14ac:dyDescent="0.25">
      <c r="A63" s="10" t="str">
        <f>F!A10</f>
        <v>F1.6</v>
      </c>
      <c r="B63" s="1688"/>
      <c r="C63" s="701" t="str">
        <f>F!C10</f>
        <v>Tidal Marsh or Tidal Swamp.  Do not continue.  Use other spreadsheet.</v>
      </c>
      <c r="D63" s="306">
        <f>F!D10</f>
        <v>0</v>
      </c>
      <c r="E63" s="934"/>
      <c r="F63" s="240"/>
      <c r="G63" s="946"/>
      <c r="H63" s="1688"/>
    </row>
    <row r="64" spans="1:9" ht="30" customHeight="1" thickBot="1" x14ac:dyDescent="0.25">
      <c r="A64" s="2127" t="str">
        <f>F!A11</f>
        <v>F2</v>
      </c>
      <c r="B64" s="1704" t="str">
        <f>F!B11</f>
        <v>% Saturated Only</v>
      </c>
      <c r="C64" s="900" t="str">
        <f>F!C11</f>
        <v>The percentage of the AA that lacks surface water during an average year (that is, except perhaps for a few hours after snowmelt or rainstorms), but which is still a wetland, is:</v>
      </c>
      <c r="D64" s="278"/>
      <c r="E64" s="949"/>
      <c r="F64" s="1133"/>
      <c r="G64" s="947">
        <f>MAX(F65:F70)/MAX(E65:E70)</f>
        <v>0</v>
      </c>
      <c r="H64" s="1722" t="s">
        <v>1980</v>
      </c>
      <c r="I64" s="4" t="s">
        <v>1331</v>
      </c>
    </row>
    <row r="65" spans="1:9" ht="27" customHeight="1" x14ac:dyDescent="0.2">
      <c r="A65" s="2128"/>
      <c r="B65" s="1705"/>
      <c r="C65" s="1116" t="str">
        <f>F!C12</f>
        <v>less than 1%, or &lt;0.01 acre (about 20 ft on a side) never has surface water.  In other words, all or nearly all of the AA is inundated permanently or at least seasonally.</v>
      </c>
      <c r="D65" s="343">
        <f>F!D12</f>
        <v>0</v>
      </c>
      <c r="E65" s="54">
        <v>1</v>
      </c>
      <c r="F65" s="58">
        <f t="shared" ref="F65:F70" si="3">D65*E65</f>
        <v>0</v>
      </c>
      <c r="G65" s="1094"/>
      <c r="H65" s="2233"/>
      <c r="I65" s="4"/>
    </row>
    <row r="66" spans="1:9" ht="15" customHeight="1" x14ac:dyDescent="0.2">
      <c r="A66" s="2128"/>
      <c r="B66" s="1705"/>
      <c r="C66" s="1117" t="str">
        <f>F!C13</f>
        <v xml:space="preserve">1-25% of the AA never contains surface water.  </v>
      </c>
      <c r="D66" s="344">
        <f>F!D13</f>
        <v>0</v>
      </c>
      <c r="E66" s="54">
        <v>2</v>
      </c>
      <c r="F66" s="58">
        <f t="shared" si="3"/>
        <v>0</v>
      </c>
      <c r="G66" s="1094"/>
      <c r="H66" s="2233"/>
      <c r="I66" s="4"/>
    </row>
    <row r="67" spans="1:9" ht="15" customHeight="1" x14ac:dyDescent="0.2">
      <c r="A67" s="2128"/>
      <c r="B67" s="1705"/>
      <c r="C67" s="1117" t="str">
        <f>F!C14</f>
        <v>25-50% of the AA never contains surface water.</v>
      </c>
      <c r="D67" s="344">
        <f>F!D14</f>
        <v>0</v>
      </c>
      <c r="E67" s="54">
        <v>3</v>
      </c>
      <c r="F67" s="58">
        <f t="shared" si="3"/>
        <v>0</v>
      </c>
      <c r="G67" s="1094"/>
      <c r="H67" s="2233"/>
      <c r="I67" s="4"/>
    </row>
    <row r="68" spans="1:9" ht="15" customHeight="1" x14ac:dyDescent="0.2">
      <c r="A68" s="2128"/>
      <c r="B68" s="1705"/>
      <c r="C68" s="1117" t="str">
        <f>F!C15</f>
        <v>50-99% of the AA never contains surface water.</v>
      </c>
      <c r="D68" s="344">
        <f>F!D15</f>
        <v>0</v>
      </c>
      <c r="E68" s="54">
        <v>4</v>
      </c>
      <c r="F68" s="58">
        <f t="shared" si="3"/>
        <v>0</v>
      </c>
      <c r="G68" s="1094"/>
      <c r="H68" s="2233"/>
      <c r="I68" s="4"/>
    </row>
    <row r="69" spans="1:9" ht="27" customHeight="1" x14ac:dyDescent="0.2">
      <c r="A69" s="2128"/>
      <c r="B69" s="1705"/>
      <c r="C69" s="1117" t="str">
        <f>F!C16</f>
        <v>&gt;99% of the AA never contains surface water, except for water flowing in channels and/or in pools that occupy &lt;1% of the AA. SKIP to F30.</v>
      </c>
      <c r="D69" s="344">
        <f>F!D16</f>
        <v>0</v>
      </c>
      <c r="E69" s="54">
        <v>3</v>
      </c>
      <c r="F69" s="58">
        <f t="shared" si="3"/>
        <v>0</v>
      </c>
      <c r="G69" s="1094"/>
      <c r="H69" s="2233"/>
      <c r="I69" s="4"/>
    </row>
    <row r="70" spans="1:9" ht="30" customHeight="1" thickBot="1" x14ac:dyDescent="0.25">
      <c r="A70" s="2129"/>
      <c r="B70" s="1706"/>
      <c r="C70" s="1118" t="str">
        <f>F!C17</f>
        <v>&gt;99% of the AA never contains surface water, and AA is not intersected by channels that have flow, not even for a few days per year. SKIP to F28.</v>
      </c>
      <c r="D70" s="345">
        <f>F!D17</f>
        <v>0</v>
      </c>
      <c r="E70" s="239">
        <v>2</v>
      </c>
      <c r="F70" s="244">
        <f t="shared" si="3"/>
        <v>0</v>
      </c>
      <c r="G70" s="944"/>
      <c r="H70" s="2234"/>
      <c r="I70" s="4"/>
    </row>
    <row r="71" spans="1:9" ht="30" customHeight="1" thickBot="1" x14ac:dyDescent="0.25">
      <c r="A71" s="2118" t="str">
        <f>F!A33</f>
        <v>F7</v>
      </c>
      <c r="B71" s="1705" t="str">
        <f>F!B33</f>
        <v>% Flooded Only Seasonally</v>
      </c>
      <c r="C71" s="900" t="str">
        <f>F!C33</f>
        <v>The percentage of the AA soil that is covered by surface water only during the wettest time of year, and for &gt;2 continuous weeks during that time, is:</v>
      </c>
      <c r="D71" s="278"/>
      <c r="E71" s="932"/>
      <c r="F71" s="1093"/>
      <c r="G71" s="933">
        <f>IF((AllSat+AllSat1&gt;0),"",MAX(F72:F76)/MAX(E72:E76))</f>
        <v>0</v>
      </c>
      <c r="H71" s="1688" t="s">
        <v>5524</v>
      </c>
      <c r="I71" s="4" t="s">
        <v>642</v>
      </c>
    </row>
    <row r="72" spans="1:9" ht="15" customHeight="1" x14ac:dyDescent="0.2">
      <c r="A72" s="2118"/>
      <c r="B72" s="1705"/>
      <c r="C72" s="29" t="str">
        <f>F!C34</f>
        <v>&lt;1% or &lt;0.01 acre, whichever is less.  SKIP to F9.</v>
      </c>
      <c r="D72" s="342">
        <f>F!D34</f>
        <v>0</v>
      </c>
      <c r="E72" s="54">
        <v>0</v>
      </c>
      <c r="F72" s="58">
        <f>D72*E72</f>
        <v>0</v>
      </c>
      <c r="G72" s="1093"/>
      <c r="H72" s="1705"/>
      <c r="I72" s="4"/>
    </row>
    <row r="73" spans="1:9" ht="15" customHeight="1" x14ac:dyDescent="0.2">
      <c r="A73" s="2118"/>
      <c r="B73" s="1705"/>
      <c r="C73" s="1119" t="str">
        <f>F!C35</f>
        <v xml:space="preserve">1-25% </v>
      </c>
      <c r="D73" s="346">
        <f>F!D35</f>
        <v>0</v>
      </c>
      <c r="E73" s="54">
        <v>1</v>
      </c>
      <c r="F73" s="58">
        <f>D73*E73</f>
        <v>0</v>
      </c>
      <c r="G73" s="1094"/>
      <c r="H73" s="1705"/>
      <c r="I73" s="4"/>
    </row>
    <row r="74" spans="1:9" ht="15" customHeight="1" x14ac:dyDescent="0.2">
      <c r="A74" s="2118"/>
      <c r="B74" s="1705"/>
      <c r="C74" s="1119" t="str">
        <f>F!C36</f>
        <v xml:space="preserve">25-50% </v>
      </c>
      <c r="D74" s="346">
        <f>F!D36</f>
        <v>0</v>
      </c>
      <c r="E74" s="54">
        <v>2</v>
      </c>
      <c r="F74" s="58">
        <f>D74*E74</f>
        <v>0</v>
      </c>
      <c r="G74" s="1094"/>
      <c r="H74" s="1705"/>
      <c r="I74" s="4"/>
    </row>
    <row r="75" spans="1:9" ht="15" customHeight="1" x14ac:dyDescent="0.2">
      <c r="A75" s="2118"/>
      <c r="B75" s="1705"/>
      <c r="C75" s="1119" t="str">
        <f>F!C37</f>
        <v xml:space="preserve">50-95% </v>
      </c>
      <c r="D75" s="346">
        <f>F!D37</f>
        <v>0</v>
      </c>
      <c r="E75" s="54">
        <v>3</v>
      </c>
      <c r="F75" s="58">
        <f>D75*E75</f>
        <v>0</v>
      </c>
      <c r="G75" s="1094"/>
      <c r="H75" s="1705"/>
      <c r="I75" s="4"/>
    </row>
    <row r="76" spans="1:9" ht="15.6" customHeight="1" thickBot="1" x14ac:dyDescent="0.25">
      <c r="A76" s="2118"/>
      <c r="B76" s="1705"/>
      <c r="C76" s="1119" t="str">
        <f>F!C38</f>
        <v xml:space="preserve">&gt;95% </v>
      </c>
      <c r="D76" s="346">
        <f>F!D38</f>
        <v>0</v>
      </c>
      <c r="E76" s="934">
        <v>4</v>
      </c>
      <c r="F76" s="240">
        <f>D76*E76</f>
        <v>0</v>
      </c>
      <c r="G76" s="946"/>
      <c r="H76" s="1705"/>
      <c r="I76" s="4"/>
    </row>
    <row r="77" spans="1:9" ht="24" customHeight="1" thickBot="1" x14ac:dyDescent="0.25">
      <c r="A77" s="2144" t="str">
        <f>F!A39</f>
        <v>F8</v>
      </c>
      <c r="B77" s="1704" t="str">
        <f>F!B39</f>
        <v>Annual Water Fluctuation Range</v>
      </c>
      <c r="C77" s="900" t="str">
        <f>F!C39</f>
        <v>The maximum annual fluctuation in surface water within the AA is:</v>
      </c>
      <c r="D77" s="278"/>
      <c r="E77" s="278"/>
      <c r="F77" s="1134"/>
      <c r="G77" s="947">
        <f>IF((AllSat+AllSat1&gt;0),"", IF((NoSeasonal=1),"",MAX(F78:F81)/MAX(E78:E81)))</f>
        <v>0</v>
      </c>
      <c r="H77" s="1687" t="s">
        <v>5525</v>
      </c>
      <c r="I77" s="4" t="s">
        <v>648</v>
      </c>
    </row>
    <row r="78" spans="1:9" ht="15" customHeight="1" x14ac:dyDescent="0.2">
      <c r="A78" s="2106"/>
      <c r="B78" s="1705"/>
      <c r="C78" s="29" t="str">
        <f>F!C40</f>
        <v xml:space="preserve">&lt;0.5 ft </v>
      </c>
      <c r="D78" s="342">
        <f>F!D40</f>
        <v>0</v>
      </c>
      <c r="E78" s="54">
        <v>1</v>
      </c>
      <c r="F78" s="58">
        <f>D78*E78</f>
        <v>0</v>
      </c>
      <c r="G78" s="1093"/>
      <c r="H78" s="1705"/>
      <c r="I78" s="4"/>
    </row>
    <row r="79" spans="1:9" ht="15" customHeight="1" x14ac:dyDescent="0.2">
      <c r="A79" s="2106"/>
      <c r="B79" s="1705"/>
      <c r="C79" s="1119" t="str">
        <f>F!C41</f>
        <v>0.5 - 1 ft</v>
      </c>
      <c r="D79" s="346">
        <f>F!D41</f>
        <v>0</v>
      </c>
      <c r="E79" s="54">
        <v>2</v>
      </c>
      <c r="F79" s="58">
        <f>D79*E79</f>
        <v>0</v>
      </c>
      <c r="G79" s="1094"/>
      <c r="H79" s="1705"/>
      <c r="I79" s="4"/>
    </row>
    <row r="80" spans="1:9" ht="15" customHeight="1" x14ac:dyDescent="0.2">
      <c r="A80" s="2106"/>
      <c r="B80" s="1705"/>
      <c r="C80" s="1119" t="str">
        <f>F!C42</f>
        <v>1-3 ft</v>
      </c>
      <c r="D80" s="346">
        <f>F!D42</f>
        <v>0</v>
      </c>
      <c r="E80" s="54">
        <v>2</v>
      </c>
      <c r="F80" s="58">
        <f>D80*E80</f>
        <v>0</v>
      </c>
      <c r="G80" s="1094"/>
      <c r="H80" s="1705"/>
      <c r="I80" s="4"/>
    </row>
    <row r="81" spans="1:9" ht="15.6" customHeight="1" thickBot="1" x14ac:dyDescent="0.25">
      <c r="A81" s="2107"/>
      <c r="B81" s="1706"/>
      <c r="C81" s="1118" t="str">
        <f>F!C43</f>
        <v xml:space="preserve">&gt; 3 ft </v>
      </c>
      <c r="D81" s="345">
        <f>F!D43</f>
        <v>0</v>
      </c>
      <c r="E81" s="239">
        <v>1</v>
      </c>
      <c r="F81" s="244">
        <f>D81*E81</f>
        <v>0</v>
      </c>
      <c r="G81" s="944"/>
      <c r="H81" s="1706"/>
      <c r="I81" s="4"/>
    </row>
    <row r="82" spans="1:9" ht="30" customHeight="1" thickBot="1" x14ac:dyDescent="0.25">
      <c r="A82" s="2118" t="str">
        <f>F!A44</f>
        <v>F9</v>
      </c>
      <c r="B82" s="2111" t="str">
        <f>F!B44</f>
        <v>Predominant Depth Class</v>
      </c>
      <c r="C82" s="900" t="str">
        <f>F!C44</f>
        <v>During most of the growing season, surface water depth in most of the area where it is present is: [Note: This is not asking for the maximum depth.]</v>
      </c>
      <c r="D82" s="278"/>
      <c r="E82" s="932"/>
      <c r="F82" s="246"/>
      <c r="G82" s="933">
        <f>IF((AllSat+AllSat1&gt;0),"",MAX(F83:F87)/MAX(E83:E87))</f>
        <v>0</v>
      </c>
      <c r="H82" s="1710" t="s">
        <v>5526</v>
      </c>
      <c r="I82" s="4" t="s">
        <v>613</v>
      </c>
    </row>
    <row r="83" spans="1:9" ht="15" customHeight="1" x14ac:dyDescent="0.2">
      <c r="A83" s="2118"/>
      <c r="B83" s="2111"/>
      <c r="C83" s="212" t="str">
        <f>F!C45</f>
        <v>&lt;0.5 ft deep (but &gt;0)</v>
      </c>
      <c r="D83" s="64">
        <f>F!D45</f>
        <v>0</v>
      </c>
      <c r="E83" s="54">
        <v>6</v>
      </c>
      <c r="F83" s="58">
        <f>D83*E83</f>
        <v>0</v>
      </c>
      <c r="G83" s="1094"/>
      <c r="H83" s="2111"/>
    </row>
    <row r="84" spans="1:9" ht="15" customHeight="1" x14ac:dyDescent="0.2">
      <c r="A84" s="2118"/>
      <c r="B84" s="2111"/>
      <c r="C84" s="901" t="str">
        <f>F!C46</f>
        <v>0.5 - 1 ft deep</v>
      </c>
      <c r="D84" s="30">
        <f>F!D46</f>
        <v>0</v>
      </c>
      <c r="E84" s="54">
        <v>4</v>
      </c>
      <c r="F84" s="58">
        <f>D84*E84</f>
        <v>0</v>
      </c>
      <c r="G84" s="1094"/>
      <c r="H84" s="2111"/>
    </row>
    <row r="85" spans="1:9" ht="15" customHeight="1" x14ac:dyDescent="0.2">
      <c r="A85" s="2118"/>
      <c r="B85" s="2111"/>
      <c r="C85" s="901" t="str">
        <f>F!C47</f>
        <v>1-2 ft deep</v>
      </c>
      <c r="D85" s="30">
        <f>F!D47</f>
        <v>0</v>
      </c>
      <c r="E85" s="54">
        <v>3</v>
      </c>
      <c r="F85" s="58">
        <f>D85*E85</f>
        <v>0</v>
      </c>
      <c r="G85" s="1094"/>
      <c r="H85" s="2111"/>
    </row>
    <row r="86" spans="1:9" ht="15" customHeight="1" x14ac:dyDescent="0.2">
      <c r="A86" s="2118"/>
      <c r="B86" s="2111"/>
      <c r="C86" s="901" t="str">
        <f>F!C48</f>
        <v>2-6 ft deep</v>
      </c>
      <c r="D86" s="30">
        <f>F!D48</f>
        <v>0</v>
      </c>
      <c r="E86" s="54">
        <v>1</v>
      </c>
      <c r="F86" s="58">
        <f>D86*E86</f>
        <v>0</v>
      </c>
      <c r="G86" s="1094"/>
      <c r="H86" s="2111"/>
    </row>
    <row r="87" spans="1:9" ht="15.6" customHeight="1" thickBot="1" x14ac:dyDescent="0.25">
      <c r="A87" s="2118"/>
      <c r="B87" s="2111"/>
      <c r="C87" s="912" t="str">
        <f>F!C49</f>
        <v>&gt;6 ft deep.  True for many fringe wetlands.</v>
      </c>
      <c r="D87" s="56">
        <f>F!D49</f>
        <v>0</v>
      </c>
      <c r="E87" s="934">
        <v>0</v>
      </c>
      <c r="F87" s="240">
        <f>D87*E87</f>
        <v>0</v>
      </c>
      <c r="G87" s="946"/>
      <c r="H87" s="2111"/>
    </row>
    <row r="88" spans="1:9" ht="30" customHeight="1" thickBot="1" x14ac:dyDescent="0.25">
      <c r="A88" s="2120" t="str">
        <f>F!A61</f>
        <v>F13</v>
      </c>
      <c r="B88" s="2099" t="str">
        <f>F!B61</f>
        <v>Width of AA's Vegetated Zone</v>
      </c>
      <c r="C88" s="900" t="str">
        <f>F!C61</f>
        <v>At the driest time of year (or lowest water level), the width of vegetated area in the AA that separates adjoining uplands from most of the open water within or adjoining the AA is:</v>
      </c>
      <c r="D88" s="278"/>
      <c r="E88" s="949"/>
      <c r="F88" s="242"/>
      <c r="G88" s="947" t="str">
        <f>IF((AllSat+AllSat1&gt;0),"",IF((OpenW=0),"",MAX(F89:F93)/MAX(E89:E93)))</f>
        <v/>
      </c>
      <c r="H88" s="1687" t="s">
        <v>5418</v>
      </c>
      <c r="I88" s="4" t="s">
        <v>614</v>
      </c>
    </row>
    <row r="89" spans="1:9" ht="15" customHeight="1" x14ac:dyDescent="0.2">
      <c r="A89" s="2121"/>
      <c r="B89" s="1715"/>
      <c r="C89" s="212" t="str">
        <f>F!C62</f>
        <v xml:space="preserve">1-5 ft </v>
      </c>
      <c r="D89" s="64">
        <f>F!D62</f>
        <v>0</v>
      </c>
      <c r="E89" s="1135">
        <v>1</v>
      </c>
      <c r="F89" s="58">
        <f>D89*E89</f>
        <v>0</v>
      </c>
      <c r="G89" s="1093"/>
      <c r="H89" s="1705"/>
    </row>
    <row r="90" spans="1:9" ht="15" customHeight="1" x14ac:dyDescent="0.2">
      <c r="A90" s="2121"/>
      <c r="B90" s="1715"/>
      <c r="C90" s="212" t="str">
        <f>F!C63</f>
        <v>5-25 ft</v>
      </c>
      <c r="D90" s="64">
        <f>F!D63</f>
        <v>0</v>
      </c>
      <c r="E90" s="1135">
        <v>2</v>
      </c>
      <c r="F90" s="58">
        <f>D90*E90</f>
        <v>0</v>
      </c>
      <c r="G90" s="1094"/>
      <c r="H90" s="1705"/>
    </row>
    <row r="91" spans="1:9" ht="15" customHeight="1" x14ac:dyDescent="0.2">
      <c r="A91" s="2121"/>
      <c r="B91" s="1715"/>
      <c r="C91" s="212" t="str">
        <f>F!C64</f>
        <v>25-100 ft</v>
      </c>
      <c r="D91" s="64">
        <f>F!D64</f>
        <v>0</v>
      </c>
      <c r="E91" s="1135">
        <v>3</v>
      </c>
      <c r="F91" s="58">
        <f>D91*E91</f>
        <v>0</v>
      </c>
      <c r="G91" s="1094"/>
      <c r="H91" s="1705"/>
    </row>
    <row r="92" spans="1:9" ht="15" customHeight="1" x14ac:dyDescent="0.2">
      <c r="A92" s="2121"/>
      <c r="B92" s="1715"/>
      <c r="C92" s="212" t="str">
        <f>F!C65</f>
        <v>100-300 ft</v>
      </c>
      <c r="D92" s="64">
        <f>F!D65</f>
        <v>0</v>
      </c>
      <c r="E92" s="1135">
        <v>4</v>
      </c>
      <c r="F92" s="58">
        <f>D92*E92</f>
        <v>0</v>
      </c>
      <c r="G92" s="1094"/>
      <c r="H92" s="1705"/>
    </row>
    <row r="93" spans="1:9" ht="15.6" customHeight="1" thickBot="1" x14ac:dyDescent="0.25">
      <c r="A93" s="2122"/>
      <c r="B93" s="1716"/>
      <c r="C93" s="1083" t="str">
        <f>F!C66</f>
        <v>&gt;300 ft</v>
      </c>
      <c r="D93" s="248">
        <f>F!D66</f>
        <v>0</v>
      </c>
      <c r="E93" s="942">
        <v>5</v>
      </c>
      <c r="F93" s="244">
        <f>D93*E93</f>
        <v>0</v>
      </c>
      <c r="G93" s="944"/>
      <c r="H93" s="1706"/>
    </row>
    <row r="94" spans="1:9" ht="30" customHeight="1" thickBot="1" x14ac:dyDescent="0.25">
      <c r="A94" s="2247" t="str">
        <f>F!A86</f>
        <v>F17</v>
      </c>
      <c r="B94" s="1715" t="str">
        <f>F!B86</f>
        <v>Emergent Vegetation - Distribution</v>
      </c>
      <c r="C94" s="900" t="str">
        <f>F!C86</f>
        <v>During most of the growing season, the spatial pattern of herbaceous vegetation that has surface water beneath it (emergent vegetation -- NOT floating-leaved plants) is mostly:</v>
      </c>
      <c r="D94" s="278"/>
      <c r="E94" s="945"/>
      <c r="F94" s="246"/>
      <c r="G94" s="933">
        <f>IF((AllSat+AllSat1&gt;0),"",IF((OR(puddles=1,NoPonded=1)),"",IF((NoOpenPonded+NoOpenPonded1&gt;0),"",IF((AllOpenPond=1),"",MAX(F95:F97)/MAX(E95:E97)))))</f>
        <v>0</v>
      </c>
      <c r="H94" s="1688" t="s">
        <v>5416</v>
      </c>
      <c r="I94" s="4" t="s">
        <v>645</v>
      </c>
    </row>
    <row r="95" spans="1:9" ht="15" customHeight="1" x14ac:dyDescent="0.2">
      <c r="A95" s="2124"/>
      <c r="B95" s="1705"/>
      <c r="C95" s="212" t="str">
        <f>F!C87</f>
        <v>scattered in small clumps, islands, or patches throughout the surface water area.</v>
      </c>
      <c r="D95" s="64">
        <f>F!D87</f>
        <v>0</v>
      </c>
      <c r="E95" s="1135">
        <v>3</v>
      </c>
      <c r="F95" s="58">
        <f>D95*E95</f>
        <v>0</v>
      </c>
      <c r="G95" s="1094"/>
      <c r="H95" s="1688"/>
      <c r="I95" s="4"/>
    </row>
    <row r="96" spans="1:9" ht="15" customHeight="1" x14ac:dyDescent="0.2">
      <c r="A96" s="2124"/>
      <c r="B96" s="1705"/>
      <c r="C96" s="901" t="str">
        <f>F!C88</f>
        <v>intermediate</v>
      </c>
      <c r="D96" s="30">
        <f>F!D88</f>
        <v>0</v>
      </c>
      <c r="E96" s="1135">
        <v>2</v>
      </c>
      <c r="F96" s="58">
        <f>D96*E96</f>
        <v>0</v>
      </c>
      <c r="G96" s="1094"/>
      <c r="H96" s="1688"/>
      <c r="I96" s="4"/>
    </row>
    <row r="97" spans="1:9" ht="27.6" customHeight="1" thickBot="1" x14ac:dyDescent="0.25">
      <c r="A97" s="2124"/>
      <c r="B97" s="1705"/>
      <c r="C97" s="912" t="str">
        <f>F!C89</f>
        <v>clumped along the margin of the surface water area, or mostly surrounds a channel or central area of open water, or such vegetation covers &lt;100 sq ft and &lt;1% of the AA.</v>
      </c>
      <c r="D97" s="56">
        <f>F!D89</f>
        <v>0</v>
      </c>
      <c r="E97" s="1136">
        <v>1</v>
      </c>
      <c r="F97" s="240">
        <f>D97*E97</f>
        <v>0</v>
      </c>
      <c r="G97" s="946"/>
      <c r="H97" s="1688"/>
      <c r="I97" s="4"/>
    </row>
    <row r="98" spans="1:9" ht="21" customHeight="1" thickBot="1" x14ac:dyDescent="0.25">
      <c r="A98" s="2127" t="str">
        <f>F!A94</f>
        <v>F22</v>
      </c>
      <c r="B98" s="1704" t="str">
        <f>F!B94</f>
        <v>Beaver</v>
      </c>
      <c r="C98" s="900" t="str">
        <f>F!C94</f>
        <v>Use of the AA by beaver during the past 5 years is (select most applicable ONE):</v>
      </c>
      <c r="D98" s="278"/>
      <c r="E98" s="278"/>
      <c r="F98" s="1134"/>
      <c r="G98" s="947">
        <f>IF((AllSat+AllSat1&gt;0),"",MAX(F99:F102)/MAX(E99:E102))</f>
        <v>0</v>
      </c>
      <c r="H98" s="1687" t="s">
        <v>5419</v>
      </c>
      <c r="I98" s="4" t="s">
        <v>646</v>
      </c>
    </row>
    <row r="99" spans="1:9" ht="27" customHeight="1" x14ac:dyDescent="0.2">
      <c r="A99" s="2128"/>
      <c r="B99" s="1705"/>
      <c r="C99" s="212" t="str">
        <f>F!C95</f>
        <v>evident from direct observation or presence of gnawed limbs, dams, tracks, dens, lodges, or extensive stands of water-killed trees (snags).</v>
      </c>
      <c r="D99" s="64">
        <f>F!D95</f>
        <v>0</v>
      </c>
      <c r="E99" s="54">
        <v>5</v>
      </c>
      <c r="F99" s="58">
        <f>D99*E99</f>
        <v>0</v>
      </c>
      <c r="G99" s="1093"/>
      <c r="H99" s="1705"/>
    </row>
    <row r="100" spans="1:9" ht="42" customHeight="1" x14ac:dyDescent="0.2">
      <c r="A100" s="2128"/>
      <c r="B100" s="1705"/>
      <c r="C100" s="901"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00" s="30">
        <f>F!D96</f>
        <v>0</v>
      </c>
      <c r="E100" s="54">
        <v>2</v>
      </c>
      <c r="F100" s="58">
        <f>D100*E100</f>
        <v>0</v>
      </c>
      <c r="G100" s="1094"/>
      <c r="H100" s="1705"/>
    </row>
    <row r="101" spans="1:9" ht="27" customHeight="1" x14ac:dyDescent="0.2">
      <c r="A101" s="2128"/>
      <c r="B101" s="1705"/>
      <c r="C101" s="901" t="str">
        <f>F!C97</f>
        <v>unlikely because site characteristics above are deficient, and/or this is a settled area or other area where beaver are routinely removed.  But beaver occur in the region (i.e., within 10 miles, or on same island).</v>
      </c>
      <c r="D101" s="30">
        <f>F!D97</f>
        <v>0</v>
      </c>
      <c r="E101" s="54">
        <v>1</v>
      </c>
      <c r="F101" s="58">
        <f>D101*E101</f>
        <v>0</v>
      </c>
      <c r="G101" s="1094"/>
      <c r="H101" s="1705"/>
    </row>
    <row r="102" spans="1:9" ht="15.6" customHeight="1" thickBot="1" x14ac:dyDescent="0.25">
      <c r="A102" s="2128"/>
      <c r="B102" s="1705"/>
      <c r="C102" s="912" t="str">
        <f>F!C98</f>
        <v>none.  Beaver are absent from the region and/or the island.</v>
      </c>
      <c r="D102" s="56">
        <f>F!D98</f>
        <v>0</v>
      </c>
      <c r="E102" s="934">
        <v>0</v>
      </c>
      <c r="F102" s="240">
        <f>D102*E102</f>
        <v>0</v>
      </c>
      <c r="G102" s="946"/>
      <c r="H102" s="1705"/>
    </row>
    <row r="103" spans="1:9" ht="45" customHeight="1" thickBot="1" x14ac:dyDescent="0.25">
      <c r="A103" s="250" t="str">
        <f>F!A107</f>
        <v>F24</v>
      </c>
      <c r="B103" s="226" t="str">
        <f>F!B107</f>
        <v>Inflow</v>
      </c>
      <c r="C103" s="1110" t="str">
        <f>F!C107</f>
        <v>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SKIP to F28.</v>
      </c>
      <c r="D103" s="341">
        <f>F!D107</f>
        <v>0</v>
      </c>
      <c r="E103" s="952"/>
      <c r="F103" s="1137"/>
      <c r="G103" s="947">
        <f>D103</f>
        <v>0</v>
      </c>
      <c r="H103" s="49" t="s">
        <v>5433</v>
      </c>
      <c r="I103" s="4" t="s">
        <v>647</v>
      </c>
    </row>
    <row r="104" spans="1:9" ht="21" customHeight="1" thickBot="1" x14ac:dyDescent="0.25">
      <c r="A104" s="2128" t="str">
        <f>F!A130</f>
        <v>F30</v>
      </c>
      <c r="B104" s="1705" t="str">
        <f>F!B130</f>
        <v>Groundwater: Strength of Evidence</v>
      </c>
      <c r="C104" s="911" t="str">
        <f>F!C130</f>
        <v>Select first applicable choice.  In the AA:</v>
      </c>
      <c r="D104" s="932"/>
      <c r="E104" s="932"/>
      <c r="F104" s="1093"/>
      <c r="G104" s="933">
        <f>IF((D107=1),"",MAX(F105:F107)/MAX(E105:E107))</f>
        <v>0</v>
      </c>
      <c r="H104" s="1688" t="s">
        <v>5417</v>
      </c>
      <c r="I104" s="4" t="s">
        <v>644</v>
      </c>
    </row>
    <row r="105" spans="1:9" ht="72" customHeight="1" x14ac:dyDescent="0.2">
      <c r="A105" s="2128"/>
      <c r="B105" s="1705"/>
      <c r="C105" s="212"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05" s="64">
        <f>F!D131</f>
        <v>0</v>
      </c>
      <c r="E105" s="54">
        <v>2</v>
      </c>
      <c r="F105" s="58">
        <f>D105*E105</f>
        <v>0</v>
      </c>
      <c r="G105" s="1138"/>
      <c r="H105" s="1705"/>
    </row>
    <row r="106" spans="1:9" ht="84" customHeight="1" x14ac:dyDescent="0.2">
      <c r="A106" s="2128"/>
      <c r="B106" s="1705"/>
      <c r="C106" s="901"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06" s="30">
        <f>F!D132</f>
        <v>0</v>
      </c>
      <c r="E106" s="54">
        <v>1</v>
      </c>
      <c r="F106" s="58">
        <f>D106*E106</f>
        <v>0</v>
      </c>
      <c r="G106" s="946"/>
      <c r="H106" s="1705"/>
    </row>
    <row r="107" spans="1:9" ht="27.6" customHeight="1" thickBot="1" x14ac:dyDescent="0.25">
      <c r="A107" s="2129"/>
      <c r="B107" s="1706"/>
      <c r="C107" s="902" t="str">
        <f>F!C133</f>
        <v>Neither of above is true, although some groundwater may discharge to or flow through the AA, or groundwater influx is unknown.</v>
      </c>
      <c r="D107" s="238">
        <f>F!D133</f>
        <v>0</v>
      </c>
      <c r="E107" s="239">
        <v>0</v>
      </c>
      <c r="F107" s="244">
        <f>D107*E107</f>
        <v>0</v>
      </c>
      <c r="G107" s="944"/>
      <c r="H107" s="1706"/>
    </row>
    <row r="108" spans="1:9" ht="21" customHeight="1" thickBot="1" x14ac:dyDescent="0.25">
      <c r="A108" s="2124" t="str">
        <f>F!A140</f>
        <v>F32</v>
      </c>
      <c r="B108" s="1705" t="str">
        <f>F!B140</f>
        <v>Tree &amp; Tall Shrub Canopy Extent</v>
      </c>
      <c r="C108" s="900" t="str">
        <f>F!C140</f>
        <v>Within the vegetated part of the AA, just the trees that are taller than 20 ft occupy:</v>
      </c>
      <c r="D108" s="278"/>
      <c r="E108" s="932"/>
      <c r="F108" s="59"/>
      <c r="G108" s="933">
        <f>IF((NoWoodyVeg=1),"", MAX(F109:F113)/MAX(E109:E113))</f>
        <v>0</v>
      </c>
      <c r="H108" s="1688" t="s">
        <v>5527</v>
      </c>
      <c r="I108" s="4" t="s">
        <v>638</v>
      </c>
    </row>
    <row r="109" spans="1:9" ht="15" customHeight="1" x14ac:dyDescent="0.2">
      <c r="A109" s="2124"/>
      <c r="B109" s="1705"/>
      <c r="C109" s="212" t="str">
        <f>F!C141</f>
        <v>&lt;1% of the vegetated AA, or the AA lacks trees.  Enter "1" and SKIP to F37.</v>
      </c>
      <c r="D109" s="64">
        <f>F!D141</f>
        <v>0</v>
      </c>
      <c r="E109" s="1135">
        <v>1</v>
      </c>
      <c r="F109" s="58">
        <f t="shared" ref="F109:F125" si="4">D109*E109</f>
        <v>0</v>
      </c>
      <c r="G109" s="1093"/>
      <c r="H109" s="1688"/>
    </row>
    <row r="110" spans="1:9" ht="15" customHeight="1" x14ac:dyDescent="0.2">
      <c r="A110" s="2124"/>
      <c r="B110" s="1705"/>
      <c r="C110" s="901" t="str">
        <f>F!C142</f>
        <v>1-25% of the vegetated AA</v>
      </c>
      <c r="D110" s="30">
        <f>F!D142</f>
        <v>0</v>
      </c>
      <c r="E110" s="1135">
        <v>2</v>
      </c>
      <c r="F110" s="58">
        <f t="shared" si="4"/>
        <v>0</v>
      </c>
      <c r="G110" s="1094"/>
      <c r="H110" s="1688"/>
    </row>
    <row r="111" spans="1:9" ht="15" customHeight="1" x14ac:dyDescent="0.2">
      <c r="A111" s="2124"/>
      <c r="B111" s="1705"/>
      <c r="C111" s="901" t="str">
        <f>F!C143</f>
        <v>25-50% of the vegetated AA</v>
      </c>
      <c r="D111" s="30">
        <f>F!D143</f>
        <v>0</v>
      </c>
      <c r="E111" s="1135">
        <v>3</v>
      </c>
      <c r="F111" s="58">
        <f t="shared" si="4"/>
        <v>0</v>
      </c>
      <c r="G111" s="1094"/>
      <c r="H111" s="1688"/>
    </row>
    <row r="112" spans="1:9" ht="15" customHeight="1" x14ac:dyDescent="0.2">
      <c r="A112" s="2124"/>
      <c r="B112" s="1705"/>
      <c r="C112" s="901" t="str">
        <f>F!C144</f>
        <v>50-95% of the vegetated AA</v>
      </c>
      <c r="D112" s="30">
        <f>F!D144</f>
        <v>0</v>
      </c>
      <c r="E112" s="1135">
        <v>2</v>
      </c>
      <c r="F112" s="58">
        <f t="shared" si="4"/>
        <v>0</v>
      </c>
      <c r="G112" s="1094"/>
      <c r="H112" s="1688"/>
    </row>
    <row r="113" spans="1:9" ht="15.6" customHeight="1" thickBot="1" x14ac:dyDescent="0.25">
      <c r="A113" s="2124"/>
      <c r="B113" s="1705"/>
      <c r="C113" s="912" t="str">
        <f>F!C145</f>
        <v>&gt;95% of the vegetated part of the AA</v>
      </c>
      <c r="D113" s="56">
        <f>F!D145</f>
        <v>0</v>
      </c>
      <c r="E113" s="1136">
        <v>1</v>
      </c>
      <c r="F113" s="240">
        <f t="shared" si="4"/>
        <v>0</v>
      </c>
      <c r="G113" s="946"/>
      <c r="H113" s="1688"/>
    </row>
    <row r="114" spans="1:9" ht="21" customHeight="1" thickBot="1" x14ac:dyDescent="0.25">
      <c r="A114" s="2127" t="str">
        <f>F!A146</f>
        <v>F33</v>
      </c>
      <c r="B114" s="1704" t="str">
        <f>F!B146</f>
        <v>Deciduous Trees</v>
      </c>
      <c r="C114" s="1111" t="str">
        <f>F!C146</f>
        <v>Within the vegetated part of the AA, just the deciduous trees that are taller than 20 ft occupy:</v>
      </c>
      <c r="D114" s="278"/>
      <c r="E114" s="278"/>
      <c r="F114" s="279"/>
      <c r="G114" s="947">
        <f>IF((NoWoodyVeg=1),"",IF((NoTrees=1),"",MAX(F115:F119)/MAX(E115:E119)))</f>
        <v>0</v>
      </c>
      <c r="H114" s="2008" t="s">
        <v>5528</v>
      </c>
      <c r="I114" s="4" t="s">
        <v>2502</v>
      </c>
    </row>
    <row r="115" spans="1:9" ht="15" customHeight="1" x14ac:dyDescent="0.2">
      <c r="A115" s="2128"/>
      <c r="B115" s="1705"/>
      <c r="C115" s="1113" t="str">
        <f>F!C147</f>
        <v>&lt;1% of the vegetated AA</v>
      </c>
      <c r="D115" s="64">
        <f>F!D147</f>
        <v>0</v>
      </c>
      <c r="E115" s="58">
        <v>0</v>
      </c>
      <c r="F115" s="58">
        <f>D115*E115</f>
        <v>0</v>
      </c>
      <c r="G115" s="1090"/>
      <c r="H115" s="1970"/>
    </row>
    <row r="116" spans="1:9" ht="15" customHeight="1" x14ac:dyDescent="0.2">
      <c r="A116" s="2128"/>
      <c r="B116" s="1705"/>
      <c r="C116" s="1114" t="str">
        <f>F!C148</f>
        <v>1-25% of the vegetated AA</v>
      </c>
      <c r="D116" s="30">
        <f>F!D148</f>
        <v>0</v>
      </c>
      <c r="E116" s="58">
        <v>1</v>
      </c>
      <c r="F116" s="58">
        <f>D116*E116</f>
        <v>0</v>
      </c>
      <c r="G116" s="1090"/>
      <c r="H116" s="1970"/>
    </row>
    <row r="117" spans="1:9" ht="15" customHeight="1" x14ac:dyDescent="0.2">
      <c r="A117" s="2128"/>
      <c r="B117" s="1705"/>
      <c r="C117" s="1114" t="str">
        <f>F!C149</f>
        <v>25-50% of the vegetated AA</v>
      </c>
      <c r="D117" s="30">
        <f>F!D149</f>
        <v>0</v>
      </c>
      <c r="E117" s="58">
        <v>2</v>
      </c>
      <c r="F117" s="58">
        <f>D117*E117</f>
        <v>0</v>
      </c>
      <c r="G117" s="1090"/>
      <c r="H117" s="1970"/>
    </row>
    <row r="118" spans="1:9" ht="15" customHeight="1" x14ac:dyDescent="0.2">
      <c r="A118" s="2128"/>
      <c r="B118" s="1705"/>
      <c r="C118" s="1114" t="str">
        <f>F!C150</f>
        <v>50-95% of the vegetated AA</v>
      </c>
      <c r="D118" s="30">
        <f>F!D150</f>
        <v>0</v>
      </c>
      <c r="E118" s="58">
        <v>3</v>
      </c>
      <c r="F118" s="58">
        <f>D118*E118</f>
        <v>0</v>
      </c>
      <c r="G118" s="1090"/>
      <c r="H118" s="1970"/>
    </row>
    <row r="119" spans="1:9" ht="15.6" customHeight="1" thickBot="1" x14ac:dyDescent="0.25">
      <c r="A119" s="2129"/>
      <c r="B119" s="1706"/>
      <c r="C119" s="1120" t="str">
        <f>F!C151</f>
        <v>&gt;95% of the vegetated part of the AA</v>
      </c>
      <c r="D119" s="238">
        <f>F!D151</f>
        <v>0</v>
      </c>
      <c r="E119" s="244">
        <v>2</v>
      </c>
      <c r="F119" s="244">
        <f>D119*E119</f>
        <v>0</v>
      </c>
      <c r="G119" s="943"/>
      <c r="H119" s="1971"/>
    </row>
    <row r="120" spans="1:9" ht="24" customHeight="1" thickBot="1" x14ac:dyDescent="0.25">
      <c r="A120" s="2128" t="str">
        <f>F!A168</f>
        <v>F37</v>
      </c>
      <c r="B120" s="1705" t="str">
        <f>F!B168</f>
        <v>Exposed Shrub Canopy</v>
      </c>
      <c r="C120" s="911" t="str">
        <f>F!C168</f>
        <v>Woody vegetation 3 to 20 ft tall that is not under the drip line of trees is:</v>
      </c>
      <c r="D120" s="278"/>
      <c r="E120" s="945"/>
      <c r="F120" s="59"/>
      <c r="G120" s="933">
        <f>IF((NoWoodyVeg=1),"", MAX(F121:F125)/MAX(E121:E125))</f>
        <v>0</v>
      </c>
      <c r="H120" s="1873" t="s">
        <v>5529</v>
      </c>
      <c r="I120" s="4" t="s">
        <v>640</v>
      </c>
    </row>
    <row r="121" spans="1:9" ht="26.25" customHeight="1" x14ac:dyDescent="0.2">
      <c r="A121" s="2128"/>
      <c r="B121" s="1705"/>
      <c r="C121" s="212" t="str">
        <f>F!C169</f>
        <v>&lt;5% of the vegetated AA and (if a fringe wetland) &lt;5% of its water edge.  Or &lt;0.01 acre.  SKIP to F41.</v>
      </c>
      <c r="D121" s="64">
        <f>F!D169</f>
        <v>0</v>
      </c>
      <c r="E121" s="1135">
        <v>1</v>
      </c>
      <c r="F121" s="58">
        <f t="shared" si="4"/>
        <v>0</v>
      </c>
      <c r="G121" s="1093"/>
      <c r="H121" s="1702"/>
    </row>
    <row r="122" spans="1:9" ht="26.25" customHeight="1" x14ac:dyDescent="0.2">
      <c r="A122" s="2128"/>
      <c r="B122" s="1705"/>
      <c r="C122" s="901" t="str">
        <f>F!C170</f>
        <v>5-25% of the vegetated AA or (if a fringe wetland) 5-25% of the water edge  -- whichever is greater.</v>
      </c>
      <c r="D122" s="30">
        <f>F!D170</f>
        <v>0</v>
      </c>
      <c r="E122" s="1135">
        <v>3</v>
      </c>
      <c r="F122" s="58">
        <f t="shared" si="4"/>
        <v>0</v>
      </c>
      <c r="G122" s="1094"/>
      <c r="H122" s="1702"/>
    </row>
    <row r="123" spans="1:9" ht="15" customHeight="1" x14ac:dyDescent="0.2">
      <c r="A123" s="2128"/>
      <c r="B123" s="1705"/>
      <c r="C123" s="901" t="str">
        <f>F!C171</f>
        <v xml:space="preserve">25-50% of the vegetated AA or the water edge, whichever is greater. </v>
      </c>
      <c r="D123" s="30">
        <f>F!D171</f>
        <v>0</v>
      </c>
      <c r="E123" s="1135">
        <v>2</v>
      </c>
      <c r="F123" s="58">
        <f t="shared" si="4"/>
        <v>0</v>
      </c>
      <c r="G123" s="1094"/>
      <c r="H123" s="1702"/>
    </row>
    <row r="124" spans="1:9" ht="15" customHeight="1" x14ac:dyDescent="0.2">
      <c r="A124" s="2128"/>
      <c r="B124" s="1705"/>
      <c r="C124" s="901" t="str">
        <f>F!C172</f>
        <v>50-95% of the vegetated AA or the water edge, whichever is greater.</v>
      </c>
      <c r="D124" s="30">
        <f>F!D172</f>
        <v>0</v>
      </c>
      <c r="E124" s="1135">
        <v>1</v>
      </c>
      <c r="F124" s="58">
        <f t="shared" si="4"/>
        <v>0</v>
      </c>
      <c r="G124" s="1094"/>
      <c r="H124" s="1702"/>
    </row>
    <row r="125" spans="1:9" ht="15.6" customHeight="1" thickBot="1" x14ac:dyDescent="0.25">
      <c r="A125" s="2129"/>
      <c r="B125" s="1706"/>
      <c r="C125" s="902" t="str">
        <f>F!C173</f>
        <v>&gt;95% of the vegetated part of the AA or the water edge, whichever is greater.</v>
      </c>
      <c r="D125" s="238">
        <f>F!D173</f>
        <v>0</v>
      </c>
      <c r="E125" s="942">
        <v>0</v>
      </c>
      <c r="F125" s="244">
        <f t="shared" si="4"/>
        <v>0</v>
      </c>
      <c r="G125" s="944"/>
      <c r="H125" s="1712"/>
    </row>
    <row r="126" spans="1:9" ht="30" customHeight="1" thickBot="1" x14ac:dyDescent="0.25">
      <c r="A126" s="2144" t="str">
        <f>F!A174</f>
        <v>F38</v>
      </c>
      <c r="B126" s="2134" t="str">
        <f>F!B174</f>
        <v>Shrub Species Dominance</v>
      </c>
      <c r="C126" s="900" t="str">
        <f>F!C174</f>
        <v>Determine which two native shrub species (3 to 20 ft tall) comprise the greatest portion of the native shrub cover.  Then choose one:</v>
      </c>
      <c r="D126" s="278"/>
      <c r="E126" s="278"/>
      <c r="F126" s="242"/>
      <c r="G126" s="947">
        <f>IF((NoWoodyVeg=1),"", IF((NoShrub=1),"", MAX(F127:F128)))</f>
        <v>0</v>
      </c>
      <c r="H126" s="1709" t="s">
        <v>5421</v>
      </c>
      <c r="I126" s="4" t="s">
        <v>615</v>
      </c>
    </row>
    <row r="127" spans="1:9" ht="15" customHeight="1" x14ac:dyDescent="0.2">
      <c r="A127" s="2106"/>
      <c r="B127" s="2111"/>
      <c r="C127" s="212" t="str">
        <f>F!C175</f>
        <v>those species together comprise &gt; 50% of the areal cover of native shrub species.</v>
      </c>
      <c r="D127" s="64">
        <f>F!D175</f>
        <v>0</v>
      </c>
      <c r="E127" s="58">
        <v>0</v>
      </c>
      <c r="F127" s="58">
        <f>D127*E127</f>
        <v>0</v>
      </c>
      <c r="G127" s="1093"/>
      <c r="H127" s="2111"/>
    </row>
    <row r="128" spans="1:9" ht="15.6" customHeight="1" thickBot="1" x14ac:dyDescent="0.25">
      <c r="A128" s="2107"/>
      <c r="B128" s="2112"/>
      <c r="C128" s="902" t="str">
        <f>F!C176</f>
        <v>those species together do not comprise &gt; 50% of the areal cover of native shrub species.</v>
      </c>
      <c r="D128" s="238">
        <f>F!D176</f>
        <v>0</v>
      </c>
      <c r="E128" s="244">
        <v>1</v>
      </c>
      <c r="F128" s="244">
        <f>D128*E128</f>
        <v>0</v>
      </c>
      <c r="G128" s="944"/>
      <c r="H128" s="2112"/>
    </row>
    <row r="129" spans="1:9" ht="30" customHeight="1" thickBot="1" x14ac:dyDescent="0.25">
      <c r="A129" s="2124" t="str">
        <f>F!A182</f>
        <v>F40</v>
      </c>
      <c r="B129" s="1705" t="str">
        <f>F!B182</f>
        <v>Deciduous Shrubs</v>
      </c>
      <c r="C129" s="1111" t="str">
        <f>F!C182</f>
        <v>Woody vegetation in the 3 to 20 ft height class which is deciduous (e.g., blueberry, menziesia, alder) comprises:</v>
      </c>
      <c r="D129" s="278"/>
      <c r="E129" s="246"/>
      <c r="F129" s="59"/>
      <c r="G129" s="933">
        <f>IF((NoWoodyVeg=1),"",IF((NoShrub=1),"",MAX(F130:F134)/MAX(E130:E134)))</f>
        <v>0</v>
      </c>
      <c r="H129" s="1688" t="s">
        <v>2237</v>
      </c>
      <c r="I129" s="4" t="s">
        <v>641</v>
      </c>
    </row>
    <row r="130" spans="1:9" ht="15" customHeight="1" x14ac:dyDescent="0.2">
      <c r="A130" s="2124"/>
      <c r="B130" s="1705"/>
      <c r="C130" s="1113" t="str">
        <f>F!C183</f>
        <v>&lt;1% of the AA's vegetated area, or largest patch occupies less than 400 sq. ft</v>
      </c>
      <c r="D130" s="64">
        <f>F!D183</f>
        <v>0</v>
      </c>
      <c r="E130" s="58">
        <v>0</v>
      </c>
      <c r="F130" s="58">
        <f>D130*E130</f>
        <v>0</v>
      </c>
      <c r="G130" s="1093"/>
      <c r="H130" s="1705"/>
    </row>
    <row r="131" spans="1:9" ht="15" customHeight="1" x14ac:dyDescent="0.2">
      <c r="A131" s="2124"/>
      <c r="B131" s="1705"/>
      <c r="C131" s="1114" t="str">
        <f>F!C184</f>
        <v>1-25% of the vegetated area</v>
      </c>
      <c r="D131" s="30">
        <f>F!D184</f>
        <v>0</v>
      </c>
      <c r="E131" s="58">
        <v>1</v>
      </c>
      <c r="F131" s="58">
        <f>D131*E131</f>
        <v>0</v>
      </c>
      <c r="G131" s="1094"/>
      <c r="H131" s="1705"/>
    </row>
    <row r="132" spans="1:9" ht="15" customHeight="1" x14ac:dyDescent="0.2">
      <c r="A132" s="2124"/>
      <c r="B132" s="1705"/>
      <c r="C132" s="1114" t="str">
        <f>F!C185</f>
        <v>25-50% of the vegetated area</v>
      </c>
      <c r="D132" s="30">
        <f>F!D185</f>
        <v>0</v>
      </c>
      <c r="E132" s="58">
        <v>2</v>
      </c>
      <c r="F132" s="58">
        <f>D132*E132</f>
        <v>0</v>
      </c>
      <c r="G132" s="1094"/>
      <c r="H132" s="1705"/>
    </row>
    <row r="133" spans="1:9" ht="15" customHeight="1" x14ac:dyDescent="0.2">
      <c r="A133" s="2124"/>
      <c r="B133" s="1705"/>
      <c r="C133" s="1114" t="str">
        <f>F!C186</f>
        <v>50-75% of the vegetated area</v>
      </c>
      <c r="D133" s="30">
        <f>F!D186</f>
        <v>0</v>
      </c>
      <c r="E133" s="58">
        <v>3</v>
      </c>
      <c r="F133" s="58">
        <f>D133*E133</f>
        <v>0</v>
      </c>
      <c r="G133" s="1094"/>
      <c r="H133" s="1705"/>
    </row>
    <row r="134" spans="1:9" ht="15.6" customHeight="1" thickBot="1" x14ac:dyDescent="0.25">
      <c r="A134" s="2124"/>
      <c r="B134" s="1705"/>
      <c r="C134" s="1115" t="str">
        <f>F!C187</f>
        <v>&gt;75% of the vegetated area</v>
      </c>
      <c r="D134" s="56">
        <f>F!D187</f>
        <v>0</v>
      </c>
      <c r="E134" s="240">
        <v>2</v>
      </c>
      <c r="F134" s="240">
        <f>D134*E134</f>
        <v>0</v>
      </c>
      <c r="G134" s="946"/>
      <c r="H134" s="1705"/>
    </row>
    <row r="135" spans="1:9" ht="30" customHeight="1" thickBot="1" x14ac:dyDescent="0.25">
      <c r="A135" s="2127" t="str">
        <f>F!A188</f>
        <v>F41</v>
      </c>
      <c r="B135" s="1704" t="str">
        <f>F!B188</f>
        <v>N Fixers</v>
      </c>
      <c r="C135" s="900" t="str">
        <f>F!C188</f>
        <v>The percent of the AA's vegetated cover that is nitrogen-fixing  plants -- e.g., alder, sweet clover (Meliolotus), sweetgale (Myrica gale), buffaloberry, clover, lupine, other legumes -- is:</v>
      </c>
      <c r="D135" s="278"/>
      <c r="E135" s="242"/>
      <c r="F135" s="242"/>
      <c r="G135" s="947">
        <f>MAX(F136:F140)/MAX(E136:E140)</f>
        <v>0</v>
      </c>
      <c r="H135" s="1687" t="s">
        <v>1174</v>
      </c>
      <c r="I135" s="4" t="s">
        <v>639</v>
      </c>
    </row>
    <row r="136" spans="1:9" ht="15" customHeight="1" x14ac:dyDescent="0.2">
      <c r="A136" s="2128"/>
      <c r="B136" s="1705"/>
      <c r="C136" s="212" t="str">
        <f>F!C189</f>
        <v>&lt;1% or none</v>
      </c>
      <c r="D136" s="64">
        <f>F!D189</f>
        <v>0</v>
      </c>
      <c r="E136" s="58">
        <v>0</v>
      </c>
      <c r="F136" s="58">
        <f>D136*E136</f>
        <v>0</v>
      </c>
      <c r="G136" s="1093"/>
      <c r="H136" s="1705"/>
    </row>
    <row r="137" spans="1:9" ht="15" customHeight="1" x14ac:dyDescent="0.2">
      <c r="A137" s="2128"/>
      <c r="B137" s="1705"/>
      <c r="C137" s="901" t="str">
        <f>F!C190</f>
        <v>1-25% of the shrub plus ground cover, in the AA or along its water edge (whichever has more).</v>
      </c>
      <c r="D137" s="30">
        <f>F!D190</f>
        <v>0</v>
      </c>
      <c r="E137" s="58">
        <v>2</v>
      </c>
      <c r="F137" s="58">
        <f>D137*E137</f>
        <v>0</v>
      </c>
      <c r="G137" s="1094"/>
      <c r="H137" s="1705"/>
    </row>
    <row r="138" spans="1:9" ht="15" customHeight="1" x14ac:dyDescent="0.2">
      <c r="A138" s="2128"/>
      <c r="B138" s="1705"/>
      <c r="C138" s="901" t="str">
        <f>F!C191</f>
        <v>25-50% of the shrub plus ground cover, in the AA or along its water edge (whichever has more).</v>
      </c>
      <c r="D138" s="30">
        <f>F!D191</f>
        <v>0</v>
      </c>
      <c r="E138" s="58">
        <v>3</v>
      </c>
      <c r="F138" s="58">
        <f>D138*E138</f>
        <v>0</v>
      </c>
      <c r="G138" s="1094"/>
      <c r="H138" s="1705"/>
    </row>
    <row r="139" spans="1:9" ht="15" customHeight="1" x14ac:dyDescent="0.2">
      <c r="A139" s="2128"/>
      <c r="B139" s="1705"/>
      <c r="C139" s="901" t="str">
        <f>F!C192</f>
        <v>50-75% of the shrub plus ground cover, in the AA or along its water edge (whichever has more).</v>
      </c>
      <c r="D139" s="30">
        <f>F!D192</f>
        <v>0</v>
      </c>
      <c r="E139" s="58">
        <v>2</v>
      </c>
      <c r="F139" s="58">
        <f>D139*E139</f>
        <v>0</v>
      </c>
      <c r="G139" s="1094"/>
      <c r="H139" s="1705"/>
    </row>
    <row r="140" spans="1:9" ht="15.6" customHeight="1" thickBot="1" x14ac:dyDescent="0.25">
      <c r="A140" s="2129"/>
      <c r="B140" s="1706"/>
      <c r="C140" s="902" t="str">
        <f>F!C193</f>
        <v>&gt;75% of the shrub plus ground cover, in the AA or along its water edge (whichever has more).</v>
      </c>
      <c r="D140" s="238">
        <f>F!D193</f>
        <v>0</v>
      </c>
      <c r="E140" s="244">
        <v>1</v>
      </c>
      <c r="F140" s="244">
        <f>D140*E140</f>
        <v>0</v>
      </c>
      <c r="G140" s="944"/>
      <c r="H140" s="1706"/>
    </row>
    <row r="141" spans="1:9" ht="27" customHeight="1" thickBot="1" x14ac:dyDescent="0.25">
      <c r="A141" s="1845" t="str">
        <f>F!A194</f>
        <v>F42</v>
      </c>
      <c r="B141" s="1688" t="str">
        <f>F!B194</f>
        <v>Dense Moss Extent</v>
      </c>
      <c r="C141" s="231" t="str">
        <f>F!C194</f>
        <v>The cover of mosses that form a dense cushion many inches thick (i.e., Sphagnum and other peat-forming species forming &gt;3 inch thick mat), including the moss obscured by taller sedges, shrubs, and other plants rooted in it, is:</v>
      </c>
      <c r="D141" s="278"/>
      <c r="E141" s="59"/>
      <c r="F141" s="59"/>
      <c r="G141" s="933">
        <f>IF((AllWet=1),"",MAX(F142:F146)/MAX(E142:E146))</f>
        <v>0</v>
      </c>
      <c r="H141" s="1688" t="s">
        <v>1173</v>
      </c>
      <c r="I141" s="4" t="s">
        <v>637</v>
      </c>
    </row>
    <row r="142" spans="1:9" ht="15" customHeight="1" x14ac:dyDescent="0.2">
      <c r="A142" s="1845"/>
      <c r="B142" s="1688"/>
      <c r="C142" s="21" t="str">
        <f>F!C195</f>
        <v>&lt;5% of the vegetated ground cover.</v>
      </c>
      <c r="D142" s="280">
        <f>F!D195</f>
        <v>0</v>
      </c>
      <c r="E142" s="1135">
        <v>4</v>
      </c>
      <c r="F142" s="58">
        <f>D142*E142</f>
        <v>0</v>
      </c>
      <c r="G142" s="1093"/>
      <c r="H142" s="1688"/>
    </row>
    <row r="143" spans="1:9" ht="15" customHeight="1" x14ac:dyDescent="0.2">
      <c r="A143" s="1845"/>
      <c r="B143" s="1688"/>
      <c r="C143" s="6" t="str">
        <f>F!C196</f>
        <v>5-25% of the vegetated ground cover.</v>
      </c>
      <c r="D143" s="46">
        <f>F!D196</f>
        <v>0</v>
      </c>
      <c r="E143" s="1135">
        <v>5</v>
      </c>
      <c r="F143" s="58">
        <f>D143*E143</f>
        <v>0</v>
      </c>
      <c r="G143" s="1094"/>
      <c r="H143" s="1688"/>
    </row>
    <row r="144" spans="1:9" ht="15" customHeight="1" x14ac:dyDescent="0.2">
      <c r="A144" s="1845"/>
      <c r="B144" s="1688"/>
      <c r="C144" s="6" t="str">
        <f>F!C197</f>
        <v>25-50% of the vegetated ground cover.</v>
      </c>
      <c r="D144" s="46">
        <f>F!D197</f>
        <v>0</v>
      </c>
      <c r="E144" s="1135">
        <v>3</v>
      </c>
      <c r="F144" s="58">
        <f>D144*E144</f>
        <v>0</v>
      </c>
      <c r="G144" s="1094"/>
      <c r="H144" s="1688"/>
    </row>
    <row r="145" spans="1:9" ht="15" customHeight="1" x14ac:dyDescent="0.2">
      <c r="A145" s="1845"/>
      <c r="B145" s="1688"/>
      <c r="C145" s="6" t="str">
        <f>F!C198</f>
        <v>50-95% of the vegetated ground cover.</v>
      </c>
      <c r="D145" s="46">
        <f>F!D198</f>
        <v>0</v>
      </c>
      <c r="E145" s="1135">
        <v>2</v>
      </c>
      <c r="F145" s="58">
        <f>D145*E145</f>
        <v>0</v>
      </c>
      <c r="G145" s="1094"/>
      <c r="H145" s="1688"/>
    </row>
    <row r="146" spans="1:9" ht="15.6" customHeight="1" thickBot="1" x14ac:dyDescent="0.25">
      <c r="A146" s="1845"/>
      <c r="B146" s="1688"/>
      <c r="C146" s="470" t="str">
        <f>F!C199</f>
        <v>&gt;95% of the vegetated ground cover.</v>
      </c>
      <c r="D146" s="20">
        <f>F!D199</f>
        <v>0</v>
      </c>
      <c r="E146" s="1136">
        <v>1</v>
      </c>
      <c r="F146" s="240">
        <f>D146*E146</f>
        <v>0</v>
      </c>
      <c r="G146" s="946"/>
      <c r="H146" s="1688"/>
    </row>
    <row r="147" spans="1:9" ht="45" customHeight="1" thickBot="1" x14ac:dyDescent="0.25">
      <c r="A147" s="2144" t="str">
        <f>F!A206</f>
        <v>F44</v>
      </c>
      <c r="B147" s="2134" t="str">
        <f>F!B206</f>
        <v>Ground Irregularity</v>
      </c>
      <c r="C147" s="900"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47" s="278"/>
      <c r="E147" s="278"/>
      <c r="F147" s="242"/>
      <c r="G147" s="947">
        <f>MAX(F148:F150)/MAX(E148:E150)</f>
        <v>0</v>
      </c>
      <c r="H147" s="1709" t="s">
        <v>1175</v>
      </c>
      <c r="I147" s="4" t="s">
        <v>616</v>
      </c>
    </row>
    <row r="148" spans="1:9" ht="15" customHeight="1" x14ac:dyDescent="0.2">
      <c r="A148" s="2106"/>
      <c r="B148" s="2111"/>
      <c r="C148" s="212" t="str">
        <f>F!C207</f>
        <v xml:space="preserve">Few or none (minimal microtopography; &lt;1% of that area) </v>
      </c>
      <c r="D148" s="64">
        <f>F!D207</f>
        <v>0</v>
      </c>
      <c r="E148" s="54">
        <v>0</v>
      </c>
      <c r="F148" s="58">
        <f>D148*E148</f>
        <v>0</v>
      </c>
      <c r="G148" s="1093"/>
      <c r="H148" s="2111"/>
    </row>
    <row r="149" spans="1:9" ht="15" customHeight="1" x14ac:dyDescent="0.2">
      <c r="A149" s="2106"/>
      <c r="B149" s="2111"/>
      <c r="C149" s="901" t="str">
        <f>F!C208</f>
        <v>Intermediate</v>
      </c>
      <c r="D149" s="30">
        <f>F!D208</f>
        <v>0</v>
      </c>
      <c r="E149" s="54">
        <v>1</v>
      </c>
      <c r="F149" s="58">
        <f>D149*E149</f>
        <v>0</v>
      </c>
      <c r="G149" s="1094"/>
      <c r="H149" s="2111"/>
    </row>
    <row r="150" spans="1:9" ht="15.6" customHeight="1" thickBot="1" x14ac:dyDescent="0.25">
      <c r="A150" s="2107"/>
      <c r="B150" s="2112"/>
      <c r="C150" s="902" t="str">
        <f>F!C209</f>
        <v>Several (extensive micro-topography)</v>
      </c>
      <c r="D150" s="238">
        <f>F!D209</f>
        <v>0</v>
      </c>
      <c r="E150" s="239">
        <v>2</v>
      </c>
      <c r="F150" s="244">
        <f>D150*E150</f>
        <v>0</v>
      </c>
      <c r="G150" s="944"/>
      <c r="H150" s="2112"/>
    </row>
    <row r="151" spans="1:9" ht="60" customHeight="1" thickBot="1" x14ac:dyDescent="0.25">
      <c r="A151" s="2118" t="str">
        <f>F!A214</f>
        <v>F46</v>
      </c>
      <c r="B151" s="2111" t="str">
        <f>F!B214</f>
        <v>Soil Texture</v>
      </c>
      <c r="C151" s="900"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51" s="278"/>
      <c r="E151" s="932"/>
      <c r="F151" s="59"/>
      <c r="G151" s="933">
        <f>MAX(F152:F157)/MAX(E152:E157)</f>
        <v>0</v>
      </c>
      <c r="H151" s="1710" t="s">
        <v>1176</v>
      </c>
      <c r="I151" s="4" t="s">
        <v>617</v>
      </c>
    </row>
    <row r="152" spans="1:9" ht="15" customHeight="1" x14ac:dyDescent="0.2">
      <c r="A152" s="2118"/>
      <c r="B152" s="2111"/>
      <c r="C152" s="212" t="str">
        <f>F!C215</f>
        <v>Loamy: includes loam, sandy loam</v>
      </c>
      <c r="D152" s="64">
        <f>F!D215</f>
        <v>0</v>
      </c>
      <c r="E152" s="54">
        <v>3</v>
      </c>
      <c r="F152" s="58">
        <f t="shared" ref="F152:F157" si="5">D152*E152</f>
        <v>0</v>
      </c>
      <c r="G152" s="1093"/>
      <c r="H152" s="2111"/>
    </row>
    <row r="153" spans="1:9" ht="15" customHeight="1" x14ac:dyDescent="0.2">
      <c r="A153" s="2118"/>
      <c r="B153" s="2111"/>
      <c r="C153" s="901" t="str">
        <f>F!C216</f>
        <v>Fines: includes silt, glacial flour, clay, clay loam, silty clay, silty clay loam, sandy clay, sandy clay loam.</v>
      </c>
      <c r="D153" s="30">
        <f>F!D216</f>
        <v>0</v>
      </c>
      <c r="E153" s="54">
        <v>2</v>
      </c>
      <c r="F153" s="58">
        <f t="shared" si="5"/>
        <v>0</v>
      </c>
      <c r="G153" s="1094"/>
      <c r="H153" s="2111"/>
    </row>
    <row r="154" spans="1:9" ht="15" customHeight="1" x14ac:dyDescent="0.2">
      <c r="A154" s="2118"/>
      <c r="B154" s="2111"/>
      <c r="C154" s="901" t="str">
        <f>F!C217</f>
        <v>Organic, from surface to within 4 inches of surface only.  Exclude live roots unless from moss.</v>
      </c>
      <c r="D154" s="30">
        <f>F!D217</f>
        <v>0</v>
      </c>
      <c r="E154" s="54">
        <v>3</v>
      </c>
      <c r="F154" s="58">
        <f t="shared" si="5"/>
        <v>0</v>
      </c>
      <c r="G154" s="1094"/>
      <c r="H154" s="2111"/>
    </row>
    <row r="155" spans="1:9" ht="15" customHeight="1" x14ac:dyDescent="0.2">
      <c r="A155" s="2118"/>
      <c r="B155" s="2111"/>
      <c r="C155" s="901" t="str">
        <f>F!C218</f>
        <v>Organic, from surface to within 16 inches of surface only. Exclude live roots unless from moss.</v>
      </c>
      <c r="D155" s="30">
        <f>F!D218</f>
        <v>0</v>
      </c>
      <c r="E155" s="54">
        <v>1</v>
      </c>
      <c r="F155" s="58">
        <f t="shared" si="5"/>
        <v>0</v>
      </c>
      <c r="G155" s="946"/>
      <c r="H155" s="2111"/>
    </row>
    <row r="156" spans="1:9" ht="15" customHeight="1" x14ac:dyDescent="0.2">
      <c r="A156" s="2118"/>
      <c r="B156" s="2111"/>
      <c r="C156" s="901" t="str">
        <f>F!C219</f>
        <v>Organic, from surface to greater than 16 inch depth. Exclude live roots unless from moss.</v>
      </c>
      <c r="D156" s="30">
        <f>F!D219</f>
        <v>0</v>
      </c>
      <c r="E156" s="54">
        <v>1</v>
      </c>
      <c r="F156" s="58">
        <f t="shared" si="5"/>
        <v>0</v>
      </c>
      <c r="G156" s="946"/>
      <c r="H156" s="2111"/>
    </row>
    <row r="157" spans="1:9" ht="15.6" customHeight="1" thickBot="1" x14ac:dyDescent="0.25">
      <c r="A157" s="2118"/>
      <c r="B157" s="2111"/>
      <c r="C157" s="912" t="str">
        <f>F!C220</f>
        <v>Coarse: includes sand, loamy sand, gravel, cobble, stones, boulders, fluvents, fluvaquents, riverwash.</v>
      </c>
      <c r="D157" s="56">
        <f>F!D220</f>
        <v>0</v>
      </c>
      <c r="E157" s="934">
        <v>0</v>
      </c>
      <c r="F157" s="240">
        <f t="shared" si="5"/>
        <v>0</v>
      </c>
      <c r="G157" s="946"/>
      <c r="H157" s="2111"/>
    </row>
    <row r="158" spans="1:9" ht="51.75" customHeight="1" thickBot="1" x14ac:dyDescent="0.25">
      <c r="A158" s="2127" t="str">
        <f>F!A226</f>
        <v>F48</v>
      </c>
      <c r="B158" s="1704" t="str">
        <f>F!B226</f>
        <v>Largest Herbaceous Patch</v>
      </c>
      <c r="C158" s="900"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158" s="278"/>
      <c r="E158" s="278"/>
      <c r="F158" s="241"/>
      <c r="G158" s="947">
        <f>MAX(F159:F164)/MAX(E159:E164)</f>
        <v>0</v>
      </c>
      <c r="H158" s="1687" t="s">
        <v>2249</v>
      </c>
      <c r="I158" s="4" t="s">
        <v>643</v>
      </c>
    </row>
    <row r="159" spans="1:9" ht="15" customHeight="1" x14ac:dyDescent="0.2">
      <c r="A159" s="2128"/>
      <c r="B159" s="1705"/>
      <c r="C159" s="212" t="str">
        <f>F!C227</f>
        <v>&lt;0.1 acre.  SKIP to F54.</v>
      </c>
      <c r="D159" s="64">
        <f>F!D227</f>
        <v>0</v>
      </c>
      <c r="E159" s="932">
        <v>0</v>
      </c>
      <c r="F159" s="54">
        <f t="shared" ref="F159:F164" si="6">D159*E159</f>
        <v>0</v>
      </c>
      <c r="G159" s="1093"/>
      <c r="H159" s="1705"/>
    </row>
    <row r="160" spans="1:9" ht="15" customHeight="1" x14ac:dyDescent="0.2">
      <c r="A160" s="2128"/>
      <c r="B160" s="1705"/>
      <c r="C160" s="901" t="str">
        <f>F!C228</f>
        <v>0.1 - 1 acre</v>
      </c>
      <c r="D160" s="30">
        <f>F!D228</f>
        <v>0</v>
      </c>
      <c r="E160" s="932">
        <v>1</v>
      </c>
      <c r="F160" s="54">
        <f t="shared" si="6"/>
        <v>0</v>
      </c>
      <c r="G160" s="1094"/>
      <c r="H160" s="1705"/>
    </row>
    <row r="161" spans="1:9" ht="15" customHeight="1" x14ac:dyDescent="0.2">
      <c r="A161" s="2128"/>
      <c r="B161" s="1705"/>
      <c r="C161" s="901" t="str">
        <f>F!C229</f>
        <v>1 to 10 acres</v>
      </c>
      <c r="D161" s="30">
        <f>F!D229</f>
        <v>0</v>
      </c>
      <c r="E161" s="932">
        <v>2</v>
      </c>
      <c r="F161" s="54">
        <f t="shared" si="6"/>
        <v>0</v>
      </c>
      <c r="G161" s="1094"/>
      <c r="H161" s="1705"/>
    </row>
    <row r="162" spans="1:9" ht="15" customHeight="1" x14ac:dyDescent="0.2">
      <c r="A162" s="2128"/>
      <c r="B162" s="1705"/>
      <c r="C162" s="901" t="str">
        <f>F!C230</f>
        <v>10 to 100 acres</v>
      </c>
      <c r="D162" s="30">
        <f>F!D230</f>
        <v>0</v>
      </c>
      <c r="E162" s="932">
        <v>4</v>
      </c>
      <c r="F162" s="54">
        <f t="shared" si="6"/>
        <v>0</v>
      </c>
      <c r="G162" s="1094"/>
      <c r="H162" s="1705"/>
    </row>
    <row r="163" spans="1:9" ht="15" customHeight="1" x14ac:dyDescent="0.2">
      <c r="A163" s="2128"/>
      <c r="B163" s="1705"/>
      <c r="C163" s="901" t="str">
        <f>F!C231</f>
        <v>100 to 1000 acres</v>
      </c>
      <c r="D163" s="30">
        <f>F!D231</f>
        <v>0</v>
      </c>
      <c r="E163" s="932">
        <v>5</v>
      </c>
      <c r="F163" s="54">
        <f t="shared" si="6"/>
        <v>0</v>
      </c>
      <c r="G163" s="1094"/>
      <c r="H163" s="1705"/>
    </row>
    <row r="164" spans="1:9" ht="15.6" customHeight="1" thickBot="1" x14ac:dyDescent="0.25">
      <c r="A164" s="2129"/>
      <c r="B164" s="1706"/>
      <c r="C164" s="902" t="str">
        <f>F!C232</f>
        <v>&gt;1000 acres</v>
      </c>
      <c r="D164" s="238">
        <f>F!D232</f>
        <v>0</v>
      </c>
      <c r="E164" s="1131">
        <v>6</v>
      </c>
      <c r="F164" s="239">
        <f t="shared" si="6"/>
        <v>0</v>
      </c>
      <c r="G164" s="944"/>
      <c r="H164" s="1706"/>
    </row>
    <row r="165" spans="1:9" ht="30" customHeight="1" thickBot="1" x14ac:dyDescent="0.25">
      <c r="A165" s="2144" t="str">
        <f>F!A250</f>
        <v>F52</v>
      </c>
      <c r="B165" s="2134" t="str">
        <f>F!B250</f>
        <v>Herbaceous Species Dominance</v>
      </c>
      <c r="C165" s="900" t="str">
        <f>F!C250</f>
        <v>Determine which two native herbaceous (forb, graminoid, fern) species comprise the greatest portion of the herbaceous cover that is unshaded by a woody canopy. Then choose one:</v>
      </c>
      <c r="D165" s="278"/>
      <c r="E165" s="279"/>
      <c r="F165" s="279"/>
      <c r="G165" s="947">
        <f>IF((NoHerbCov=1),"", MAX(F166:F167))</f>
        <v>0</v>
      </c>
      <c r="H165" s="2016" t="s">
        <v>5530</v>
      </c>
      <c r="I165" s="4" t="s">
        <v>619</v>
      </c>
    </row>
    <row r="166" spans="1:9" ht="27" customHeight="1" x14ac:dyDescent="0.2">
      <c r="A166" s="2106"/>
      <c r="B166" s="2111"/>
      <c r="C166" s="212" t="str">
        <f>F!C251</f>
        <v>those species together comprise &gt; 50% of the areal cover of native herbaceous plants at any time during the year.</v>
      </c>
      <c r="D166" s="64">
        <f>F!D251</f>
        <v>0</v>
      </c>
      <c r="E166" s="58">
        <v>0</v>
      </c>
      <c r="F166" s="58">
        <f>D166*E166</f>
        <v>0</v>
      </c>
      <c r="G166" s="1094"/>
      <c r="H166" s="2218"/>
    </row>
    <row r="167" spans="1:9" ht="27.6" customHeight="1" thickBot="1" x14ac:dyDescent="0.25">
      <c r="A167" s="2107"/>
      <c r="B167" s="2112"/>
      <c r="C167" s="902" t="str">
        <f>F!C252</f>
        <v>those species together do not comprise &gt; 50% of the areal cover of native herbaceous plants at any time during the year.</v>
      </c>
      <c r="D167" s="238">
        <f>F!D252</f>
        <v>0</v>
      </c>
      <c r="E167" s="244">
        <v>1</v>
      </c>
      <c r="F167" s="244">
        <f>D167*E167</f>
        <v>0</v>
      </c>
      <c r="G167" s="944"/>
      <c r="H167" s="2219"/>
    </row>
    <row r="168" spans="1:9" ht="53.25" customHeight="1" thickBot="1" x14ac:dyDescent="0.25">
      <c r="A168" s="2118" t="str">
        <f>F!A253</f>
        <v>F53</v>
      </c>
      <c r="B168" s="2111" t="str">
        <f>F!B253</f>
        <v>Invasive &amp; Non-native Cover</v>
      </c>
      <c r="C168" s="900" t="str">
        <f>F!C253</f>
        <v>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v>
      </c>
      <c r="D168" s="278"/>
      <c r="E168" s="932"/>
      <c r="F168" s="1139"/>
      <c r="G168" s="933">
        <f>IF((NoHerbCov=1),"",MAX(F169:F173)/MAX(E169:E173))</f>
        <v>0</v>
      </c>
      <c r="H168" s="1710" t="s">
        <v>5432</v>
      </c>
      <c r="I168" s="4" t="s">
        <v>618</v>
      </c>
    </row>
    <row r="169" spans="1:9" ht="15" customHeight="1" x14ac:dyDescent="0.2">
      <c r="A169" s="2118"/>
      <c r="B169" s="2111"/>
      <c r="C169" s="212" t="str">
        <f>F!C254</f>
        <v>apparently no invasive species are present in the AA.</v>
      </c>
      <c r="D169" s="64">
        <f>F!D254</f>
        <v>0</v>
      </c>
      <c r="E169" s="54">
        <v>4</v>
      </c>
      <c r="F169" s="58">
        <f>D169*E169</f>
        <v>0</v>
      </c>
      <c r="G169" s="708" t="s">
        <v>1712</v>
      </c>
      <c r="H169" s="2111"/>
    </row>
    <row r="170" spans="1:9" ht="15" customHeight="1" x14ac:dyDescent="0.2">
      <c r="A170" s="2118"/>
      <c r="B170" s="2111"/>
      <c r="C170" s="901" t="str">
        <f>F!C255</f>
        <v>Invasive species are present but comprise &lt;5% of the herbaceous and &lt;5% of the shrub cover.</v>
      </c>
      <c r="D170" s="30">
        <f>F!D255</f>
        <v>0</v>
      </c>
      <c r="E170" s="54">
        <v>3</v>
      </c>
      <c r="F170" s="58">
        <f>D170*E170</f>
        <v>0</v>
      </c>
      <c r="G170" s="708"/>
      <c r="H170" s="2111"/>
    </row>
    <row r="171" spans="1:9" ht="15" customHeight="1" x14ac:dyDescent="0.2">
      <c r="A171" s="2118"/>
      <c r="B171" s="2111"/>
      <c r="C171" s="901" t="str">
        <f>F!C256</f>
        <v>Invasive species comprise 5-20% of the herb or shrub cover.</v>
      </c>
      <c r="D171" s="30">
        <f>F!D256</f>
        <v>0</v>
      </c>
      <c r="E171" s="58">
        <v>2</v>
      </c>
      <c r="F171" s="58">
        <f>D171*E171</f>
        <v>0</v>
      </c>
      <c r="G171" s="1094"/>
      <c r="H171" s="2111"/>
    </row>
    <row r="172" spans="1:9" ht="15" customHeight="1" x14ac:dyDescent="0.2">
      <c r="A172" s="2118"/>
      <c r="B172" s="2111"/>
      <c r="C172" s="901" t="str">
        <f>F!C257</f>
        <v>Invasive species comprise 20-50% of the herb or shrub cover.</v>
      </c>
      <c r="D172" s="30">
        <f>F!D257</f>
        <v>0</v>
      </c>
      <c r="E172" s="58">
        <v>1</v>
      </c>
      <c r="F172" s="58">
        <f>D172*E172</f>
        <v>0</v>
      </c>
      <c r="G172" s="1094"/>
      <c r="H172" s="2111"/>
    </row>
    <row r="173" spans="1:9" ht="15" customHeight="1" thickBot="1" x14ac:dyDescent="0.25">
      <c r="A173" s="2118"/>
      <c r="B173" s="2111"/>
      <c r="C173" s="912" t="str">
        <f>F!C258</f>
        <v>Invasive species comprise &gt;50% of the herb or shrub cover.</v>
      </c>
      <c r="D173" s="56">
        <f>F!D258</f>
        <v>0</v>
      </c>
      <c r="E173" s="240">
        <v>0</v>
      </c>
      <c r="F173" s="1140">
        <f>D173*E173</f>
        <v>0</v>
      </c>
      <c r="G173" s="1138"/>
      <c r="H173" s="2111"/>
    </row>
    <row r="174" spans="1:9" ht="60" customHeight="1" thickBot="1" x14ac:dyDescent="0.25">
      <c r="A174" s="2144" t="str">
        <f>F!A259</f>
        <v>F54</v>
      </c>
      <c r="B174" s="2134" t="str">
        <f>F!B259</f>
        <v>Weed Source Along Upland Edge</v>
      </c>
      <c r="C174" s="900" t="str">
        <f>F!C259</f>
        <v>Along the wetland-upland boundary, the percent of the upland edge (within 10 ft of wetland) that is occupied by plant species that are considered invasive is:  (see list in above question, plus others in PlantList worksheet or Table B-3 of the manual)</v>
      </c>
      <c r="D174" s="278"/>
      <c r="E174" s="278"/>
      <c r="F174" s="241"/>
      <c r="G174" s="947">
        <f>MAX(F175:F178)/MAX(E175:E178)</f>
        <v>0</v>
      </c>
      <c r="H174" s="2217" t="s">
        <v>1177</v>
      </c>
      <c r="I174" s="4" t="s">
        <v>620</v>
      </c>
    </row>
    <row r="175" spans="1:9" ht="15" customHeight="1" x14ac:dyDescent="0.2">
      <c r="A175" s="2106"/>
      <c r="B175" s="2111"/>
      <c r="C175" s="212" t="str">
        <f>F!C260</f>
        <v>none of the upland edge (invasives apparently absent)</v>
      </c>
      <c r="D175" s="64">
        <f>F!D260</f>
        <v>0</v>
      </c>
      <c r="E175" s="54">
        <v>4</v>
      </c>
      <c r="F175" s="54">
        <f>D175*E175</f>
        <v>0</v>
      </c>
      <c r="G175" s="1093"/>
      <c r="H175" s="2218"/>
    </row>
    <row r="176" spans="1:9" ht="15" customHeight="1" x14ac:dyDescent="0.2">
      <c r="A176" s="2106"/>
      <c r="B176" s="2111"/>
      <c r="C176" s="901" t="str">
        <f>F!C261</f>
        <v>some (but &lt;5%) of the upland edge</v>
      </c>
      <c r="D176" s="30">
        <f>F!D261</f>
        <v>0</v>
      </c>
      <c r="E176" s="54">
        <v>3</v>
      </c>
      <c r="F176" s="54">
        <f>D176*E176</f>
        <v>0</v>
      </c>
      <c r="G176" s="1094"/>
      <c r="H176" s="2218"/>
    </row>
    <row r="177" spans="1:9" ht="15" customHeight="1" x14ac:dyDescent="0.2">
      <c r="A177" s="2106"/>
      <c r="B177" s="2111"/>
      <c r="C177" s="901" t="str">
        <f>F!C262</f>
        <v>5-50% of the upland edge</v>
      </c>
      <c r="D177" s="30">
        <f>F!D262</f>
        <v>0</v>
      </c>
      <c r="E177" s="54">
        <v>2</v>
      </c>
      <c r="F177" s="54">
        <f>D177*E177</f>
        <v>0</v>
      </c>
      <c r="G177" s="1094"/>
      <c r="H177" s="2218"/>
    </row>
    <row r="178" spans="1:9" ht="15.6" customHeight="1" thickBot="1" x14ac:dyDescent="0.25">
      <c r="A178" s="2107"/>
      <c r="B178" s="2112"/>
      <c r="C178" s="902" t="str">
        <f>F!C263</f>
        <v>most (&gt;50%) of the upland edge</v>
      </c>
      <c r="D178" s="238">
        <f>F!D263</f>
        <v>0</v>
      </c>
      <c r="E178" s="239">
        <v>0</v>
      </c>
      <c r="F178" s="239">
        <f>D178*E178</f>
        <v>0</v>
      </c>
      <c r="G178" s="944"/>
      <c r="H178" s="2219"/>
    </row>
    <row r="179" spans="1:9" ht="39" customHeight="1" thickBot="1" x14ac:dyDescent="0.25">
      <c r="A179" s="2118" t="str">
        <f>F!A264</f>
        <v>F55</v>
      </c>
      <c r="B179" s="2111" t="str">
        <f>F!B264</f>
        <v>Natural Cover in Buffer</v>
      </c>
      <c r="C179" s="900" t="str">
        <f>F!C264</f>
        <v>Along the wetland-upland edge and extending 100 ft upslope, the percentage of the upland that contains natural (not necessarily native -- see column E) land cover taller than 6 inches is:</v>
      </c>
      <c r="D179" s="278"/>
      <c r="E179" s="932"/>
      <c r="F179" s="60"/>
      <c r="G179" s="933">
        <f>MAX(F180:F184)/MAX(E180:E184)</f>
        <v>0</v>
      </c>
      <c r="H179" s="1953" t="s">
        <v>2246</v>
      </c>
      <c r="I179" s="27" t="s">
        <v>621</v>
      </c>
    </row>
    <row r="180" spans="1:9" ht="15" customHeight="1" x14ac:dyDescent="0.2">
      <c r="A180" s="2118"/>
      <c r="B180" s="2111"/>
      <c r="C180" s="212" t="str">
        <f>F!C265</f>
        <v xml:space="preserve">&lt;5% </v>
      </c>
      <c r="D180" s="64">
        <f>F!D265</f>
        <v>0</v>
      </c>
      <c r="E180" s="58">
        <v>0</v>
      </c>
      <c r="F180" s="54">
        <f>D180*E180</f>
        <v>0</v>
      </c>
      <c r="G180" s="1093"/>
      <c r="H180" s="2218"/>
    </row>
    <row r="181" spans="1:9" ht="15" customHeight="1" x14ac:dyDescent="0.2">
      <c r="A181" s="2118"/>
      <c r="B181" s="2111"/>
      <c r="C181" s="901" t="str">
        <f>F!C266</f>
        <v>5 to 30%</v>
      </c>
      <c r="D181" s="30">
        <f>F!D266</f>
        <v>0</v>
      </c>
      <c r="E181" s="58">
        <v>2</v>
      </c>
      <c r="F181" s="54">
        <f>D181*E181</f>
        <v>0</v>
      </c>
      <c r="G181" s="1094"/>
      <c r="H181" s="2218"/>
    </row>
    <row r="182" spans="1:9" ht="15" customHeight="1" x14ac:dyDescent="0.2">
      <c r="A182" s="2118"/>
      <c r="B182" s="2111"/>
      <c r="C182" s="901" t="str">
        <f>F!C267</f>
        <v>30 to 60%</v>
      </c>
      <c r="D182" s="30">
        <f>F!D267</f>
        <v>0</v>
      </c>
      <c r="E182" s="58">
        <v>3</v>
      </c>
      <c r="F182" s="54">
        <f>D182*E182</f>
        <v>0</v>
      </c>
      <c r="G182" s="1094"/>
      <c r="H182" s="2218"/>
    </row>
    <row r="183" spans="1:9" ht="15" customHeight="1" x14ac:dyDescent="0.2">
      <c r="A183" s="2118"/>
      <c r="B183" s="2111"/>
      <c r="C183" s="901" t="str">
        <f>F!C268</f>
        <v>60 to 90%</v>
      </c>
      <c r="D183" s="30">
        <f>F!D268</f>
        <v>0</v>
      </c>
      <c r="E183" s="58">
        <v>4</v>
      </c>
      <c r="F183" s="54">
        <f>D183*E183</f>
        <v>0</v>
      </c>
      <c r="G183" s="1094"/>
      <c r="H183" s="2218"/>
    </row>
    <row r="184" spans="1:9" ht="15" customHeight="1" thickBot="1" x14ac:dyDescent="0.25">
      <c r="A184" s="2118"/>
      <c r="B184" s="2111"/>
      <c r="C184" s="912" t="str">
        <f>F!C269</f>
        <v>&gt;90%.  SKIP to F58.</v>
      </c>
      <c r="D184" s="56">
        <f>F!D269</f>
        <v>0</v>
      </c>
      <c r="E184" s="240">
        <v>6</v>
      </c>
      <c r="F184" s="934">
        <f>D184*E184</f>
        <v>0</v>
      </c>
      <c r="G184" s="946"/>
      <c r="H184" s="2236"/>
    </row>
    <row r="185" spans="1:9" ht="30" customHeight="1" thickBot="1" x14ac:dyDescent="0.25">
      <c r="A185" s="2127" t="str">
        <f>F!A270</f>
        <v>F56</v>
      </c>
      <c r="B185" s="1704" t="str">
        <f>F!B270</f>
        <v>Type of Cover in Buffer</v>
      </c>
      <c r="C185" s="900" t="str">
        <f>F!C270</f>
        <v>Within 100 ft upslope of the wetland-upland edge closest to the AA, the upland land cover that is NOT unmanaged vegetation or water is mostly (mark ONE):</v>
      </c>
      <c r="D185" s="278"/>
      <c r="E185" s="278"/>
      <c r="F185" s="241"/>
      <c r="G185" s="947">
        <f>IF((BuffAllNat=1),"", MAX(F186:F187)/MAX(E186:E187))</f>
        <v>0</v>
      </c>
      <c r="H185" s="1687" t="s">
        <v>5531</v>
      </c>
      <c r="I185" s="27" t="s">
        <v>622</v>
      </c>
    </row>
    <row r="186" spans="1:9" ht="15" customHeight="1" x14ac:dyDescent="0.2">
      <c r="A186" s="2128"/>
      <c r="B186" s="1705"/>
      <c r="C186" s="212" t="str">
        <f>F!C271</f>
        <v>impervious surface, e.g., paved road, parking lot, building, exposed rock.</v>
      </c>
      <c r="D186" s="64">
        <f>F!D271</f>
        <v>0</v>
      </c>
      <c r="E186" s="54">
        <v>0</v>
      </c>
      <c r="F186" s="54">
        <f>D186*E186</f>
        <v>0</v>
      </c>
      <c r="G186" s="1093"/>
      <c r="H186" s="1688"/>
    </row>
    <row r="187" spans="1:9" ht="27.6" customHeight="1" thickBot="1" x14ac:dyDescent="0.25">
      <c r="A187" s="2129"/>
      <c r="B187" s="1706"/>
      <c r="C187" s="902" t="str">
        <f>F!C272</f>
        <v>bare or nearly bare pervious surface or managed vegetation, e.g., lawn, mostly-unvegetated clearcut, landslide, unpaved road, dike.</v>
      </c>
      <c r="D187" s="238">
        <f>F!D272</f>
        <v>0</v>
      </c>
      <c r="E187" s="239">
        <v>1</v>
      </c>
      <c r="F187" s="239">
        <f>D187*E187</f>
        <v>0</v>
      </c>
      <c r="G187" s="944"/>
      <c r="H187" s="1689"/>
    </row>
    <row r="188" spans="1:9" ht="45" customHeight="1" thickBot="1" x14ac:dyDescent="0.25">
      <c r="A188" s="2245" t="str">
        <f>F!A279</f>
        <v>F59</v>
      </c>
      <c r="B188" s="2246" t="str">
        <f>F!B279</f>
        <v>New Wetland</v>
      </c>
      <c r="C188" s="1121" t="str">
        <f>F!C279</f>
        <v>The AA is (or is within, or contains) a "new" wetland resulting from human actions (e.g., excavation, impoundment) or debris or lava flows, sea level rise, or other factors affecting what once was upland (non-hydric) soil.</v>
      </c>
      <c r="D188" s="278"/>
      <c r="E188" s="932"/>
      <c r="F188" s="60"/>
      <c r="G188" s="933">
        <f>IF((D194=1),"",MAX(F189:F193)/MAX(E189:E193))</f>
        <v>0</v>
      </c>
      <c r="H188" s="1705" t="s">
        <v>523</v>
      </c>
      <c r="I188" s="4" t="s">
        <v>629</v>
      </c>
    </row>
    <row r="189" spans="1:9" ht="15" customHeight="1" x14ac:dyDescent="0.2">
      <c r="A189" s="2245"/>
      <c r="B189" s="2246"/>
      <c r="C189" s="1122" t="str">
        <f>F!C280</f>
        <v>No</v>
      </c>
      <c r="D189" s="347">
        <f>F!D280</f>
        <v>0</v>
      </c>
      <c r="E189" s="54">
        <v>5</v>
      </c>
      <c r="F189" s="54">
        <f>D189*E189</f>
        <v>0</v>
      </c>
      <c r="G189" s="1093"/>
      <c r="H189" s="1705"/>
    </row>
    <row r="190" spans="1:9" ht="15" customHeight="1" x14ac:dyDescent="0.2">
      <c r="A190" s="2245"/>
      <c r="B190" s="2246"/>
      <c r="C190" s="1123" t="str">
        <f>F!C281</f>
        <v xml:space="preserve">yes, and most recently created, deglaciated, or uplifted 20 - 100 years ago </v>
      </c>
      <c r="D190" s="348">
        <f>F!D281</f>
        <v>0</v>
      </c>
      <c r="E190" s="54">
        <v>2</v>
      </c>
      <c r="F190" s="54">
        <f>D190*E190</f>
        <v>0</v>
      </c>
      <c r="G190" s="1094"/>
      <c r="H190" s="1705"/>
    </row>
    <row r="191" spans="1:9" ht="15" customHeight="1" x14ac:dyDescent="0.2">
      <c r="A191" s="2245"/>
      <c r="B191" s="2246"/>
      <c r="C191" s="1123" t="str">
        <f>F!C282</f>
        <v>yes, and most recently created, deglaciated, or uplifted 3-20 years ago</v>
      </c>
      <c r="D191" s="348">
        <f>F!D282</f>
        <v>0</v>
      </c>
      <c r="E191" s="54">
        <v>1</v>
      </c>
      <c r="F191" s="54">
        <f>D191*E191</f>
        <v>0</v>
      </c>
      <c r="G191" s="1094"/>
      <c r="H191" s="1705"/>
    </row>
    <row r="192" spans="1:9" ht="15" customHeight="1" x14ac:dyDescent="0.2">
      <c r="A192" s="2245"/>
      <c r="B192" s="2246"/>
      <c r="C192" s="1123" t="str">
        <f>F!C283</f>
        <v>yes, and most recently created, deglaciated, or uplifted within last 3 years</v>
      </c>
      <c r="D192" s="348">
        <f>F!D283</f>
        <v>0</v>
      </c>
      <c r="E192" s="54">
        <v>0</v>
      </c>
      <c r="F192" s="54">
        <f>D192*E192</f>
        <v>0</v>
      </c>
      <c r="G192" s="1094"/>
      <c r="H192" s="1705"/>
    </row>
    <row r="193" spans="1:9" ht="15" customHeight="1" x14ac:dyDescent="0.2">
      <c r="A193" s="2245"/>
      <c r="B193" s="2246"/>
      <c r="C193" s="1123" t="str">
        <f>F!C284</f>
        <v>yes, but time of origin unknown</v>
      </c>
      <c r="D193" s="348">
        <f>F!D284</f>
        <v>0</v>
      </c>
      <c r="E193" s="54">
        <v>1</v>
      </c>
      <c r="F193" s="54">
        <f>D193*E193</f>
        <v>0</v>
      </c>
      <c r="G193" s="1094"/>
      <c r="H193" s="1705"/>
    </row>
    <row r="194" spans="1:9" ht="15.6" customHeight="1" thickBot="1" x14ac:dyDescent="0.25">
      <c r="A194" s="2245"/>
      <c r="B194" s="2246"/>
      <c r="C194" s="1124" t="str">
        <f>F!C285</f>
        <v>unknown if new within 20 years or not</v>
      </c>
      <c r="D194" s="349">
        <f>F!D285</f>
        <v>0</v>
      </c>
      <c r="E194" s="934"/>
      <c r="F194" s="934"/>
      <c r="G194" s="946"/>
      <c r="H194" s="1705"/>
    </row>
    <row r="195" spans="1:9" ht="60" customHeight="1" thickBot="1" x14ac:dyDescent="0.25">
      <c r="A195" s="2144" t="str">
        <f>F!A300</f>
        <v>F63</v>
      </c>
      <c r="B195" s="2134" t="str">
        <f>F!B300</f>
        <v>Core Area 1</v>
      </c>
      <c r="C195" s="900"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95" s="278"/>
      <c r="E195" s="278"/>
      <c r="F195" s="241"/>
      <c r="G195" s="947">
        <f>MAX(F196:F201)/MAX(E196:E201)</f>
        <v>0</v>
      </c>
      <c r="H195" s="2016" t="s">
        <v>2247</v>
      </c>
      <c r="I195" s="27" t="s">
        <v>623</v>
      </c>
    </row>
    <row r="196" spans="1:9" ht="15" customHeight="1" x14ac:dyDescent="0.2">
      <c r="A196" s="2106"/>
      <c r="B196" s="2111"/>
      <c r="C196" s="212" t="str">
        <f>F!C301</f>
        <v>&lt;5% and no inhabited building is within 300 ft of the AA</v>
      </c>
      <c r="D196" s="64">
        <f>F!D301</f>
        <v>0</v>
      </c>
      <c r="E196" s="412">
        <v>1</v>
      </c>
      <c r="F196" s="54">
        <f t="shared" ref="F196:F201" si="7">D196*E196</f>
        <v>0</v>
      </c>
      <c r="G196" s="1093"/>
      <c r="H196" s="1961"/>
    </row>
    <row r="197" spans="1:9" ht="15" customHeight="1" x14ac:dyDescent="0.2">
      <c r="A197" s="2106"/>
      <c r="B197" s="2111"/>
      <c r="C197" s="901" t="str">
        <f>F!C302</f>
        <v>&lt;5% and inhabited building is within 300 ft of the AA</v>
      </c>
      <c r="D197" s="30">
        <f>F!D302</f>
        <v>0</v>
      </c>
      <c r="E197" s="412">
        <v>0</v>
      </c>
      <c r="F197" s="54">
        <f t="shared" si="7"/>
        <v>0</v>
      </c>
      <c r="G197" s="1094"/>
      <c r="H197" s="1961"/>
    </row>
    <row r="198" spans="1:9" ht="15" customHeight="1" x14ac:dyDescent="0.2">
      <c r="A198" s="2106"/>
      <c r="B198" s="2111"/>
      <c r="C198" s="901" t="str">
        <f>F!C303</f>
        <v>5-50% and no inhabited building is within 300 ft of the AA</v>
      </c>
      <c r="D198" s="30">
        <f>F!D303</f>
        <v>0</v>
      </c>
      <c r="E198" s="412">
        <v>3</v>
      </c>
      <c r="F198" s="54">
        <f t="shared" si="7"/>
        <v>0</v>
      </c>
      <c r="G198" s="1094"/>
      <c r="H198" s="1961"/>
    </row>
    <row r="199" spans="1:9" ht="15" customHeight="1" x14ac:dyDescent="0.2">
      <c r="A199" s="2106"/>
      <c r="B199" s="2111"/>
      <c r="C199" s="901" t="str">
        <f>F!C304</f>
        <v>5-50% and inhabited building is within 300 ft of the AA</v>
      </c>
      <c r="D199" s="30">
        <f>F!D304</f>
        <v>0</v>
      </c>
      <c r="E199" s="412">
        <v>2</v>
      </c>
      <c r="F199" s="54">
        <f t="shared" si="7"/>
        <v>0</v>
      </c>
      <c r="G199" s="946"/>
      <c r="H199" s="1961"/>
    </row>
    <row r="200" spans="1:9" ht="15" customHeight="1" x14ac:dyDescent="0.2">
      <c r="A200" s="2106"/>
      <c r="B200" s="2111"/>
      <c r="C200" s="901" t="str">
        <f>F!C305</f>
        <v>50-95%</v>
      </c>
      <c r="D200" s="30">
        <f>F!D305</f>
        <v>0</v>
      </c>
      <c r="E200" s="412">
        <v>4</v>
      </c>
      <c r="F200" s="54">
        <f t="shared" si="7"/>
        <v>0</v>
      </c>
      <c r="G200" s="946"/>
      <c r="H200" s="1961"/>
    </row>
    <row r="201" spans="1:9" ht="15.6" customHeight="1" thickBot="1" x14ac:dyDescent="0.25">
      <c r="A201" s="2107"/>
      <c r="B201" s="2112"/>
      <c r="C201" s="902" t="str">
        <f>F!C306</f>
        <v>&gt;95% of the AA</v>
      </c>
      <c r="D201" s="238">
        <f>F!D306</f>
        <v>0</v>
      </c>
      <c r="E201" s="416">
        <v>5</v>
      </c>
      <c r="F201" s="239">
        <f t="shared" si="7"/>
        <v>0</v>
      </c>
      <c r="G201" s="944"/>
      <c r="H201" s="2017"/>
    </row>
    <row r="202" spans="1:9" ht="60" customHeight="1" thickBot="1" x14ac:dyDescent="0.25">
      <c r="A202" s="2118" t="str">
        <f>F!A307</f>
        <v>F64</v>
      </c>
      <c r="B202" s="2111" t="str">
        <f>F!B307</f>
        <v>Core Area 2</v>
      </c>
      <c r="C202" s="900"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202" s="278"/>
      <c r="E202" s="418"/>
      <c r="F202" s="60"/>
      <c r="G202" s="933">
        <f>MAX(F203:F206)/MAX(E203:E206)</f>
        <v>0</v>
      </c>
      <c r="H202" s="2235" t="s">
        <v>287</v>
      </c>
      <c r="I202" s="4" t="s">
        <v>624</v>
      </c>
    </row>
    <row r="203" spans="1:9" ht="15" customHeight="1" x14ac:dyDescent="0.2">
      <c r="A203" s="2118"/>
      <c r="B203" s="2111"/>
      <c r="C203" s="212" t="str">
        <f>F!C308</f>
        <v>&lt;5%.  If F63 was answered "&gt;95%", SKIP to F67.</v>
      </c>
      <c r="D203" s="64">
        <f>F!D308</f>
        <v>0</v>
      </c>
      <c r="E203" s="412">
        <v>3</v>
      </c>
      <c r="F203" s="54">
        <f>D203*E203</f>
        <v>0</v>
      </c>
      <c r="G203" s="1093"/>
      <c r="H203" s="2218"/>
    </row>
    <row r="204" spans="1:9" ht="15" customHeight="1" x14ac:dyDescent="0.2">
      <c r="A204" s="2118"/>
      <c r="B204" s="2111"/>
      <c r="C204" s="901" t="str">
        <f>F!C309</f>
        <v>5-50%</v>
      </c>
      <c r="D204" s="30">
        <f>F!D309</f>
        <v>0</v>
      </c>
      <c r="E204" s="412">
        <v>2</v>
      </c>
      <c r="F204" s="54">
        <f>D204*E204</f>
        <v>0</v>
      </c>
      <c r="G204" s="1094"/>
      <c r="H204" s="2218"/>
    </row>
    <row r="205" spans="1:9" ht="15" customHeight="1" x14ac:dyDescent="0.2">
      <c r="A205" s="2118"/>
      <c r="B205" s="2111"/>
      <c r="C205" s="901" t="str">
        <f>F!C310</f>
        <v>50-95%</v>
      </c>
      <c r="D205" s="30">
        <f>F!D310</f>
        <v>0</v>
      </c>
      <c r="E205" s="412">
        <v>1</v>
      </c>
      <c r="F205" s="54">
        <f>D205*E205</f>
        <v>0</v>
      </c>
      <c r="G205" s="1094"/>
      <c r="H205" s="2218"/>
    </row>
    <row r="206" spans="1:9" ht="15.6" customHeight="1" thickBot="1" x14ac:dyDescent="0.25">
      <c r="A206" s="2118"/>
      <c r="B206" s="2111"/>
      <c r="C206" s="912" t="str">
        <f>F!C311</f>
        <v>&gt;95% of the AA</v>
      </c>
      <c r="D206" s="56">
        <f>F!D311</f>
        <v>0</v>
      </c>
      <c r="E206" s="414">
        <v>0</v>
      </c>
      <c r="F206" s="934">
        <f>D206*E206</f>
        <v>0</v>
      </c>
      <c r="G206" s="946"/>
      <c r="H206" s="2236"/>
    </row>
    <row r="207" spans="1:9" ht="45" customHeight="1" thickBot="1" x14ac:dyDescent="0.25">
      <c r="A207" s="250" t="str">
        <f>F!A312</f>
        <v>F65</v>
      </c>
      <c r="B207" s="226" t="str">
        <f>F!B312</f>
        <v>BMP - Soils</v>
      </c>
      <c r="C207" s="252" t="str">
        <f>F!C312</f>
        <v>Boardwalks, paved trails, fences or other infrastructure and/or well-enforced regulations appear to effectively prevent visitors from walking on unfrozen soils within nearly all of the AA.  Enter "1" if true.</v>
      </c>
      <c r="D207" s="234">
        <f>F!D312</f>
        <v>0</v>
      </c>
      <c r="E207" s="422"/>
      <c r="F207" s="952"/>
      <c r="G207" s="947">
        <f>IF((D201+D203&gt;1),"",D207)</f>
        <v>0</v>
      </c>
      <c r="H207" s="5" t="s">
        <v>2239</v>
      </c>
      <c r="I207" s="4" t="s">
        <v>2083</v>
      </c>
    </row>
    <row r="208" spans="1:9" ht="183" customHeight="1" thickBot="1" x14ac:dyDescent="0.25">
      <c r="A208" s="251" t="str">
        <f>S!A65</f>
        <v>S5</v>
      </c>
      <c r="B208" s="1128" t="str">
        <f>S!B65</f>
        <v>Altered Timing of Water Inputs</v>
      </c>
      <c r="C208" s="1089" t="str">
        <f>S!E79</f>
        <v>Final Score=</v>
      </c>
      <c r="D208" s="1275">
        <f>S!F79</f>
        <v>0</v>
      </c>
      <c r="E208" s="236"/>
      <c r="F208" s="1139"/>
      <c r="G208" s="1141" t="str">
        <f>IF((InfloPD=0),"", 1-D208)</f>
        <v/>
      </c>
      <c r="H208" s="143" t="s">
        <v>5532</v>
      </c>
      <c r="I208" s="4" t="s">
        <v>630</v>
      </c>
    </row>
    <row r="209" spans="1:9" ht="45" customHeight="1" thickBot="1" x14ac:dyDescent="0.25">
      <c r="A209" s="250" t="str">
        <f>S!A124</f>
        <v>S9</v>
      </c>
      <c r="B209" s="226" t="str">
        <f>S!B124</f>
        <v>Soil or Sediment Alteration Within the Assessment Area</v>
      </c>
      <c r="C209" s="252" t="str">
        <f>S!E141</f>
        <v>Final Score=</v>
      </c>
      <c r="D209" s="1274">
        <f>S!F141</f>
        <v>0</v>
      </c>
      <c r="E209" s="952"/>
      <c r="F209" s="235"/>
      <c r="G209" s="947">
        <f>1-D209</f>
        <v>1</v>
      </c>
      <c r="H209" s="5" t="s">
        <v>632</v>
      </c>
      <c r="I209" s="4" t="s">
        <v>631</v>
      </c>
    </row>
    <row r="210" spans="1:9" ht="30" customHeight="1" thickBot="1" x14ac:dyDescent="0.25">
      <c r="A210" s="483" t="s">
        <v>290</v>
      </c>
      <c r="B210" s="488" t="s">
        <v>5440</v>
      </c>
      <c r="C210" s="475" t="s">
        <v>2606</v>
      </c>
      <c r="D210" s="474" t="s">
        <v>117</v>
      </c>
      <c r="E210" s="626" t="s">
        <v>5438</v>
      </c>
      <c r="F210" s="627" t="s">
        <v>5439</v>
      </c>
      <c r="G210" s="628" t="s">
        <v>5825</v>
      </c>
      <c r="H210" s="488" t="s">
        <v>919</v>
      </c>
    </row>
    <row r="211" spans="1:9" ht="60" customHeight="1" thickBot="1" x14ac:dyDescent="0.25">
      <c r="A211" s="1704" t="str">
        <f>OF!A39</f>
        <v>OF8</v>
      </c>
      <c r="B211" s="1704" t="str">
        <f>OF!B39</f>
        <v xml:space="preserve">Wetland Local Uniqueness </v>
      </c>
      <c r="C211" s="900"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211" s="278"/>
      <c r="E211" s="278"/>
      <c r="F211" s="237"/>
      <c r="G211" s="1102">
        <f>IF((MAX(D212:D222,D224)=2), 1, 0)</f>
        <v>0</v>
      </c>
      <c r="H211" s="1687" t="s">
        <v>2531</v>
      </c>
      <c r="I211" s="4" t="s">
        <v>633</v>
      </c>
    </row>
    <row r="212" spans="1:9" ht="15" customHeight="1" x14ac:dyDescent="0.2">
      <c r="A212" s="1705"/>
      <c r="B212" s="1705"/>
      <c r="C212" s="212" t="str">
        <f>OF!C40</f>
        <v>Fresh Water</v>
      </c>
      <c r="D212" s="64">
        <f>OF!D40</f>
        <v>0</v>
      </c>
      <c r="E212" s="54"/>
      <c r="F212" s="54"/>
      <c r="G212" s="1093"/>
      <c r="H212" s="1705"/>
      <c r="I212" s="4"/>
    </row>
    <row r="213" spans="1:9" ht="15" customHeight="1" x14ac:dyDescent="0.2">
      <c r="A213" s="1705"/>
      <c r="B213" s="1705"/>
      <c r="C213" s="901" t="str">
        <f>OF!C41</f>
        <v>Wetland</v>
      </c>
      <c r="D213" s="30">
        <f>OF!D41</f>
        <v>0</v>
      </c>
      <c r="E213" s="54"/>
      <c r="F213" s="54"/>
      <c r="G213" s="1094"/>
      <c r="H213" s="1705"/>
    </row>
    <row r="214" spans="1:9" ht="15" customHeight="1" x14ac:dyDescent="0.2">
      <c r="A214" s="1705"/>
      <c r="B214" s="1705"/>
      <c r="C214" s="901" t="str">
        <f>OF!C42</f>
        <v>Muskeg</v>
      </c>
      <c r="D214" s="30">
        <f>OF!D42</f>
        <v>0</v>
      </c>
      <c r="E214" s="54"/>
      <c r="F214" s="54"/>
      <c r="G214" s="1094"/>
      <c r="H214" s="1705"/>
    </row>
    <row r="215" spans="1:9" ht="15" customHeight="1" x14ac:dyDescent="0.2">
      <c r="A215" s="1705"/>
      <c r="B215" s="1705"/>
      <c r="C215" s="901" t="str">
        <f>OF!C43</f>
        <v>Herbaceous</v>
      </c>
      <c r="D215" s="30">
        <f>OF!D43</f>
        <v>0</v>
      </c>
      <c r="E215" s="54"/>
      <c r="F215" s="54"/>
      <c r="G215" s="1094"/>
      <c r="H215" s="1705"/>
    </row>
    <row r="216" spans="1:9" ht="15" customHeight="1" x14ac:dyDescent="0.2">
      <c r="A216" s="1705"/>
      <c r="B216" s="1705"/>
      <c r="C216" s="901" t="str">
        <f>OF!C44</f>
        <v>Shrubland (Low)</v>
      </c>
      <c r="D216" s="30">
        <f>OF!D44</f>
        <v>0</v>
      </c>
      <c r="E216" s="54"/>
      <c r="F216" s="54"/>
      <c r="G216" s="1094"/>
      <c r="H216" s="1705"/>
    </row>
    <row r="217" spans="1:9" ht="15" customHeight="1" x14ac:dyDescent="0.2">
      <c r="A217" s="1705"/>
      <c r="B217" s="1705"/>
      <c r="C217" s="901" t="str">
        <f>OF!C45</f>
        <v>Shrubland (Tall)</v>
      </c>
      <c r="D217" s="30">
        <f>OF!D45</f>
        <v>0</v>
      </c>
      <c r="E217" s="54"/>
      <c r="F217" s="54"/>
      <c r="G217" s="1094"/>
      <c r="H217" s="1705"/>
    </row>
    <row r="218" spans="1:9" ht="15" customHeight="1" x14ac:dyDescent="0.2">
      <c r="A218" s="1705"/>
      <c r="B218" s="1705"/>
      <c r="C218" s="901" t="str">
        <f>OF!C46</f>
        <v>Deciduous/Mixed Forest</v>
      </c>
      <c r="D218" s="30">
        <f>OF!D46</f>
        <v>0</v>
      </c>
      <c r="E218" s="54"/>
      <c r="F218" s="54"/>
      <c r="G218" s="1094"/>
      <c r="H218" s="1705"/>
    </row>
    <row r="219" spans="1:9" ht="15" customHeight="1" x14ac:dyDescent="0.2">
      <c r="A219" s="1705"/>
      <c r="B219" s="1705"/>
      <c r="C219" s="901" t="str">
        <f>OF!C47</f>
        <v>Conifer Forest - Young or Small</v>
      </c>
      <c r="D219" s="30">
        <f>OF!D47</f>
        <v>0</v>
      </c>
      <c r="E219" s="54"/>
      <c r="F219" s="54"/>
      <c r="G219" s="1094"/>
      <c r="H219" s="1705"/>
    </row>
    <row r="220" spans="1:9" ht="15" customHeight="1" x14ac:dyDescent="0.2">
      <c r="A220" s="1705"/>
      <c r="B220" s="1705"/>
      <c r="C220" s="901" t="str">
        <f>OF!C48</f>
        <v>Conifer Forest - Medium</v>
      </c>
      <c r="D220" s="30">
        <f>OF!D48</f>
        <v>0</v>
      </c>
      <c r="E220" s="54"/>
      <c r="F220" s="54"/>
      <c r="G220" s="1094"/>
      <c r="H220" s="1705"/>
    </row>
    <row r="221" spans="1:9" ht="15" customHeight="1" x14ac:dyDescent="0.2">
      <c r="A221" s="1705"/>
      <c r="B221" s="1705"/>
      <c r="C221" s="901" t="str">
        <f>OF!C49</f>
        <v>Conifer Forest - Large</v>
      </c>
      <c r="D221" s="30">
        <f>OF!D49</f>
        <v>0</v>
      </c>
      <c r="E221" s="54"/>
      <c r="F221" s="54"/>
      <c r="G221" s="1094"/>
      <c r="H221" s="1705"/>
    </row>
    <row r="222" spans="1:9" ht="15" customHeight="1" x14ac:dyDescent="0.2">
      <c r="A222" s="1705"/>
      <c r="B222" s="1705"/>
      <c r="C222" s="901" t="str">
        <f>OF!C50</f>
        <v>Wetland Shrub Forest</v>
      </c>
      <c r="D222" s="30">
        <f>OF!D50</f>
        <v>0</v>
      </c>
      <c r="E222" s="54"/>
      <c r="F222" s="54"/>
      <c r="G222" s="1094"/>
      <c r="H222" s="1705"/>
    </row>
    <row r="223" spans="1:9" ht="15" customHeight="1" x14ac:dyDescent="0.2">
      <c r="A223" s="1705"/>
      <c r="B223" s="1705"/>
      <c r="C223" s="901" t="str">
        <f>OF!C51</f>
        <v>other</v>
      </c>
      <c r="D223" s="30">
        <f>OF!D51</f>
        <v>0</v>
      </c>
      <c r="E223" s="54"/>
      <c r="F223" s="54"/>
      <c r="G223" s="1094"/>
      <c r="H223" s="1705"/>
    </row>
    <row r="224" spans="1:9" ht="42" customHeight="1" x14ac:dyDescent="0.2">
      <c r="A224" s="1705"/>
      <c r="B224" s="1705"/>
      <c r="C224" s="901" t="str">
        <f>OF!C52</f>
        <v>no Level 3 cover type maps available for this area, but from aerial imagery it appears that the AA contains a cover type (list above) that is absent from 90% of the landscape outside of the AA and within 2 miles.  Enter "2" in the next column.</v>
      </c>
      <c r="D224" s="30">
        <f>OF!D52</f>
        <v>0</v>
      </c>
      <c r="E224" s="54"/>
      <c r="F224" s="54"/>
      <c r="G224" s="1094"/>
      <c r="H224" s="1705"/>
    </row>
    <row r="225" spans="1:9" ht="42" customHeight="1" thickBot="1" x14ac:dyDescent="0.25">
      <c r="A225" s="1706"/>
      <c r="B225" s="1706"/>
      <c r="C225" s="912" t="str">
        <f>OF!C53</f>
        <v>no Level 3 cover type maps available for this area, but from aerial imagery it appears that the AA does NOT contain a cover type that is absent from 90% of the landscape outside of the AA and within 2 miles.  Enter "1" in the next column.</v>
      </c>
      <c r="D225" s="56">
        <f>OF!D53</f>
        <v>0</v>
      </c>
      <c r="E225" s="934"/>
      <c r="F225" s="934"/>
      <c r="G225" s="946"/>
      <c r="H225" s="1706"/>
    </row>
    <row r="226" spans="1:9" ht="21" customHeight="1" thickBot="1" x14ac:dyDescent="0.25">
      <c r="A226" s="2127" t="str">
        <f>OF!A54</f>
        <v>OF9</v>
      </c>
      <c r="B226" s="1704" t="str">
        <f>OF!B54</f>
        <v>Distance to Locally Uncommon Cover Type</v>
      </c>
      <c r="C226" s="226" t="str">
        <f>OF!C54</f>
        <v>If any of the above were marked "2", the distance from the AA edge to the closest one that was so marked is:</v>
      </c>
      <c r="D226" s="949"/>
      <c r="E226" s="1068"/>
      <c r="F226" s="1068"/>
      <c r="G226" s="1011">
        <f>IF((D232=1),"",MAX(F227:F231)/MAX(E227:E231))</f>
        <v>0</v>
      </c>
      <c r="H226" s="1687" t="s">
        <v>287</v>
      </c>
      <c r="I226" s="4" t="s">
        <v>2532</v>
      </c>
    </row>
    <row r="227" spans="1:9" ht="15" customHeight="1" x14ac:dyDescent="0.2">
      <c r="A227" s="2128"/>
      <c r="B227" s="1705"/>
      <c r="C227" s="212" t="str">
        <f>OF!C55</f>
        <v>&lt;150 ft</v>
      </c>
      <c r="D227" s="30">
        <f>OF!D55</f>
        <v>0</v>
      </c>
      <c r="E227" s="1069">
        <v>5</v>
      </c>
      <c r="F227" s="1070">
        <f>D227*E227</f>
        <v>0</v>
      </c>
      <c r="G227" s="1071"/>
      <c r="H227" s="1705"/>
    </row>
    <row r="228" spans="1:9" ht="15" customHeight="1" x14ac:dyDescent="0.2">
      <c r="A228" s="2128"/>
      <c r="B228" s="1705"/>
      <c r="C228" s="901" t="str">
        <f>OF!C56</f>
        <v>150 - 500 ft</v>
      </c>
      <c r="D228" s="30">
        <f>OF!D56</f>
        <v>0</v>
      </c>
      <c r="E228" s="1069">
        <v>4</v>
      </c>
      <c r="F228" s="1070">
        <f>D228*E228</f>
        <v>0</v>
      </c>
      <c r="G228" s="1044"/>
      <c r="H228" s="1705"/>
    </row>
    <row r="229" spans="1:9" ht="15" customHeight="1" x14ac:dyDescent="0.2">
      <c r="A229" s="2128"/>
      <c r="B229" s="1705"/>
      <c r="C229" s="901" t="str">
        <f>OF!C57</f>
        <v>500 - 1000 ft</v>
      </c>
      <c r="D229" s="30">
        <f>OF!D57</f>
        <v>0</v>
      </c>
      <c r="E229" s="1069">
        <v>3</v>
      </c>
      <c r="F229" s="1070">
        <f>D229*E229</f>
        <v>0</v>
      </c>
      <c r="G229" s="1044"/>
      <c r="H229" s="1705"/>
    </row>
    <row r="230" spans="1:9" ht="15" customHeight="1" x14ac:dyDescent="0.2">
      <c r="A230" s="2128"/>
      <c r="B230" s="1705"/>
      <c r="C230" s="901" t="str">
        <f>OF!C58</f>
        <v>1000 ft - 1 mile</v>
      </c>
      <c r="D230" s="30">
        <f>OF!D58</f>
        <v>0</v>
      </c>
      <c r="E230" s="1069">
        <v>2</v>
      </c>
      <c r="F230" s="1070">
        <f>D230*E230</f>
        <v>0</v>
      </c>
      <c r="G230" s="1044"/>
      <c r="H230" s="1705"/>
    </row>
    <row r="231" spans="1:9" ht="15" customHeight="1" x14ac:dyDescent="0.2">
      <c r="A231" s="2128"/>
      <c r="B231" s="1705"/>
      <c r="C231" s="901" t="str">
        <f>OF!C59</f>
        <v>1-2 miles</v>
      </c>
      <c r="D231" s="30">
        <f>OF!D59</f>
        <v>0</v>
      </c>
      <c r="E231" s="1069">
        <v>1</v>
      </c>
      <c r="F231" s="1070">
        <f>D231*E231</f>
        <v>0</v>
      </c>
      <c r="G231" s="1044"/>
      <c r="H231" s="1705"/>
    </row>
    <row r="232" spans="1:9" ht="15.6" customHeight="1" thickBot="1" x14ac:dyDescent="0.25">
      <c r="A232" s="2129"/>
      <c r="B232" s="1706"/>
      <c r="C232" s="902" t="str">
        <f>OF!C60</f>
        <v>none of the above land cover classes were marked "2"</v>
      </c>
      <c r="D232" s="238">
        <f>OF!D60</f>
        <v>0</v>
      </c>
      <c r="E232" s="1175"/>
      <c r="F232" s="1176"/>
      <c r="G232" s="1072"/>
      <c r="H232" s="1706"/>
    </row>
    <row r="233" spans="1:9" ht="75" customHeight="1" thickBot="1" x14ac:dyDescent="0.25">
      <c r="A233" s="28" t="str">
        <f>OF!A151</f>
        <v>OF29</v>
      </c>
      <c r="B233" s="740" t="str">
        <f>OF!B151</f>
        <v>Wetland Class Scarcity in HUC6</v>
      </c>
      <c r="C233" s="249"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233" s="270">
        <f>OF!D151</f>
        <v>0</v>
      </c>
      <c r="E233" s="236"/>
      <c r="F233" s="236"/>
      <c r="G233" s="1365">
        <f>IF((D233=""),"", D233)</f>
        <v>0</v>
      </c>
      <c r="H233" s="143" t="s">
        <v>2100</v>
      </c>
      <c r="I233" s="4" t="s">
        <v>2099</v>
      </c>
    </row>
    <row r="234" spans="1:9" ht="60" customHeight="1" thickBot="1" x14ac:dyDescent="0.25">
      <c r="A234" s="2144" t="str">
        <f>OF!A215</f>
        <v>OF45</v>
      </c>
      <c r="B234" s="2134" t="str">
        <f>OF!B215</f>
        <v>Plants of Conservation Concern</v>
      </c>
      <c r="C234" s="900" t="str">
        <f>OF!C215</f>
        <v>The AA contains an uncommon or imperiled wetland indicator plant that is (a) listed in Table C-6 of the Manual, or (b) is a native species that is not listed as occurring in Southeast Alaska in the PlantList worksheet, has been detected within the AA under conditions similar to what now occur, by a qualified observer, and:</v>
      </c>
      <c r="D234" s="278"/>
      <c r="E234" s="278"/>
      <c r="F234" s="241"/>
      <c r="G234" s="1102">
        <f>IF((D237=1),"",MAX(F235:F237)/2)</f>
        <v>0</v>
      </c>
      <c r="H234" s="2134" t="s">
        <v>115</v>
      </c>
      <c r="I234" s="4" t="s">
        <v>634</v>
      </c>
    </row>
    <row r="235" spans="1:9" ht="15" customHeight="1" x14ac:dyDescent="0.2">
      <c r="A235" s="2106"/>
      <c r="B235" s="2111"/>
      <c r="C235" s="212" t="str">
        <f>OF!C216</f>
        <v>more than 1 such feature or species is present in the AA</v>
      </c>
      <c r="D235" s="64">
        <f>OF!D216</f>
        <v>0</v>
      </c>
      <c r="E235" s="54">
        <v>2</v>
      </c>
      <c r="F235" s="54">
        <f>D235*E235</f>
        <v>0</v>
      </c>
      <c r="G235" s="1093"/>
      <c r="H235" s="2111"/>
    </row>
    <row r="236" spans="1:9" ht="15" customHeight="1" x14ac:dyDescent="0.2">
      <c r="A236" s="2106"/>
      <c r="B236" s="2111"/>
      <c r="C236" s="901" t="str">
        <f>OF!C217</f>
        <v>only one such species or feature is present in the AA</v>
      </c>
      <c r="D236" s="30">
        <f>OF!D217</f>
        <v>0</v>
      </c>
      <c r="E236" s="54">
        <v>1</v>
      </c>
      <c r="F236" s="54">
        <f>D236*E236</f>
        <v>0</v>
      </c>
      <c r="G236" s="1094"/>
      <c r="H236" s="2111"/>
    </row>
    <row r="237" spans="1:9" ht="27.6" customHeight="1" thickBot="1" x14ac:dyDescent="0.25">
      <c r="A237" s="2107"/>
      <c r="B237" s="2112"/>
      <c r="C237" s="902" t="str">
        <f>OF!C218</f>
        <v>there are no recent observations of these in the AA by a qualified observer under conditions similar to what now occur, or no data.</v>
      </c>
      <c r="D237" s="238">
        <f>OF!D218</f>
        <v>0</v>
      </c>
      <c r="E237" s="239"/>
      <c r="F237" s="239"/>
      <c r="G237" s="944"/>
      <c r="H237" s="2112"/>
    </row>
    <row r="238" spans="1:9" ht="30" customHeight="1" thickBot="1" x14ac:dyDescent="0.25">
      <c r="A238" s="28" t="str">
        <f>OF!A219</f>
        <v>OF46</v>
      </c>
      <c r="B238" s="740" t="str">
        <f>OF!B219</f>
        <v>Cedar</v>
      </c>
      <c r="C238" s="249" t="str">
        <f>OF!C219</f>
        <v xml:space="preserve">The AA contains (a) more than1 acre of a mature (&gt;24" dbh) living stand of cedar or (b) is in an area documented as Yellow Cedar Decline (see layer in online WESPAK-SE Wetlands Module). </v>
      </c>
      <c r="D238" s="270">
        <f>OF!D219</f>
        <v>0</v>
      </c>
      <c r="E238" s="236"/>
      <c r="F238" s="72"/>
      <c r="G238" s="1101" t="str">
        <f>IF((D238=0),"", D238)</f>
        <v/>
      </c>
      <c r="H238" s="143" t="s">
        <v>1968</v>
      </c>
      <c r="I238" s="4" t="s">
        <v>1969</v>
      </c>
    </row>
    <row r="239" spans="1:9" s="4" customFormat="1" ht="30" customHeight="1" thickBot="1" x14ac:dyDescent="0.25">
      <c r="A239" s="217" t="str">
        <f>F!A314</f>
        <v>F67</v>
      </c>
      <c r="B239" s="5" t="str">
        <f>F!B314</f>
        <v>Consumptive Uses (Provisioning Services)</v>
      </c>
      <c r="C239" s="590" t="str">
        <f>F!C316</f>
        <v>Commercial or subsistence-based harvesting of native plants or mushrooms</v>
      </c>
      <c r="D239" s="269">
        <f>F!D316</f>
        <v>0</v>
      </c>
      <c r="E239" s="952"/>
      <c r="F239" s="952"/>
      <c r="G239" s="1102" t="str">
        <f>IF((D239=0),"",1)</f>
        <v/>
      </c>
      <c r="H239" s="5" t="s">
        <v>2240</v>
      </c>
      <c r="I239" s="4" t="s">
        <v>2101</v>
      </c>
    </row>
    <row r="240" spans="1:9" ht="30" customHeight="1" thickBot="1" x14ac:dyDescent="0.25">
      <c r="A240" s="1108"/>
      <c r="B240" s="1129" t="str">
        <f>POL!C104</f>
        <v>Function Score for Pollinator Habitat</v>
      </c>
      <c r="C240" s="1125"/>
      <c r="D240" s="952"/>
      <c r="E240" s="952"/>
      <c r="F240" s="235"/>
      <c r="G240" s="1102">
        <f>POL!G104/10</f>
        <v>0</v>
      </c>
      <c r="H240" s="226" t="s">
        <v>173</v>
      </c>
      <c r="I240" s="4" t="s">
        <v>635</v>
      </c>
    </row>
    <row r="241" spans="1:9" ht="45" customHeight="1" thickBot="1" x14ac:dyDescent="0.25">
      <c r="A241" s="1109"/>
      <c r="B241" s="826" t="str">
        <f>SBM!C250</f>
        <v>Function Score for Songbird, Raptor, &amp; Mammal Habitat</v>
      </c>
      <c r="C241" s="1126"/>
      <c r="D241" s="1142"/>
      <c r="E241" s="1142"/>
      <c r="F241" s="1143"/>
      <c r="G241" s="606">
        <f>SBM!G250/10</f>
        <v>1.6666666666666666E-2</v>
      </c>
      <c r="H241" s="121" t="s">
        <v>808</v>
      </c>
      <c r="I241" s="4" t="s">
        <v>660</v>
      </c>
    </row>
    <row r="242" spans="1:9" ht="45" customHeight="1" thickBot="1" x14ac:dyDescent="0.25">
      <c r="A242" s="1108"/>
      <c r="B242" s="1129" t="str">
        <f>SubSis!C37</f>
        <v>Values Score for Subsistence &amp; Provisioning Services</v>
      </c>
      <c r="C242" s="1127"/>
      <c r="D242" s="1137"/>
      <c r="E242" s="1137"/>
      <c r="F242" s="1144"/>
      <c r="G242" s="1102">
        <f>SubSis!G37/10</f>
        <v>0</v>
      </c>
      <c r="H242" s="5" t="s">
        <v>807</v>
      </c>
      <c r="I242" s="4" t="s">
        <v>661</v>
      </c>
    </row>
    <row r="243" spans="1:9" ht="21" customHeight="1" thickBot="1" x14ac:dyDescent="0.25">
      <c r="A243" s="2230"/>
      <c r="B243" s="2230"/>
      <c r="C243" s="2230"/>
      <c r="D243" s="2214"/>
      <c r="E243" s="2214"/>
      <c r="F243" s="2214"/>
      <c r="G243" s="2214"/>
      <c r="H243" s="2214"/>
    </row>
    <row r="244" spans="1:9" s="29" customFormat="1" ht="21" customHeight="1" x14ac:dyDescent="0.2">
      <c r="A244" s="2229"/>
      <c r="B244" s="2229"/>
      <c r="C244" s="2229"/>
      <c r="D244" s="2243" t="s">
        <v>1228</v>
      </c>
      <c r="E244" s="2244"/>
      <c r="F244" s="2244"/>
      <c r="G244" s="539">
        <f>AVERAGE(WidthPD, SizePD, SatPctPD)</f>
        <v>0</v>
      </c>
      <c r="H244" s="228" t="s">
        <v>1929</v>
      </c>
    </row>
    <row r="245" spans="1:9" s="29" customFormat="1" ht="21" customHeight="1" x14ac:dyDescent="0.2">
      <c r="A245" s="2229"/>
      <c r="B245" s="2229"/>
      <c r="C245" s="2229"/>
      <c r="D245" s="2023" t="s">
        <v>327</v>
      </c>
      <c r="E245" s="2024"/>
      <c r="F245" s="2024"/>
      <c r="G245" s="540">
        <f>AVERAGE(BeaverPD, SlidePD,NatVegCApd, BuffLUpd, PondScape15, PondProx15)</f>
        <v>0</v>
      </c>
      <c r="H245" s="216" t="s">
        <v>1247</v>
      </c>
    </row>
    <row r="246" spans="1:9" s="29" customFormat="1" ht="21" customHeight="1" x14ac:dyDescent="0.2">
      <c r="A246" s="2229"/>
      <c r="B246" s="2229"/>
      <c r="C246" s="2229"/>
      <c r="D246" s="2023" t="s">
        <v>658</v>
      </c>
      <c r="E246" s="2024"/>
      <c r="F246" s="2024"/>
      <c r="G246" s="540">
        <f>AVERAGE(InterspersPD,FlucPD, SeasWpctPD, InfloPD, GWpd, NewWetPD, ElevPD, Depth15)</f>
        <v>0</v>
      </c>
      <c r="H246" s="216" t="s">
        <v>1761</v>
      </c>
    </row>
    <row r="247" spans="1:9" s="29" customFormat="1" ht="21" customHeight="1" x14ac:dyDescent="0.2">
      <c r="A247" s="2229"/>
      <c r="B247" s="2229"/>
      <c r="C247" s="2229"/>
      <c r="D247" s="2023" t="s">
        <v>659</v>
      </c>
      <c r="E247" s="2024"/>
      <c r="F247" s="2024"/>
      <c r="G247" s="540">
        <f>AVERAGE(NfixPD, DecidTreePD, HardwdPD, SoilTexPD, GraniteSoilPD,Karst16a,WettypePD, MossPD)</f>
        <v>0</v>
      </c>
      <c r="H247" s="216" t="s">
        <v>2503</v>
      </c>
    </row>
    <row r="248" spans="1:9" s="29" customFormat="1" ht="21" customHeight="1" x14ac:dyDescent="0.2">
      <c r="A248" s="2229"/>
      <c r="B248" s="2229"/>
      <c r="C248" s="2229"/>
      <c r="D248" s="2023" t="s">
        <v>425</v>
      </c>
      <c r="E248" s="2024"/>
      <c r="F248" s="2024"/>
      <c r="G248" s="540">
        <f>AVERAGE(TidalProxPD, GDDpd, AspectPD)</f>
        <v>0</v>
      </c>
      <c r="H248" s="216" t="s">
        <v>1907</v>
      </c>
    </row>
    <row r="249" spans="1:9" s="29" customFormat="1" ht="27.75" customHeight="1" x14ac:dyDescent="0.2">
      <c r="A249" s="2229"/>
      <c r="B249" s="2229"/>
      <c r="C249" s="2229"/>
      <c r="D249" s="2023" t="s">
        <v>1238</v>
      </c>
      <c r="E249" s="2024"/>
      <c r="F249" s="2024"/>
      <c r="G249" s="540">
        <f>AVERAGE(MIN(WeedSourcePD, herb1pd), AVERAGE(TreeCovPD, herbdom15,ShrubSun,wood2pd, GirregPD))</f>
        <v>0</v>
      </c>
      <c r="H249" s="216" t="s">
        <v>2424</v>
      </c>
    </row>
    <row r="250" spans="1:9" s="29" customFormat="1" ht="21" customHeight="1" thickBot="1" x14ac:dyDescent="0.25">
      <c r="A250" s="2229"/>
      <c r="B250" s="2229"/>
      <c r="C250" s="2229"/>
      <c r="D250" s="2241" t="s">
        <v>873</v>
      </c>
      <c r="E250" s="2242"/>
      <c r="F250" s="2242"/>
      <c r="G250" s="535">
        <f>AVERAGE(Core1pd, Core2pd, BMPsoils20,PopCtr15, DistRdPD, AltTime20, SedDisturb20, Unbrowsed)</f>
        <v>0.16666666666666666</v>
      </c>
      <c r="H250" s="229" t="s">
        <v>2426</v>
      </c>
    </row>
    <row r="251" spans="1:9" ht="21" customHeight="1" thickBot="1" x14ac:dyDescent="0.25">
      <c r="A251" s="2229"/>
      <c r="B251" s="2229"/>
      <c r="C251" s="2229"/>
      <c r="D251" s="2214"/>
      <c r="E251" s="2214"/>
      <c r="F251" s="2214"/>
      <c r="G251" s="2214"/>
      <c r="H251" s="2214"/>
    </row>
    <row r="252" spans="1:9" ht="30" customHeight="1" thickBot="1" x14ac:dyDescent="0.25">
      <c r="A252" s="2084"/>
      <c r="B252" s="2086"/>
      <c r="C252" s="2096" t="s">
        <v>209</v>
      </c>
      <c r="D252" s="2097"/>
      <c r="E252" s="2098"/>
      <c r="F252" s="1145" t="s">
        <v>141</v>
      </c>
      <c r="G252" s="971">
        <f>10*((4*SppArea + 2*AqFertilPD + 2*TerrFertilPD + 2*ClimatePD + CompetPD + LscapePD + StressPD)/13)</f>
        <v>0.12820512820512819</v>
      </c>
      <c r="H252" s="49" t="s">
        <v>2425</v>
      </c>
    </row>
    <row r="253" spans="1:9" ht="30" customHeight="1" thickBot="1" x14ac:dyDescent="0.25">
      <c r="A253" s="2084"/>
      <c r="B253" s="2086"/>
      <c r="C253" s="2096" t="s">
        <v>204</v>
      </c>
      <c r="D253" s="2097"/>
      <c r="E253" s="2098"/>
      <c r="F253" s="1145" t="s">
        <v>142</v>
      </c>
      <c r="G253" s="1088">
        <f>10*(MAX(RarePspp, AVERAGE(UniqPatchPD,DistRareTypPD,RareWclassPD,CedarPD), AVERAGE(Glean20,ScoreSBM,ScorePOLf,ScoreSubsis)))</f>
        <v>5.5555555555555559E-2</v>
      </c>
      <c r="H253" s="49" t="s">
        <v>2533</v>
      </c>
    </row>
    <row r="254" spans="1:9" ht="21" customHeight="1" thickBot="1" x14ac:dyDescent="0.25">
      <c r="A254" s="2229"/>
      <c r="B254" s="2229"/>
      <c r="C254" s="2229"/>
      <c r="D254" s="2229"/>
      <c r="E254" s="2229"/>
      <c r="F254" s="2229"/>
      <c r="G254" s="2229"/>
    </row>
    <row r="255" spans="1:9" ht="21" customHeight="1" thickBot="1" x14ac:dyDescent="0.25">
      <c r="A255" s="2229"/>
      <c r="B255" s="2229"/>
      <c r="C255" s="2229"/>
      <c r="D255" s="2229"/>
      <c r="E255" s="2229"/>
      <c r="F255" s="2229"/>
      <c r="G255" s="2229"/>
      <c r="H255" s="80" t="s">
        <v>1345</v>
      </c>
    </row>
    <row r="256" spans="1:9" ht="27" customHeight="1" x14ac:dyDescent="0.2">
      <c r="A256" s="2229"/>
      <c r="B256" s="2229"/>
      <c r="C256" s="2229"/>
      <c r="D256" s="2229"/>
      <c r="E256" s="2229"/>
      <c r="F256" s="2229"/>
      <c r="G256" s="2229"/>
      <c r="H256" s="425" t="s">
        <v>1714</v>
      </c>
    </row>
    <row r="257" spans="1:8" ht="42" customHeight="1" x14ac:dyDescent="0.2">
      <c r="A257" s="2229"/>
      <c r="B257" s="2229"/>
      <c r="C257" s="2229"/>
      <c r="D257" s="2229"/>
      <c r="E257" s="2229"/>
      <c r="F257" s="2229"/>
      <c r="G257" s="2229"/>
      <c r="H257" s="118" t="s">
        <v>1517</v>
      </c>
    </row>
    <row r="258" spans="1:8" ht="42" customHeight="1" x14ac:dyDescent="0.2">
      <c r="A258" s="2229"/>
      <c r="B258" s="2229"/>
      <c r="C258" s="2229"/>
      <c r="D258" s="2229"/>
      <c r="E258" s="2229"/>
      <c r="F258" s="2229"/>
      <c r="G258" s="2229"/>
      <c r="H258" s="118" t="s">
        <v>1715</v>
      </c>
    </row>
    <row r="259" spans="1:8" ht="42" customHeight="1" x14ac:dyDescent="0.2">
      <c r="A259" s="2229"/>
      <c r="B259" s="2229"/>
      <c r="C259" s="2229"/>
      <c r="D259" s="2229"/>
      <c r="E259" s="2229"/>
      <c r="F259" s="2229"/>
      <c r="G259" s="2229"/>
      <c r="H259" s="118" t="s">
        <v>1716</v>
      </c>
    </row>
    <row r="260" spans="1:8" ht="27" customHeight="1" x14ac:dyDescent="0.2">
      <c r="A260" s="2229"/>
      <c r="B260" s="2229"/>
      <c r="C260" s="2229"/>
      <c r="D260" s="2229"/>
      <c r="E260" s="2229"/>
      <c r="F260" s="2229"/>
      <c r="G260" s="2229"/>
      <c r="H260" s="118" t="s">
        <v>1717</v>
      </c>
    </row>
    <row r="261" spans="1:8" ht="42" customHeight="1" x14ac:dyDescent="0.2">
      <c r="A261" s="2229"/>
      <c r="B261" s="2229"/>
      <c r="C261" s="2229"/>
      <c r="D261" s="2229"/>
      <c r="E261" s="2229"/>
      <c r="F261" s="2229"/>
      <c r="G261" s="2229"/>
      <c r="H261" s="118" t="s">
        <v>1413</v>
      </c>
    </row>
    <row r="262" spans="1:8" ht="42" customHeight="1" x14ac:dyDescent="0.2">
      <c r="A262" s="2229"/>
      <c r="B262" s="2229"/>
      <c r="C262" s="2229"/>
      <c r="D262" s="2229"/>
      <c r="E262" s="2229"/>
      <c r="F262" s="2229"/>
      <c r="G262" s="2229"/>
      <c r="H262" s="118" t="s">
        <v>1718</v>
      </c>
    </row>
    <row r="263" spans="1:8" ht="27" customHeight="1" x14ac:dyDescent="0.2">
      <c r="A263" s="2229"/>
      <c r="B263" s="2229"/>
      <c r="C263" s="2229"/>
      <c r="D263" s="2229"/>
      <c r="E263" s="2229"/>
      <c r="F263" s="2229"/>
      <c r="G263" s="2229"/>
      <c r="H263" s="118" t="s">
        <v>1719</v>
      </c>
    </row>
    <row r="264" spans="1:8" ht="27" customHeight="1" x14ac:dyDescent="0.2">
      <c r="A264" s="2229"/>
      <c r="B264" s="2229"/>
      <c r="C264" s="2229"/>
      <c r="D264" s="2229"/>
      <c r="E264" s="2229"/>
      <c r="F264" s="2229"/>
      <c r="G264" s="2229"/>
      <c r="H264" s="118" t="s">
        <v>1720</v>
      </c>
    </row>
    <row r="265" spans="1:8" ht="27" customHeight="1" x14ac:dyDescent="0.2">
      <c r="A265" s="2229"/>
      <c r="B265" s="2229"/>
      <c r="C265" s="2229"/>
      <c r="D265" s="2229"/>
      <c r="E265" s="2229"/>
      <c r="F265" s="2229"/>
      <c r="G265" s="2229"/>
      <c r="H265" s="118" t="s">
        <v>2238</v>
      </c>
    </row>
    <row r="266" spans="1:8" ht="27" customHeight="1" x14ac:dyDescent="0.2">
      <c r="A266" s="2229"/>
      <c r="B266" s="2229"/>
      <c r="C266" s="2229"/>
      <c r="D266" s="2229"/>
      <c r="E266" s="2229"/>
      <c r="F266" s="2229"/>
      <c r="G266" s="2229"/>
      <c r="H266" s="118" t="s">
        <v>1721</v>
      </c>
    </row>
    <row r="267" spans="1:8" ht="42" customHeight="1" x14ac:dyDescent="0.2">
      <c r="A267" s="2229"/>
      <c r="B267" s="2229"/>
      <c r="C267" s="2229"/>
      <c r="D267" s="2229"/>
      <c r="E267" s="2229"/>
      <c r="F267" s="2229"/>
      <c r="G267" s="2229"/>
      <c r="H267" s="118" t="s">
        <v>1347</v>
      </c>
    </row>
    <row r="268" spans="1:8" ht="27" customHeight="1" x14ac:dyDescent="0.2">
      <c r="A268" s="2229"/>
      <c r="B268" s="2229"/>
      <c r="C268" s="2229"/>
      <c r="D268" s="2229"/>
      <c r="E268" s="2229"/>
      <c r="F268" s="2229"/>
      <c r="G268" s="2229"/>
      <c r="H268" s="118" t="s">
        <v>1525</v>
      </c>
    </row>
    <row r="269" spans="1:8" ht="42" customHeight="1" x14ac:dyDescent="0.2">
      <c r="A269" s="2229"/>
      <c r="B269" s="2229"/>
      <c r="C269" s="2229"/>
      <c r="D269" s="2229"/>
      <c r="E269" s="2229"/>
      <c r="F269" s="2229"/>
      <c r="G269" s="2229"/>
      <c r="H269" s="118" t="s">
        <v>1722</v>
      </c>
    </row>
    <row r="270" spans="1:8" ht="27" customHeight="1" x14ac:dyDescent="0.2">
      <c r="A270" s="2229"/>
      <c r="B270" s="2229"/>
      <c r="C270" s="2229"/>
      <c r="D270" s="2229"/>
      <c r="E270" s="2229"/>
      <c r="F270" s="2229"/>
      <c r="G270" s="2229"/>
      <c r="H270" s="118" t="s">
        <v>1723</v>
      </c>
    </row>
    <row r="271" spans="1:8" ht="27" customHeight="1" x14ac:dyDescent="0.2">
      <c r="A271" s="2229"/>
      <c r="B271" s="2229"/>
      <c r="C271" s="2229"/>
      <c r="D271" s="2229"/>
      <c r="E271" s="2229"/>
      <c r="F271" s="2229"/>
      <c r="G271" s="2229"/>
      <c r="H271" s="118" t="s">
        <v>1724</v>
      </c>
    </row>
    <row r="272" spans="1:8" ht="42" customHeight="1" x14ac:dyDescent="0.2">
      <c r="A272" s="2229"/>
      <c r="B272" s="2229"/>
      <c r="C272" s="2229"/>
      <c r="D272" s="2229"/>
      <c r="E272" s="2229"/>
      <c r="F272" s="2229"/>
      <c r="G272" s="2229"/>
      <c r="H272" s="118" t="s">
        <v>1725</v>
      </c>
    </row>
    <row r="273" spans="1:8" ht="27" customHeight="1" x14ac:dyDescent="0.2">
      <c r="A273" s="2229"/>
      <c r="B273" s="2229"/>
      <c r="C273" s="2229"/>
      <c r="D273" s="2229"/>
      <c r="E273" s="2229"/>
      <c r="F273" s="2229"/>
      <c r="G273" s="2229"/>
      <c r="H273" s="118" t="s">
        <v>1726</v>
      </c>
    </row>
    <row r="274" spans="1:8" ht="42" customHeight="1" x14ac:dyDescent="0.2">
      <c r="A274" s="2229"/>
      <c r="B274" s="2229"/>
      <c r="C274" s="2229"/>
      <c r="D274" s="2229"/>
      <c r="E274" s="2229"/>
      <c r="F274" s="2229"/>
      <c r="G274" s="2229"/>
      <c r="H274" s="118" t="s">
        <v>1727</v>
      </c>
    </row>
    <row r="275" spans="1:8" ht="27" customHeight="1" x14ac:dyDescent="0.2">
      <c r="A275" s="2229"/>
      <c r="B275" s="2229"/>
      <c r="C275" s="2229"/>
      <c r="D275" s="2229"/>
      <c r="E275" s="2229"/>
      <c r="F275" s="2229"/>
      <c r="G275" s="2229"/>
      <c r="H275" s="118" t="s">
        <v>1728</v>
      </c>
    </row>
    <row r="276" spans="1:8" ht="42" customHeight="1" x14ac:dyDescent="0.2">
      <c r="A276" s="2229"/>
      <c r="B276" s="2229"/>
      <c r="C276" s="2229"/>
      <c r="D276" s="2229"/>
      <c r="E276" s="2229"/>
      <c r="F276" s="2229"/>
      <c r="G276" s="2229"/>
      <c r="H276" s="118" t="s">
        <v>1729</v>
      </c>
    </row>
    <row r="277" spans="1:8" ht="27" customHeight="1" x14ac:dyDescent="0.2">
      <c r="A277" s="2229"/>
      <c r="B277" s="2229"/>
      <c r="C277" s="2229"/>
      <c r="D277" s="2229"/>
      <c r="E277" s="2229"/>
      <c r="F277" s="2229"/>
      <c r="G277" s="2229"/>
      <c r="H277" s="118" t="s">
        <v>1730</v>
      </c>
    </row>
    <row r="278" spans="1:8" ht="42" customHeight="1" x14ac:dyDescent="0.2">
      <c r="A278" s="2229"/>
      <c r="B278" s="2229"/>
      <c r="C278" s="2229"/>
      <c r="D278" s="2229"/>
      <c r="E278" s="2229"/>
      <c r="F278" s="2229"/>
      <c r="G278" s="2229"/>
      <c r="H278" s="118" t="s">
        <v>1731</v>
      </c>
    </row>
    <row r="279" spans="1:8" ht="27" customHeight="1" x14ac:dyDescent="0.2">
      <c r="A279" s="2229"/>
      <c r="B279" s="2229"/>
      <c r="C279" s="2229"/>
      <c r="D279" s="2229"/>
      <c r="E279" s="2229"/>
      <c r="F279" s="2229"/>
      <c r="G279" s="2229"/>
      <c r="H279" s="1364" t="s">
        <v>5521</v>
      </c>
    </row>
    <row r="280" spans="1:8" ht="27" customHeight="1" x14ac:dyDescent="0.2">
      <c r="A280" s="2229"/>
      <c r="B280" s="2229"/>
      <c r="C280" s="2229"/>
      <c r="D280" s="2229"/>
      <c r="E280" s="2229"/>
      <c r="F280" s="2229"/>
      <c r="G280" s="2229"/>
      <c r="H280" s="118" t="s">
        <v>1628</v>
      </c>
    </row>
    <row r="281" spans="1:8" ht="27" customHeight="1" x14ac:dyDescent="0.2">
      <c r="A281" s="2229"/>
      <c r="B281" s="2229"/>
      <c r="C281" s="2229"/>
      <c r="D281" s="2229"/>
      <c r="E281" s="2229"/>
      <c r="F281" s="2229"/>
      <c r="G281" s="2229"/>
      <c r="H281" s="118" t="s">
        <v>1732</v>
      </c>
    </row>
    <row r="282" spans="1:8" ht="27" customHeight="1" x14ac:dyDescent="0.2">
      <c r="A282" s="2229"/>
      <c r="B282" s="2229"/>
      <c r="C282" s="2229"/>
      <c r="D282" s="2229"/>
      <c r="E282" s="2229"/>
      <c r="F282" s="2229"/>
      <c r="G282" s="2229"/>
      <c r="H282" s="118" t="s">
        <v>1733</v>
      </c>
    </row>
    <row r="283" spans="1:8" ht="54" customHeight="1" x14ac:dyDescent="0.2">
      <c r="A283" s="2229"/>
      <c r="B283" s="2229"/>
      <c r="C283" s="2229"/>
      <c r="D283" s="2229"/>
      <c r="E283" s="2229"/>
      <c r="F283" s="2229"/>
      <c r="G283" s="2229"/>
      <c r="H283" s="118" t="s">
        <v>1734</v>
      </c>
    </row>
    <row r="284" spans="1:8" ht="27" customHeight="1" x14ac:dyDescent="0.2">
      <c r="A284" s="2229"/>
      <c r="B284" s="2229"/>
      <c r="C284" s="2229"/>
      <c r="D284" s="2229"/>
      <c r="E284" s="2229"/>
      <c r="F284" s="2229"/>
      <c r="G284" s="2229"/>
      <c r="H284" s="118" t="s">
        <v>1735</v>
      </c>
    </row>
    <row r="285" spans="1:8" ht="27" customHeight="1" x14ac:dyDescent="0.2">
      <c r="A285" s="2229"/>
      <c r="B285" s="2229"/>
      <c r="C285" s="2229"/>
      <c r="D285" s="2229"/>
      <c r="E285" s="2229"/>
      <c r="F285" s="2229"/>
      <c r="G285" s="2229"/>
      <c r="H285" s="118" t="s">
        <v>5523</v>
      </c>
    </row>
    <row r="286" spans="1:8" ht="27" customHeight="1" x14ac:dyDescent="0.2">
      <c r="A286" s="2229"/>
      <c r="B286" s="2229"/>
      <c r="C286" s="2229"/>
      <c r="D286" s="2229"/>
      <c r="E286" s="2229"/>
      <c r="F286" s="2229"/>
      <c r="G286" s="2229"/>
      <c r="H286" s="118" t="s">
        <v>1736</v>
      </c>
    </row>
    <row r="287" spans="1:8" ht="42" customHeight="1" x14ac:dyDescent="0.2">
      <c r="A287" s="2229"/>
      <c r="B287" s="2229"/>
      <c r="C287" s="2229"/>
      <c r="D287" s="2229"/>
      <c r="E287" s="2229"/>
      <c r="F287" s="2229"/>
      <c r="G287" s="2229"/>
      <c r="H287" s="118" t="s">
        <v>1668</v>
      </c>
    </row>
    <row r="288" spans="1:8" ht="27" customHeight="1" x14ac:dyDescent="0.2">
      <c r="A288" s="2229"/>
      <c r="B288" s="2229"/>
      <c r="C288" s="2229"/>
      <c r="D288" s="2229"/>
      <c r="E288" s="2229"/>
      <c r="F288" s="2229"/>
      <c r="G288" s="2229"/>
      <c r="H288" s="118" t="s">
        <v>1737</v>
      </c>
    </row>
    <row r="289" spans="1:8" ht="27" customHeight="1" x14ac:dyDescent="0.2">
      <c r="A289" s="2229"/>
      <c r="B289" s="2229"/>
      <c r="C289" s="2229"/>
      <c r="D289" s="2229"/>
      <c r="E289" s="2229"/>
      <c r="F289" s="2229"/>
      <c r="G289" s="2229"/>
      <c r="H289" s="118" t="s">
        <v>1738</v>
      </c>
    </row>
    <row r="290" spans="1:8" ht="27" customHeight="1" x14ac:dyDescent="0.2">
      <c r="A290" s="2229"/>
      <c r="B290" s="2229"/>
      <c r="C290" s="2229"/>
      <c r="D290" s="2229"/>
      <c r="E290" s="2229"/>
      <c r="F290" s="2229"/>
      <c r="G290" s="2229"/>
      <c r="H290" s="118" t="s">
        <v>1739</v>
      </c>
    </row>
    <row r="291" spans="1:8" ht="27" customHeight="1" x14ac:dyDescent="0.2">
      <c r="A291" s="2229"/>
      <c r="B291" s="2229"/>
      <c r="C291" s="2229"/>
      <c r="D291" s="2229"/>
      <c r="E291" s="2229"/>
      <c r="F291" s="2229"/>
      <c r="G291" s="2229"/>
      <c r="H291" s="118" t="s">
        <v>1740</v>
      </c>
    </row>
    <row r="292" spans="1:8" ht="27" customHeight="1" x14ac:dyDescent="0.2">
      <c r="A292" s="2229"/>
      <c r="B292" s="2229"/>
      <c r="C292" s="2229"/>
      <c r="D292" s="2229"/>
      <c r="E292" s="2229"/>
      <c r="F292" s="2229"/>
      <c r="G292" s="2229"/>
      <c r="H292" s="118" t="s">
        <v>1741</v>
      </c>
    </row>
    <row r="293" spans="1:8" ht="30" customHeight="1" x14ac:dyDescent="0.2">
      <c r="A293" s="2229"/>
      <c r="B293" s="2229"/>
      <c r="C293" s="2229"/>
      <c r="D293" s="2229"/>
      <c r="E293" s="2229"/>
      <c r="F293" s="2229"/>
      <c r="G293" s="2229"/>
      <c r="H293" s="118" t="s">
        <v>1742</v>
      </c>
    </row>
    <row r="294" spans="1:8" ht="30" customHeight="1" x14ac:dyDescent="0.2">
      <c r="A294" s="2229"/>
      <c r="B294" s="2229"/>
      <c r="C294" s="2229"/>
      <c r="D294" s="2229"/>
      <c r="E294" s="2229"/>
      <c r="F294" s="2229"/>
      <c r="G294" s="2229"/>
      <c r="H294" s="118" t="s">
        <v>1743</v>
      </c>
    </row>
    <row r="295" spans="1:8" ht="42" customHeight="1" x14ac:dyDescent="0.2">
      <c r="A295" s="2229"/>
      <c r="B295" s="2229"/>
      <c r="C295" s="2229"/>
      <c r="D295" s="2229"/>
      <c r="E295" s="2229"/>
      <c r="F295" s="2229"/>
      <c r="G295" s="2229"/>
      <c r="H295" s="118" t="s">
        <v>1744</v>
      </c>
    </row>
    <row r="296" spans="1:8" ht="27" customHeight="1" x14ac:dyDescent="0.2">
      <c r="A296" s="2229"/>
      <c r="B296" s="2229"/>
      <c r="C296" s="2229"/>
      <c r="D296" s="2229"/>
      <c r="E296" s="2229"/>
      <c r="F296" s="2229"/>
      <c r="G296" s="2229"/>
      <c r="H296" s="118" t="s">
        <v>1745</v>
      </c>
    </row>
    <row r="297" spans="1:8" ht="42" customHeight="1" x14ac:dyDescent="0.2">
      <c r="A297" s="2229"/>
      <c r="B297" s="2229"/>
      <c r="C297" s="2229"/>
      <c r="D297" s="2229"/>
      <c r="E297" s="2229"/>
      <c r="F297" s="2229"/>
      <c r="G297" s="2229"/>
      <c r="H297" s="118" t="s">
        <v>5522</v>
      </c>
    </row>
    <row r="298" spans="1:8" ht="42" customHeight="1" x14ac:dyDescent="0.2">
      <c r="A298" s="2229"/>
      <c r="B298" s="2229"/>
      <c r="C298" s="2229"/>
      <c r="D298" s="2229"/>
      <c r="E298" s="2229"/>
      <c r="F298" s="2229"/>
      <c r="G298" s="2229"/>
      <c r="H298" s="118" t="s">
        <v>1687</v>
      </c>
    </row>
    <row r="299" spans="1:8" ht="27" customHeight="1" x14ac:dyDescent="0.2">
      <c r="A299" s="2229"/>
      <c r="B299" s="2229"/>
      <c r="C299" s="2229"/>
      <c r="D299" s="2229"/>
      <c r="E299" s="2229"/>
      <c r="F299" s="2229"/>
      <c r="G299" s="2229"/>
      <c r="H299" s="118" t="s">
        <v>1634</v>
      </c>
    </row>
    <row r="300" spans="1:8" ht="30" customHeight="1" x14ac:dyDescent="0.2">
      <c r="A300" s="2229"/>
      <c r="B300" s="2229"/>
      <c r="C300" s="2229"/>
      <c r="D300" s="2229"/>
      <c r="E300" s="2229"/>
      <c r="F300" s="2229"/>
      <c r="G300" s="2229"/>
      <c r="H300" s="118" t="s">
        <v>2385</v>
      </c>
    </row>
    <row r="301" spans="1:8" ht="27" customHeight="1" x14ac:dyDescent="0.2">
      <c r="A301" s="2229"/>
      <c r="B301" s="2229"/>
      <c r="C301" s="2229"/>
      <c r="D301" s="2229"/>
      <c r="E301" s="2229"/>
      <c r="F301" s="2229"/>
      <c r="G301" s="2229"/>
      <c r="H301" s="118" t="s">
        <v>1511</v>
      </c>
    </row>
    <row r="302" spans="1:8" ht="27" customHeight="1" x14ac:dyDescent="0.2">
      <c r="A302" s="2229"/>
      <c r="B302" s="2229"/>
      <c r="C302" s="2229"/>
      <c r="D302" s="2229"/>
      <c r="E302" s="2229"/>
      <c r="F302" s="2229"/>
      <c r="G302" s="2229"/>
      <c r="H302" s="118" t="s">
        <v>1746</v>
      </c>
    </row>
    <row r="303" spans="1:8" ht="30" customHeight="1" thickBot="1" x14ac:dyDescent="0.25">
      <c r="A303" s="2229"/>
      <c r="B303" s="2229"/>
      <c r="C303" s="2229"/>
      <c r="D303" s="2229"/>
      <c r="E303" s="2229"/>
      <c r="F303" s="2229"/>
      <c r="G303" s="2229"/>
      <c r="H303" s="142" t="s">
        <v>2386</v>
      </c>
    </row>
    <row r="305" spans="8:8" x14ac:dyDescent="0.2">
      <c r="H305" s="77"/>
    </row>
  </sheetData>
  <sheetProtection algorithmName="SHA-512" hashValue="SXuI9+O9yFvJTLmwBERrZ+WMN/efp7oSnInzueETbcmmPDoL4ppyuF4e333fA0tElHr7asOSfNHzVx3ZJg96nQ==" saltValue="5CYUVG2ETAyFjrzFhETMMw==" spinCount="100000" sheet="1" formatCells="0" formatColumns="0" formatRows="0"/>
  <customSheetViews>
    <customSheetView guid="{B8E02330-2419-4DE6-AD01-7ACC7A5D18DD}" scale="73">
      <pageMargins left="0.75" right="0.75" top="1" bottom="1" header="0.5" footer="0.5"/>
      <pageSetup orientation="portrait" r:id="rId1"/>
      <headerFooter alignWithMargins="0"/>
    </customSheetView>
  </customSheetViews>
  <mergeCells count="132">
    <mergeCell ref="C253:E253"/>
    <mergeCell ref="A50:A51"/>
    <mergeCell ref="D246:F246"/>
    <mergeCell ref="D247:F247"/>
    <mergeCell ref="D248:F248"/>
    <mergeCell ref="D249:F249"/>
    <mergeCell ref="D250:F250"/>
    <mergeCell ref="C252:E252"/>
    <mergeCell ref="A129:A134"/>
    <mergeCell ref="B129:B134"/>
    <mergeCell ref="D244:F244"/>
    <mergeCell ref="D245:F245"/>
    <mergeCell ref="A188:A194"/>
    <mergeCell ref="A234:A237"/>
    <mergeCell ref="B234:B237"/>
    <mergeCell ref="B188:B194"/>
    <mergeCell ref="A179:A184"/>
    <mergeCell ref="B158:B164"/>
    <mergeCell ref="A94:A97"/>
    <mergeCell ref="A158:A164"/>
    <mergeCell ref="A151:A157"/>
    <mergeCell ref="A174:A178"/>
    <mergeCell ref="A165:A167"/>
    <mergeCell ref="A226:A232"/>
    <mergeCell ref="B147:B150"/>
    <mergeCell ref="H135:H140"/>
    <mergeCell ref="A114:A119"/>
    <mergeCell ref="B114:B119"/>
    <mergeCell ref="A126:A128"/>
    <mergeCell ref="A202:A206"/>
    <mergeCell ref="A135:A140"/>
    <mergeCell ref="A147:A150"/>
    <mergeCell ref="A120:A125"/>
    <mergeCell ref="A195:A201"/>
    <mergeCell ref="A168:A173"/>
    <mergeCell ref="A185:A187"/>
    <mergeCell ref="H104:H107"/>
    <mergeCell ref="A141:A146"/>
    <mergeCell ref="A108:A113"/>
    <mergeCell ref="B82:B87"/>
    <mergeCell ref="B94:B97"/>
    <mergeCell ref="A88:A93"/>
    <mergeCell ref="B9:B15"/>
    <mergeCell ref="B36:B42"/>
    <mergeCell ref="H36:H42"/>
    <mergeCell ref="B98:B102"/>
    <mergeCell ref="A104:A107"/>
    <mergeCell ref="B104:B107"/>
    <mergeCell ref="A9:A15"/>
    <mergeCell ref="A77:A81"/>
    <mergeCell ref="A82:A87"/>
    <mergeCell ref="A23:A29"/>
    <mergeCell ref="A36:A42"/>
    <mergeCell ref="A98:A102"/>
    <mergeCell ref="A16:A22"/>
    <mergeCell ref="A30:A35"/>
    <mergeCell ref="H9:H15"/>
    <mergeCell ref="B88:B93"/>
    <mergeCell ref="A45:A49"/>
    <mergeCell ref="H114:H119"/>
    <mergeCell ref="A52:A55"/>
    <mergeCell ref="B52:B55"/>
    <mergeCell ref="B77:B81"/>
    <mergeCell ref="H3:H8"/>
    <mergeCell ref="H179:H184"/>
    <mergeCell ref="H185:H187"/>
    <mergeCell ref="B23:B29"/>
    <mergeCell ref="H16:H22"/>
    <mergeCell ref="H23:H29"/>
    <mergeCell ref="B168:B173"/>
    <mergeCell ref="B3:B8"/>
    <mergeCell ref="H158:H164"/>
    <mergeCell ref="H50:H51"/>
    <mergeCell ref="B179:B184"/>
    <mergeCell ref="H30:H35"/>
    <mergeCell ref="B30:B35"/>
    <mergeCell ref="H52:H55"/>
    <mergeCell ref="B16:B22"/>
    <mergeCell ref="H45:H49"/>
    <mergeCell ref="B108:B113"/>
    <mergeCell ref="H129:H134"/>
    <mergeCell ref="H147:H150"/>
    <mergeCell ref="H57:H63"/>
    <mergeCell ref="H77:H81"/>
    <mergeCell ref="H64:H70"/>
    <mergeCell ref="H71:H76"/>
    <mergeCell ref="H94:H97"/>
    <mergeCell ref="H234:H237"/>
    <mergeCell ref="B174:B178"/>
    <mergeCell ref="B195:B201"/>
    <mergeCell ref="B202:B206"/>
    <mergeCell ref="B120:B125"/>
    <mergeCell ref="H168:H173"/>
    <mergeCell ref="H195:H201"/>
    <mergeCell ref="B185:B187"/>
    <mergeCell ref="B151:B157"/>
    <mergeCell ref="H188:H194"/>
    <mergeCell ref="H202:H206"/>
    <mergeCell ref="B126:B128"/>
    <mergeCell ref="H126:H128"/>
    <mergeCell ref="H120:H125"/>
    <mergeCell ref="H165:H167"/>
    <mergeCell ref="B226:B232"/>
    <mergeCell ref="H226:H232"/>
    <mergeCell ref="H211:H225"/>
    <mergeCell ref="B135:B140"/>
    <mergeCell ref="H82:H87"/>
    <mergeCell ref="H88:H93"/>
    <mergeCell ref="A254:G303"/>
    <mergeCell ref="E1:H1"/>
    <mergeCell ref="A211:A225"/>
    <mergeCell ref="B211:B225"/>
    <mergeCell ref="A243:C251"/>
    <mergeCell ref="D243:H243"/>
    <mergeCell ref="D251:H251"/>
    <mergeCell ref="A252:B253"/>
    <mergeCell ref="H98:H102"/>
    <mergeCell ref="H174:H178"/>
    <mergeCell ref="H151:H157"/>
    <mergeCell ref="B165:B167"/>
    <mergeCell ref="B141:B146"/>
    <mergeCell ref="H141:H146"/>
    <mergeCell ref="H108:H113"/>
    <mergeCell ref="A1:B1"/>
    <mergeCell ref="B71:B76"/>
    <mergeCell ref="B64:B70"/>
    <mergeCell ref="A64:A70"/>
    <mergeCell ref="A71:A76"/>
    <mergeCell ref="B57:B63"/>
    <mergeCell ref="A3:A8"/>
    <mergeCell ref="B45:B49"/>
    <mergeCell ref="B50:B51"/>
  </mergeCells>
  <phoneticPr fontId="3" type="noConversion"/>
  <pageMargins left="0.75" right="0.75" top="1" bottom="1" header="0.5" footer="0.5"/>
  <pageSetup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I61"/>
  <sheetViews>
    <sheetView zoomScaleNormal="100" workbookViewId="0">
      <selection activeCell="Q12" sqref="Q12"/>
    </sheetView>
  </sheetViews>
  <sheetFormatPr defaultColWidth="9.33203125" defaultRowHeight="12.75" x14ac:dyDescent="0.2"/>
  <cols>
    <col min="1" max="1" width="5.83203125" style="53" customWidth="1"/>
    <col min="2" max="2" width="18.83203125" style="2" customWidth="1"/>
    <col min="3" max="3" width="75.83203125" style="2" customWidth="1"/>
    <col min="4" max="4" width="6.83203125" style="18" customWidth="1"/>
    <col min="5" max="5" width="7.6640625" style="18" customWidth="1"/>
    <col min="6" max="6" width="7.83203125" style="18" customWidth="1"/>
    <col min="7" max="7" width="9.83203125" style="727" customWidth="1"/>
    <col min="8" max="8" width="75.83203125" style="2" customWidth="1"/>
    <col min="9" max="9" width="15.83203125" style="3" customWidth="1"/>
    <col min="10" max="16384" width="9.33203125" style="2"/>
  </cols>
  <sheetData>
    <row r="1" spans="1:9" s="94" customFormat="1" ht="113.25" customHeight="1" thickBot="1" x14ac:dyDescent="0.3">
      <c r="A1" s="1853" t="s">
        <v>5792</v>
      </c>
      <c r="B1" s="2253"/>
      <c r="C1" s="89" t="s">
        <v>2595</v>
      </c>
      <c r="D1" s="1147" t="s">
        <v>2167</v>
      </c>
      <c r="E1" s="2248"/>
      <c r="F1" s="2248"/>
      <c r="G1" s="2248"/>
      <c r="H1" s="2248"/>
      <c r="I1" s="91"/>
    </row>
    <row r="2" spans="1:9" s="83" customFormat="1" ht="30" customHeight="1" thickBot="1" x14ac:dyDescent="0.25">
      <c r="A2" s="483" t="s">
        <v>290</v>
      </c>
      <c r="B2" s="488" t="s">
        <v>1877</v>
      </c>
      <c r="C2" s="475" t="s">
        <v>2606</v>
      </c>
      <c r="D2" s="474" t="s">
        <v>117</v>
      </c>
      <c r="E2" s="626" t="s">
        <v>5438</v>
      </c>
      <c r="F2" s="627" t="s">
        <v>5439</v>
      </c>
      <c r="G2" s="628" t="s">
        <v>5825</v>
      </c>
      <c r="H2" s="488" t="s">
        <v>919</v>
      </c>
      <c r="I2" s="12"/>
    </row>
    <row r="3" spans="1:9" ht="30" customHeight="1" thickBot="1" x14ac:dyDescent="0.25">
      <c r="A3" s="1868" t="str">
        <f>OF!A4</f>
        <v>OF1</v>
      </c>
      <c r="B3" s="1687" t="str">
        <f>OF!B4</f>
        <v>Distance by Road to Nearest Population Center</v>
      </c>
      <c r="C3" s="231" t="str">
        <f>OF!C4</f>
        <v>Measured along the maintained road or boat landing that is nearest the AA, the distance to the nearest population center is:</v>
      </c>
      <c r="D3" s="253"/>
      <c r="E3" s="253"/>
      <c r="F3" s="254"/>
      <c r="G3" s="580">
        <f>MAX(F4:F8)/MAX(E4:E8)</f>
        <v>0</v>
      </c>
      <c r="H3" s="1687" t="s">
        <v>5533</v>
      </c>
      <c r="I3" s="3" t="s">
        <v>996</v>
      </c>
    </row>
    <row r="4" spans="1:9" ht="15" customHeight="1" x14ac:dyDescent="0.2">
      <c r="A4" s="1869"/>
      <c r="B4" s="1688"/>
      <c r="C4" s="21" t="str">
        <f>OF!C5</f>
        <v>&lt;0.5 mile</v>
      </c>
      <c r="D4" s="280">
        <f>OF!D5</f>
        <v>0</v>
      </c>
      <c r="E4" s="48">
        <v>5</v>
      </c>
      <c r="F4" s="48">
        <f t="shared" ref="F4:F21" si="0">D4*E4</f>
        <v>0</v>
      </c>
      <c r="G4" s="720"/>
      <c r="H4" s="1688"/>
    </row>
    <row r="5" spans="1:9" ht="15" customHeight="1" x14ac:dyDescent="0.2">
      <c r="A5" s="1869"/>
      <c r="B5" s="1688"/>
      <c r="C5" s="6" t="str">
        <f>OF!C6</f>
        <v>0.5 - 2 miles</v>
      </c>
      <c r="D5" s="46">
        <f>OF!D6</f>
        <v>0</v>
      </c>
      <c r="E5" s="48">
        <v>3</v>
      </c>
      <c r="F5" s="48">
        <f t="shared" si="0"/>
        <v>0</v>
      </c>
      <c r="G5" s="718"/>
      <c r="H5" s="1688"/>
    </row>
    <row r="6" spans="1:9" ht="15" customHeight="1" x14ac:dyDescent="0.2">
      <c r="A6" s="1869"/>
      <c r="B6" s="1688"/>
      <c r="C6" s="6" t="str">
        <f>OF!C7</f>
        <v>2-5 miles</v>
      </c>
      <c r="D6" s="46">
        <f>OF!D7</f>
        <v>0</v>
      </c>
      <c r="E6" s="48">
        <v>2</v>
      </c>
      <c r="F6" s="48">
        <f t="shared" si="0"/>
        <v>0</v>
      </c>
      <c r="G6" s="718"/>
      <c r="H6" s="1688"/>
    </row>
    <row r="7" spans="1:9" ht="15" customHeight="1" x14ac:dyDescent="0.2">
      <c r="A7" s="1869"/>
      <c r="B7" s="1688"/>
      <c r="C7" s="6" t="str">
        <f>OF!C8</f>
        <v>5-10 miles</v>
      </c>
      <c r="D7" s="46">
        <f>OF!D8</f>
        <v>0</v>
      </c>
      <c r="E7" s="48">
        <v>1</v>
      </c>
      <c r="F7" s="48">
        <f t="shared" si="0"/>
        <v>0</v>
      </c>
      <c r="G7" s="718"/>
      <c r="H7" s="1688"/>
    </row>
    <row r="8" spans="1:9" ht="15.6" customHeight="1" thickBot="1" x14ac:dyDescent="0.25">
      <c r="A8" s="1870"/>
      <c r="B8" s="1689"/>
      <c r="C8" s="214" t="str">
        <f>OF!C9</f>
        <v>&gt;10 miles</v>
      </c>
      <c r="D8" s="213">
        <f>OF!D9</f>
        <v>0</v>
      </c>
      <c r="E8" s="255">
        <v>0</v>
      </c>
      <c r="F8" s="255">
        <f t="shared" si="0"/>
        <v>0</v>
      </c>
      <c r="G8" s="710"/>
      <c r="H8" s="1689"/>
    </row>
    <row r="9" spans="1:9" ht="21" customHeight="1" thickBot="1" x14ac:dyDescent="0.25">
      <c r="A9" s="1845" t="str">
        <f>OF!A11</f>
        <v>OF3</v>
      </c>
      <c r="B9" s="1688" t="str">
        <f>OF!B11</f>
        <v>Distance to Nearest Maintained Road</v>
      </c>
      <c r="C9" s="381" t="str">
        <f>OF!C11</f>
        <v>From the center of the AA, the distance to the nearest maintained public road (dirt or paved) is:</v>
      </c>
      <c r="D9" s="253"/>
      <c r="E9" s="51"/>
      <c r="F9" s="67"/>
      <c r="G9" s="606">
        <f>MAX(F10:F15)/MAX(E10:E15)</f>
        <v>0</v>
      </c>
      <c r="H9" s="1688" t="s">
        <v>1933</v>
      </c>
      <c r="I9" s="3" t="s">
        <v>1934</v>
      </c>
    </row>
    <row r="10" spans="1:9" ht="15" customHeight="1" x14ac:dyDescent="0.2">
      <c r="A10" s="1845"/>
      <c r="B10" s="1688"/>
      <c r="C10" s="384" t="str">
        <f>OF!C12</f>
        <v>&lt;100 ft</v>
      </c>
      <c r="D10" s="280">
        <f>OF!D12</f>
        <v>0</v>
      </c>
      <c r="E10" s="48">
        <v>8</v>
      </c>
      <c r="F10" s="47">
        <f t="shared" si="0"/>
        <v>0</v>
      </c>
      <c r="G10" s="709"/>
      <c r="H10" s="1688"/>
    </row>
    <row r="11" spans="1:9" ht="15" customHeight="1" x14ac:dyDescent="0.2">
      <c r="A11" s="1845"/>
      <c r="B11" s="1688"/>
      <c r="C11" s="487" t="str">
        <f>OF!C13</f>
        <v>100-500 ft</v>
      </c>
      <c r="D11" s="46">
        <f>OF!D13</f>
        <v>0</v>
      </c>
      <c r="E11" s="48">
        <v>5</v>
      </c>
      <c r="F11" s="47">
        <f t="shared" si="0"/>
        <v>0</v>
      </c>
      <c r="G11" s="709"/>
      <c r="H11" s="1688"/>
    </row>
    <row r="12" spans="1:9" ht="15" customHeight="1" x14ac:dyDescent="0.2">
      <c r="A12" s="1845"/>
      <c r="B12" s="1688"/>
      <c r="C12" s="487" t="str">
        <f>OF!C14</f>
        <v>500-1000 ft</v>
      </c>
      <c r="D12" s="46">
        <f>OF!D14</f>
        <v>0</v>
      </c>
      <c r="E12" s="48">
        <v>4</v>
      </c>
      <c r="F12" s="47">
        <f t="shared" si="0"/>
        <v>0</v>
      </c>
      <c r="G12" s="709"/>
      <c r="H12" s="1688"/>
    </row>
    <row r="13" spans="1:9" ht="15" customHeight="1" x14ac:dyDescent="0.2">
      <c r="A13" s="1845"/>
      <c r="B13" s="1688"/>
      <c r="C13" s="487" t="str">
        <f>OF!C15</f>
        <v>1000 ft - 0.5 mile</v>
      </c>
      <c r="D13" s="46">
        <f>OF!D15</f>
        <v>0</v>
      </c>
      <c r="E13" s="48">
        <v>3</v>
      </c>
      <c r="F13" s="47">
        <f t="shared" si="0"/>
        <v>0</v>
      </c>
      <c r="G13" s="709"/>
      <c r="H13" s="1688"/>
    </row>
    <row r="14" spans="1:9" ht="15" customHeight="1" x14ac:dyDescent="0.2">
      <c r="A14" s="1845"/>
      <c r="B14" s="1688"/>
      <c r="C14" s="487" t="str">
        <f>OF!C16</f>
        <v>0.5- 1 mile</v>
      </c>
      <c r="D14" s="46">
        <f>OF!D16</f>
        <v>0</v>
      </c>
      <c r="E14" s="48">
        <v>2</v>
      </c>
      <c r="F14" s="47">
        <f t="shared" si="0"/>
        <v>0</v>
      </c>
      <c r="G14" s="709"/>
      <c r="H14" s="1688"/>
    </row>
    <row r="15" spans="1:9" ht="15.6" customHeight="1" thickBot="1" x14ac:dyDescent="0.25">
      <c r="A15" s="1845"/>
      <c r="B15" s="1688"/>
      <c r="C15" s="383" t="str">
        <f>OF!C17</f>
        <v>&gt;1 mile</v>
      </c>
      <c r="D15" s="380">
        <f>OF!D17</f>
        <v>0</v>
      </c>
      <c r="E15" s="47">
        <v>1</v>
      </c>
      <c r="F15" s="47">
        <f t="shared" si="0"/>
        <v>0</v>
      </c>
      <c r="G15" s="718"/>
      <c r="H15" s="1688"/>
    </row>
    <row r="16" spans="1:9" ht="21" customHeight="1" thickBot="1" x14ac:dyDescent="0.25">
      <c r="A16" s="1896" t="str">
        <f>OF!A80</f>
        <v>OF13</v>
      </c>
      <c r="B16" s="1709" t="str">
        <f>OF!B80</f>
        <v>Tidal Proximity</v>
      </c>
      <c r="C16" s="231" t="str">
        <f>OF!C80</f>
        <v>The distance from the AA edge to the closest tidal water body is:</v>
      </c>
      <c r="D16" s="253"/>
      <c r="E16" s="253"/>
      <c r="F16" s="256"/>
      <c r="G16" s="580">
        <f>MAX(F17:F21)/MAX(E17:E21)</f>
        <v>0</v>
      </c>
      <c r="H16" s="1687" t="s">
        <v>1954</v>
      </c>
      <c r="I16" s="3" t="s">
        <v>997</v>
      </c>
    </row>
    <row r="17" spans="1:9" ht="15" customHeight="1" x14ac:dyDescent="0.2">
      <c r="A17" s="1897"/>
      <c r="B17" s="1710"/>
      <c r="C17" s="21" t="str">
        <f>OF!C81</f>
        <v>&lt;300 ft</v>
      </c>
      <c r="D17" s="280">
        <f>OF!D81</f>
        <v>0</v>
      </c>
      <c r="E17" s="48">
        <v>6</v>
      </c>
      <c r="F17" s="48">
        <f t="shared" si="0"/>
        <v>0</v>
      </c>
      <c r="G17" s="708"/>
      <c r="H17" s="1688"/>
    </row>
    <row r="18" spans="1:9" ht="15" customHeight="1" x14ac:dyDescent="0.2">
      <c r="A18" s="1897"/>
      <c r="B18" s="1710"/>
      <c r="C18" s="6" t="str">
        <f>OF!C82</f>
        <v>300-1000 ft</v>
      </c>
      <c r="D18" s="46">
        <f>OF!D82</f>
        <v>0</v>
      </c>
      <c r="E18" s="48">
        <v>4</v>
      </c>
      <c r="F18" s="48">
        <f t="shared" si="0"/>
        <v>0</v>
      </c>
      <c r="G18" s="709"/>
      <c r="H18" s="1688"/>
    </row>
    <row r="19" spans="1:9" ht="15" customHeight="1" x14ac:dyDescent="0.2">
      <c r="A19" s="1897"/>
      <c r="B19" s="1710"/>
      <c r="C19" s="6" t="str">
        <f>OF!C83</f>
        <v>1000 ft - 1 mile</v>
      </c>
      <c r="D19" s="46">
        <f>OF!D83</f>
        <v>0</v>
      </c>
      <c r="E19" s="48">
        <v>3</v>
      </c>
      <c r="F19" s="48">
        <f t="shared" si="0"/>
        <v>0</v>
      </c>
      <c r="G19" s="709"/>
      <c r="H19" s="1688"/>
    </row>
    <row r="20" spans="1:9" ht="15" customHeight="1" x14ac:dyDescent="0.2">
      <c r="A20" s="1897"/>
      <c r="B20" s="1710"/>
      <c r="C20" s="6" t="str">
        <f>OF!C84</f>
        <v>1-5 miles</v>
      </c>
      <c r="D20" s="46">
        <f>OF!D84</f>
        <v>0</v>
      </c>
      <c r="E20" s="48">
        <v>2</v>
      </c>
      <c r="F20" s="48">
        <f t="shared" si="0"/>
        <v>0</v>
      </c>
      <c r="G20" s="709"/>
      <c r="H20" s="1688"/>
    </row>
    <row r="21" spans="1:9" ht="15.6" customHeight="1" thickBot="1" x14ac:dyDescent="0.25">
      <c r="A21" s="1898"/>
      <c r="B21" s="1711"/>
      <c r="C21" s="214" t="str">
        <f>OF!C85</f>
        <v>&gt;5 miles</v>
      </c>
      <c r="D21" s="213">
        <f>OF!D85</f>
        <v>0</v>
      </c>
      <c r="E21" s="255">
        <v>0</v>
      </c>
      <c r="F21" s="255">
        <f t="shared" si="0"/>
        <v>0</v>
      </c>
      <c r="G21" s="710"/>
      <c r="H21" s="1689"/>
    </row>
    <row r="22" spans="1:9" ht="81.75" customHeight="1" thickBot="1" x14ac:dyDescent="0.25">
      <c r="A22" s="1845" t="str">
        <f>OF!A147</f>
        <v>OF28</v>
      </c>
      <c r="B22" s="1688" t="str">
        <f>OF!B147</f>
        <v>Elevation in Multi-scale Watersheds</v>
      </c>
      <c r="C22" s="38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22" s="253"/>
      <c r="E22" s="51"/>
      <c r="F22" s="65"/>
      <c r="G22" s="606" t="str">
        <f>IF((D23=0),"", (4-D23)/3)</f>
        <v/>
      </c>
      <c r="H22" s="1688" t="s">
        <v>1991</v>
      </c>
      <c r="I22" s="3" t="s">
        <v>998</v>
      </c>
    </row>
    <row r="23" spans="1:9" ht="42.6" customHeight="1" thickBot="1" x14ac:dyDescent="0.25">
      <c r="A23" s="1845"/>
      <c r="B23" s="1688"/>
      <c r="C23" s="19" t="str">
        <f>OF!C150</f>
        <v>In its HUC6 (the 8-digit* watershed) the AA's elevation puts it in (enter one of the following): 3= upper one-third, 2= middle one-third, 1= lower one-third, 0= no data.  [The 8-digit HUC is obtained by deleting the last 4 digits of the 12-digit HUC code]</v>
      </c>
      <c r="D23" s="380">
        <f>OF!D150</f>
        <v>0</v>
      </c>
      <c r="E23" s="47"/>
      <c r="F23" s="257"/>
      <c r="G23" s="718"/>
      <c r="H23" s="1688"/>
    </row>
    <row r="24" spans="1:9" ht="30" customHeight="1" thickBot="1" x14ac:dyDescent="0.25">
      <c r="A24" s="541" t="str">
        <f>OF!A220</f>
        <v>OF47</v>
      </c>
      <c r="B24" s="5" t="str">
        <f>OF!B220</f>
        <v>Mitigation Investment</v>
      </c>
      <c r="C24" s="205" t="str">
        <f>OF!C220</f>
        <v>The AA is all or part of a mitigation site used explicitly to offset impacts elsewhere.  Enter: yes= 1, no= 0.  If no information, change to blank.</v>
      </c>
      <c r="D24" s="258">
        <f>OF!D220</f>
        <v>0</v>
      </c>
      <c r="E24" s="259" t="s">
        <v>1712</v>
      </c>
      <c r="F24" s="260"/>
      <c r="G24" s="580">
        <f>D24</f>
        <v>0</v>
      </c>
      <c r="H24" s="5" t="s">
        <v>928</v>
      </c>
      <c r="I24" s="3" t="s">
        <v>999</v>
      </c>
    </row>
    <row r="25" spans="1:9" ht="45" customHeight="1" thickBot="1" x14ac:dyDescent="0.25">
      <c r="A25" s="42" t="str">
        <f>OF!A221</f>
        <v>OF48</v>
      </c>
      <c r="B25" s="143" t="str">
        <f>OF!B221</f>
        <v>Conservation Investment</v>
      </c>
      <c r="C25" s="19" t="str">
        <f>OF!C221</f>
        <v>The AA is part of or contiguous to a wetland on which public or private organizational funds were spent to preserve, create, restore, enhance, the wetland (excluding mitigation wetlands). Enter: yes= 1, no= 0.  If no information, change to blank.</v>
      </c>
      <c r="D25" s="380">
        <f>OF!D221</f>
        <v>0</v>
      </c>
      <c r="E25" s="261"/>
      <c r="F25" s="262"/>
      <c r="G25" s="1146">
        <f>D25</f>
        <v>0</v>
      </c>
      <c r="H25" s="143" t="s">
        <v>929</v>
      </c>
      <c r="I25" s="3" t="s">
        <v>1000</v>
      </c>
    </row>
    <row r="26" spans="1:9" ht="45" customHeight="1" thickBot="1" x14ac:dyDescent="0.25">
      <c r="A26" s="809" t="str">
        <f>OF!A222</f>
        <v>OF49</v>
      </c>
      <c r="B26" s="425" t="str">
        <f>OF!B222</f>
        <v>Sustained Scientific Use</v>
      </c>
      <c r="C26" s="1149" t="str">
        <f>OF!C222</f>
        <v>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Enter: yes= 1, no= 0.  If no information, change to blank.</v>
      </c>
      <c r="D26" s="1148">
        <f>OF!D222</f>
        <v>0</v>
      </c>
      <c r="E26" s="1150"/>
      <c r="F26" s="1151"/>
      <c r="G26" s="1152">
        <f>D26</f>
        <v>0</v>
      </c>
      <c r="H26" s="425" t="s">
        <v>927</v>
      </c>
      <c r="I26" s="3" t="s">
        <v>1001</v>
      </c>
    </row>
    <row r="27" spans="1:9" ht="30" customHeight="1" thickBot="1" x14ac:dyDescent="0.25">
      <c r="A27" s="362" t="str">
        <f>F!A32</f>
        <v>F6</v>
      </c>
      <c r="B27" s="263" t="str">
        <f>F!B32</f>
        <v>Lacustrine Wetland</v>
      </c>
      <c r="C27" s="815" t="str">
        <f>F!C32</f>
        <v>The AA borders a body of ponded open water whose size (not counting the AA's wetland) exceeds 20 acres during most of the growing season.  Enter "1" if true, "0" if false.</v>
      </c>
      <c r="D27" s="269">
        <f>F!D32</f>
        <v>0</v>
      </c>
      <c r="E27" s="259"/>
      <c r="F27" s="260"/>
      <c r="G27" s="580" t="str">
        <f>IF((AllSat+AllSat1&gt;0),"", IF((NoPersis=1),"",IF((D27=1),1,"")))</f>
        <v/>
      </c>
      <c r="H27" s="5" t="s">
        <v>2587</v>
      </c>
      <c r="I27" s="3" t="s">
        <v>2588</v>
      </c>
    </row>
    <row r="28" spans="1:9" ht="45" customHeight="1" thickBot="1" x14ac:dyDescent="0.25">
      <c r="A28" s="1845" t="str">
        <f>F!A286</f>
        <v>F60</v>
      </c>
      <c r="B28" s="1688" t="str">
        <f>F!B286</f>
        <v>Visibility</v>
      </c>
      <c r="C28" s="385" t="str">
        <f>F!C286</f>
        <v>The maximum percent of the AA that is visible from the best vantage point on public roads, public parking lots, public buildings, or well-defined public trails that intersect, adjoin, or are within 300 ft of the wetland (select one) is:</v>
      </c>
      <c r="D28" s="51"/>
      <c r="E28" s="51"/>
      <c r="F28" s="67"/>
      <c r="G28" s="606">
        <f>MAX(F29:F31)/MAX(E29:E31)</f>
        <v>0</v>
      </c>
      <c r="H28" s="1710" t="s">
        <v>924</v>
      </c>
      <c r="I28" s="3" t="s">
        <v>890</v>
      </c>
    </row>
    <row r="29" spans="1:9" ht="15" customHeight="1" x14ac:dyDescent="0.2">
      <c r="A29" s="1845"/>
      <c r="B29" s="1688"/>
      <c r="C29" s="21" t="str">
        <f>F!C287</f>
        <v>&lt;25%</v>
      </c>
      <c r="D29" s="280">
        <f>F!D287</f>
        <v>0</v>
      </c>
      <c r="E29" s="48">
        <v>0</v>
      </c>
      <c r="F29" s="48">
        <f>D29*E29</f>
        <v>0</v>
      </c>
      <c r="G29" s="708"/>
      <c r="H29" s="1710"/>
    </row>
    <row r="30" spans="1:9" ht="15" customHeight="1" x14ac:dyDescent="0.2">
      <c r="A30" s="1845"/>
      <c r="B30" s="1688"/>
      <c r="C30" s="6" t="str">
        <f>F!C288</f>
        <v>25-50%</v>
      </c>
      <c r="D30" s="46">
        <f>F!D288</f>
        <v>0</v>
      </c>
      <c r="E30" s="48">
        <v>1</v>
      </c>
      <c r="F30" s="48">
        <f t="shared" ref="F30:F36" si="1">D30*E30</f>
        <v>0</v>
      </c>
      <c r="G30" s="709"/>
      <c r="H30" s="1710"/>
    </row>
    <row r="31" spans="1:9" ht="15.6" customHeight="1" thickBot="1" x14ac:dyDescent="0.25">
      <c r="A31" s="1845"/>
      <c r="B31" s="1688"/>
      <c r="C31" s="470" t="str">
        <f>F!C289</f>
        <v>&gt;50%</v>
      </c>
      <c r="D31" s="20">
        <f>F!D289</f>
        <v>0</v>
      </c>
      <c r="E31" s="47">
        <v>2</v>
      </c>
      <c r="F31" s="47">
        <f t="shared" si="1"/>
        <v>0</v>
      </c>
      <c r="G31" s="718"/>
      <c r="H31" s="1710"/>
    </row>
    <row r="32" spans="1:9" ht="21" customHeight="1" thickBot="1" x14ac:dyDescent="0.25">
      <c r="A32" s="1868" t="str">
        <f>F!A290</f>
        <v>F61</v>
      </c>
      <c r="B32" s="1687" t="str">
        <f>F!B290</f>
        <v>Ownership</v>
      </c>
      <c r="C32" s="231" t="str">
        <f>F!C290</f>
        <v>Most of the AA is (select one):</v>
      </c>
      <c r="D32" s="253"/>
      <c r="E32" s="253"/>
      <c r="F32" s="254"/>
      <c r="G32" s="580">
        <f>MAX(F33:F36)/MAX(E33:E36)</f>
        <v>0</v>
      </c>
      <c r="H32" s="1709" t="s">
        <v>925</v>
      </c>
      <c r="I32" s="3" t="s">
        <v>854</v>
      </c>
    </row>
    <row r="33" spans="1:9" ht="27" customHeight="1" x14ac:dyDescent="0.2">
      <c r="A33" s="1869"/>
      <c r="B33" s="1688"/>
      <c r="C33" s="21" t="str">
        <f>F!C291</f>
        <v xml:space="preserve">publicly owned conservation lands that exclude new timber harvest, roads, mineral extraction, and intensive summer recreation (e.g., off-road vehicles). </v>
      </c>
      <c r="D33" s="280">
        <f>F!D291</f>
        <v>0</v>
      </c>
      <c r="E33" s="48">
        <v>4</v>
      </c>
      <c r="F33" s="48">
        <f t="shared" si="1"/>
        <v>0</v>
      </c>
      <c r="G33" s="708"/>
      <c r="H33" s="1710"/>
    </row>
    <row r="34" spans="1:9" ht="27" customHeight="1" x14ac:dyDescent="0.2">
      <c r="A34" s="1869"/>
      <c r="B34" s="1688"/>
      <c r="C34" s="6" t="str">
        <f>F!C292</f>
        <v>publicly owned resource use lands (allowed activities such as timber harvest, mining, or intensive recreation), or unknown.</v>
      </c>
      <c r="D34" s="46">
        <f>F!D292</f>
        <v>0</v>
      </c>
      <c r="E34" s="48">
        <v>2</v>
      </c>
      <c r="F34" s="48">
        <f t="shared" si="1"/>
        <v>0</v>
      </c>
      <c r="G34" s="709"/>
      <c r="H34" s="1710"/>
    </row>
    <row r="35" spans="1:9" ht="15" customHeight="1" x14ac:dyDescent="0.2">
      <c r="A35" s="1869"/>
      <c r="B35" s="1688"/>
      <c r="C35" s="6" t="str">
        <f>F!C293</f>
        <v>owned by non-profit conservation organization or lease holder who allows public access.</v>
      </c>
      <c r="D35" s="46">
        <f>F!D293</f>
        <v>0</v>
      </c>
      <c r="E35" s="48">
        <v>2</v>
      </c>
      <c r="F35" s="48">
        <f t="shared" si="1"/>
        <v>0</v>
      </c>
      <c r="G35" s="720"/>
      <c r="H35" s="1710"/>
    </row>
    <row r="36" spans="1:9" ht="15.6" customHeight="1" thickBot="1" x14ac:dyDescent="0.25">
      <c r="A36" s="1870"/>
      <c r="B36" s="1689"/>
      <c r="C36" s="214" t="str">
        <f>F!C294</f>
        <v>other private ownership, including Tribes.</v>
      </c>
      <c r="D36" s="213">
        <f>F!D294</f>
        <v>0</v>
      </c>
      <c r="E36" s="255">
        <v>1</v>
      </c>
      <c r="F36" s="255">
        <f t="shared" si="1"/>
        <v>0</v>
      </c>
      <c r="G36" s="710"/>
      <c r="H36" s="1711"/>
    </row>
    <row r="37" spans="1:9" ht="30" customHeight="1" thickBot="1" x14ac:dyDescent="0.25">
      <c r="A37" s="1868" t="str">
        <f>F!A295</f>
        <v>F62</v>
      </c>
      <c r="B37" s="1687" t="str">
        <f>F!B295</f>
        <v>Non-consumptive Uses - Actual or Potential</v>
      </c>
      <c r="C37" s="231" t="str">
        <f>F!C295</f>
        <v>Assuming access permission was granted, select ALL statements that are true of the AA as it currently exists:</v>
      </c>
      <c r="D37" s="253"/>
      <c r="E37" s="253"/>
      <c r="F37" s="254"/>
      <c r="G37" s="580">
        <f>SUM(D38:D41)/4</f>
        <v>0</v>
      </c>
      <c r="H37" s="1687" t="s">
        <v>1955</v>
      </c>
      <c r="I37" s="3" t="s">
        <v>995</v>
      </c>
    </row>
    <row r="38" spans="1:9" ht="27" customHeight="1" x14ac:dyDescent="0.2">
      <c r="A38" s="1869"/>
      <c r="B38" s="1688"/>
      <c r="C38" s="21" t="str">
        <f>F!C296</f>
        <v>Walking is physically possible in (not just near) &gt;5% of the AA during most of year, e.g., free of deep water and dense shrub thickets.</v>
      </c>
      <c r="D38" s="280">
        <f>F!D296</f>
        <v>0</v>
      </c>
      <c r="E38" s="48"/>
      <c r="F38" s="48"/>
      <c r="G38" s="708"/>
      <c r="H38" s="1688"/>
    </row>
    <row r="39" spans="1:9" ht="27" customHeight="1" x14ac:dyDescent="0.2">
      <c r="A39" s="1869"/>
      <c r="B39" s="1688"/>
      <c r="C39" s="470" t="str">
        <f>F!C297</f>
        <v>Maintained roads, parking areas, or foot-trails are within 30 ft of the AA, or the AA can be accessed part of the year by boats arriving via contiguous waters.</v>
      </c>
      <c r="D39" s="20">
        <f>F!D297</f>
        <v>0</v>
      </c>
      <c r="E39" s="47"/>
      <c r="F39" s="48"/>
      <c r="G39" s="709"/>
      <c r="H39" s="1688"/>
    </row>
    <row r="40" spans="1:9" ht="27" customHeight="1" x14ac:dyDescent="0.2">
      <c r="A40" s="1869"/>
      <c r="B40" s="1688"/>
      <c r="C40" s="470" t="str">
        <f>F!C298</f>
        <v xml:space="preserve">Within or near the AA, there is an interpretive center, trails with interpretive signs or brochures, and/or regular guided interpretive tours. </v>
      </c>
      <c r="D40" s="20">
        <f>F!D298</f>
        <v>0</v>
      </c>
      <c r="E40" s="47"/>
      <c r="F40" s="48"/>
      <c r="G40" s="709"/>
      <c r="H40" s="1688"/>
    </row>
    <row r="41" spans="1:9" ht="30" customHeight="1" thickBot="1" x14ac:dyDescent="0.25">
      <c r="A41" s="1870"/>
      <c r="B41" s="1689"/>
      <c r="C41" s="214" t="str">
        <f>F!C299</f>
        <v>The AA contains or adjoins a public boat dock or ramp, or is within 0.5 mile of a ferry terminal, airstrip, public lodge, campsite, snowmobile park, or picnic area.</v>
      </c>
      <c r="D41" s="213">
        <f>F!D299</f>
        <v>0</v>
      </c>
      <c r="E41" s="255"/>
      <c r="F41" s="255"/>
      <c r="G41" s="710"/>
      <c r="H41" s="1689"/>
    </row>
    <row r="42" spans="1:9" ht="60" customHeight="1" thickBot="1" x14ac:dyDescent="0.25">
      <c r="A42" s="1845" t="str">
        <f>F!A300</f>
        <v>F63</v>
      </c>
      <c r="B42" s="1688" t="str">
        <f>F!B300</f>
        <v>Core Area 1</v>
      </c>
      <c r="C42" s="385"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42" s="253"/>
      <c r="E42" s="51"/>
      <c r="F42" s="67"/>
      <c r="G42" s="606">
        <f>MAX(F43:F48)/MAX(E43:E48)</f>
        <v>0</v>
      </c>
      <c r="H42" s="1688" t="s">
        <v>926</v>
      </c>
      <c r="I42" s="3" t="s">
        <v>1078</v>
      </c>
    </row>
    <row r="43" spans="1:9" ht="15" customHeight="1" x14ac:dyDescent="0.2">
      <c r="A43" s="1845"/>
      <c r="B43" s="1688"/>
      <c r="C43" s="21" t="str">
        <f>F!C301</f>
        <v>&lt;5% and no inhabited building is within 300 ft of the AA</v>
      </c>
      <c r="D43" s="280">
        <f>F!D301</f>
        <v>0</v>
      </c>
      <c r="E43" s="48">
        <v>4</v>
      </c>
      <c r="F43" s="48">
        <f t="shared" ref="F43:F48" si="2">D43*E43</f>
        <v>0</v>
      </c>
      <c r="G43" s="708"/>
      <c r="H43" s="1688"/>
    </row>
    <row r="44" spans="1:9" ht="15" customHeight="1" x14ac:dyDescent="0.2">
      <c r="A44" s="1845"/>
      <c r="B44" s="1688"/>
      <c r="C44" s="6" t="str">
        <f>F!C302</f>
        <v>&lt;5% and inhabited building is within 300 ft of the AA</v>
      </c>
      <c r="D44" s="46">
        <f>F!D302</f>
        <v>0</v>
      </c>
      <c r="E44" s="48">
        <v>5</v>
      </c>
      <c r="F44" s="48">
        <f t="shared" si="2"/>
        <v>0</v>
      </c>
      <c r="G44" s="709"/>
      <c r="H44" s="1688"/>
    </row>
    <row r="45" spans="1:9" ht="15" customHeight="1" x14ac:dyDescent="0.2">
      <c r="A45" s="1845"/>
      <c r="B45" s="1688"/>
      <c r="C45" s="6" t="str">
        <f>F!C303</f>
        <v>5-50% and no inhabited building is within 300 ft of the AA</v>
      </c>
      <c r="D45" s="46">
        <f>F!D303</f>
        <v>0</v>
      </c>
      <c r="E45" s="48">
        <v>2</v>
      </c>
      <c r="F45" s="48">
        <f t="shared" si="2"/>
        <v>0</v>
      </c>
      <c r="G45" s="709"/>
      <c r="H45" s="1688"/>
    </row>
    <row r="46" spans="1:9" ht="15" customHeight="1" x14ac:dyDescent="0.2">
      <c r="A46" s="1845"/>
      <c r="B46" s="1688"/>
      <c r="C46" s="6" t="str">
        <f>F!C304</f>
        <v>5-50% and inhabited building is within 300 ft of the AA</v>
      </c>
      <c r="D46" s="46">
        <f>F!D304</f>
        <v>0</v>
      </c>
      <c r="E46" s="48">
        <v>3</v>
      </c>
      <c r="F46" s="48">
        <f t="shared" si="2"/>
        <v>0</v>
      </c>
      <c r="G46" s="709"/>
      <c r="H46" s="1688"/>
    </row>
    <row r="47" spans="1:9" ht="15" customHeight="1" x14ac:dyDescent="0.2">
      <c r="A47" s="1845"/>
      <c r="B47" s="1688"/>
      <c r="C47" s="6" t="str">
        <f>F!C305</f>
        <v>50-95%</v>
      </c>
      <c r="D47" s="46">
        <f>F!D305</f>
        <v>0</v>
      </c>
      <c r="E47" s="48">
        <v>1</v>
      </c>
      <c r="F47" s="48">
        <f t="shared" si="2"/>
        <v>0</v>
      </c>
      <c r="G47" s="709"/>
      <c r="H47" s="1688"/>
    </row>
    <row r="48" spans="1:9" ht="15.6" customHeight="1" thickBot="1" x14ac:dyDescent="0.25">
      <c r="A48" s="1845"/>
      <c r="B48" s="1688"/>
      <c r="C48" s="470" t="str">
        <f>F!C306</f>
        <v>&gt;95% of the AA</v>
      </c>
      <c r="D48" s="20">
        <f>F!D306</f>
        <v>0</v>
      </c>
      <c r="E48" s="47">
        <v>0</v>
      </c>
      <c r="F48" s="47">
        <f t="shared" si="2"/>
        <v>0</v>
      </c>
      <c r="G48" s="718"/>
      <c r="H48" s="1688"/>
    </row>
    <row r="49" spans="1:9" ht="60" customHeight="1" thickBot="1" x14ac:dyDescent="0.25">
      <c r="A49" s="1868" t="str">
        <f>F!A307</f>
        <v>F64</v>
      </c>
      <c r="B49" s="1687" t="str">
        <f>F!B307</f>
        <v>Core Area 2</v>
      </c>
      <c r="C49" s="231"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49" s="253"/>
      <c r="E49" s="253"/>
      <c r="F49" s="254"/>
      <c r="G49" s="580">
        <f>MAX(F50:F53)/MAX(E50:E53)</f>
        <v>0</v>
      </c>
      <c r="H49" s="1687" t="s">
        <v>287</v>
      </c>
      <c r="I49" s="3" t="s">
        <v>1079</v>
      </c>
    </row>
    <row r="50" spans="1:9" ht="15" customHeight="1" x14ac:dyDescent="0.2">
      <c r="A50" s="1869"/>
      <c r="B50" s="1688"/>
      <c r="C50" s="21" t="str">
        <f>F!C308</f>
        <v>&lt;5%.  If F63 was answered "&gt;95%", SKIP to F67.</v>
      </c>
      <c r="D50" s="280">
        <f>F!D308</f>
        <v>0</v>
      </c>
      <c r="E50" s="48">
        <v>0</v>
      </c>
      <c r="F50" s="48">
        <f>D50*E50</f>
        <v>0</v>
      </c>
      <c r="G50" s="708"/>
      <c r="H50" s="1688"/>
    </row>
    <row r="51" spans="1:9" ht="15" customHeight="1" x14ac:dyDescent="0.2">
      <c r="A51" s="1869"/>
      <c r="B51" s="1688"/>
      <c r="C51" s="6" t="str">
        <f>F!C309</f>
        <v>5-50%</v>
      </c>
      <c r="D51" s="46">
        <f>F!D309</f>
        <v>0</v>
      </c>
      <c r="E51" s="48">
        <v>1</v>
      </c>
      <c r="F51" s="48">
        <f>D51*E51</f>
        <v>0</v>
      </c>
      <c r="G51" s="709"/>
      <c r="H51" s="1688"/>
    </row>
    <row r="52" spans="1:9" ht="15" customHeight="1" x14ac:dyDescent="0.2">
      <c r="A52" s="1869"/>
      <c r="B52" s="1688"/>
      <c r="C52" s="6" t="str">
        <f>F!C310</f>
        <v>50-95%</v>
      </c>
      <c r="D52" s="46">
        <f>F!D310</f>
        <v>0</v>
      </c>
      <c r="E52" s="48">
        <v>2</v>
      </c>
      <c r="F52" s="48">
        <f>D52*E52</f>
        <v>0</v>
      </c>
      <c r="G52" s="709"/>
      <c r="H52" s="1688"/>
    </row>
    <row r="53" spans="1:9" ht="15.6" customHeight="1" thickBot="1" x14ac:dyDescent="0.25">
      <c r="A53" s="1870"/>
      <c r="B53" s="1689"/>
      <c r="C53" s="214" t="str">
        <f>F!C311</f>
        <v>&gt;95% of the AA</v>
      </c>
      <c r="D53" s="213">
        <f>F!D311</f>
        <v>0</v>
      </c>
      <c r="E53" s="255">
        <v>3</v>
      </c>
      <c r="F53" s="255">
        <f>D53*E53</f>
        <v>0</v>
      </c>
      <c r="G53" s="710"/>
      <c r="H53" s="1689"/>
    </row>
    <row r="54" spans="1:9" ht="41.25" customHeight="1" thickBot="1" x14ac:dyDescent="0.25">
      <c r="A54" s="149" t="str">
        <f>F!A312</f>
        <v>F65</v>
      </c>
      <c r="B54" s="143" t="str">
        <f>F!B312</f>
        <v>BMP - Soils</v>
      </c>
      <c r="C54" s="19" t="str">
        <f>F!C312</f>
        <v>Boardwalks, paved trails, fences or other infrastructure and/or well-enforced regulations appear to effectively prevent visitors from walking on unfrozen soils within nearly all of the AA.  Enter "1" if true.</v>
      </c>
      <c r="D54" s="380">
        <f>F!D312</f>
        <v>0</v>
      </c>
      <c r="E54" s="261"/>
      <c r="F54" s="261"/>
      <c r="G54" s="1146">
        <f>IF((D48+D50&gt;1),"",D54)</f>
        <v>0</v>
      </c>
      <c r="H54" s="143" t="s">
        <v>2241</v>
      </c>
      <c r="I54" s="3" t="s">
        <v>2072</v>
      </c>
    </row>
    <row r="55" spans="1:9" ht="54.75" customHeight="1" thickBot="1" x14ac:dyDescent="0.25">
      <c r="A55" s="217" t="str">
        <f>F!A313</f>
        <v>F66</v>
      </c>
      <c r="B55" s="5" t="str">
        <f>F!B313</f>
        <v>BMP - Wildlife Protection</v>
      </c>
      <c r="C55" s="205" t="str">
        <f>F!C313</f>
        <v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v>
      </c>
      <c r="D55" s="258">
        <f>F!D313</f>
        <v>0</v>
      </c>
      <c r="E55" s="259"/>
      <c r="F55" s="259"/>
      <c r="G55" s="580">
        <f>IF((D48+D50&gt;1),"",D55)</f>
        <v>0</v>
      </c>
      <c r="H55" s="5" t="s">
        <v>287</v>
      </c>
      <c r="I55" s="3" t="s">
        <v>2073</v>
      </c>
    </row>
    <row r="56" spans="1:9" ht="21" customHeight="1" thickBot="1" x14ac:dyDescent="0.25">
      <c r="A56" s="2251"/>
      <c r="B56" s="2251"/>
      <c r="C56" s="2251"/>
      <c r="D56" s="2252"/>
      <c r="E56" s="2252"/>
      <c r="F56" s="2252"/>
      <c r="G56" s="2252"/>
      <c r="H56" s="2252"/>
    </row>
    <row r="57" spans="1:9" ht="26.25" customHeight="1" x14ac:dyDescent="0.2">
      <c r="A57" s="2249"/>
      <c r="B57" s="2249"/>
      <c r="C57" s="2249"/>
      <c r="D57" s="2258" t="s">
        <v>2428</v>
      </c>
      <c r="E57" s="2259"/>
      <c r="F57" s="2259"/>
      <c r="G57" s="539">
        <f>AVERAGE(Ownership,Visibility,DistRdPU, Core1PU,Core2PU,ElevPU,PopCtrDisPU,TidalProxPU)</f>
        <v>0</v>
      </c>
      <c r="H57" s="228" t="s">
        <v>1935</v>
      </c>
    </row>
    <row r="58" spans="1:9" ht="21" customHeight="1" x14ac:dyDescent="0.2">
      <c r="A58" s="2249"/>
      <c r="B58" s="2249"/>
      <c r="C58" s="2249"/>
      <c r="D58" s="2254" t="s">
        <v>1002</v>
      </c>
      <c r="E58" s="2255"/>
      <c r="F58" s="2255"/>
      <c r="G58" s="540">
        <f>IFERROR(MAX(MitigaSite,ConsInvest,SciUse),"")</f>
        <v>0</v>
      </c>
      <c r="H58" s="216" t="s">
        <v>1080</v>
      </c>
    </row>
    <row r="59" spans="1:9" ht="21" customHeight="1" thickBot="1" x14ac:dyDescent="0.25">
      <c r="A59" s="2249"/>
      <c r="B59" s="2249"/>
      <c r="C59" s="2249"/>
      <c r="D59" s="2256" t="s">
        <v>2429</v>
      </c>
      <c r="E59" s="2257"/>
      <c r="F59" s="2257"/>
      <c r="G59" s="535">
        <f>AVERAGE(RecreaPoten, BMPsoilsPU,BMPwildPU,LakePU)</f>
        <v>0</v>
      </c>
      <c r="H59" s="229" t="s">
        <v>2594</v>
      </c>
    </row>
    <row r="60" spans="1:9" ht="21" customHeight="1" thickBot="1" x14ac:dyDescent="0.25">
      <c r="A60" s="2249"/>
      <c r="B60" s="2249"/>
      <c r="C60" s="2249"/>
      <c r="D60" s="2252"/>
      <c r="E60" s="2252"/>
      <c r="F60" s="2252"/>
      <c r="G60" s="2252"/>
      <c r="H60" s="2252"/>
    </row>
    <row r="61" spans="1:9" ht="30" customHeight="1" thickBot="1" x14ac:dyDescent="0.25">
      <c r="A61" s="2249"/>
      <c r="B61" s="2250"/>
      <c r="C61" s="1874" t="s">
        <v>1003</v>
      </c>
      <c r="D61" s="1875"/>
      <c r="E61" s="1876"/>
      <c r="F61" s="546" t="s">
        <v>142</v>
      </c>
      <c r="G61" s="839">
        <f>10*(AVERAGE(Conven,Invest,RecPot))</f>
        <v>0</v>
      </c>
      <c r="H61" s="49" t="s">
        <v>2051</v>
      </c>
    </row>
  </sheetData>
  <sheetProtection algorithmName="SHA-512" hashValue="3UDmE7H3EYMcP2THe0hPFSr6G/ht+VkiGOwl4zf1lwB4ldCyjh7sbAFCn4AEwrK/ThvOLzKNkZRGlSTS5MwPWw==" saltValue="2lebJKNCaiaBNe6ngwoFE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37">
    <mergeCell ref="D58:F58"/>
    <mergeCell ref="D59:F59"/>
    <mergeCell ref="C61:E61"/>
    <mergeCell ref="B28:B31"/>
    <mergeCell ref="A28:A31"/>
    <mergeCell ref="B49:B53"/>
    <mergeCell ref="A49:A53"/>
    <mergeCell ref="D57:F57"/>
    <mergeCell ref="B37:B41"/>
    <mergeCell ref="A37:A41"/>
    <mergeCell ref="B42:B48"/>
    <mergeCell ref="A42:A48"/>
    <mergeCell ref="B32:B36"/>
    <mergeCell ref="A32:A36"/>
    <mergeCell ref="H49:H53"/>
    <mergeCell ref="H28:H31"/>
    <mergeCell ref="H32:H36"/>
    <mergeCell ref="H9:H15"/>
    <mergeCell ref="H37:H41"/>
    <mergeCell ref="H22:H23"/>
    <mergeCell ref="H16:H21"/>
    <mergeCell ref="E1:H1"/>
    <mergeCell ref="A61:B61"/>
    <mergeCell ref="A56:C60"/>
    <mergeCell ref="D56:H56"/>
    <mergeCell ref="D60:H60"/>
    <mergeCell ref="A1:B1"/>
    <mergeCell ref="B9:B15"/>
    <mergeCell ref="A22:A23"/>
    <mergeCell ref="A16:A21"/>
    <mergeCell ref="B16:B21"/>
    <mergeCell ref="B22:B23"/>
    <mergeCell ref="H3:H8"/>
    <mergeCell ref="A3:A8"/>
    <mergeCell ref="B3:B8"/>
    <mergeCell ref="A9:A15"/>
    <mergeCell ref="H42:H48"/>
  </mergeCells>
  <phoneticPr fontId="3" type="noConversion"/>
  <pageMargins left="0.75" right="0.75" top="1" bottom="1" header="0.5" footer="0.5"/>
  <pageSetup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A1:I42"/>
  <sheetViews>
    <sheetView zoomScaleNormal="100" workbookViewId="0">
      <selection activeCell="J1" sqref="J1:L1048576"/>
    </sheetView>
  </sheetViews>
  <sheetFormatPr defaultColWidth="9.33203125" defaultRowHeight="12.75" x14ac:dyDescent="0.2"/>
  <cols>
    <col min="1" max="1" width="5.83203125" style="15" customWidth="1"/>
    <col min="2" max="2" width="18.83203125" style="3" customWidth="1"/>
    <col min="3" max="3" width="75.83203125" style="3" customWidth="1"/>
    <col min="4" max="4" width="8.5" style="18" customWidth="1"/>
    <col min="5" max="5" width="7.6640625" style="18" customWidth="1"/>
    <col min="6" max="6" width="9" style="18" customWidth="1"/>
    <col min="7" max="7" width="9.83203125" style="18" customWidth="1"/>
    <col min="8" max="8" width="75.83203125" style="3" customWidth="1"/>
    <col min="9" max="9" width="15.83203125" style="3" customWidth="1"/>
    <col min="10" max="16384" width="9.33203125" style="3"/>
  </cols>
  <sheetData>
    <row r="1" spans="1:9" s="91" customFormat="1" ht="60" customHeight="1" thickBot="1" x14ac:dyDescent="0.25">
      <c r="A1" s="1853" t="s">
        <v>2168</v>
      </c>
      <c r="B1" s="2253"/>
      <c r="C1" s="89" t="s">
        <v>2170</v>
      </c>
      <c r="D1" s="1366" t="s">
        <v>2169</v>
      </c>
      <c r="E1" s="2260"/>
      <c r="F1" s="2261"/>
      <c r="G1" s="2261"/>
      <c r="H1" s="2261"/>
    </row>
    <row r="2" spans="1:9" ht="30" customHeight="1" thickBot="1" x14ac:dyDescent="0.25">
      <c r="A2" s="483" t="s">
        <v>290</v>
      </c>
      <c r="B2" s="488" t="s">
        <v>1877</v>
      </c>
      <c r="C2" s="475" t="s">
        <v>2606</v>
      </c>
      <c r="D2" s="474" t="s">
        <v>117</v>
      </c>
      <c r="E2" s="626" t="s">
        <v>5438</v>
      </c>
      <c r="F2" s="627" t="s">
        <v>5439</v>
      </c>
      <c r="G2" s="1339" t="s">
        <v>5825</v>
      </c>
      <c r="H2" s="478" t="s">
        <v>919</v>
      </c>
    </row>
    <row r="3" spans="1:9" ht="30" customHeight="1" thickBot="1" x14ac:dyDescent="0.25">
      <c r="A3" s="1868" t="str">
        <f>OF!A4</f>
        <v>OF1</v>
      </c>
      <c r="B3" s="1687" t="str">
        <f>OF!B4</f>
        <v>Distance by Road to Nearest Population Center</v>
      </c>
      <c r="C3" s="231" t="str">
        <f>OF!C4</f>
        <v>Measured along the maintained road or boat landing that is nearest the AA, the distance to the nearest population center is:</v>
      </c>
      <c r="D3" s="253"/>
      <c r="E3" s="253"/>
      <c r="F3" s="254"/>
      <c r="G3" s="839">
        <f>MAX(F4:F8)/MAX(E4:E8)</f>
        <v>0</v>
      </c>
      <c r="H3" s="1698" t="s">
        <v>1255</v>
      </c>
      <c r="I3" s="3" t="s">
        <v>1009</v>
      </c>
    </row>
    <row r="4" spans="1:9" ht="15" customHeight="1" x14ac:dyDescent="0.2">
      <c r="A4" s="1869"/>
      <c r="B4" s="1688"/>
      <c r="C4" s="21" t="str">
        <f>OF!C5</f>
        <v>&lt;0.5 mile</v>
      </c>
      <c r="D4" s="280">
        <f>OF!D5</f>
        <v>0</v>
      </c>
      <c r="E4" s="48">
        <v>6</v>
      </c>
      <c r="F4" s="47">
        <f>D4*E4</f>
        <v>0</v>
      </c>
      <c r="G4" s="863"/>
      <c r="H4" s="1699"/>
    </row>
    <row r="5" spans="1:9" ht="15" customHeight="1" x14ac:dyDescent="0.2">
      <c r="A5" s="1869"/>
      <c r="B5" s="1688"/>
      <c r="C5" s="6" t="str">
        <f>OF!C6</f>
        <v>0.5 - 2 miles</v>
      </c>
      <c r="D5" s="46">
        <f>OF!D6</f>
        <v>0</v>
      </c>
      <c r="E5" s="48">
        <v>4</v>
      </c>
      <c r="F5" s="47">
        <f>D5*E5</f>
        <v>0</v>
      </c>
      <c r="G5" s="864"/>
      <c r="H5" s="1699"/>
    </row>
    <row r="6" spans="1:9" ht="15" customHeight="1" x14ac:dyDescent="0.2">
      <c r="A6" s="1869"/>
      <c r="B6" s="1688"/>
      <c r="C6" s="6" t="str">
        <f>OF!C7</f>
        <v>2-5 miles</v>
      </c>
      <c r="D6" s="46">
        <f>OF!D7</f>
        <v>0</v>
      </c>
      <c r="E6" s="48">
        <v>3</v>
      </c>
      <c r="F6" s="47">
        <f>D6*E6</f>
        <v>0</v>
      </c>
      <c r="G6" s="864"/>
      <c r="H6" s="1699"/>
    </row>
    <row r="7" spans="1:9" ht="15" customHeight="1" x14ac:dyDescent="0.2">
      <c r="A7" s="1869"/>
      <c r="B7" s="1688"/>
      <c r="C7" s="6" t="str">
        <f>OF!C8</f>
        <v>5-10 miles</v>
      </c>
      <c r="D7" s="46">
        <f>OF!D8</f>
        <v>0</v>
      </c>
      <c r="E7" s="48">
        <v>2</v>
      </c>
      <c r="F7" s="47">
        <f>D7*E7</f>
        <v>0</v>
      </c>
      <c r="G7" s="864"/>
      <c r="H7" s="1699"/>
    </row>
    <row r="8" spans="1:9" ht="15.6" customHeight="1" thickBot="1" x14ac:dyDescent="0.25">
      <c r="A8" s="1870"/>
      <c r="B8" s="1689"/>
      <c r="C8" s="214" t="str">
        <f>OF!C9</f>
        <v>&gt;10 miles</v>
      </c>
      <c r="D8" s="213">
        <f>OF!D9</f>
        <v>0</v>
      </c>
      <c r="E8" s="255">
        <v>0</v>
      </c>
      <c r="F8" s="255">
        <f>D8*E8</f>
        <v>0</v>
      </c>
      <c r="G8" s="865"/>
      <c r="H8" s="1700"/>
    </row>
    <row r="9" spans="1:9" ht="21" customHeight="1" thickBot="1" x14ac:dyDescent="0.25">
      <c r="A9" s="1896" t="str">
        <f>OF!A80</f>
        <v>OF13</v>
      </c>
      <c r="B9" s="1692" t="str">
        <f>OF!B80</f>
        <v>Tidal Proximity</v>
      </c>
      <c r="C9" s="749" t="str">
        <f>OF!C80</f>
        <v>The distance from the AA edge to the closest tidal water body is:</v>
      </c>
      <c r="D9" s="253"/>
      <c r="E9" s="253"/>
      <c r="F9" s="254"/>
      <c r="G9" s="839">
        <f>MAX(F10:F14)/MAX(E10:E14)</f>
        <v>0</v>
      </c>
      <c r="H9" s="1698" t="s">
        <v>930</v>
      </c>
      <c r="I9" s="3" t="s">
        <v>1008</v>
      </c>
    </row>
    <row r="10" spans="1:9" ht="15" customHeight="1" x14ac:dyDescent="0.2">
      <c r="A10" s="1897"/>
      <c r="B10" s="1713"/>
      <c r="C10" s="543" t="str">
        <f>OF!C81</f>
        <v>&lt;300 ft</v>
      </c>
      <c r="D10" s="283">
        <f>OF!D81</f>
        <v>0</v>
      </c>
      <c r="E10" s="48">
        <v>6</v>
      </c>
      <c r="F10" s="47">
        <f>D10*E10</f>
        <v>0</v>
      </c>
      <c r="G10" s="1242"/>
      <c r="H10" s="1699"/>
    </row>
    <row r="11" spans="1:9" ht="15" customHeight="1" x14ac:dyDescent="0.2">
      <c r="A11" s="1897"/>
      <c r="B11" s="1713"/>
      <c r="C11" s="544" t="str">
        <f>OF!C82</f>
        <v>300-1000 ft</v>
      </c>
      <c r="D11" s="284">
        <f>OF!D82</f>
        <v>0</v>
      </c>
      <c r="E11" s="48">
        <v>4</v>
      </c>
      <c r="F11" s="47">
        <f>D11*E11</f>
        <v>0</v>
      </c>
      <c r="G11" s="1243"/>
      <c r="H11" s="1699"/>
    </row>
    <row r="12" spans="1:9" ht="15" customHeight="1" x14ac:dyDescent="0.2">
      <c r="A12" s="1897"/>
      <c r="B12" s="1713"/>
      <c r="C12" s="544" t="str">
        <f>OF!C83</f>
        <v>1000 ft - 1 mile</v>
      </c>
      <c r="D12" s="284">
        <f>OF!D83</f>
        <v>0</v>
      </c>
      <c r="E12" s="48">
        <v>3</v>
      </c>
      <c r="F12" s="47">
        <f>D12*E12</f>
        <v>0</v>
      </c>
      <c r="G12" s="1243"/>
      <c r="H12" s="1699"/>
    </row>
    <row r="13" spans="1:9" ht="15" customHeight="1" x14ac:dyDescent="0.2">
      <c r="A13" s="1897"/>
      <c r="B13" s="1713"/>
      <c r="C13" s="544" t="str">
        <f>OF!C84</f>
        <v>1-5 miles</v>
      </c>
      <c r="D13" s="284">
        <f>OF!D84</f>
        <v>0</v>
      </c>
      <c r="E13" s="48">
        <v>2</v>
      </c>
      <c r="F13" s="47">
        <f>D13*E13</f>
        <v>0</v>
      </c>
      <c r="G13" s="1243"/>
      <c r="H13" s="1699"/>
    </row>
    <row r="14" spans="1:9" ht="15.6" customHeight="1" thickBot="1" x14ac:dyDescent="0.25">
      <c r="A14" s="1898"/>
      <c r="B14" s="1714"/>
      <c r="C14" s="1153" t="str">
        <f>OF!C85</f>
        <v>&gt;5 miles</v>
      </c>
      <c r="D14" s="313">
        <f>OF!D85</f>
        <v>0</v>
      </c>
      <c r="E14" s="255">
        <v>0</v>
      </c>
      <c r="F14" s="255">
        <f>D14*E14</f>
        <v>0</v>
      </c>
      <c r="G14" s="1244"/>
      <c r="H14" s="1700"/>
    </row>
    <row r="15" spans="1:9" ht="30" customHeight="1" thickBot="1" x14ac:dyDescent="0.25">
      <c r="A15" s="1869" t="str">
        <f>OF!A97</f>
        <v>OF17</v>
      </c>
      <c r="B15" s="1688" t="str">
        <f>OF!B97</f>
        <v>Fish Access or Use</v>
      </c>
      <c r="C15" s="385" t="str">
        <f>OF!C97</f>
        <v>Refer to the map in the online WESPAK-SE Wetlands Module: Habitat Layers &gt; Anadromous Waters Catalog, and preferably verify by contacting a local ADFG biologist.  Mark just the first choice that is true.  The AA:</v>
      </c>
      <c r="D15" s="253"/>
      <c r="E15" s="261"/>
      <c r="F15" s="262"/>
      <c r="G15" s="838">
        <f>IF((D20=1),"",MAX(F16:F19)/MAX(E16:E19))</f>
        <v>0</v>
      </c>
      <c r="H15" s="1699" t="s">
        <v>1257</v>
      </c>
      <c r="I15" s="3" t="s">
        <v>1013</v>
      </c>
    </row>
    <row r="16" spans="1:9" ht="15" customHeight="1" x14ac:dyDescent="0.2">
      <c r="A16" s="1869"/>
      <c r="B16" s="1688"/>
      <c r="C16" s="19" t="str">
        <f>OF!C98</f>
        <v>a) is known to support anadromous fish feeding and/or spawning (some ADFG Class 1 streams).</v>
      </c>
      <c r="D16" s="380">
        <f>OF!D98</f>
        <v>0</v>
      </c>
      <c r="E16" s="47">
        <v>3</v>
      </c>
      <c r="F16" s="47">
        <f>D16*E16</f>
        <v>0</v>
      </c>
      <c r="G16" s="1242"/>
      <c r="H16" s="1699"/>
    </row>
    <row r="17" spans="1:9" ht="27" customHeight="1" x14ac:dyDescent="0.2">
      <c r="A17" s="1869"/>
      <c r="B17" s="1688"/>
      <c r="C17" s="470" t="str">
        <f>OF!C99</f>
        <v>b) is probably accessible to anadromous and other fish (at least seasonally, at least for feeding, partially or entirely), but anadromous fish have not been documented (some Class 1 streams).</v>
      </c>
      <c r="D17" s="20">
        <f>OF!D99</f>
        <v>0</v>
      </c>
      <c r="E17" s="47">
        <v>2</v>
      </c>
      <c r="F17" s="47">
        <f>D17*E17</f>
        <v>0</v>
      </c>
      <c r="G17" s="1243"/>
      <c r="H17" s="1699"/>
    </row>
    <row r="18" spans="1:9" ht="27" customHeight="1" x14ac:dyDescent="0.2">
      <c r="A18" s="1869"/>
      <c r="B18" s="1688"/>
      <c r="C18" s="470" t="str">
        <f>OF!C100</f>
        <v>c) is not accessible to anadromous fish, but other resident fish are known (or can be assumed) present (Class 2).</v>
      </c>
      <c r="D18" s="20">
        <f>OF!D100</f>
        <v>0</v>
      </c>
      <c r="E18" s="47">
        <v>1</v>
      </c>
      <c r="F18" s="47">
        <f>D18*E18</f>
        <v>0</v>
      </c>
      <c r="G18" s="1243"/>
      <c r="H18" s="1699"/>
    </row>
    <row r="19" spans="1:9" ht="27" customHeight="1" x14ac:dyDescent="0.2">
      <c r="A19" s="1869"/>
      <c r="B19" s="1688"/>
      <c r="C19" s="470" t="str">
        <f>OF!C101</f>
        <v>d) is fishless (i.e., not accessible to anadromous fish and is known or can be assumed to have no resident fish).  (Class 3, 4)</v>
      </c>
      <c r="D19" s="20">
        <f>OF!D101</f>
        <v>0</v>
      </c>
      <c r="E19" s="47">
        <v>0</v>
      </c>
      <c r="F19" s="47">
        <f>D19*E19</f>
        <v>0</v>
      </c>
      <c r="G19" s="1243"/>
      <c r="H19" s="1699"/>
    </row>
    <row r="20" spans="1:9" ht="15.6" customHeight="1" thickBot="1" x14ac:dyDescent="0.25">
      <c r="A20" s="1869"/>
      <c r="B20" s="1688"/>
      <c r="C20" s="470" t="str">
        <f>OF!C102</f>
        <v>e) fish presence and potential fish access are unknown and undeterminable.</v>
      </c>
      <c r="D20" s="20">
        <f>OF!D102</f>
        <v>0</v>
      </c>
      <c r="E20" s="47"/>
      <c r="F20" s="833"/>
      <c r="G20" s="1245"/>
      <c r="H20" s="1699"/>
    </row>
    <row r="21" spans="1:9" ht="30" customHeight="1" thickBot="1" x14ac:dyDescent="0.25">
      <c r="A21" s="541" t="str">
        <f>OF!A104</f>
        <v>OF19</v>
      </c>
      <c r="B21" s="5" t="str">
        <f>OF!B104</f>
        <v>Deer Winter Habitat Capability</v>
      </c>
      <c r="C21" s="222" t="str">
        <f>OF!C104</f>
        <v xml:space="preserve">Refer to the map in the online WESPAK-SE Wetlands Module: Habitat Layers &gt; Deer Winter Habitat Suitability Value.  Enter 3 if Very High;  2 if High; 1 if Moderate;  0= Lower or all other.  </v>
      </c>
      <c r="D21" s="314">
        <f>OF!D104</f>
        <v>0</v>
      </c>
      <c r="E21" s="259"/>
      <c r="F21" s="260"/>
      <c r="G21" s="839">
        <f>D21/3</f>
        <v>0</v>
      </c>
      <c r="H21" s="231" t="s">
        <v>1256</v>
      </c>
      <c r="I21" s="3" t="s">
        <v>1010</v>
      </c>
    </row>
    <row r="22" spans="1:9" ht="78.75" customHeight="1" thickBot="1" x14ac:dyDescent="0.25">
      <c r="A22" s="1869" t="str">
        <f>OF!A147</f>
        <v>OF28</v>
      </c>
      <c r="B22" s="1688" t="str">
        <f>OF!B147</f>
        <v>Elevation in Multi-scale Watersheds</v>
      </c>
      <c r="C22" s="38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22" s="51"/>
      <c r="E22" s="51"/>
      <c r="F22" s="67"/>
      <c r="G22" s="838" t="str">
        <f>IF((D23=0),"", (4-D23)/3)</f>
        <v/>
      </c>
      <c r="H22" s="1699" t="s">
        <v>1152</v>
      </c>
      <c r="I22" s="3" t="s">
        <v>1014</v>
      </c>
    </row>
    <row r="23" spans="1:9" ht="42.6" customHeight="1" thickBot="1" x14ac:dyDescent="0.25">
      <c r="A23" s="1869"/>
      <c r="B23" s="1688"/>
      <c r="C23" s="19" t="str">
        <f>OF!C150</f>
        <v>In its HUC6 (the 8-digit* watershed) the AA's elevation puts it in (enter one of the following): 3= upper one-third, 2= middle one-third, 1= lower one-third, 0= no data.  [The 8-digit HUC is obtained by deleting the last 4 digits of the 12-digit HUC code]</v>
      </c>
      <c r="D23" s="380">
        <f>OF!D150</f>
        <v>0</v>
      </c>
      <c r="E23" s="47"/>
      <c r="F23" s="47"/>
      <c r="G23" s="1245"/>
      <c r="H23" s="1699"/>
    </row>
    <row r="24" spans="1:9" ht="30" customHeight="1" thickBot="1" x14ac:dyDescent="0.25">
      <c r="A24" s="541" t="str">
        <f>OF!A182</f>
        <v>OF37</v>
      </c>
      <c r="B24" s="5" t="str">
        <f>OF!B182</f>
        <v>Salmonid Watershed</v>
      </c>
      <c r="C24" s="222" t="str">
        <f>OF!C182</f>
        <v xml:space="preserve">Refer to map in the Manual (Appendix A, Fig. A-1). This AA's watershed is rated:  3=Very High (100%), 2= High (50-99%), 1= Moderate (10-49%), 0= all other. </v>
      </c>
      <c r="D24" s="314">
        <f>OF!D182</f>
        <v>0</v>
      </c>
      <c r="E24" s="259"/>
      <c r="F24" s="260"/>
      <c r="G24" s="839">
        <f>D24/3</f>
        <v>0</v>
      </c>
      <c r="H24" s="231" t="s">
        <v>1967</v>
      </c>
      <c r="I24" s="3" t="s">
        <v>1011</v>
      </c>
    </row>
    <row r="25" spans="1:9" ht="21" customHeight="1" thickBot="1" x14ac:dyDescent="0.25">
      <c r="A25" s="1687" t="str">
        <f>OF!A183</f>
        <v>OF38</v>
      </c>
      <c r="B25" s="1687" t="str">
        <f>OF!B183</f>
        <v>Subsistence Focal Areas</v>
      </c>
      <c r="C25" s="385" t="str">
        <f>OF!C183</f>
        <v>The AA or waters that directly adjoin it:</v>
      </c>
      <c r="D25" s="51"/>
      <c r="E25" s="51"/>
      <c r="F25" s="67"/>
      <c r="G25" s="838">
        <f>IF((D29=1),"", MAX(F26:F28)/2)</f>
        <v>0</v>
      </c>
      <c r="H25" s="1698" t="s">
        <v>931</v>
      </c>
      <c r="I25" s="3" t="s">
        <v>1006</v>
      </c>
    </row>
    <row r="26" spans="1:9" ht="27" customHeight="1" x14ac:dyDescent="0.2">
      <c r="A26" s="1688"/>
      <c r="B26" s="1688"/>
      <c r="C26" s="21" t="str">
        <f>OF!C184</f>
        <v>is in Juneau or Ketchikan, and thus is a designated Non-subsistence Use Area (see WESPAK-SE Wetlands Module&gt; ADFG Nonsubsistence Use Areas for exact boundaries)</v>
      </c>
      <c r="D26" s="280">
        <f>OF!D184</f>
        <v>0</v>
      </c>
      <c r="E26" s="48">
        <v>0</v>
      </c>
      <c r="F26" s="48">
        <f>D26*E26</f>
        <v>0</v>
      </c>
      <c r="G26" s="1242"/>
      <c r="H26" s="1699"/>
    </row>
    <row r="27" spans="1:9" ht="27" customHeight="1" x14ac:dyDescent="0.2">
      <c r="A27" s="1688"/>
      <c r="B27" s="1688"/>
      <c r="C27" s="6" t="str">
        <f>OF!C185</f>
        <v>is accessible to salmon AND is a major salmon subsistence harvest area according to (a) Table B-6 of the manual, OR (b) Figures A2a-c of the manual (shown as a point on the maps)</v>
      </c>
      <c r="D27" s="46">
        <f>OF!D185</f>
        <v>0</v>
      </c>
      <c r="E27" s="48">
        <v>2</v>
      </c>
      <c r="F27" s="48">
        <f>D27*E27</f>
        <v>0</v>
      </c>
      <c r="G27" s="1243"/>
      <c r="H27" s="1699"/>
    </row>
    <row r="28" spans="1:9" ht="15.6" customHeight="1" x14ac:dyDescent="0.2">
      <c r="A28" s="1688"/>
      <c r="B28" s="1688"/>
      <c r="C28" s="6" t="str">
        <f>OF!C186</f>
        <v>neither of the above</v>
      </c>
      <c r="D28" s="46">
        <f>OF!D186</f>
        <v>0</v>
      </c>
      <c r="E28" s="48">
        <v>1</v>
      </c>
      <c r="F28" s="48">
        <f>D28*E28</f>
        <v>0</v>
      </c>
      <c r="G28" s="1243"/>
      <c r="H28" s="1699"/>
    </row>
    <row r="29" spans="1:9" ht="15.6" customHeight="1" thickBot="1" x14ac:dyDescent="0.25">
      <c r="A29" s="1689"/>
      <c r="B29" s="1689"/>
      <c r="C29" s="6" t="str">
        <f>OF!C187</f>
        <v>no data (outside of the regions shown on the maps, and not listed in Table B-6)</v>
      </c>
      <c r="D29" s="46">
        <f>OF!D187</f>
        <v>0</v>
      </c>
      <c r="E29" s="48"/>
      <c r="F29" s="48"/>
      <c r="G29" s="1243"/>
      <c r="H29" s="1700"/>
    </row>
    <row r="30" spans="1:9" ht="30" customHeight="1" thickBot="1" x14ac:dyDescent="0.25">
      <c r="A30" s="1868" t="str">
        <f>F!A314</f>
        <v>F67</v>
      </c>
      <c r="B30" s="1687" t="str">
        <f>F!B314</f>
        <v>Consumptive Uses (Provisioning Services)</v>
      </c>
      <c r="C30" s="385" t="str">
        <f>F!C314</f>
        <v>Recent evidence was found within the AA of the following potentially-sustainable consumptive uses.  Select all that apply.</v>
      </c>
      <c r="D30" s="51"/>
      <c r="E30" s="51"/>
      <c r="F30" s="67"/>
      <c r="G30" s="838">
        <f>SUM(F31:F35)/5</f>
        <v>0</v>
      </c>
      <c r="H30" s="1698" t="s">
        <v>1004</v>
      </c>
      <c r="I30" s="3" t="s">
        <v>1005</v>
      </c>
    </row>
    <row r="31" spans="1:9" ht="15" customHeight="1" x14ac:dyDescent="0.2">
      <c r="A31" s="1869"/>
      <c r="B31" s="1688"/>
      <c r="C31" s="21" t="str">
        <f>F!C315</f>
        <v>Low-impact commercial timber harvest (e.g., selective thinning)</v>
      </c>
      <c r="D31" s="280">
        <f>F!D315</f>
        <v>0</v>
      </c>
      <c r="E31" s="48">
        <v>1</v>
      </c>
      <c r="F31" s="48">
        <f>D31*E31</f>
        <v>0</v>
      </c>
      <c r="G31" s="1242"/>
      <c r="H31" s="1699"/>
    </row>
    <row r="32" spans="1:9" ht="15" customHeight="1" x14ac:dyDescent="0.2">
      <c r="A32" s="1869"/>
      <c r="B32" s="1688"/>
      <c r="C32" s="6" t="str">
        <f>F!C316</f>
        <v>Commercial or subsistence-based harvesting of native plants or mushrooms</v>
      </c>
      <c r="D32" s="46">
        <f>F!D316</f>
        <v>0</v>
      </c>
      <c r="E32" s="48">
        <v>1</v>
      </c>
      <c r="F32" s="48">
        <f>D32*E32</f>
        <v>0</v>
      </c>
      <c r="G32" s="1243"/>
      <c r="H32" s="1699"/>
    </row>
    <row r="33" spans="1:8" ht="15" customHeight="1" x14ac:dyDescent="0.2">
      <c r="A33" s="1869"/>
      <c r="B33" s="1688"/>
      <c r="C33" s="6" t="str">
        <f>F!C317</f>
        <v xml:space="preserve">Hunting </v>
      </c>
      <c r="D33" s="46">
        <f>F!D317</f>
        <v>0</v>
      </c>
      <c r="E33" s="48">
        <v>1</v>
      </c>
      <c r="F33" s="48">
        <f>D33*E33</f>
        <v>0</v>
      </c>
      <c r="G33" s="1243"/>
      <c r="H33" s="1699"/>
    </row>
    <row r="34" spans="1:8" ht="15" customHeight="1" x14ac:dyDescent="0.2">
      <c r="A34" s="1869"/>
      <c r="B34" s="1688"/>
      <c r="C34" s="6" t="str">
        <f>F!C318</f>
        <v>Furbearer trapping</v>
      </c>
      <c r="D34" s="46">
        <f>F!D318</f>
        <v>0</v>
      </c>
      <c r="E34" s="48">
        <v>1</v>
      </c>
      <c r="F34" s="48">
        <f>D34*E34</f>
        <v>0</v>
      </c>
      <c r="G34" s="1245"/>
      <c r="H34" s="1699"/>
    </row>
    <row r="35" spans="1:8" ht="15.6" customHeight="1" thickBot="1" x14ac:dyDescent="0.25">
      <c r="A35" s="1870"/>
      <c r="B35" s="1689"/>
      <c r="C35" s="214" t="str">
        <f>F!C319</f>
        <v>Fishing</v>
      </c>
      <c r="D35" s="213">
        <f>F!D319</f>
        <v>0</v>
      </c>
      <c r="E35" s="255">
        <v>1</v>
      </c>
      <c r="F35" s="255">
        <f>D35*E35</f>
        <v>0</v>
      </c>
      <c r="G35" s="1244"/>
      <c r="H35" s="1700"/>
    </row>
    <row r="36" spans="1:8" ht="21.75" customHeight="1" thickBot="1" x14ac:dyDescent="0.25">
      <c r="A36" s="1889"/>
      <c r="B36" s="1889"/>
      <c r="C36" s="2049"/>
      <c r="D36" s="2049"/>
      <c r="E36" s="2049"/>
      <c r="F36" s="2049"/>
      <c r="G36" s="2049"/>
      <c r="H36" s="2049"/>
    </row>
    <row r="37" spans="1:8" ht="57" customHeight="1" thickBot="1" x14ac:dyDescent="0.25">
      <c r="A37" s="1862"/>
      <c r="B37" s="1862"/>
      <c r="C37" s="2262" t="s">
        <v>1012</v>
      </c>
      <c r="D37" s="2263"/>
      <c r="E37" s="2264"/>
      <c r="F37" s="970" t="s">
        <v>142</v>
      </c>
      <c r="G37" s="1088">
        <f>IF((D26=1),0,10*MAX(Subsist,AVERAGE(AVERAGE(PopCtrDisS,TidalProxS,ElevS)),(AVERAGE(ConsumpU,DeerShedPS2,SalmonShedPS2,FishAccessS))))</f>
        <v>0</v>
      </c>
      <c r="H37" s="49" t="s">
        <v>2430</v>
      </c>
    </row>
    <row r="38" spans="1:8" ht="21" customHeight="1" thickBot="1" x14ac:dyDescent="0.25">
      <c r="A38" s="1862"/>
      <c r="B38" s="1862"/>
      <c r="C38" s="1862"/>
      <c r="D38" s="1862"/>
      <c r="E38" s="1862"/>
      <c r="F38" s="1862"/>
      <c r="G38" s="1862"/>
    </row>
    <row r="39" spans="1:8" ht="21" customHeight="1" thickBot="1" x14ac:dyDescent="0.25">
      <c r="A39" s="1862"/>
      <c r="B39" s="1862"/>
      <c r="C39" s="1862"/>
      <c r="D39" s="1862"/>
      <c r="E39" s="1862"/>
      <c r="F39" s="1862"/>
      <c r="G39" s="1862"/>
      <c r="H39" s="79" t="s">
        <v>1345</v>
      </c>
    </row>
    <row r="40" spans="1:8" ht="27" customHeight="1" x14ac:dyDescent="0.2">
      <c r="A40" s="1862"/>
      <c r="B40" s="1862"/>
      <c r="C40" s="1862"/>
      <c r="D40" s="1862"/>
      <c r="E40" s="1862"/>
      <c r="F40" s="1862"/>
      <c r="G40" s="1862"/>
      <c r="H40" s="145" t="s">
        <v>5534</v>
      </c>
    </row>
    <row r="41" spans="1:8" ht="27" customHeight="1" x14ac:dyDescent="0.2">
      <c r="A41" s="1862"/>
      <c r="B41" s="1862"/>
      <c r="C41" s="1862"/>
      <c r="D41" s="1862"/>
      <c r="E41" s="1862"/>
      <c r="F41" s="1862"/>
      <c r="G41" s="1862"/>
      <c r="H41" s="118" t="s">
        <v>1522</v>
      </c>
    </row>
    <row r="42" spans="1:8" ht="27" customHeight="1" thickBot="1" x14ac:dyDescent="0.25">
      <c r="A42" s="1862"/>
      <c r="B42" s="1862"/>
      <c r="C42" s="1862"/>
      <c r="D42" s="1862"/>
      <c r="E42" s="1862"/>
      <c r="F42" s="1862"/>
      <c r="G42" s="1862"/>
      <c r="H42" s="142" t="s">
        <v>5535</v>
      </c>
    </row>
  </sheetData>
  <sheetProtection algorithmName="SHA-512" hashValue="FfCkjj7lmrnCQEnEuDTI/HytdJjC+qXAyY1ROMb5Eg5BLUJrk3sp2PBKiBDIF+JJSJzOtuPAYxUl/b3ZRGmS5w==" saltValue="mQ8pIj1bm6LeyMpkVEdRXg==" spinCount="100000" sheet="1" formatCells="0" formatColumns="0" formatRows="0"/>
  <customSheetViews>
    <customSheetView guid="{B8E02330-2419-4DE6-AD01-7ACC7A5D18DD}">
      <selection activeCell="G9" sqref="G9"/>
      <pageMargins left="0.75" right="0.75" top="1" bottom="1" header="0.5" footer="0.5"/>
      <headerFooter alignWithMargins="0"/>
    </customSheetView>
  </customSheetViews>
  <mergeCells count="24">
    <mergeCell ref="A36:B37"/>
    <mergeCell ref="C36:H36"/>
    <mergeCell ref="A30:A35"/>
    <mergeCell ref="H22:H23"/>
    <mergeCell ref="B15:B20"/>
    <mergeCell ref="H15:H20"/>
    <mergeCell ref="A22:A23"/>
    <mergeCell ref="B22:B23"/>
    <mergeCell ref="A38:G42"/>
    <mergeCell ref="A1:B1"/>
    <mergeCell ref="A3:A8"/>
    <mergeCell ref="A9:A14"/>
    <mergeCell ref="H30:H35"/>
    <mergeCell ref="B3:B8"/>
    <mergeCell ref="B9:B14"/>
    <mergeCell ref="B30:B35"/>
    <mergeCell ref="H3:H8"/>
    <mergeCell ref="H9:H14"/>
    <mergeCell ref="A15:A20"/>
    <mergeCell ref="E1:H1"/>
    <mergeCell ref="H25:H29"/>
    <mergeCell ref="B25:B29"/>
    <mergeCell ref="A25:A29"/>
    <mergeCell ref="C37:E37"/>
  </mergeCells>
  <phoneticPr fontId="3" type="noConversion"/>
  <pageMargins left="0.75" right="0.75" top="1" bottom="1" header="0.5" footer="0.5"/>
  <pageSetup orientation="portrait"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50"/>
  </sheetPr>
  <dimension ref="A1:I86"/>
  <sheetViews>
    <sheetView zoomScaleNormal="100" workbookViewId="0">
      <selection activeCell="J8" sqref="J8"/>
    </sheetView>
  </sheetViews>
  <sheetFormatPr defaultColWidth="9.33203125" defaultRowHeight="12.75" x14ac:dyDescent="0.2"/>
  <cols>
    <col min="1" max="1" width="5.83203125" style="11" customWidth="1"/>
    <col min="2" max="2" width="18.83203125" style="3" customWidth="1"/>
    <col min="3" max="3" width="75.83203125" style="3" customWidth="1"/>
    <col min="4" max="4" width="6.83203125" style="724" customWidth="1"/>
    <col min="5" max="5" width="8" style="724" customWidth="1"/>
    <col min="6" max="6" width="8.6640625" style="724" customWidth="1"/>
    <col min="7" max="7" width="11.5" style="727" customWidth="1"/>
    <col min="8" max="8" width="75.83203125" style="3" customWidth="1"/>
    <col min="9" max="9" width="14.83203125" style="3" customWidth="1"/>
    <col min="10" max="16384" width="9.33203125" style="3"/>
  </cols>
  <sheetData>
    <row r="1" spans="1:9" s="91" customFormat="1" ht="97.5" customHeight="1" thickBot="1" x14ac:dyDescent="0.25">
      <c r="A1" s="2231" t="s">
        <v>853</v>
      </c>
      <c r="B1" s="2232"/>
      <c r="C1" s="89" t="s">
        <v>5706</v>
      </c>
      <c r="D1" s="127" t="s">
        <v>5689</v>
      </c>
      <c r="E1" s="1922"/>
      <c r="F1" s="1922"/>
      <c r="G1" s="1922"/>
      <c r="H1" s="1922"/>
    </row>
    <row r="2" spans="1:9" ht="30" customHeight="1" thickBot="1" x14ac:dyDescent="0.25">
      <c r="A2" s="483" t="s">
        <v>290</v>
      </c>
      <c r="B2" s="488" t="s">
        <v>1877</v>
      </c>
      <c r="C2" s="475" t="s">
        <v>2606</v>
      </c>
      <c r="D2" s="474" t="s">
        <v>117</v>
      </c>
      <c r="E2" s="626" t="s">
        <v>5438</v>
      </c>
      <c r="F2" s="627" t="s">
        <v>5439</v>
      </c>
      <c r="G2" s="628" t="s">
        <v>5825</v>
      </c>
      <c r="H2" s="488" t="s">
        <v>919</v>
      </c>
    </row>
    <row r="3" spans="1:9" ht="53.25" customHeight="1" thickBot="1" x14ac:dyDescent="0.25">
      <c r="A3" s="42" t="str">
        <f>F!A90</f>
        <v>F18</v>
      </c>
      <c r="B3" s="109" t="str">
        <f>F!B90</f>
        <v>Floating Algae &amp; Duckweed</v>
      </c>
      <c r="C3" s="379" t="str">
        <f>F!C90</f>
        <v>At some time of the year, mats of algae and/or duckweed cover most of the AA's otherwise-unshaded water surface or blanket the underwater substrate.  If true, enter "1" in next column.  If untrue or uncertain, enter "0".</v>
      </c>
      <c r="D3" s="20">
        <f>F!D90</f>
        <v>0</v>
      </c>
      <c r="E3" s="391"/>
      <c r="F3" s="391"/>
      <c r="G3" s="1152" t="str">
        <f>IF((AllSat+AllSat1&gt;0),"", IF((OR(puddles=1,NoPonded=1)),"",IF((OR(NoOpenPonded=1,NoOpenPonded1=1)),"",IF((D3=0),"",0))))</f>
        <v/>
      </c>
      <c r="H3" s="264" t="s">
        <v>5420</v>
      </c>
    </row>
    <row r="4" spans="1:9" ht="30" customHeight="1" thickBot="1" x14ac:dyDescent="0.25">
      <c r="A4" s="1954" t="str">
        <f>F!A174</f>
        <v>F38</v>
      </c>
      <c r="B4" s="1709" t="str">
        <f>F!B174</f>
        <v>Shrub Species Dominance</v>
      </c>
      <c r="C4" s="231" t="str">
        <f>F!C174</f>
        <v>Determine which two native shrub species (3 to 20 ft tall) comprise the greatest portion of the native shrub cover.  Then choose one:</v>
      </c>
      <c r="D4" s="717"/>
      <c r="E4" s="717"/>
      <c r="F4" s="721"/>
      <c r="G4" s="580">
        <f>IF((NoWoodyVeg=1),"",IF((NoShrub=1),"",MAX(F5:F6)))</f>
        <v>0</v>
      </c>
      <c r="H4" s="1709" t="s">
        <v>5422</v>
      </c>
      <c r="I4" s="3" t="s">
        <v>1033</v>
      </c>
    </row>
    <row r="5" spans="1:9" ht="15" customHeight="1" x14ac:dyDescent="0.2">
      <c r="A5" s="1955"/>
      <c r="B5" s="1710"/>
      <c r="C5" s="19" t="str">
        <f>F!C175</f>
        <v>those species together comprise &gt; 50% of the areal cover of native shrub species.</v>
      </c>
      <c r="D5" s="46">
        <f>F!D175</f>
        <v>0</v>
      </c>
      <c r="E5" s="388">
        <v>0</v>
      </c>
      <c r="F5" s="388">
        <f>D5*E5</f>
        <v>0</v>
      </c>
      <c r="G5" s="708"/>
      <c r="H5" s="1710"/>
    </row>
    <row r="6" spans="1:9" ht="15.6" customHeight="1" thickBot="1" x14ac:dyDescent="0.25">
      <c r="A6" s="1956"/>
      <c r="B6" s="1711"/>
      <c r="C6" s="214" t="str">
        <f>F!C176</f>
        <v>those species together do not comprise &gt; 50% of the areal cover of native shrub species.</v>
      </c>
      <c r="D6" s="213">
        <f>F!D176</f>
        <v>0</v>
      </c>
      <c r="E6" s="389">
        <v>1</v>
      </c>
      <c r="F6" s="389">
        <f>D6*E6</f>
        <v>0</v>
      </c>
      <c r="G6" s="710"/>
      <c r="H6" s="1711"/>
    </row>
    <row r="7" spans="1:9" ht="60" customHeight="1" thickBot="1" x14ac:dyDescent="0.25">
      <c r="A7" s="1845" t="str">
        <f>F!A200</f>
        <v>F43</v>
      </c>
      <c r="B7" s="1688" t="str">
        <f>F!B200</f>
        <v>Bare Ground &amp; Accumulated Plant Litter</v>
      </c>
      <c r="C7" s="385" t="str">
        <f>F!C200</f>
        <v>As viewed from above at mid-summer, the extent of bare ground (unvegetated mineral or organic soil or rock) within the AA, excluding parts not visible because under water, snow, or dense thatch) is:</v>
      </c>
      <c r="D7" s="717"/>
      <c r="E7" s="387"/>
      <c r="F7" s="390"/>
      <c r="G7" s="606">
        <f>MAX(F8:F11)/MAX(E8:E11)</f>
        <v>0</v>
      </c>
      <c r="H7" s="1688" t="s">
        <v>1038</v>
      </c>
      <c r="I7" s="3" t="s">
        <v>1035</v>
      </c>
    </row>
    <row r="8" spans="1:9" ht="42" customHeight="1" x14ac:dyDescent="0.2">
      <c r="A8" s="1845"/>
      <c r="B8" s="1688"/>
      <c r="C8" s="21" t="str">
        <f>F!C201</f>
        <v xml:space="preserve">little or no (&lt;5%) bare ground is visible between erect stems or under canopy and ground surface is extensively blanketed by moss, lichens, graminoids with great stem densities, or plants with ground-hugging foliage.  </v>
      </c>
      <c r="D8" s="46">
        <f>F!D201</f>
        <v>0</v>
      </c>
      <c r="E8" s="388">
        <v>3</v>
      </c>
      <c r="F8" s="413">
        <f>D8*E8</f>
        <v>0</v>
      </c>
      <c r="G8" s="708"/>
      <c r="H8" s="1688"/>
    </row>
    <row r="9" spans="1:9" ht="27" customHeight="1" x14ac:dyDescent="0.2">
      <c r="A9" s="1845"/>
      <c r="B9" s="1688"/>
      <c r="C9" s="6" t="str">
        <f>F!C202</f>
        <v>Slightly bare ground (5-20% bare between plants) is visible in places, but those areas comprise less than 5% of the unflooded parts of the AA.</v>
      </c>
      <c r="D9" s="46">
        <f>F!D202</f>
        <v>0</v>
      </c>
      <c r="E9" s="388">
        <v>2</v>
      </c>
      <c r="F9" s="413">
        <f>D9*E9</f>
        <v>0</v>
      </c>
      <c r="G9" s="709"/>
      <c r="H9" s="1688"/>
    </row>
    <row r="10" spans="1:9" ht="27" customHeight="1" x14ac:dyDescent="0.2">
      <c r="A10" s="1845"/>
      <c r="B10" s="1688"/>
      <c r="C10" s="6" t="str">
        <f>F!C203</f>
        <v>Much bare ground (20-50% bare between plants) is visible in places, and those areas comprise more than 5% of the unflooded parts of the AA. </v>
      </c>
      <c r="D10" s="46">
        <f>F!D203</f>
        <v>0</v>
      </c>
      <c r="E10" s="388">
        <v>1</v>
      </c>
      <c r="F10" s="413">
        <f>D10*E10</f>
        <v>0</v>
      </c>
      <c r="G10" s="709"/>
      <c r="H10" s="1688"/>
    </row>
    <row r="11" spans="1:9" ht="15" customHeight="1" x14ac:dyDescent="0.2">
      <c r="A11" s="1845"/>
      <c r="B11" s="1688"/>
      <c r="C11" s="6" t="str">
        <f>F!C204</f>
        <v>mostly (&gt;50%) bare ground or ground covered only with thatch.</v>
      </c>
      <c r="D11" s="46">
        <f>F!D204</f>
        <v>0</v>
      </c>
      <c r="E11" s="388">
        <v>0</v>
      </c>
      <c r="F11" s="413">
        <f>D11*E11</f>
        <v>0</v>
      </c>
      <c r="G11" s="709"/>
      <c r="H11" s="1688"/>
    </row>
    <row r="12" spans="1:9" ht="27" customHeight="1" thickBot="1" x14ac:dyDescent="0.25">
      <c r="A12" s="1845"/>
      <c r="B12" s="1688"/>
      <c r="C12" s="470" t="str">
        <f>F!C205</f>
        <v>Not applicable.  Surface water (either open or obscured by emergent plants) covers all of the AA all the time.</v>
      </c>
      <c r="D12" s="20">
        <f>F!D205</f>
        <v>0</v>
      </c>
      <c r="E12" s="391"/>
      <c r="F12" s="391"/>
      <c r="G12" s="718"/>
      <c r="H12" s="1688"/>
    </row>
    <row r="13" spans="1:9" ht="45" customHeight="1" thickBot="1" x14ac:dyDescent="0.25">
      <c r="A13" s="1868" t="str">
        <f>F!A206</f>
        <v>F44</v>
      </c>
      <c r="B13" s="1687" t="str">
        <f>F!B206</f>
        <v>Ground Irregularity</v>
      </c>
      <c r="C13" s="231"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3" s="717"/>
      <c r="E13" s="392"/>
      <c r="F13" s="393"/>
      <c r="G13" s="580">
        <f>IF((D12=1),"",MAX(F14:F16)/MAX(E14:E16))</f>
        <v>0</v>
      </c>
      <c r="H13" s="1687" t="s">
        <v>1037</v>
      </c>
      <c r="I13" s="3" t="s">
        <v>1036</v>
      </c>
    </row>
    <row r="14" spans="1:9" ht="15" customHeight="1" x14ac:dyDescent="0.2">
      <c r="A14" s="1869"/>
      <c r="B14" s="1688"/>
      <c r="C14" s="21" t="str">
        <f>F!C207</f>
        <v xml:space="preserve">Few or none (minimal microtopography; &lt;1% of that area) </v>
      </c>
      <c r="D14" s="46">
        <f>F!D207</f>
        <v>0</v>
      </c>
      <c r="E14" s="388">
        <v>0</v>
      </c>
      <c r="F14" s="413">
        <f>D14*E14</f>
        <v>0</v>
      </c>
      <c r="G14" s="708"/>
      <c r="H14" s="1688"/>
    </row>
    <row r="15" spans="1:9" ht="15" customHeight="1" x14ac:dyDescent="0.2">
      <c r="A15" s="1869"/>
      <c r="B15" s="1688"/>
      <c r="C15" s="6" t="str">
        <f>F!C208</f>
        <v>Intermediate</v>
      </c>
      <c r="D15" s="46">
        <f>F!D208</f>
        <v>0</v>
      </c>
      <c r="E15" s="388">
        <v>1</v>
      </c>
      <c r="F15" s="413">
        <f>D15*E15</f>
        <v>0</v>
      </c>
      <c r="G15" s="709"/>
      <c r="H15" s="1688"/>
    </row>
    <row r="16" spans="1:9" ht="15.6" customHeight="1" thickBot="1" x14ac:dyDescent="0.25">
      <c r="A16" s="1870"/>
      <c r="B16" s="1689"/>
      <c r="C16" s="214" t="str">
        <f>F!C209</f>
        <v>Several (extensive micro-topography)</v>
      </c>
      <c r="D16" s="213">
        <f>F!D209</f>
        <v>0</v>
      </c>
      <c r="E16" s="389">
        <v>2</v>
      </c>
      <c r="F16" s="417">
        <f>D16*E16</f>
        <v>0</v>
      </c>
      <c r="G16" s="710"/>
      <c r="H16" s="1689"/>
    </row>
    <row r="17" spans="1:9" ht="30" customHeight="1" thickBot="1" x14ac:dyDescent="0.25">
      <c r="A17" s="1845" t="str">
        <f>F!A250</f>
        <v>F52</v>
      </c>
      <c r="B17" s="1688" t="str">
        <f>F!B250</f>
        <v>Herbaceous Species Dominance</v>
      </c>
      <c r="C17" s="385" t="str">
        <f>F!C250</f>
        <v>Determine which two native herbaceous (forb, graminoid, fern) species comprise the greatest portion of the herbaceous cover that is unshaded by a woody canopy. Then choose one:</v>
      </c>
      <c r="D17" s="717"/>
      <c r="E17" s="51"/>
      <c r="F17" s="390"/>
      <c r="G17" s="606">
        <f>IF((NoHerbCov=1),"",(MAX(F18:F19)))</f>
        <v>0</v>
      </c>
      <c r="H17" s="1710" t="s">
        <v>5423</v>
      </c>
      <c r="I17" s="3" t="s">
        <v>1032</v>
      </c>
    </row>
    <row r="18" spans="1:9" ht="27" customHeight="1" x14ac:dyDescent="0.2">
      <c r="A18" s="1845"/>
      <c r="B18" s="1688"/>
      <c r="C18" s="19" t="str">
        <f>F!C251</f>
        <v>those species together comprise &gt; 50% of the areal cover of native herbaceous plants at any time during the year.</v>
      </c>
      <c r="D18" s="46">
        <f>F!D251</f>
        <v>0</v>
      </c>
      <c r="E18" s="47">
        <v>0</v>
      </c>
      <c r="F18" s="415">
        <f>D18*E18</f>
        <v>0</v>
      </c>
      <c r="G18" s="718"/>
      <c r="H18" s="1710"/>
    </row>
    <row r="19" spans="1:9" ht="27" customHeight="1" thickBot="1" x14ac:dyDescent="0.25">
      <c r="A19" s="1845"/>
      <c r="B19" s="1688"/>
      <c r="C19" s="470" t="str">
        <f>F!C252</f>
        <v>those species together do not comprise &gt; 50% of the areal cover of native herbaceous plants at any time during the year.</v>
      </c>
      <c r="D19" s="20">
        <f>F!D252</f>
        <v>0</v>
      </c>
      <c r="E19" s="47">
        <v>1</v>
      </c>
      <c r="F19" s="391">
        <f>D19*E19</f>
        <v>0</v>
      </c>
      <c r="G19" s="718"/>
      <c r="H19" s="1710"/>
    </row>
    <row r="20" spans="1:9" ht="52.5" customHeight="1" thickBot="1" x14ac:dyDescent="0.25">
      <c r="A20" s="1954" t="str">
        <f>F!A253</f>
        <v>F53</v>
      </c>
      <c r="B20" s="1709" t="str">
        <f>F!B253</f>
        <v>Invasive &amp; Non-native Cover</v>
      </c>
      <c r="C20" s="231" t="str">
        <f>F!C253</f>
        <v>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v>
      </c>
      <c r="D20" s="717"/>
      <c r="E20" s="717"/>
      <c r="F20" s="721"/>
      <c r="G20" s="580">
        <f>IF((NoHerbCov=1),"",MAX(F21:F25)/MAX(E21:E25))</f>
        <v>0</v>
      </c>
      <c r="H20" s="1709" t="s">
        <v>866</v>
      </c>
      <c r="I20" s="3" t="s">
        <v>1031</v>
      </c>
    </row>
    <row r="21" spans="1:9" ht="15" customHeight="1" x14ac:dyDescent="0.2">
      <c r="A21" s="1955"/>
      <c r="B21" s="1710"/>
      <c r="C21" s="21" t="str">
        <f>F!C254</f>
        <v>apparently no invasive species are present in the AA.</v>
      </c>
      <c r="D21" s="46">
        <f>F!D254</f>
        <v>0</v>
      </c>
      <c r="E21" s="48">
        <v>4</v>
      </c>
      <c r="F21" s="388">
        <f>D21*E21</f>
        <v>0</v>
      </c>
      <c r="G21" s="708"/>
      <c r="H21" s="1710"/>
    </row>
    <row r="22" spans="1:9" ht="15" customHeight="1" x14ac:dyDescent="0.2">
      <c r="A22" s="1955"/>
      <c r="B22" s="1710"/>
      <c r="C22" s="6" t="str">
        <f>F!C255</f>
        <v>Invasive species are present but comprise &lt;5% of the herbaceous and &lt;5% of the shrub cover.</v>
      </c>
      <c r="D22" s="46">
        <f>F!D255</f>
        <v>0</v>
      </c>
      <c r="E22" s="48">
        <v>3</v>
      </c>
      <c r="F22" s="388">
        <f>D22*E22</f>
        <v>0</v>
      </c>
      <c r="G22" s="708"/>
      <c r="H22" s="1710"/>
    </row>
    <row r="23" spans="1:9" ht="15" customHeight="1" x14ac:dyDescent="0.2">
      <c r="A23" s="1955"/>
      <c r="B23" s="1710"/>
      <c r="C23" s="6" t="str">
        <f>F!C256</f>
        <v>Invasive species comprise 5-20% of the herb or shrub cover.</v>
      </c>
      <c r="D23" s="46">
        <f>F!D256</f>
        <v>0</v>
      </c>
      <c r="E23" s="48">
        <v>2</v>
      </c>
      <c r="F23" s="388">
        <f>D23*E23</f>
        <v>0</v>
      </c>
      <c r="G23" s="709"/>
      <c r="H23" s="1710"/>
    </row>
    <row r="24" spans="1:9" ht="15" customHeight="1" x14ac:dyDescent="0.2">
      <c r="A24" s="1955"/>
      <c r="B24" s="1710"/>
      <c r="C24" s="6" t="str">
        <f>F!C257</f>
        <v>Invasive species comprise 20-50% of the herb or shrub cover.</v>
      </c>
      <c r="D24" s="46">
        <f>F!D257</f>
        <v>0</v>
      </c>
      <c r="E24" s="48">
        <v>1</v>
      </c>
      <c r="F24" s="388">
        <f>D24*E24</f>
        <v>0</v>
      </c>
      <c r="G24" s="709"/>
      <c r="H24" s="1710"/>
    </row>
    <row r="25" spans="1:9" ht="15" customHeight="1" thickBot="1" x14ac:dyDescent="0.25">
      <c r="A25" s="1956"/>
      <c r="B25" s="1711"/>
      <c r="C25" s="214" t="str">
        <f>F!C258</f>
        <v>Invasive species comprise &gt;50% of the herb or shrub cover.</v>
      </c>
      <c r="D25" s="213">
        <f>F!D258</f>
        <v>0</v>
      </c>
      <c r="E25" s="255">
        <v>0</v>
      </c>
      <c r="F25" s="389">
        <f>D25*E25</f>
        <v>0</v>
      </c>
      <c r="G25" s="710"/>
      <c r="H25" s="1711"/>
    </row>
    <row r="26" spans="1:9" ht="21" customHeight="1" thickBot="1" x14ac:dyDescent="0.25">
      <c r="A26" s="1954"/>
      <c r="B26" s="1709" t="s">
        <v>526</v>
      </c>
      <c r="C26" s="231" t="s">
        <v>5791</v>
      </c>
      <c r="D26" s="717"/>
      <c r="E26" s="392"/>
      <c r="F26" s="393"/>
      <c r="G26" s="580">
        <f>((MAX(F27:F31)) + (AVERAGE(F27:F31))) /2</f>
        <v>0</v>
      </c>
      <c r="H26" s="1709" t="s">
        <v>936</v>
      </c>
      <c r="I26" s="3" t="s">
        <v>1034</v>
      </c>
    </row>
    <row r="27" spans="1:9" ht="15" customHeight="1" x14ac:dyDescent="0.2">
      <c r="A27" s="1955"/>
      <c r="B27" s="1710"/>
      <c r="C27" s="21" t="str">
        <f>OF!B193</f>
        <v>Amphibian Use</v>
      </c>
      <c r="D27" s="284">
        <f>OF!D198</f>
        <v>0</v>
      </c>
      <c r="E27" s="388">
        <v>1</v>
      </c>
      <c r="F27" s="413">
        <f>D27*E27</f>
        <v>0</v>
      </c>
      <c r="G27" s="709"/>
      <c r="H27" s="1710"/>
    </row>
    <row r="28" spans="1:9" ht="15" customHeight="1" x14ac:dyDescent="0.2">
      <c r="A28" s="1955"/>
      <c r="B28" s="1710"/>
      <c r="C28" s="6" t="str">
        <f>OF!B198</f>
        <v>Nesting Waterbird Species of Conservation Concern</v>
      </c>
      <c r="D28" s="284">
        <f>OF!D203</f>
        <v>0</v>
      </c>
      <c r="E28" s="388">
        <v>1</v>
      </c>
      <c r="F28" s="413">
        <f>D28*E28</f>
        <v>0</v>
      </c>
      <c r="G28" s="709"/>
      <c r="H28" s="1710"/>
    </row>
    <row r="29" spans="1:9" ht="15" customHeight="1" x14ac:dyDescent="0.2">
      <c r="A29" s="1955"/>
      <c r="B29" s="1710"/>
      <c r="C29" s="6" t="str">
        <f>OF!B204</f>
        <v>Non-breeding (Feeding) Waterbird Species of Conservation Concern</v>
      </c>
      <c r="D29" s="284">
        <f>OF!D209</f>
        <v>0</v>
      </c>
      <c r="E29" s="388">
        <v>1</v>
      </c>
      <c r="F29" s="413">
        <f>D29*E29</f>
        <v>0</v>
      </c>
      <c r="G29" s="709"/>
      <c r="H29" s="1710"/>
    </row>
    <row r="30" spans="1:9" ht="15" customHeight="1" x14ac:dyDescent="0.2">
      <c r="A30" s="1955"/>
      <c r="B30" s="1710"/>
      <c r="C30" s="6" t="str">
        <f>OF!B209</f>
        <v>Songbird or Raptor Species of Conservation Concern</v>
      </c>
      <c r="D30" s="284">
        <f>OF!D214</f>
        <v>0</v>
      </c>
      <c r="E30" s="388">
        <v>1</v>
      </c>
      <c r="F30" s="413">
        <f>D30*E30</f>
        <v>0</v>
      </c>
      <c r="G30" s="709"/>
      <c r="H30" s="1710"/>
    </row>
    <row r="31" spans="1:9" ht="15" customHeight="1" thickBot="1" x14ac:dyDescent="0.25">
      <c r="A31" s="1956"/>
      <c r="B31" s="1711"/>
      <c r="C31" s="214" t="str">
        <f>OF!B215</f>
        <v>Plants of Conservation Concern</v>
      </c>
      <c r="D31" s="313">
        <f>IF((OF!D220=1),1,IF((OF!D221=1),1,0))</f>
        <v>0</v>
      </c>
      <c r="E31" s="389">
        <v>1</v>
      </c>
      <c r="F31" s="417">
        <f>D31*E31</f>
        <v>0</v>
      </c>
      <c r="G31" s="710"/>
      <c r="H31" s="1711"/>
    </row>
    <row r="32" spans="1:9" ht="21" customHeight="1" thickBot="1" x14ac:dyDescent="0.25">
      <c r="A32" s="1889"/>
      <c r="B32" s="1889"/>
      <c r="C32" s="1889"/>
      <c r="D32" s="1889"/>
      <c r="E32" s="1889"/>
      <c r="F32" s="1889"/>
      <c r="G32" s="1889"/>
      <c r="H32" s="1889"/>
    </row>
    <row r="33" spans="1:8" s="15" customFormat="1" ht="30" customHeight="1" thickBot="1" x14ac:dyDescent="0.25">
      <c r="A33" s="1862"/>
      <c r="B33" s="1862"/>
      <c r="C33" s="2268" t="s">
        <v>5536</v>
      </c>
      <c r="D33" s="2269"/>
      <c r="E33" s="2269"/>
      <c r="F33" s="2270"/>
      <c r="G33" s="839">
        <f>IF((D12=1),"", 10*(AVERAGE(RareAll,EmSens1_C,BareGpct) + AVERAGE(HerbDom1,WoodySens2_C,ShrubDom1,GirregCQ))/2)</f>
        <v>0</v>
      </c>
      <c r="H33" s="49" t="s">
        <v>1039</v>
      </c>
    </row>
    <row r="34" spans="1:8" ht="21" customHeight="1" thickBot="1" x14ac:dyDescent="0.25">
      <c r="A34" s="1862"/>
      <c r="B34" s="1862"/>
      <c r="D34" s="2266"/>
      <c r="E34" s="2266"/>
      <c r="F34" s="2266"/>
      <c r="G34" s="2266"/>
      <c r="H34" s="2266"/>
    </row>
    <row r="35" spans="1:8" ht="21" customHeight="1" thickBot="1" x14ac:dyDescent="0.25">
      <c r="A35" s="2265"/>
      <c r="B35" s="1367" t="s">
        <v>269</v>
      </c>
      <c r="C35" s="1368" t="s">
        <v>197</v>
      </c>
      <c r="D35" s="2267"/>
      <c r="E35" s="2267"/>
      <c r="F35" s="2267"/>
      <c r="G35" s="2267"/>
      <c r="H35" s="2267"/>
    </row>
    <row r="36" spans="1:8" ht="30" customHeight="1" x14ac:dyDescent="0.2">
      <c r="A36" s="2265"/>
      <c r="B36" s="1369" t="s">
        <v>122</v>
      </c>
      <c r="C36" s="844" t="s">
        <v>213</v>
      </c>
      <c r="D36" s="2267"/>
      <c r="E36" s="2267"/>
      <c r="F36" s="2267"/>
      <c r="G36" s="2267"/>
      <c r="H36" s="2267"/>
    </row>
    <row r="37" spans="1:8" ht="57" customHeight="1" x14ac:dyDescent="0.2">
      <c r="A37" s="2265"/>
      <c r="B37" s="742" t="s">
        <v>123</v>
      </c>
      <c r="C37" s="825" t="s">
        <v>195</v>
      </c>
      <c r="D37" s="2267"/>
      <c r="E37" s="2267"/>
      <c r="F37" s="2267"/>
      <c r="G37" s="2267"/>
      <c r="H37" s="2267"/>
    </row>
    <row r="38" spans="1:8" ht="30" customHeight="1" x14ac:dyDescent="0.2">
      <c r="A38" s="2265"/>
      <c r="B38" s="742" t="s">
        <v>124</v>
      </c>
      <c r="C38" s="825" t="s">
        <v>264</v>
      </c>
      <c r="D38" s="2267"/>
      <c r="E38" s="2267"/>
      <c r="F38" s="2267"/>
      <c r="G38" s="2267"/>
      <c r="H38" s="2267"/>
    </row>
    <row r="39" spans="1:8" ht="30" customHeight="1" x14ac:dyDescent="0.2">
      <c r="A39" s="2265"/>
      <c r="B39" s="742" t="s">
        <v>574</v>
      </c>
      <c r="C39" s="825" t="s">
        <v>265</v>
      </c>
      <c r="D39" s="2267"/>
      <c r="E39" s="2267"/>
      <c r="F39" s="2267"/>
      <c r="G39" s="2267"/>
      <c r="H39" s="2267"/>
    </row>
    <row r="40" spans="1:8" ht="45" customHeight="1" x14ac:dyDescent="0.2">
      <c r="A40" s="2265"/>
      <c r="B40" s="742" t="s">
        <v>575</v>
      </c>
      <c r="C40" s="825" t="s">
        <v>265</v>
      </c>
      <c r="D40" s="2267"/>
      <c r="E40" s="2267"/>
      <c r="F40" s="2267"/>
      <c r="G40" s="2267"/>
      <c r="H40" s="2267"/>
    </row>
    <row r="41" spans="1:8" ht="21" customHeight="1" x14ac:dyDescent="0.2">
      <c r="A41" s="2265"/>
      <c r="B41" s="742" t="s">
        <v>125</v>
      </c>
      <c r="C41" s="825" t="s">
        <v>266</v>
      </c>
      <c r="D41" s="2267"/>
      <c r="E41" s="2267"/>
      <c r="F41" s="2267"/>
      <c r="G41" s="2267"/>
      <c r="H41" s="2267"/>
    </row>
    <row r="42" spans="1:8" ht="30" customHeight="1" x14ac:dyDescent="0.2">
      <c r="A42" s="2265"/>
      <c r="B42" s="742" t="s">
        <v>856</v>
      </c>
      <c r="C42" s="825" t="s">
        <v>573</v>
      </c>
      <c r="D42" s="2267"/>
      <c r="E42" s="2267"/>
      <c r="F42" s="2267"/>
      <c r="G42" s="2267"/>
      <c r="H42" s="2267"/>
    </row>
    <row r="43" spans="1:8" ht="30" customHeight="1" x14ac:dyDescent="0.2">
      <c r="A43" s="2265"/>
      <c r="B43" s="742" t="s">
        <v>263</v>
      </c>
      <c r="C43" s="825" t="s">
        <v>194</v>
      </c>
      <c r="D43" s="2267"/>
      <c r="E43" s="2267"/>
      <c r="F43" s="2267"/>
      <c r="G43" s="2267"/>
      <c r="H43" s="2267"/>
    </row>
    <row r="44" spans="1:8" ht="21" customHeight="1" x14ac:dyDescent="0.2">
      <c r="A44" s="2265"/>
      <c r="B44" s="742" t="s">
        <v>576</v>
      </c>
      <c r="C44" s="825" t="s">
        <v>265</v>
      </c>
      <c r="D44" s="2267"/>
      <c r="E44" s="2267"/>
      <c r="F44" s="2267"/>
      <c r="G44" s="2267"/>
      <c r="H44" s="2267"/>
    </row>
    <row r="45" spans="1:8" ht="30" customHeight="1" thickBot="1" x14ac:dyDescent="0.25">
      <c r="A45" s="2265"/>
      <c r="B45" s="743" t="s">
        <v>858</v>
      </c>
      <c r="C45" s="142" t="s">
        <v>859</v>
      </c>
      <c r="D45" s="2267"/>
      <c r="E45" s="2267"/>
      <c r="F45" s="2267"/>
      <c r="G45" s="2267"/>
      <c r="H45" s="2267"/>
    </row>
    <row r="46" spans="1:8" x14ac:dyDescent="0.2">
      <c r="C46" s="11"/>
    </row>
    <row r="47" spans="1:8" x14ac:dyDescent="0.2">
      <c r="C47" s="11"/>
    </row>
    <row r="48" spans="1:8" x14ac:dyDescent="0.2">
      <c r="C48" s="11"/>
    </row>
    <row r="49" spans="3:3" x14ac:dyDescent="0.2">
      <c r="C49" s="11"/>
    </row>
    <row r="50" spans="3:3" x14ac:dyDescent="0.2">
      <c r="C50" s="11"/>
    </row>
    <row r="51" spans="3:3" x14ac:dyDescent="0.2">
      <c r="C51" s="11"/>
    </row>
    <row r="52" spans="3:3" x14ac:dyDescent="0.2">
      <c r="C52" s="11"/>
    </row>
    <row r="53" spans="3:3" x14ac:dyDescent="0.2">
      <c r="C53" s="11"/>
    </row>
    <row r="54" spans="3:3" x14ac:dyDescent="0.2">
      <c r="C54" s="11"/>
    </row>
    <row r="55" spans="3:3" x14ac:dyDescent="0.2">
      <c r="C55" s="11"/>
    </row>
    <row r="56" spans="3:3" x14ac:dyDescent="0.2">
      <c r="C56" s="11"/>
    </row>
    <row r="57" spans="3:3" x14ac:dyDescent="0.2">
      <c r="C57" s="11"/>
    </row>
    <row r="58" spans="3:3" x14ac:dyDescent="0.2">
      <c r="C58" s="11"/>
    </row>
    <row r="59" spans="3:3" x14ac:dyDescent="0.2">
      <c r="C59" s="11"/>
    </row>
    <row r="60" spans="3:3" x14ac:dyDescent="0.2">
      <c r="C60" s="11"/>
    </row>
    <row r="61" spans="3:3" x14ac:dyDescent="0.2">
      <c r="C61" s="11"/>
    </row>
    <row r="62" spans="3:3" x14ac:dyDescent="0.2">
      <c r="C62" s="11"/>
    </row>
    <row r="63" spans="3:3" x14ac:dyDescent="0.2">
      <c r="C63" s="11"/>
    </row>
    <row r="64" spans="3:3" x14ac:dyDescent="0.2">
      <c r="C64" s="11"/>
    </row>
    <row r="65" spans="3:3" x14ac:dyDescent="0.2">
      <c r="C65" s="11"/>
    </row>
    <row r="66" spans="3:3" x14ac:dyDescent="0.2">
      <c r="C66" s="11"/>
    </row>
    <row r="67" spans="3:3" x14ac:dyDescent="0.2">
      <c r="C67" s="11"/>
    </row>
    <row r="68" spans="3:3" x14ac:dyDescent="0.2">
      <c r="C68" s="11"/>
    </row>
    <row r="69" spans="3:3" x14ac:dyDescent="0.2">
      <c r="C69" s="11"/>
    </row>
    <row r="70" spans="3:3" x14ac:dyDescent="0.2">
      <c r="C70" s="11"/>
    </row>
    <row r="71" spans="3:3" x14ac:dyDescent="0.2">
      <c r="C71" s="11"/>
    </row>
    <row r="72" spans="3:3" x14ac:dyDescent="0.2">
      <c r="C72" s="11"/>
    </row>
    <row r="73" spans="3:3" x14ac:dyDescent="0.2">
      <c r="C73" s="11"/>
    </row>
    <row r="74" spans="3:3" x14ac:dyDescent="0.2">
      <c r="C74" s="11"/>
    </row>
    <row r="75" spans="3:3" x14ac:dyDescent="0.2">
      <c r="C75" s="11"/>
    </row>
    <row r="76" spans="3:3" x14ac:dyDescent="0.2">
      <c r="C76" s="11"/>
    </row>
    <row r="77" spans="3:3" x14ac:dyDescent="0.2">
      <c r="C77" s="11"/>
    </row>
    <row r="78" spans="3:3" x14ac:dyDescent="0.2">
      <c r="C78" s="11"/>
    </row>
    <row r="79" spans="3:3" x14ac:dyDescent="0.2">
      <c r="C79" s="11"/>
    </row>
    <row r="80" spans="3:3" x14ac:dyDescent="0.2">
      <c r="C80" s="11"/>
    </row>
    <row r="81" spans="3:3" x14ac:dyDescent="0.2">
      <c r="C81" s="11"/>
    </row>
    <row r="82" spans="3:3" x14ac:dyDescent="0.2">
      <c r="C82" s="11"/>
    </row>
    <row r="83" spans="3:3" x14ac:dyDescent="0.2">
      <c r="C83" s="11"/>
    </row>
    <row r="84" spans="3:3" x14ac:dyDescent="0.2">
      <c r="C84" s="11"/>
    </row>
    <row r="85" spans="3:3" x14ac:dyDescent="0.2">
      <c r="C85" s="11"/>
    </row>
    <row r="86" spans="3:3" x14ac:dyDescent="0.2">
      <c r="C86" s="11"/>
    </row>
  </sheetData>
  <sheetProtection algorithmName="SHA-512" hashValue="D2gw+1culbGbx+TSC5+oJ6q7C7/pOPsKoWtCCw12RDbfgyF8/xz5YwcoA1SEL9x9QVFBc1AXKoXau1IlwOiRjA==" saltValue="Ajk580OoD46rQLEzlIRc/w==" spinCount="100000" sheet="1" formatCells="0" formatColumns="0" formatRows="0"/>
  <customSheetViews>
    <customSheetView guid="{B8E02330-2419-4DE6-AD01-7ACC7A5D18DD}" scale="75">
      <pageMargins left="0.75" right="0.75" top="1" bottom="1" header="0.5" footer="0.5"/>
      <pageSetup orientation="portrait" horizontalDpi="300" verticalDpi="300" r:id="rId1"/>
      <headerFooter alignWithMargins="0"/>
    </customSheetView>
  </customSheetViews>
  <mergeCells count="25">
    <mergeCell ref="C33:F33"/>
    <mergeCell ref="C32:H32"/>
    <mergeCell ref="H17:H19"/>
    <mergeCell ref="H4:H6"/>
    <mergeCell ref="B20:B25"/>
    <mergeCell ref="B4:B6"/>
    <mergeCell ref="H20:H25"/>
    <mergeCell ref="H7:H12"/>
    <mergeCell ref="B7:B12"/>
    <mergeCell ref="A35:A45"/>
    <mergeCell ref="D34:H45"/>
    <mergeCell ref="A1:B1"/>
    <mergeCell ref="B13:B16"/>
    <mergeCell ref="B17:B19"/>
    <mergeCell ref="H13:H16"/>
    <mergeCell ref="B26:B31"/>
    <mergeCell ref="A26:A31"/>
    <mergeCell ref="H26:H31"/>
    <mergeCell ref="A17:A19"/>
    <mergeCell ref="A20:A25"/>
    <mergeCell ref="A4:A6"/>
    <mergeCell ref="E1:H1"/>
    <mergeCell ref="A13:A16"/>
    <mergeCell ref="A7:A12"/>
    <mergeCell ref="A32:B34"/>
  </mergeCells>
  <phoneticPr fontId="3" type="noConversion"/>
  <pageMargins left="0.75" right="0.75" top="1" bottom="1" header="0.5" footer="0.5"/>
  <pageSetup orientation="portrait" horizontalDpi="300" verticalDpi="300"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indexed="51"/>
  </sheetPr>
  <dimension ref="A1:I274"/>
  <sheetViews>
    <sheetView zoomScaleNormal="100" workbookViewId="0">
      <selection activeCell="J17" sqref="J17"/>
    </sheetView>
  </sheetViews>
  <sheetFormatPr defaultColWidth="9.33203125" defaultRowHeight="12.75" x14ac:dyDescent="0.2"/>
  <cols>
    <col min="1" max="1" width="5.83203125" style="15" customWidth="1"/>
    <col min="2" max="2" width="18.83203125" style="3" customWidth="1"/>
    <col min="3" max="3" width="75.83203125" style="4" customWidth="1"/>
    <col min="4" max="4" width="6.83203125" style="386" customWidth="1"/>
    <col min="5" max="5" width="8.1640625" style="386" customWidth="1"/>
    <col min="6" max="6" width="9" style="386" customWidth="1"/>
    <col min="7" max="7" width="12" style="858" customWidth="1"/>
    <col min="8" max="8" width="75.83203125" style="15" customWidth="1"/>
    <col min="9" max="9" width="15.1640625" style="4" customWidth="1"/>
    <col min="10" max="16384" width="9.33203125" style="4"/>
  </cols>
  <sheetData>
    <row r="1" spans="1:9" s="92" customFormat="1" ht="45" customHeight="1" thickBot="1" x14ac:dyDescent="0.25">
      <c r="A1" s="1893" t="s">
        <v>2350</v>
      </c>
      <c r="B1" s="1894"/>
      <c r="C1" s="90" t="s">
        <v>2150</v>
      </c>
      <c r="D1" s="1237" t="s">
        <v>2151</v>
      </c>
      <c r="E1" s="1902"/>
      <c r="F1" s="1903"/>
      <c r="G1" s="1903"/>
      <c r="H1" s="1903"/>
    </row>
    <row r="2" spans="1:9" s="43" customFormat="1" ht="30" customHeight="1" thickBot="1" x14ac:dyDescent="0.25">
      <c r="A2" s="483" t="s">
        <v>290</v>
      </c>
      <c r="B2" s="488" t="s">
        <v>1877</v>
      </c>
      <c r="C2" s="475" t="s">
        <v>2606</v>
      </c>
      <c r="D2" s="474" t="s">
        <v>117</v>
      </c>
      <c r="E2" s="626" t="s">
        <v>5438</v>
      </c>
      <c r="F2" s="627" t="s">
        <v>5439</v>
      </c>
      <c r="G2" s="628" t="s">
        <v>5825</v>
      </c>
      <c r="H2" s="488" t="s">
        <v>919</v>
      </c>
    </row>
    <row r="3" spans="1:9" s="43" customFormat="1" ht="30" customHeight="1" thickBot="1" x14ac:dyDescent="0.25">
      <c r="A3" s="2274" t="str">
        <f>OF!A18</f>
        <v>OF4</v>
      </c>
      <c r="B3" s="2291" t="str">
        <f>OF!B18</f>
        <v>Distance to Natural Land Cover</v>
      </c>
      <c r="C3" s="1154" t="str">
        <f>OF!C18</f>
        <v>The minimum distance from the AA edge to the edge of the closest patch or corridor of natural (but not necessarily native-- see definition on right) land cover larger than 100 acres, is:</v>
      </c>
      <c r="D3" s="1170"/>
      <c r="E3" s="1170"/>
      <c r="F3" s="1171"/>
      <c r="G3" s="836">
        <f>MAX(F4:F8)/MAX(E4:E8)</f>
        <v>0</v>
      </c>
      <c r="H3" s="1687" t="s">
        <v>2242</v>
      </c>
      <c r="I3" s="43" t="s">
        <v>1062</v>
      </c>
    </row>
    <row r="4" spans="1:9" s="43" customFormat="1" ht="15" customHeight="1" x14ac:dyDescent="0.2">
      <c r="A4" s="2275"/>
      <c r="B4" s="2273"/>
      <c r="C4" s="1155" t="str">
        <f>OF!C19</f>
        <v>&lt;150 ft.  Or the AA itself contains &gt;100 acres of vegetation.</v>
      </c>
      <c r="D4" s="350">
        <f>OF!D19</f>
        <v>0</v>
      </c>
      <c r="E4" s="1172">
        <v>0</v>
      </c>
      <c r="F4" s="1070">
        <f>D4*E4</f>
        <v>0</v>
      </c>
      <c r="G4" s="1173"/>
      <c r="H4" s="1688"/>
    </row>
    <row r="5" spans="1:9" s="43" customFormat="1" ht="39.75" customHeight="1" x14ac:dyDescent="0.2">
      <c r="A5" s="2275"/>
      <c r="B5" s="2273"/>
      <c r="C5" s="1156" t="str">
        <f>OF!C20</f>
        <v>&lt;150 ft, but completely separated from the 100-acre natural area by any width of roads, stretches of open water, bare ground, lawn, or impervious surface, AND the AA does not contain &gt;100 acres of vegetation.</v>
      </c>
      <c r="D5" s="351">
        <f>OF!D20</f>
        <v>0</v>
      </c>
      <c r="E5" s="1172">
        <v>1</v>
      </c>
      <c r="F5" s="1070">
        <f>D5*E5</f>
        <v>0</v>
      </c>
      <c r="G5" s="1174"/>
      <c r="H5" s="1688"/>
    </row>
    <row r="6" spans="1:9" s="43" customFormat="1" ht="15" customHeight="1" x14ac:dyDescent="0.2">
      <c r="A6" s="2275"/>
      <c r="B6" s="2273"/>
      <c r="C6" s="1156" t="str">
        <f>OF!C21</f>
        <v>150-300 ft, with or without interrupting features</v>
      </c>
      <c r="D6" s="351">
        <f>OF!D21</f>
        <v>0</v>
      </c>
      <c r="E6" s="1172">
        <v>2</v>
      </c>
      <c r="F6" s="1070">
        <f>D6*E6</f>
        <v>0</v>
      </c>
      <c r="G6" s="1174"/>
      <c r="H6" s="1688"/>
    </row>
    <row r="7" spans="1:9" s="43" customFormat="1" ht="15" customHeight="1" x14ac:dyDescent="0.2">
      <c r="A7" s="2275"/>
      <c r="B7" s="2273"/>
      <c r="C7" s="1156" t="str">
        <f>OF!C22</f>
        <v>300-1000 ft, with or without interrupting features</v>
      </c>
      <c r="D7" s="351">
        <f>OF!D22</f>
        <v>0</v>
      </c>
      <c r="E7" s="1172">
        <v>3</v>
      </c>
      <c r="F7" s="1070">
        <f>D7*E7</f>
        <v>0</v>
      </c>
      <c r="G7" s="1174"/>
      <c r="H7" s="1688"/>
    </row>
    <row r="8" spans="1:9" s="43" customFormat="1" ht="15.6" customHeight="1" thickBot="1" x14ac:dyDescent="0.25">
      <c r="A8" s="2276"/>
      <c r="B8" s="2292"/>
      <c r="C8" s="1157" t="str">
        <f>OF!C23</f>
        <v>none of the above</v>
      </c>
      <c r="D8" s="352">
        <f>OF!D23</f>
        <v>0</v>
      </c>
      <c r="E8" s="1175">
        <v>4</v>
      </c>
      <c r="F8" s="1176">
        <f>D8*E8</f>
        <v>0</v>
      </c>
      <c r="G8" s="1177"/>
      <c r="H8" s="1689"/>
    </row>
    <row r="9" spans="1:9" s="43" customFormat="1" ht="45" customHeight="1" thickBot="1" x14ac:dyDescent="0.25">
      <c r="A9" s="2274" t="str">
        <f>OF!A24</f>
        <v>OF5</v>
      </c>
      <c r="B9" s="2291" t="str">
        <f>OF!B24</f>
        <v>Size of Largest Nearby Tract or Corridor of Natural Land Cover</v>
      </c>
      <c r="C9" s="1154" t="str">
        <f>OF!C24</f>
        <v>Including the AA's vegetated area, the largest patch or corridor that is natural land cover and is contiguous with vegetation in the AA (i.e., not completely separated by highways or channels that are uniformly wider than 150 ft), occupies:</v>
      </c>
      <c r="D9" s="1170"/>
      <c r="E9" s="1170"/>
      <c r="F9" s="1171"/>
      <c r="G9" s="836">
        <f>MAX(F10:F14)/MAX(E10:E14)</f>
        <v>0</v>
      </c>
      <c r="H9" s="1687" t="s">
        <v>287</v>
      </c>
      <c r="I9" s="43" t="s">
        <v>1063</v>
      </c>
    </row>
    <row r="10" spans="1:9" s="43" customFormat="1" ht="15" customHeight="1" x14ac:dyDescent="0.2">
      <c r="A10" s="2275"/>
      <c r="B10" s="2273"/>
      <c r="C10" s="1155" t="str">
        <f>OF!C25</f>
        <v>&lt;1 acre, or larger but with average width &lt;150 ft</v>
      </c>
      <c r="D10" s="350">
        <f>OF!D25</f>
        <v>0</v>
      </c>
      <c r="E10" s="1172">
        <v>4</v>
      </c>
      <c r="F10" s="1070">
        <f>D10*E10</f>
        <v>0</v>
      </c>
      <c r="G10" s="1173"/>
      <c r="H10" s="2283"/>
    </row>
    <row r="11" spans="1:9" s="43" customFormat="1" ht="15" customHeight="1" x14ac:dyDescent="0.2">
      <c r="A11" s="2275"/>
      <c r="B11" s="2273"/>
      <c r="C11" s="1156" t="str">
        <f>OF!C26</f>
        <v>1-10 acres</v>
      </c>
      <c r="D11" s="351">
        <f>OF!D26</f>
        <v>0</v>
      </c>
      <c r="E11" s="1172">
        <v>3</v>
      </c>
      <c r="F11" s="1070">
        <f>D11*E11</f>
        <v>0</v>
      </c>
      <c r="G11" s="1174"/>
      <c r="H11" s="2283"/>
    </row>
    <row r="12" spans="1:9" s="43" customFormat="1" ht="15" customHeight="1" x14ac:dyDescent="0.2">
      <c r="A12" s="2275"/>
      <c r="B12" s="2273"/>
      <c r="C12" s="1156" t="str">
        <f>OF!C27</f>
        <v>10-100 acres</v>
      </c>
      <c r="D12" s="351">
        <f>OF!D27</f>
        <v>0</v>
      </c>
      <c r="E12" s="1172">
        <v>2</v>
      </c>
      <c r="F12" s="1070">
        <f>D12*E12</f>
        <v>0</v>
      </c>
      <c r="G12" s="1174"/>
      <c r="H12" s="2283"/>
    </row>
    <row r="13" spans="1:9" s="43" customFormat="1" ht="15" customHeight="1" x14ac:dyDescent="0.2">
      <c r="A13" s="2275"/>
      <c r="B13" s="2273"/>
      <c r="C13" s="1156" t="str">
        <f>OF!C28</f>
        <v>100-1000 acres</v>
      </c>
      <c r="D13" s="351">
        <f>OF!D28</f>
        <v>0</v>
      </c>
      <c r="E13" s="1172">
        <v>1</v>
      </c>
      <c r="F13" s="1070">
        <f>D13*E13</f>
        <v>0</v>
      </c>
      <c r="G13" s="1174"/>
      <c r="H13" s="2283"/>
    </row>
    <row r="14" spans="1:9" s="43" customFormat="1" ht="15.6" customHeight="1" thickBot="1" x14ac:dyDescent="0.25">
      <c r="A14" s="2276"/>
      <c r="B14" s="2292"/>
      <c r="C14" s="1157" t="str">
        <f>OF!C29</f>
        <v>&gt;1000 acres</v>
      </c>
      <c r="D14" s="352">
        <f>OF!D29</f>
        <v>0</v>
      </c>
      <c r="E14" s="1194">
        <v>0</v>
      </c>
      <c r="F14" s="1176">
        <f>D14*E14</f>
        <v>0</v>
      </c>
      <c r="G14" s="1177"/>
      <c r="H14" s="2284"/>
    </row>
    <row r="15" spans="1:9" s="43" customFormat="1" ht="60" customHeight="1" thickBot="1" x14ac:dyDescent="0.25">
      <c r="A15" s="2285" t="str">
        <f>OF!A39</f>
        <v>OF8</v>
      </c>
      <c r="B15" s="2283" t="str">
        <f>OF!B39</f>
        <v xml:space="preserve">Wetland Local Uniqueness </v>
      </c>
      <c r="C15" s="1158"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15" s="1170"/>
      <c r="E15" s="1178"/>
      <c r="F15" s="1189"/>
      <c r="G15" s="1190">
        <f>IF((MAX(D16:D28)=2), 1, 0)</f>
        <v>0</v>
      </c>
      <c r="H15" s="1688" t="s">
        <v>1240</v>
      </c>
      <c r="I15" s="4" t="s">
        <v>2243</v>
      </c>
    </row>
    <row r="16" spans="1:9" s="43" customFormat="1" ht="15" customHeight="1" x14ac:dyDescent="0.2">
      <c r="A16" s="2285"/>
      <c r="B16" s="2283"/>
      <c r="C16" s="1155" t="str">
        <f>OF!C40</f>
        <v>Fresh Water</v>
      </c>
      <c r="D16" s="350">
        <f>OF!D40</f>
        <v>0</v>
      </c>
      <c r="E16" s="1069"/>
      <c r="F16" s="1191"/>
      <c r="G16" s="1186"/>
      <c r="H16" s="1688"/>
    </row>
    <row r="17" spans="1:9" s="43" customFormat="1" ht="15" customHeight="1" x14ac:dyDescent="0.2">
      <c r="A17" s="2285"/>
      <c r="B17" s="2283"/>
      <c r="C17" s="1156" t="str">
        <f>OF!C41</f>
        <v>Wetland</v>
      </c>
      <c r="D17" s="351">
        <f>OF!D41</f>
        <v>0</v>
      </c>
      <c r="E17" s="1069"/>
      <c r="F17" s="1191"/>
      <c r="G17" s="1187"/>
      <c r="H17" s="1688"/>
    </row>
    <row r="18" spans="1:9" s="43" customFormat="1" ht="15" customHeight="1" x14ac:dyDescent="0.2">
      <c r="A18" s="2285"/>
      <c r="B18" s="2283"/>
      <c r="C18" s="1156" t="str">
        <f>OF!C42</f>
        <v>Muskeg</v>
      </c>
      <c r="D18" s="351">
        <f>OF!D42</f>
        <v>0</v>
      </c>
      <c r="E18" s="1069"/>
      <c r="F18" s="1191"/>
      <c r="G18" s="1187"/>
      <c r="H18" s="1688"/>
    </row>
    <row r="19" spans="1:9" s="43" customFormat="1" ht="15" customHeight="1" x14ac:dyDescent="0.2">
      <c r="A19" s="2285"/>
      <c r="B19" s="2283"/>
      <c r="C19" s="1156" t="str">
        <f>OF!C43</f>
        <v>Herbaceous</v>
      </c>
      <c r="D19" s="351">
        <f>OF!D43</f>
        <v>0</v>
      </c>
      <c r="E19" s="1069"/>
      <c r="F19" s="1191"/>
      <c r="G19" s="1187"/>
      <c r="H19" s="1688"/>
    </row>
    <row r="20" spans="1:9" s="43" customFormat="1" ht="15" customHeight="1" x14ac:dyDescent="0.2">
      <c r="A20" s="2285"/>
      <c r="B20" s="2283"/>
      <c r="C20" s="1156" t="str">
        <f>OF!C44</f>
        <v>Shrubland (Low)</v>
      </c>
      <c r="D20" s="351">
        <f>OF!D44</f>
        <v>0</v>
      </c>
      <c r="E20" s="1069"/>
      <c r="F20" s="1191"/>
      <c r="G20" s="1187"/>
      <c r="H20" s="1688"/>
    </row>
    <row r="21" spans="1:9" s="43" customFormat="1" ht="15" customHeight="1" x14ac:dyDescent="0.2">
      <c r="A21" s="2285"/>
      <c r="B21" s="2283"/>
      <c r="C21" s="1156" t="str">
        <f>OF!C45</f>
        <v>Shrubland (Tall)</v>
      </c>
      <c r="D21" s="351">
        <f>OF!D45</f>
        <v>0</v>
      </c>
      <c r="E21" s="1069"/>
      <c r="F21" s="1191"/>
      <c r="G21" s="1187"/>
      <c r="H21" s="1688"/>
    </row>
    <row r="22" spans="1:9" s="43" customFormat="1" ht="15" customHeight="1" x14ac:dyDescent="0.2">
      <c r="A22" s="2285"/>
      <c r="B22" s="2283"/>
      <c r="C22" s="1156" t="str">
        <f>OF!C46</f>
        <v>Deciduous/Mixed Forest</v>
      </c>
      <c r="D22" s="351">
        <f>OF!D46</f>
        <v>0</v>
      </c>
      <c r="E22" s="1069"/>
      <c r="F22" s="1191"/>
      <c r="G22" s="1187"/>
      <c r="H22" s="1688"/>
    </row>
    <row r="23" spans="1:9" s="43" customFormat="1" ht="15" customHeight="1" x14ac:dyDescent="0.2">
      <c r="A23" s="2285"/>
      <c r="B23" s="2283"/>
      <c r="C23" s="1156" t="str">
        <f>OF!C47</f>
        <v>Conifer Forest - Young or Small</v>
      </c>
      <c r="D23" s="351">
        <f>OF!D47</f>
        <v>0</v>
      </c>
      <c r="E23" s="1069"/>
      <c r="F23" s="1191"/>
      <c r="G23" s="1187"/>
      <c r="H23" s="1688"/>
    </row>
    <row r="24" spans="1:9" s="43" customFormat="1" ht="15" customHeight="1" x14ac:dyDescent="0.2">
      <c r="A24" s="2285"/>
      <c r="B24" s="2283"/>
      <c r="C24" s="1156" t="str">
        <f>OF!C48</f>
        <v>Conifer Forest - Medium</v>
      </c>
      <c r="D24" s="351">
        <f>OF!D48</f>
        <v>0</v>
      </c>
      <c r="E24" s="1069"/>
      <c r="F24" s="1191"/>
      <c r="G24" s="1187"/>
      <c r="H24" s="1688"/>
    </row>
    <row r="25" spans="1:9" s="43" customFormat="1" ht="15" customHeight="1" x14ac:dyDescent="0.2">
      <c r="A25" s="2285"/>
      <c r="B25" s="2283"/>
      <c r="C25" s="1156" t="str">
        <f>OF!C49</f>
        <v>Conifer Forest - Large</v>
      </c>
      <c r="D25" s="351">
        <f>OF!D49</f>
        <v>0</v>
      </c>
      <c r="E25" s="1069"/>
      <c r="F25" s="1191"/>
      <c r="G25" s="1187"/>
      <c r="H25" s="1688"/>
    </row>
    <row r="26" spans="1:9" s="43" customFormat="1" ht="15" customHeight="1" x14ac:dyDescent="0.2">
      <c r="A26" s="2285"/>
      <c r="B26" s="2283"/>
      <c r="C26" s="1156" t="str">
        <f>OF!C50</f>
        <v>Wetland Shrub Forest</v>
      </c>
      <c r="D26" s="351">
        <f>OF!D50</f>
        <v>0</v>
      </c>
      <c r="E26" s="1069"/>
      <c r="F26" s="1191"/>
      <c r="G26" s="1187"/>
      <c r="H26" s="1688"/>
    </row>
    <row r="27" spans="1:9" s="43" customFormat="1" ht="15" customHeight="1" x14ac:dyDescent="0.2">
      <c r="A27" s="2285"/>
      <c r="B27" s="2283"/>
      <c r="C27" s="1156" t="str">
        <f>OF!C51</f>
        <v>other</v>
      </c>
      <c r="D27" s="351">
        <f>OF!D51</f>
        <v>0</v>
      </c>
      <c r="E27" s="1069"/>
      <c r="F27" s="1191"/>
      <c r="G27" s="1187"/>
      <c r="H27" s="1688"/>
    </row>
    <row r="28" spans="1:9" s="43" customFormat="1" ht="42" customHeight="1" x14ac:dyDescent="0.2">
      <c r="A28" s="2285"/>
      <c r="B28" s="2283"/>
      <c r="C28" s="1156" t="str">
        <f>OF!C52</f>
        <v>no Level 3 cover type maps available for this area, but from aerial imagery it appears that the AA contains a cover type (list above) that is absent from 90% of the landscape outside of the AA and within 2 miles.  Enter "2" in the next column.</v>
      </c>
      <c r="D28" s="351">
        <f>OF!D52</f>
        <v>0</v>
      </c>
      <c r="E28" s="1069"/>
      <c r="F28" s="1191"/>
      <c r="G28" s="1187"/>
      <c r="H28" s="1688"/>
    </row>
    <row r="29" spans="1:9" s="43" customFormat="1" ht="42" customHeight="1" thickBot="1" x14ac:dyDescent="0.25">
      <c r="A29" s="2286"/>
      <c r="B29" s="2284"/>
      <c r="C29" s="1159" t="str">
        <f>OF!C53</f>
        <v>no Level 3 cover type maps available for this area, but from aerial imagery it appears that the AA does NOT contain a cover type that is absent from 90% of the landscape outside of the AA and within 2 miles.  Enter "1" in the next column.</v>
      </c>
      <c r="D29" s="353">
        <f>OF!D53</f>
        <v>0</v>
      </c>
      <c r="E29" s="1191"/>
      <c r="F29" s="1191"/>
      <c r="G29" s="1192"/>
      <c r="H29" s="1689"/>
    </row>
    <row r="30" spans="1:9" s="43" customFormat="1" ht="21" customHeight="1" thickBot="1" x14ac:dyDescent="0.25">
      <c r="A30" s="2274" t="str">
        <f>OF!A54</f>
        <v>OF9</v>
      </c>
      <c r="B30" s="2293" t="str">
        <f>OF!B54</f>
        <v>Distance to Locally Uncommon Cover Type</v>
      </c>
      <c r="C30" s="267" t="str">
        <f>OF!C54</f>
        <v>If any of the above were marked "2", the distance from the AA edge to the closest one that was so marked is:</v>
      </c>
      <c r="D30" s="1229"/>
      <c r="E30" s="1170"/>
      <c r="F30" s="1193"/>
      <c r="G30" s="836">
        <f>IF((D36=1),"",MAX(F31:F35)/MAX(E31:E35))</f>
        <v>0</v>
      </c>
      <c r="H30" s="1687" t="s">
        <v>287</v>
      </c>
      <c r="I30" s="4" t="s">
        <v>2522</v>
      </c>
    </row>
    <row r="31" spans="1:9" s="43" customFormat="1" ht="15" customHeight="1" x14ac:dyDescent="0.2">
      <c r="A31" s="2275"/>
      <c r="B31" s="2283"/>
      <c r="C31" s="1155" t="str">
        <f>OF!C55</f>
        <v>&lt;150 ft</v>
      </c>
      <c r="D31" s="351">
        <f>OF!D55</f>
        <v>0</v>
      </c>
      <c r="E31" s="1069">
        <v>5</v>
      </c>
      <c r="F31" s="1070">
        <f>D31*E31</f>
        <v>0</v>
      </c>
      <c r="G31" s="1187"/>
      <c r="H31" s="2283"/>
    </row>
    <row r="32" spans="1:9" s="43" customFormat="1" ht="15" customHeight="1" x14ac:dyDescent="0.2">
      <c r="A32" s="2275"/>
      <c r="B32" s="2283"/>
      <c r="C32" s="1156" t="str">
        <f>OF!C56</f>
        <v>150 - 500 ft</v>
      </c>
      <c r="D32" s="351">
        <f>OF!D56</f>
        <v>0</v>
      </c>
      <c r="E32" s="1069">
        <v>4</v>
      </c>
      <c r="F32" s="1070">
        <f>D32*E32</f>
        <v>0</v>
      </c>
      <c r="G32" s="1187"/>
      <c r="H32" s="2283"/>
    </row>
    <row r="33" spans="1:9" s="43" customFormat="1" ht="15" customHeight="1" x14ac:dyDescent="0.2">
      <c r="A33" s="2275"/>
      <c r="B33" s="2283"/>
      <c r="C33" s="1156" t="str">
        <f>OF!C57</f>
        <v>500 - 1000 ft</v>
      </c>
      <c r="D33" s="351">
        <f>OF!D57</f>
        <v>0</v>
      </c>
      <c r="E33" s="1069">
        <v>3</v>
      </c>
      <c r="F33" s="1070">
        <f>D33*E33</f>
        <v>0</v>
      </c>
      <c r="G33" s="1187"/>
      <c r="H33" s="2283"/>
    </row>
    <row r="34" spans="1:9" s="43" customFormat="1" ht="15" customHeight="1" x14ac:dyDescent="0.2">
      <c r="A34" s="2275"/>
      <c r="B34" s="2283"/>
      <c r="C34" s="1156" t="str">
        <f>OF!C58</f>
        <v>1000 ft - 1 mile</v>
      </c>
      <c r="D34" s="351">
        <f>OF!D58</f>
        <v>0</v>
      </c>
      <c r="E34" s="1069">
        <v>2</v>
      </c>
      <c r="F34" s="1070">
        <f>D34*E34</f>
        <v>0</v>
      </c>
      <c r="G34" s="1187"/>
      <c r="H34" s="2283"/>
    </row>
    <row r="35" spans="1:9" s="43" customFormat="1" ht="15" customHeight="1" x14ac:dyDescent="0.2">
      <c r="A35" s="2275"/>
      <c r="B35" s="2283"/>
      <c r="C35" s="1156" t="str">
        <f>OF!C59</f>
        <v>1-2 miles</v>
      </c>
      <c r="D35" s="351">
        <f>OF!D59</f>
        <v>0</v>
      </c>
      <c r="E35" s="1069">
        <v>1</v>
      </c>
      <c r="F35" s="1070">
        <f>D35*E35</f>
        <v>0</v>
      </c>
      <c r="G35" s="1187"/>
      <c r="H35" s="2283"/>
    </row>
    <row r="36" spans="1:9" s="43" customFormat="1" ht="15.6" customHeight="1" thickBot="1" x14ac:dyDescent="0.25">
      <c r="A36" s="2276"/>
      <c r="B36" s="2284"/>
      <c r="C36" s="1157" t="str">
        <f>OF!C60</f>
        <v>none of the above land cover classes were marked "2"</v>
      </c>
      <c r="D36" s="352">
        <f>OF!D60</f>
        <v>0</v>
      </c>
      <c r="E36" s="1175"/>
      <c r="F36" s="1175"/>
      <c r="G36" s="1188"/>
      <c r="H36" s="2284"/>
    </row>
    <row r="37" spans="1:9" s="43" customFormat="1" ht="30" customHeight="1" thickBot="1" x14ac:dyDescent="0.25">
      <c r="A37" s="2289" t="str">
        <f>OF!A61</f>
        <v>OF10</v>
      </c>
      <c r="B37" s="2291" t="str">
        <f>OF!B61</f>
        <v>Ponded Water in Landscape</v>
      </c>
      <c r="C37" s="1154" t="str">
        <f>OF!C61</f>
        <v>Draw a circle of radius of 2 miles centered on the AA.  Including water ponded in the AA itself or in a fringing non-marine water body, the amount of water that is ponded (standing) during most of the year is:</v>
      </c>
      <c r="D37" s="1170"/>
      <c r="E37" s="1170"/>
      <c r="F37" s="1171"/>
      <c r="G37" s="836">
        <f>MAX(F38:F43)/MAX(E38:E43)</f>
        <v>0</v>
      </c>
      <c r="H37" s="1687" t="s">
        <v>2244</v>
      </c>
      <c r="I37" s="43" t="s">
        <v>1065</v>
      </c>
    </row>
    <row r="38" spans="1:9" s="43" customFormat="1" ht="15" customHeight="1" x14ac:dyDescent="0.2">
      <c r="A38" s="2275"/>
      <c r="B38" s="2273"/>
      <c r="C38" s="1161">
        <f>OF!C62</f>
        <v>0</v>
      </c>
      <c r="D38" s="350">
        <f>OF!D62</f>
        <v>0</v>
      </c>
      <c r="E38" s="1172">
        <v>5</v>
      </c>
      <c r="F38" s="1070">
        <f t="shared" ref="F38:F43" si="0">D38*E38</f>
        <v>0</v>
      </c>
      <c r="G38" s="1173"/>
      <c r="H38" s="2283"/>
    </row>
    <row r="39" spans="1:9" s="43" customFormat="1" ht="15" customHeight="1" x14ac:dyDescent="0.2">
      <c r="A39" s="2275"/>
      <c r="B39" s="2273"/>
      <c r="C39" s="1156" t="str">
        <f>OF!C63</f>
        <v>1 or 2</v>
      </c>
      <c r="D39" s="351">
        <f>OF!D63</f>
        <v>0</v>
      </c>
      <c r="E39" s="1172">
        <v>4</v>
      </c>
      <c r="F39" s="1070">
        <f t="shared" si="0"/>
        <v>0</v>
      </c>
      <c r="G39" s="1174"/>
      <c r="H39" s="2283"/>
    </row>
    <row r="40" spans="1:9" s="43" customFormat="1" ht="15" customHeight="1" x14ac:dyDescent="0.2">
      <c r="A40" s="2275"/>
      <c r="B40" s="2273"/>
      <c r="C40" s="1156" t="str">
        <f>OF!C64</f>
        <v>3 to 6</v>
      </c>
      <c r="D40" s="351">
        <f>OF!D64</f>
        <v>0</v>
      </c>
      <c r="E40" s="1172">
        <v>3</v>
      </c>
      <c r="F40" s="1070">
        <f t="shared" si="0"/>
        <v>0</v>
      </c>
      <c r="G40" s="1174"/>
      <c r="H40" s="2283"/>
    </row>
    <row r="41" spans="1:9" s="43" customFormat="1" ht="15" customHeight="1" x14ac:dyDescent="0.2">
      <c r="A41" s="2275"/>
      <c r="B41" s="2273"/>
      <c r="C41" s="1156" t="str">
        <f>OF!C65</f>
        <v>7 to 9</v>
      </c>
      <c r="D41" s="351">
        <f>OF!D65</f>
        <v>0</v>
      </c>
      <c r="E41" s="1172">
        <v>2</v>
      </c>
      <c r="F41" s="1070">
        <f t="shared" si="0"/>
        <v>0</v>
      </c>
      <c r="G41" s="1174"/>
      <c r="H41" s="2283"/>
    </row>
    <row r="42" spans="1:9" s="43" customFormat="1" ht="15" customHeight="1" x14ac:dyDescent="0.2">
      <c r="A42" s="2275"/>
      <c r="B42" s="2273"/>
      <c r="C42" s="1156" t="str">
        <f>OF!C66</f>
        <v>10 to 12</v>
      </c>
      <c r="D42" s="351">
        <f>OF!D66</f>
        <v>0</v>
      </c>
      <c r="E42" s="1172">
        <v>1</v>
      </c>
      <c r="F42" s="1070">
        <f t="shared" si="0"/>
        <v>0</v>
      </c>
      <c r="G42" s="1174"/>
      <c r="H42" s="2283"/>
    </row>
    <row r="43" spans="1:9" s="43" customFormat="1" ht="15.6" customHeight="1" thickBot="1" x14ac:dyDescent="0.25">
      <c r="A43" s="2276"/>
      <c r="B43" s="2292"/>
      <c r="C43" s="1157" t="str">
        <f>OF!C67</f>
        <v>&gt;12</v>
      </c>
      <c r="D43" s="352">
        <f>OF!D67</f>
        <v>0</v>
      </c>
      <c r="E43" s="1194">
        <v>0</v>
      </c>
      <c r="F43" s="1176">
        <f t="shared" si="0"/>
        <v>0</v>
      </c>
      <c r="G43" s="1177"/>
      <c r="H43" s="2284"/>
    </row>
    <row r="44" spans="1:9" s="43" customFormat="1" ht="30" customHeight="1" thickBot="1" x14ac:dyDescent="0.25">
      <c r="A44" s="2294" t="str">
        <f>OF!A68</f>
        <v>OF11</v>
      </c>
      <c r="B44" s="2273" t="str">
        <f>OF!B68</f>
        <v>Ponded Water Proximity</v>
      </c>
      <c r="C44" s="1158" t="str">
        <f>OF!C68</f>
        <v>The distance from the AA edge to the closest pond or lake that is larger than 1 acre and is not part of the same wetland, pond, or lake to which the AA is contiguous is:</v>
      </c>
      <c r="D44" s="1170"/>
      <c r="E44" s="1178"/>
      <c r="F44" s="1179"/>
      <c r="G44" s="1180">
        <f>MAX(F45:F50)/MAX(E45:E50)</f>
        <v>0</v>
      </c>
      <c r="H44" s="1688" t="s">
        <v>287</v>
      </c>
      <c r="I44" s="43" t="s">
        <v>1066</v>
      </c>
    </row>
    <row r="45" spans="1:9" s="43" customFormat="1" ht="15" customHeight="1" x14ac:dyDescent="0.2">
      <c r="A45" s="2285"/>
      <c r="B45" s="2273"/>
      <c r="C45" s="1155" t="str">
        <f>OF!C69</f>
        <v>&lt;300 ft, and connected with a natural land corridor</v>
      </c>
      <c r="D45" s="350">
        <f>OF!D69</f>
        <v>0</v>
      </c>
      <c r="E45" s="1172">
        <v>0</v>
      </c>
      <c r="F45" s="1070">
        <f t="shared" ref="F45:F50" si="1">D45*E45</f>
        <v>0</v>
      </c>
      <c r="G45" s="1173"/>
      <c r="H45" s="2283"/>
    </row>
    <row r="46" spans="1:9" s="43" customFormat="1" ht="15" customHeight="1" x14ac:dyDescent="0.2">
      <c r="A46" s="2285"/>
      <c r="B46" s="2273"/>
      <c r="C46" s="1156" t="str">
        <f>OF!C70</f>
        <v>&lt;300 ft, but no uninterrupted natural land corridor</v>
      </c>
      <c r="D46" s="351">
        <f>OF!D70</f>
        <v>0</v>
      </c>
      <c r="E46" s="1172">
        <v>1</v>
      </c>
      <c r="F46" s="1070">
        <f t="shared" si="1"/>
        <v>0</v>
      </c>
      <c r="G46" s="1174"/>
      <c r="H46" s="2283"/>
    </row>
    <row r="47" spans="1:9" s="43" customFormat="1" ht="15" customHeight="1" x14ac:dyDescent="0.2">
      <c r="A47" s="2285"/>
      <c r="B47" s="2273"/>
      <c r="C47" s="1156" t="str">
        <f>OF!C71</f>
        <v>300-1000 ft, and connected with a natural land corridor</v>
      </c>
      <c r="D47" s="351">
        <f>OF!D71</f>
        <v>0</v>
      </c>
      <c r="E47" s="1172">
        <v>2</v>
      </c>
      <c r="F47" s="1070">
        <f t="shared" si="1"/>
        <v>0</v>
      </c>
      <c r="G47" s="1174"/>
      <c r="H47" s="2283"/>
    </row>
    <row r="48" spans="1:9" s="43" customFormat="1" ht="15" customHeight="1" x14ac:dyDescent="0.2">
      <c r="A48" s="2285"/>
      <c r="B48" s="2273"/>
      <c r="C48" s="1156" t="str">
        <f>OF!C72</f>
        <v>300-1000 ft, but no uninterrupted natural land corridor</v>
      </c>
      <c r="D48" s="351">
        <f>OF!D72</f>
        <v>0</v>
      </c>
      <c r="E48" s="1172">
        <v>3</v>
      </c>
      <c r="F48" s="1070">
        <f t="shared" si="1"/>
        <v>0</v>
      </c>
      <c r="G48" s="1174"/>
      <c r="H48" s="2283"/>
    </row>
    <row r="49" spans="1:9" s="43" customFormat="1" ht="15" customHeight="1" x14ac:dyDescent="0.2">
      <c r="A49" s="2285"/>
      <c r="B49" s="2273"/>
      <c r="C49" s="1156" t="str">
        <f>OF!C73</f>
        <v>&gt;1000 ft, and connected with a natural land corridor</v>
      </c>
      <c r="D49" s="351">
        <f>OF!D73</f>
        <v>0</v>
      </c>
      <c r="E49" s="1172">
        <v>4</v>
      </c>
      <c r="F49" s="1070">
        <f t="shared" si="1"/>
        <v>0</v>
      </c>
      <c r="G49" s="1174"/>
      <c r="H49" s="2283"/>
    </row>
    <row r="50" spans="1:9" s="43" customFormat="1" ht="15.6" customHeight="1" thickBot="1" x14ac:dyDescent="0.25">
      <c r="A50" s="2285"/>
      <c r="B50" s="2273"/>
      <c r="C50" s="1159" t="str">
        <f>OF!C74</f>
        <v>&gt;1000 ft, but no uninterrupted natural land corridor</v>
      </c>
      <c r="D50" s="353">
        <f>OF!D74</f>
        <v>0</v>
      </c>
      <c r="E50" s="1181">
        <v>5</v>
      </c>
      <c r="F50" s="1182">
        <f t="shared" si="1"/>
        <v>0</v>
      </c>
      <c r="G50" s="1183"/>
      <c r="H50" s="2283"/>
    </row>
    <row r="51" spans="1:9" s="43" customFormat="1" ht="45" customHeight="1" thickBot="1" x14ac:dyDescent="0.25">
      <c r="A51" s="2289" t="str">
        <f>OF!A75</f>
        <v>OF12</v>
      </c>
      <c r="B51" s="2291" t="str">
        <f>OF!B75</f>
        <v>Distance to Lake</v>
      </c>
      <c r="C51" s="1154" t="str">
        <f>OF!C75</f>
        <v>The distance from the AA edge to the closest (but separate) lake (a non-tidal body of water that is ponded during most of the year and is larger than 20 acres or about 1000 ft on a side) during most of a normal year is:</v>
      </c>
      <c r="D51" s="1170"/>
      <c r="E51" s="1170"/>
      <c r="F51" s="1171"/>
      <c r="G51" s="836">
        <f>MAX(F52:F55)/MAX(E52:E55)</f>
        <v>0</v>
      </c>
      <c r="H51" s="1687" t="s">
        <v>2245</v>
      </c>
      <c r="I51" s="43" t="s">
        <v>1067</v>
      </c>
    </row>
    <row r="52" spans="1:9" s="43" customFormat="1" ht="15" customHeight="1" x14ac:dyDescent="0.2">
      <c r="A52" s="2275"/>
      <c r="B52" s="2273"/>
      <c r="C52" s="1155" t="str">
        <f>OF!C76</f>
        <v>&lt;1 mile</v>
      </c>
      <c r="D52" s="350">
        <f>OF!D76</f>
        <v>0</v>
      </c>
      <c r="E52" s="1172">
        <v>0</v>
      </c>
      <c r="F52" s="1070">
        <f>D52*E52</f>
        <v>0</v>
      </c>
      <c r="G52" s="1173"/>
      <c r="H52" s="2283"/>
    </row>
    <row r="53" spans="1:9" s="43" customFormat="1" ht="15" customHeight="1" x14ac:dyDescent="0.2">
      <c r="A53" s="2275"/>
      <c r="B53" s="2273"/>
      <c r="C53" s="1156" t="str">
        <f>OF!C77</f>
        <v>1-5 miles</v>
      </c>
      <c r="D53" s="351">
        <f>OF!D77</f>
        <v>0</v>
      </c>
      <c r="E53" s="1172">
        <v>1</v>
      </c>
      <c r="F53" s="1070">
        <f>D53*E53</f>
        <v>0</v>
      </c>
      <c r="G53" s="1174"/>
      <c r="H53" s="2283"/>
    </row>
    <row r="54" spans="1:9" s="43" customFormat="1" ht="15" customHeight="1" x14ac:dyDescent="0.2">
      <c r="A54" s="2275"/>
      <c r="B54" s="2273"/>
      <c r="C54" s="1156" t="str">
        <f>OF!C78</f>
        <v>&gt;5 miles and on the mainland or the same island</v>
      </c>
      <c r="D54" s="351">
        <f>OF!D78</f>
        <v>0</v>
      </c>
      <c r="E54" s="1181">
        <v>2</v>
      </c>
      <c r="F54" s="1182">
        <f>D54*E54</f>
        <v>0</v>
      </c>
      <c r="G54" s="1183"/>
      <c r="H54" s="2283"/>
    </row>
    <row r="55" spans="1:9" s="43" customFormat="1" ht="15.6" customHeight="1" thickBot="1" x14ac:dyDescent="0.25">
      <c r="A55" s="2276"/>
      <c r="B55" s="2292"/>
      <c r="C55" s="1157" t="str">
        <f>OF!C79</f>
        <v>&gt;5 miles and on a different island</v>
      </c>
      <c r="D55" s="352">
        <f>OF!D79</f>
        <v>0</v>
      </c>
      <c r="E55" s="1194">
        <v>3</v>
      </c>
      <c r="F55" s="1176">
        <f>D55*E55</f>
        <v>0</v>
      </c>
      <c r="G55" s="1177"/>
      <c r="H55" s="2284"/>
    </row>
    <row r="56" spans="1:9" s="43" customFormat="1" ht="21" customHeight="1" thickBot="1" x14ac:dyDescent="0.25">
      <c r="A56" s="2285" t="str">
        <f>OF!A80</f>
        <v>OF13</v>
      </c>
      <c r="B56" s="2283" t="str">
        <f>OF!B80</f>
        <v>Tidal Proximity</v>
      </c>
      <c r="C56" s="1158" t="str">
        <f>OF!C80</f>
        <v>The distance from the AA edge to the closest tidal water body is:</v>
      </c>
      <c r="D56" s="1170"/>
      <c r="E56" s="1195"/>
      <c r="F56" s="1196"/>
      <c r="G56" s="1180">
        <f>MAX(F57:F61)/MAX(E57:E61)</f>
        <v>0</v>
      </c>
      <c r="H56" s="2283" t="s">
        <v>843</v>
      </c>
      <c r="I56" s="43" t="s">
        <v>1068</v>
      </c>
    </row>
    <row r="57" spans="1:9" s="43" customFormat="1" ht="15" customHeight="1" x14ac:dyDescent="0.2">
      <c r="A57" s="2285"/>
      <c r="B57" s="2283"/>
      <c r="C57" s="1155" t="str">
        <f>OF!C81</f>
        <v>&lt;300 ft</v>
      </c>
      <c r="D57" s="350">
        <f>OF!D81</f>
        <v>0</v>
      </c>
      <c r="E57" s="1172">
        <v>0</v>
      </c>
      <c r="F57" s="1182">
        <f>D57*E57</f>
        <v>0</v>
      </c>
      <c r="G57" s="1174"/>
      <c r="H57" s="2283"/>
    </row>
    <row r="58" spans="1:9" s="43" customFormat="1" ht="15" customHeight="1" x14ac:dyDescent="0.2">
      <c r="A58" s="2285"/>
      <c r="B58" s="2283"/>
      <c r="C58" s="1156" t="str">
        <f>OF!C82</f>
        <v>300-1000 ft</v>
      </c>
      <c r="D58" s="351">
        <f>OF!D82</f>
        <v>0</v>
      </c>
      <c r="E58" s="1172">
        <v>1</v>
      </c>
      <c r="F58" s="1182">
        <f>D58*E58</f>
        <v>0</v>
      </c>
      <c r="G58" s="1174"/>
      <c r="H58" s="2283"/>
    </row>
    <row r="59" spans="1:9" s="43" customFormat="1" ht="15" customHeight="1" x14ac:dyDescent="0.2">
      <c r="A59" s="2285"/>
      <c r="B59" s="2283"/>
      <c r="C59" s="1156" t="str">
        <f>OF!C83</f>
        <v>1000 ft - 1 mile</v>
      </c>
      <c r="D59" s="351">
        <f>OF!D83</f>
        <v>0</v>
      </c>
      <c r="E59" s="1172">
        <v>2</v>
      </c>
      <c r="F59" s="1182">
        <f>D59*E59</f>
        <v>0</v>
      </c>
      <c r="G59" s="1174"/>
      <c r="H59" s="2283"/>
    </row>
    <row r="60" spans="1:9" s="43" customFormat="1" ht="15" customHeight="1" x14ac:dyDescent="0.2">
      <c r="A60" s="2285"/>
      <c r="B60" s="2283"/>
      <c r="C60" s="1156" t="str">
        <f>OF!C84</f>
        <v>1-5 miles</v>
      </c>
      <c r="D60" s="351">
        <f>OF!D84</f>
        <v>0</v>
      </c>
      <c r="E60" s="1172">
        <v>3</v>
      </c>
      <c r="F60" s="1182">
        <f>D60*E60</f>
        <v>0</v>
      </c>
      <c r="G60" s="1174"/>
      <c r="H60" s="2283"/>
    </row>
    <row r="61" spans="1:9" s="43" customFormat="1" ht="15.6" customHeight="1" thickBot="1" x14ac:dyDescent="0.25">
      <c r="A61" s="2285"/>
      <c r="B61" s="2283"/>
      <c r="C61" s="1159" t="str">
        <f>OF!C85</f>
        <v>&gt;5 miles</v>
      </c>
      <c r="D61" s="353">
        <f>OF!D85</f>
        <v>0</v>
      </c>
      <c r="E61" s="1181">
        <v>5</v>
      </c>
      <c r="F61" s="1182">
        <f>D61*E61</f>
        <v>0</v>
      </c>
      <c r="G61" s="1183"/>
      <c r="H61" s="2283"/>
    </row>
    <row r="62" spans="1:9" s="43" customFormat="1" ht="21" customHeight="1" thickBot="1" x14ac:dyDescent="0.25">
      <c r="A62" s="2274" t="str">
        <f>OF!A86</f>
        <v>OF14</v>
      </c>
      <c r="B62" s="2293" t="str">
        <f>OF!B86</f>
        <v>Upland Edge Contact</v>
      </c>
      <c r="C62" s="1160" t="str">
        <f>OF!C86</f>
        <v>Select one:</v>
      </c>
      <c r="D62" s="1170"/>
      <c r="E62" s="1197"/>
      <c r="F62" s="1171"/>
      <c r="G62" s="836">
        <f>MAX(F63:F65)/MAX(E63:E65)</f>
        <v>0</v>
      </c>
      <c r="H62" s="1687" t="s">
        <v>1043</v>
      </c>
      <c r="I62" s="43" t="s">
        <v>1069</v>
      </c>
    </row>
    <row r="63" spans="1:9" s="43" customFormat="1" ht="27" customHeight="1" x14ac:dyDescent="0.2">
      <c r="A63" s="2275"/>
      <c r="B63" s="2283"/>
      <c r="C63" s="1161" t="str">
        <f>OF!C87</f>
        <v>The AA has no upland edge (or upland is &lt;1% of perimeter).  The AA is entirely surrounded by other wetland or water.</v>
      </c>
      <c r="D63" s="350">
        <f>OF!D87</f>
        <v>0</v>
      </c>
      <c r="E63" s="1195">
        <v>0</v>
      </c>
      <c r="F63" s="1070">
        <f>D63*E63</f>
        <v>0</v>
      </c>
      <c r="G63" s="1173"/>
      <c r="H63" s="2283"/>
    </row>
    <row r="64" spans="1:9" s="43" customFormat="1" ht="27" customHeight="1" x14ac:dyDescent="0.2">
      <c r="A64" s="2275"/>
      <c r="B64" s="2283"/>
      <c r="C64" s="1161" t="str">
        <f>OF!C90</f>
        <v>50-75% of the AA's perimeter abuts upland. The rest adjoins other wetlands or water that is mostly wider than the AA.</v>
      </c>
      <c r="D64" s="350">
        <f>OF!D90</f>
        <v>0</v>
      </c>
      <c r="E64" s="1195">
        <v>2</v>
      </c>
      <c r="F64" s="1070">
        <f>D64*E64</f>
        <v>0</v>
      </c>
      <c r="G64" s="1174"/>
      <c r="H64" s="2283"/>
    </row>
    <row r="65" spans="1:9" s="43" customFormat="1" ht="27.6" customHeight="1" thickBot="1" x14ac:dyDescent="0.25">
      <c r="A65" s="2276"/>
      <c r="B65" s="2284"/>
      <c r="C65" s="1162" t="str">
        <f>OF!C91</f>
        <v>More than 75% of the AA's perimeter abuts upland. Any remainder adjoins other wetlands or water that is mostly wider than the AA.</v>
      </c>
      <c r="D65" s="354">
        <f>OF!D91</f>
        <v>0</v>
      </c>
      <c r="E65" s="1198">
        <v>1</v>
      </c>
      <c r="F65" s="1176">
        <f>D65*E65</f>
        <v>0</v>
      </c>
      <c r="G65" s="1177"/>
      <c r="H65" s="2284"/>
    </row>
    <row r="66" spans="1:9" s="44" customFormat="1" ht="30" customHeight="1" thickBot="1" x14ac:dyDescent="0.25">
      <c r="A66" s="1831" t="str">
        <f>OF!A113</f>
        <v>OF21</v>
      </c>
      <c r="B66" s="1836" t="str">
        <f>OF!B113</f>
        <v>Temperature, Mean Annual</v>
      </c>
      <c r="C66" s="454" t="str">
        <f>OF!C113</f>
        <v>Refer to the Temperature layer in the online WESPAK-SE Wetlands Module. The mean annual temperature in the vicinity of the AA was modeled as (rounded to the nearest whole number):</v>
      </c>
      <c r="D66" s="1170"/>
      <c r="E66" s="635"/>
      <c r="F66" s="639"/>
      <c r="G66" s="1185">
        <f>IF((D72=1),"",MAX(F67:F71)/MAX(E67:E71))</f>
        <v>0</v>
      </c>
      <c r="H66" s="1687" t="s">
        <v>1903</v>
      </c>
      <c r="I66" s="4" t="s">
        <v>602</v>
      </c>
    </row>
    <row r="67" spans="1:9" s="45" customFormat="1" ht="15" customHeight="1" x14ac:dyDescent="0.2">
      <c r="A67" s="1832"/>
      <c r="B67" s="1837"/>
      <c r="C67" s="144" t="str">
        <f>OF!C114</f>
        <v>&lt;38 degrees F</v>
      </c>
      <c r="D67" s="286">
        <f>OF!D114</f>
        <v>0</v>
      </c>
      <c r="E67" s="396">
        <v>4</v>
      </c>
      <c r="F67" s="397">
        <f>D67*E67</f>
        <v>0</v>
      </c>
      <c r="G67" s="521"/>
      <c r="H67" s="1688"/>
    </row>
    <row r="68" spans="1:9" ht="15" customHeight="1" x14ac:dyDescent="0.2">
      <c r="A68" s="1832"/>
      <c r="B68" s="1837"/>
      <c r="C68" s="50" t="str">
        <f>OF!C115</f>
        <v>38-40 degrees F</v>
      </c>
      <c r="D68" s="271">
        <f>OF!D115</f>
        <v>0</v>
      </c>
      <c r="E68" s="396">
        <v>3</v>
      </c>
      <c r="F68" s="397">
        <f>D68*E68</f>
        <v>0</v>
      </c>
      <c r="G68" s="521"/>
      <c r="H68" s="1688"/>
    </row>
    <row r="69" spans="1:9" s="44" customFormat="1" ht="15" customHeight="1" x14ac:dyDescent="0.2">
      <c r="A69" s="1832"/>
      <c r="B69" s="1837"/>
      <c r="C69" s="50" t="str">
        <f>OF!C116</f>
        <v>41-42 degrees F</v>
      </c>
      <c r="D69" s="271">
        <f>OF!D116</f>
        <v>0</v>
      </c>
      <c r="E69" s="396">
        <v>2</v>
      </c>
      <c r="F69" s="397">
        <f>D69*E69</f>
        <v>0</v>
      </c>
      <c r="G69" s="521"/>
      <c r="H69" s="1688"/>
    </row>
    <row r="70" spans="1:9" s="45" customFormat="1" ht="15" customHeight="1" x14ac:dyDescent="0.2">
      <c r="A70" s="1832"/>
      <c r="B70" s="1837"/>
      <c r="C70" s="50" t="str">
        <f>OF!C117</f>
        <v>43-44 degrees F</v>
      </c>
      <c r="D70" s="271">
        <f>OF!D117</f>
        <v>0</v>
      </c>
      <c r="E70" s="396">
        <v>1</v>
      </c>
      <c r="F70" s="397">
        <f>D70*E70</f>
        <v>0</v>
      </c>
      <c r="G70" s="521"/>
      <c r="H70" s="1688"/>
    </row>
    <row r="71" spans="1:9" s="43" customFormat="1" ht="15" customHeight="1" x14ac:dyDescent="0.2">
      <c r="A71" s="1832"/>
      <c r="B71" s="1837"/>
      <c r="C71" s="50" t="str">
        <f>OF!C118</f>
        <v>&gt; 44 degrees F</v>
      </c>
      <c r="D71" s="271">
        <f>OF!D118</f>
        <v>0</v>
      </c>
      <c r="E71" s="396">
        <v>0</v>
      </c>
      <c r="F71" s="397">
        <f>D71*E71</f>
        <v>0</v>
      </c>
      <c r="G71" s="515"/>
      <c r="H71" s="1688"/>
    </row>
    <row r="72" spans="1:9" s="43" customFormat="1" ht="15.6" customHeight="1" thickBot="1" x14ac:dyDescent="0.25">
      <c r="A72" s="1833"/>
      <c r="B72" s="1838"/>
      <c r="C72" s="462" t="str">
        <f>OF!C119</f>
        <v>no information available</v>
      </c>
      <c r="D72" s="272">
        <f>OF!D119</f>
        <v>0</v>
      </c>
      <c r="E72" s="637"/>
      <c r="F72" s="638"/>
      <c r="G72" s="504"/>
      <c r="H72" s="1689"/>
    </row>
    <row r="73" spans="1:9" s="43" customFormat="1" ht="54.75" customHeight="1" thickBot="1" x14ac:dyDescent="0.25">
      <c r="A73" s="2300" t="str">
        <f>OF!A122</f>
        <v>OF24</v>
      </c>
      <c r="B73" s="2297" t="str">
        <f>OF!B122</f>
        <v>Upslope Soil Erodibility &amp; Debris Flow Potential</v>
      </c>
      <c r="C73" s="1154" t="str">
        <f>OF!C122</f>
        <v>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v>
      </c>
      <c r="D73" s="1170"/>
      <c r="E73" s="1170"/>
      <c r="F73" s="1171"/>
      <c r="G73" s="836">
        <f>IF((D77=1),"",MAX(F74:F76)/MAX(E74:E76))</f>
        <v>0</v>
      </c>
      <c r="H73" s="1701" t="s">
        <v>889</v>
      </c>
      <c r="I73" s="4" t="s">
        <v>1070</v>
      </c>
    </row>
    <row r="74" spans="1:9" s="43" customFormat="1" ht="15" customHeight="1" x14ac:dyDescent="0.2">
      <c r="A74" s="2301"/>
      <c r="B74" s="2298"/>
      <c r="C74" s="1155" t="str">
        <f>OF!C123</f>
        <v>yes, and such conditions or classifications intersect the AA.</v>
      </c>
      <c r="D74" s="350">
        <f>OF!D123</f>
        <v>0</v>
      </c>
      <c r="E74" s="1069">
        <v>3</v>
      </c>
      <c r="F74" s="1070">
        <f>D74*E74</f>
        <v>0</v>
      </c>
      <c r="G74" s="1173"/>
      <c r="H74" s="2287"/>
    </row>
    <row r="75" spans="1:9" s="43" customFormat="1" ht="15" customHeight="1" x14ac:dyDescent="0.2">
      <c r="A75" s="2301"/>
      <c r="B75" s="2298"/>
      <c r="C75" s="1156" t="str">
        <f>OF!C124</f>
        <v>yes, but the conditions or classifications do not reach or intersect the AA.</v>
      </c>
      <c r="D75" s="351">
        <f>OF!D124</f>
        <v>0</v>
      </c>
      <c r="E75" s="1069">
        <v>2</v>
      </c>
      <c r="F75" s="1070">
        <f>D75*E75</f>
        <v>0</v>
      </c>
      <c r="G75" s="1174"/>
      <c r="H75" s="2287"/>
    </row>
    <row r="76" spans="1:9" s="43" customFormat="1" ht="15" customHeight="1" x14ac:dyDescent="0.2">
      <c r="A76" s="2301"/>
      <c r="B76" s="2298"/>
      <c r="C76" s="1156" t="str">
        <f>OF!C125</f>
        <v>no, or no information but very unlikely that AA is intersected by highly erodible lands or landslides</v>
      </c>
      <c r="D76" s="351">
        <f>OF!D125</f>
        <v>0</v>
      </c>
      <c r="E76" s="1069">
        <v>0</v>
      </c>
      <c r="F76" s="1070">
        <f>D76*E76</f>
        <v>0</v>
      </c>
      <c r="G76" s="1174"/>
      <c r="H76" s="2287"/>
    </row>
    <row r="77" spans="1:9" s="43" customFormat="1" ht="15.6" customHeight="1" thickBot="1" x14ac:dyDescent="0.25">
      <c r="A77" s="2302"/>
      <c r="B77" s="2299"/>
      <c r="C77" s="1157" t="str">
        <f>OF!C126</f>
        <v>no information</v>
      </c>
      <c r="D77" s="352">
        <f>OF!D126</f>
        <v>0</v>
      </c>
      <c r="E77" s="1175"/>
      <c r="F77" s="1176"/>
      <c r="G77" s="1177"/>
      <c r="H77" s="2296"/>
    </row>
    <row r="78" spans="1:9" s="45" customFormat="1" ht="80.25" customHeight="1" thickBot="1" x14ac:dyDescent="0.25">
      <c r="A78" s="1912" t="str">
        <f>OF!A147</f>
        <v>OF28</v>
      </c>
      <c r="B78" s="1834" t="str">
        <f>OF!B147</f>
        <v>Elevation in Multi-scale Watersheds</v>
      </c>
      <c r="C78" s="61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78" s="1170"/>
      <c r="E78" s="645"/>
      <c r="F78" s="1199"/>
      <c r="G78" s="1200" t="str">
        <f>IF((D79=0),"", (D79)/3)</f>
        <v/>
      </c>
      <c r="H78" s="1688" t="s">
        <v>1993</v>
      </c>
      <c r="I78" s="4" t="s">
        <v>603</v>
      </c>
    </row>
    <row r="79" spans="1:9" s="45" customFormat="1" ht="42" customHeight="1" thickBot="1" x14ac:dyDescent="0.25">
      <c r="A79" s="1912"/>
      <c r="B79" s="1834"/>
      <c r="C79" s="460" t="str">
        <f>OF!C150</f>
        <v>In its HUC6 (the 8-digit* watershed) the AA's elevation puts it in (enter one of the following): 3= upper one-third, 2= middle one-third, 1= lower one-third, 0= no data.  [The 8-digit HUC is obtained by deleting the last 4 digits of the 12-digit HUC code]</v>
      </c>
      <c r="D79" s="287">
        <f>OF!D150</f>
        <v>0</v>
      </c>
      <c r="E79" s="399"/>
      <c r="F79" s="1201"/>
      <c r="G79" s="1202"/>
      <c r="H79" s="1837"/>
    </row>
    <row r="80" spans="1:9" s="45" customFormat="1" ht="75" customHeight="1" thickBot="1" x14ac:dyDescent="0.25">
      <c r="A80" s="614" t="str">
        <f>OF!A151</f>
        <v>OF29</v>
      </c>
      <c r="B80" s="124" t="str">
        <f>OF!B151</f>
        <v>Wetland Class Scarcity in HUC6</v>
      </c>
      <c r="C80" s="463"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80" s="292">
        <f>OF!D151</f>
        <v>0</v>
      </c>
      <c r="E80" s="647"/>
      <c r="F80" s="1203"/>
      <c r="G80" s="1204">
        <f>IF((D80=""),"", D80)</f>
        <v>0</v>
      </c>
      <c r="H80" s="49" t="s">
        <v>2102</v>
      </c>
      <c r="I80" s="4" t="s">
        <v>2103</v>
      </c>
    </row>
    <row r="81" spans="1:9" s="45" customFormat="1" ht="30" customHeight="1" thickBot="1" x14ac:dyDescent="0.25">
      <c r="A81" s="1912" t="str">
        <f>OF!A152</f>
        <v>OF30</v>
      </c>
      <c r="B81" s="1834" t="str">
        <f>OF!B152</f>
        <v>Contributing Area (CA) Percent</v>
      </c>
      <c r="C81" s="615" t="str">
        <f>OF!C152</f>
        <v>On a topographic map, draw the approximate bounds of this AA's contributing area  (see Manual).  Relative to the extent of this contributing area (CA), the AA comprises:</v>
      </c>
      <c r="D81" s="1170"/>
      <c r="E81" s="645"/>
      <c r="F81" s="1205"/>
      <c r="G81" s="1206">
        <f>MAX(F82:F85)/MAX(E82:E85)</f>
        <v>0</v>
      </c>
      <c r="H81" s="1688" t="s">
        <v>1994</v>
      </c>
      <c r="I81" s="4" t="s">
        <v>604</v>
      </c>
    </row>
    <row r="82" spans="1:9" s="45" customFormat="1" ht="27" customHeight="1" x14ac:dyDescent="0.2">
      <c r="A82" s="1912"/>
      <c r="B82" s="1834"/>
      <c r="C82" s="144" t="str">
        <f>OF!C153</f>
        <v>&lt;1% of its CA  (including but not limited to most wetlands flooded annually by a major river, many in karst landscapes, and most that have multiple tributaries).</v>
      </c>
      <c r="D82" s="286">
        <f>OF!D153</f>
        <v>0</v>
      </c>
      <c r="E82" s="396">
        <v>0</v>
      </c>
      <c r="F82" s="1207">
        <f>D82*E82</f>
        <v>0</v>
      </c>
      <c r="G82" s="1208"/>
      <c r="H82" s="1837"/>
    </row>
    <row r="83" spans="1:9" s="45" customFormat="1" ht="15" customHeight="1" x14ac:dyDescent="0.2">
      <c r="A83" s="1912"/>
      <c r="B83" s="1834"/>
      <c r="C83" s="50" t="str">
        <f>OF!C154</f>
        <v>1 to 10% of its CA</v>
      </c>
      <c r="D83" s="271">
        <f>OF!D154</f>
        <v>0</v>
      </c>
      <c r="E83" s="396">
        <v>1</v>
      </c>
      <c r="F83" s="1207">
        <f>D83*E83</f>
        <v>0</v>
      </c>
      <c r="G83" s="1209"/>
      <c r="H83" s="1837"/>
    </row>
    <row r="84" spans="1:9" s="45" customFormat="1" ht="15" customHeight="1" x14ac:dyDescent="0.2">
      <c r="A84" s="1912"/>
      <c r="B84" s="1834"/>
      <c r="C84" s="50" t="str">
        <f>OF!C155</f>
        <v>10 to 100%  of its CA</v>
      </c>
      <c r="D84" s="271">
        <f>OF!D155</f>
        <v>0</v>
      </c>
      <c r="E84" s="396">
        <v>2</v>
      </c>
      <c r="F84" s="1207">
        <f>D84*E84</f>
        <v>0</v>
      </c>
      <c r="G84" s="1209"/>
      <c r="H84" s="1837"/>
    </row>
    <row r="85" spans="1:9" s="45" customFormat="1" ht="27.6" customHeight="1" thickBot="1" x14ac:dyDescent="0.25">
      <c r="A85" s="1912"/>
      <c r="B85" s="1834"/>
      <c r="C85" s="204" t="str">
        <f>OF!C156</f>
        <v>Wetland has essentially no CA, e.g., isolated by dikes with no input channels, or is in terrain so flat that a CA can't be delineated. SKIP TO OF34.</v>
      </c>
      <c r="D85" s="288">
        <f>OF!D156</f>
        <v>0</v>
      </c>
      <c r="E85" s="398">
        <v>3</v>
      </c>
      <c r="F85" s="1201">
        <f>D85*E85</f>
        <v>0</v>
      </c>
      <c r="G85" s="1202"/>
      <c r="H85" s="1837"/>
    </row>
    <row r="86" spans="1:9" s="45" customFormat="1" ht="21" customHeight="1" thickBot="1" x14ac:dyDescent="0.25">
      <c r="A86" s="1831" t="str">
        <f>OF!A188</f>
        <v>OF39</v>
      </c>
      <c r="B86" s="1836" t="str">
        <f>OF!B188</f>
        <v>Geography</v>
      </c>
      <c r="C86" s="454" t="str">
        <f>OF!C188</f>
        <v>Mark ALL that are true.  The AA is located:</v>
      </c>
      <c r="D86" s="1170"/>
      <c r="E86" s="635"/>
      <c r="F86" s="1210"/>
      <c r="G86" s="1185">
        <f>MAX(F87:F89)</f>
        <v>0</v>
      </c>
      <c r="H86" s="1687" t="s">
        <v>2200</v>
      </c>
      <c r="I86" s="4" t="s">
        <v>2431</v>
      </c>
    </row>
    <row r="87" spans="1:9" s="45" customFormat="1" ht="15" customHeight="1" x14ac:dyDescent="0.2">
      <c r="A87" s="1832"/>
      <c r="B87" s="1837"/>
      <c r="C87" s="144" t="str">
        <f>OF!C189</f>
        <v>in the Stikine, Alsek, Taiya-Chilkat-Skagway, or Taku deltas or floodplains.</v>
      </c>
      <c r="D87" s="286">
        <f>OF!D189</f>
        <v>0</v>
      </c>
      <c r="E87" s="396">
        <v>0</v>
      </c>
      <c r="F87" s="1201">
        <f>D87*E87</f>
        <v>0</v>
      </c>
      <c r="G87" s="1209"/>
      <c r="H87" s="1837"/>
    </row>
    <row r="88" spans="1:9" s="45" customFormat="1" ht="15" customHeight="1" x14ac:dyDescent="0.2">
      <c r="A88" s="1832"/>
      <c r="B88" s="1837"/>
      <c r="C88" s="50" t="str">
        <f>OF!C190</f>
        <v>in another mainland area or on an island larger than 20 square miles.</v>
      </c>
      <c r="D88" s="271">
        <f>OF!D190</f>
        <v>0</v>
      </c>
      <c r="E88" s="396">
        <v>0</v>
      </c>
      <c r="F88" s="1201">
        <f>D88*E88</f>
        <v>0</v>
      </c>
      <c r="G88" s="1209"/>
      <c r="H88" s="1837"/>
    </row>
    <row r="89" spans="1:9" s="45" customFormat="1" ht="27.6" customHeight="1" thickBot="1" x14ac:dyDescent="0.25">
      <c r="A89" s="1833"/>
      <c r="B89" s="1838"/>
      <c r="C89" s="462" t="str">
        <f>OF!C191</f>
        <v>on an island smaller than 20 sq. mi. and separated completely from other lands by a gap wider than 150 feet created by tidal or marine waters.</v>
      </c>
      <c r="D89" s="272">
        <f>OF!D191</f>
        <v>0</v>
      </c>
      <c r="E89" s="637">
        <v>1</v>
      </c>
      <c r="F89" s="1211">
        <f>D89*E89</f>
        <v>0</v>
      </c>
      <c r="G89" s="1212"/>
      <c r="H89" s="1838"/>
    </row>
    <row r="90" spans="1:9" s="43" customFormat="1" ht="60" customHeight="1" thickBot="1" x14ac:dyDescent="0.25">
      <c r="A90" s="2285" t="str">
        <f>OF!A193</f>
        <v>OF41</v>
      </c>
      <c r="B90" s="2283" t="str">
        <f>OF!B193</f>
        <v>Amphibian Use</v>
      </c>
      <c r="C90" s="1158" t="str">
        <f>OF!C193</f>
        <v>A native amphibian (Wood Frog, Western Toad, Columbia Spotted Frog, Northwestern Salamander, Long-toed Salamander, Rough-skinned Newt) has been detected under conditions similar to what now occur, by a qualified observer, or as indicated in the online Wetlands Module: Habitat Layers &gt; Amphibian Sites.  Mark just the first choice that is true.</v>
      </c>
      <c r="D90" s="1170"/>
      <c r="E90" s="1213"/>
      <c r="F90" s="1214"/>
      <c r="G90" s="1190">
        <f>IF((D94=1),"",MAX(F91:F93))</f>
        <v>0</v>
      </c>
      <c r="H90" s="1688" t="s">
        <v>932</v>
      </c>
      <c r="I90" s="4" t="s">
        <v>597</v>
      </c>
    </row>
    <row r="91" spans="1:9" s="43" customFormat="1" ht="15" customHeight="1" x14ac:dyDescent="0.2">
      <c r="A91" s="2285"/>
      <c r="B91" s="2283"/>
      <c r="C91" s="1155" t="str">
        <f>OF!C194</f>
        <v xml:space="preserve">in the AA </v>
      </c>
      <c r="D91" s="350">
        <f>OF!D194</f>
        <v>0</v>
      </c>
      <c r="E91" s="1215">
        <v>1</v>
      </c>
      <c r="F91" s="1070">
        <f>D91*E91</f>
        <v>0</v>
      </c>
      <c r="G91" s="1186"/>
      <c r="H91" s="2283"/>
    </row>
    <row r="92" spans="1:9" s="43" customFormat="1" ht="15" customHeight="1" x14ac:dyDescent="0.2">
      <c r="A92" s="2285"/>
      <c r="B92" s="2283"/>
      <c r="C92" s="1156" t="str">
        <f>OF!C195</f>
        <v>outside the AA only, but within 0.5 mile and at nearly the same elevation (+ or - 500 ft).</v>
      </c>
      <c r="D92" s="351">
        <f>OF!D195</f>
        <v>0</v>
      </c>
      <c r="E92" s="1215">
        <v>0</v>
      </c>
      <c r="F92" s="1070">
        <f>D92*E92</f>
        <v>0</v>
      </c>
      <c r="G92" s="1187"/>
      <c r="H92" s="2283"/>
    </row>
    <row r="93" spans="1:9" s="43" customFormat="1" ht="15" customHeight="1" x14ac:dyDescent="0.2">
      <c r="A93" s="2285"/>
      <c r="B93" s="2283"/>
      <c r="C93" s="1156" t="str">
        <f>OF!C196</f>
        <v xml:space="preserve">outside the AA only, and 0.5 to 2 miles away and at nearly the same elevation. </v>
      </c>
      <c r="D93" s="351">
        <f>OF!D196</f>
        <v>0</v>
      </c>
      <c r="E93" s="1215">
        <v>0</v>
      </c>
      <c r="F93" s="1070">
        <f>D93*E93</f>
        <v>0</v>
      </c>
      <c r="G93" s="1187"/>
      <c r="H93" s="2283"/>
    </row>
    <row r="94" spans="1:9" s="43" customFormat="1" ht="15.6" customHeight="1" thickBot="1" x14ac:dyDescent="0.25">
      <c r="A94" s="2285"/>
      <c r="B94" s="2283"/>
      <c r="C94" s="1159" t="str">
        <f>OF!C197</f>
        <v>other conditions, or no data</v>
      </c>
      <c r="D94" s="353">
        <f>OF!D197</f>
        <v>0</v>
      </c>
      <c r="E94" s="1216"/>
      <c r="F94" s="1182"/>
      <c r="G94" s="1192"/>
      <c r="H94" s="2283"/>
    </row>
    <row r="95" spans="1:9" s="43" customFormat="1" ht="60" customHeight="1" thickBot="1" x14ac:dyDescent="0.25">
      <c r="A95" s="2274" t="str">
        <f>OF!A198</f>
        <v>OF42</v>
      </c>
      <c r="B95" s="2293" t="str">
        <f>OF!B198</f>
        <v>Nesting Waterbird Species of Conservation Concern</v>
      </c>
      <c r="C95" s="1154" t="str">
        <f>OF!C198</f>
        <v xml:space="preserve">A waterbird species of conservation concern in Southeast Alaska (Common Loon, Red-throated Loon, Red-necked Grebe, Trumpeter Swan, Lesser Yellowlegs, Solitary Sandpiper) has been detected nesting semi-annually under conditions similar to what now occur, by a qualified observer.  Mark just the first choice that is true: </v>
      </c>
      <c r="D95" s="1170"/>
      <c r="E95" s="1217"/>
      <c r="F95" s="1218"/>
      <c r="G95" s="1185">
        <f>IF((D100=1),"",MAX(F96:F99)/MAX(E96:E99))</f>
        <v>0</v>
      </c>
      <c r="H95" s="1687" t="s">
        <v>1205</v>
      </c>
      <c r="I95" s="4" t="s">
        <v>598</v>
      </c>
    </row>
    <row r="96" spans="1:9" s="43" customFormat="1" ht="15" customHeight="1" x14ac:dyDescent="0.2">
      <c r="A96" s="2275"/>
      <c r="B96" s="2283"/>
      <c r="C96" s="1155" t="str">
        <f>OF!C199</f>
        <v xml:space="preserve">in the AA </v>
      </c>
      <c r="D96" s="350">
        <f>OF!D199</f>
        <v>0</v>
      </c>
      <c r="E96" s="1215">
        <v>2</v>
      </c>
      <c r="F96" s="1070">
        <f>D96*E96</f>
        <v>0</v>
      </c>
      <c r="G96" s="1186"/>
      <c r="H96" s="2283"/>
    </row>
    <row r="97" spans="1:9" s="43" customFormat="1" ht="15" customHeight="1" x14ac:dyDescent="0.2">
      <c r="A97" s="2275"/>
      <c r="B97" s="2283"/>
      <c r="C97" s="1156" t="str">
        <f>OF!C200</f>
        <v>outside the AA but within 0.5 mile, in a generally similar wetland</v>
      </c>
      <c r="D97" s="351">
        <f>OF!D200</f>
        <v>0</v>
      </c>
      <c r="E97" s="1215">
        <v>0</v>
      </c>
      <c r="F97" s="1070">
        <f>D97*E97</f>
        <v>0</v>
      </c>
      <c r="G97" s="1187"/>
      <c r="H97" s="2283"/>
    </row>
    <row r="98" spans="1:9" s="43" customFormat="1" ht="15" customHeight="1" x14ac:dyDescent="0.2">
      <c r="A98" s="2275"/>
      <c r="B98" s="2283"/>
      <c r="C98" s="1156" t="str">
        <f>OF!C201</f>
        <v>outside the AA and 0.5 to 2 miles away, in a generally similar wetland</v>
      </c>
      <c r="D98" s="351">
        <f>OF!D201</f>
        <v>0</v>
      </c>
      <c r="E98" s="1215">
        <v>0</v>
      </c>
      <c r="F98" s="1070">
        <f>D98*E98</f>
        <v>0</v>
      </c>
      <c r="G98" s="1187"/>
      <c r="H98" s="2283"/>
    </row>
    <row r="99" spans="1:9" s="43" customFormat="1" ht="42" customHeight="1" x14ac:dyDescent="0.2">
      <c r="A99" s="2275"/>
      <c r="B99" s="2283"/>
      <c r="C99" s="1156" t="str">
        <f>OF!C202</f>
        <v>beyond 2 miles, or no recent observation of these species by a qualified observer under conditions similar to what now occur, or no data.  However: at least one of the following have been confirmed nesting in the AA: Greater Yellowlegs, Wilson's Snipe, American Bittern, Sora, Sandhill Crane, any duck species.</v>
      </c>
      <c r="D99" s="351">
        <f>OF!D202</f>
        <v>0</v>
      </c>
      <c r="E99" s="1215">
        <v>1</v>
      </c>
      <c r="F99" s="1070">
        <f>D99*E99</f>
        <v>0</v>
      </c>
      <c r="G99" s="1192"/>
      <c r="H99" s="2283"/>
    </row>
    <row r="100" spans="1:9" s="43" customFormat="1" ht="15.6" customHeight="1" thickBot="1" x14ac:dyDescent="0.25">
      <c r="A100" s="2276"/>
      <c r="B100" s="2284"/>
      <c r="C100" s="1157" t="str">
        <f>OF!C203</f>
        <v>none of above, or no data</v>
      </c>
      <c r="D100" s="352">
        <f>OF!D203</f>
        <v>0</v>
      </c>
      <c r="E100" s="1219"/>
      <c r="F100" s="1176"/>
      <c r="G100" s="1188"/>
      <c r="H100" s="2284"/>
    </row>
    <row r="101" spans="1:9" s="43" customFormat="1" ht="45" customHeight="1" thickBot="1" x14ac:dyDescent="0.25">
      <c r="A101" s="2285" t="str">
        <f>OF!A204</f>
        <v>OF43</v>
      </c>
      <c r="B101" s="2283" t="str">
        <f>OF!B204</f>
        <v>Non-breeding (Feeding) Waterbird Species of Conservation Concern</v>
      </c>
      <c r="C101" s="1158" t="str">
        <f>OF!C204</f>
        <v xml:space="preserve">One or more of these species -- Pacific Loon, Yellow-billed Loon, Red-necked Grebe, Horned Grebe, Trumpeter Swan -- has been detected feeding semi-annually under conditions similar to what now occur, by a qualified observer.  Mark just the first choice that is true: </v>
      </c>
      <c r="D101" s="1170"/>
      <c r="E101" s="1213"/>
      <c r="F101" s="1214"/>
      <c r="G101" s="1190">
        <f>IF((D105=1),"",MAX(F102:F104))</f>
        <v>0</v>
      </c>
      <c r="H101" s="1688" t="s">
        <v>287</v>
      </c>
      <c r="I101" s="4" t="s">
        <v>599</v>
      </c>
    </row>
    <row r="102" spans="1:9" s="43" customFormat="1" ht="15" customHeight="1" x14ac:dyDescent="0.2">
      <c r="A102" s="2285"/>
      <c r="B102" s="2283"/>
      <c r="C102" s="1155" t="str">
        <f>OF!C205</f>
        <v xml:space="preserve">in the AA </v>
      </c>
      <c r="D102" s="350">
        <f>OF!D205</f>
        <v>0</v>
      </c>
      <c r="E102" s="1215">
        <v>1</v>
      </c>
      <c r="F102" s="1070">
        <f>D102*E102</f>
        <v>0</v>
      </c>
      <c r="G102" s="1186"/>
      <c r="H102" s="2283"/>
    </row>
    <row r="103" spans="1:9" s="43" customFormat="1" ht="15" customHeight="1" x14ac:dyDescent="0.2">
      <c r="A103" s="2285"/>
      <c r="B103" s="2283"/>
      <c r="C103" s="1156" t="str">
        <f>OF!C206</f>
        <v>outside the AA but within 0.5 mile, in a generally similar wetland</v>
      </c>
      <c r="D103" s="351">
        <f>OF!D206</f>
        <v>0</v>
      </c>
      <c r="E103" s="1215">
        <v>0</v>
      </c>
      <c r="F103" s="1070">
        <f>D103*E103</f>
        <v>0</v>
      </c>
      <c r="G103" s="1187"/>
      <c r="H103" s="2283"/>
    </row>
    <row r="104" spans="1:9" s="43" customFormat="1" ht="15" customHeight="1" x14ac:dyDescent="0.2">
      <c r="A104" s="2285"/>
      <c r="B104" s="2283"/>
      <c r="C104" s="1156" t="str">
        <f>OF!C207</f>
        <v>outside the AA and 0.5 to 2 miles away, in a generally similar wetland</v>
      </c>
      <c r="D104" s="351">
        <f>OF!D207</f>
        <v>0</v>
      </c>
      <c r="E104" s="1215">
        <v>0</v>
      </c>
      <c r="F104" s="1070">
        <f>D104*E104</f>
        <v>0</v>
      </c>
      <c r="G104" s="1187"/>
      <c r="H104" s="2283"/>
    </row>
    <row r="105" spans="1:9" s="43" customFormat="1" ht="27.6" customHeight="1" thickBot="1" x14ac:dyDescent="0.25">
      <c r="A105" s="2285"/>
      <c r="B105" s="2283"/>
      <c r="C105" s="1159" t="str">
        <f>OF!C208</f>
        <v xml:space="preserve">beyond 2 miles, or no recent observation of these species by a qualified observer under conditions similar to what now occur, or no data. </v>
      </c>
      <c r="D105" s="353">
        <f>OF!D208</f>
        <v>0</v>
      </c>
      <c r="E105" s="1216"/>
      <c r="F105" s="1182"/>
      <c r="G105" s="1192"/>
      <c r="H105" s="2283"/>
    </row>
    <row r="106" spans="1:9" s="43" customFormat="1" ht="60" customHeight="1" thickBot="1" x14ac:dyDescent="0.25">
      <c r="A106" s="2274" t="str">
        <f>OF!A209</f>
        <v>OF44</v>
      </c>
      <c r="B106" s="2293" t="str">
        <f>OF!B209</f>
        <v>Songbird or Raptor Species of Conservation Concern</v>
      </c>
      <c r="C106" s="1154" t="str">
        <f>OF!C209</f>
        <v xml:space="preserve">One or more of these species -- Osprey, Peregrine Falcon, Northern (Queen Charlotte) Goshawk, Olive-sided Flycatcher, Rusty Blackbird -- has been detected nesting semi-annually in the AA or along the AA's upland edge (within 300 ft) under conditions similar to what now occur, by a qualified observer. Mark just the first choice that is true: </v>
      </c>
      <c r="D106" s="1170"/>
      <c r="E106" s="1217"/>
      <c r="F106" s="1218"/>
      <c r="G106" s="1185">
        <f>IF((D111=1),"",MAX(F107:F110)/MAX(E107:E110))</f>
        <v>0</v>
      </c>
      <c r="H106" s="1687" t="s">
        <v>287</v>
      </c>
      <c r="I106" s="4" t="s">
        <v>600</v>
      </c>
    </row>
    <row r="107" spans="1:9" s="43" customFormat="1" ht="15" customHeight="1" x14ac:dyDescent="0.2">
      <c r="A107" s="2275"/>
      <c r="B107" s="2283"/>
      <c r="C107" s="1155" t="str">
        <f>OF!C210</f>
        <v xml:space="preserve">in the AA </v>
      </c>
      <c r="D107" s="350">
        <f>OF!D210</f>
        <v>0</v>
      </c>
      <c r="E107" s="1215">
        <v>2</v>
      </c>
      <c r="F107" s="1070">
        <f>D107*E107</f>
        <v>0</v>
      </c>
      <c r="G107" s="1186"/>
      <c r="H107" s="2283"/>
    </row>
    <row r="108" spans="1:9" s="43" customFormat="1" ht="15" customHeight="1" x14ac:dyDescent="0.2">
      <c r="A108" s="2275"/>
      <c r="B108" s="2283"/>
      <c r="C108" s="1156" t="str">
        <f>OF!C211</f>
        <v>outside the AA but within 0.5 mile, in a generally similar wetland.</v>
      </c>
      <c r="D108" s="351">
        <f>OF!D211</f>
        <v>0</v>
      </c>
      <c r="E108" s="1215">
        <v>0</v>
      </c>
      <c r="F108" s="1070">
        <f>D108*E108</f>
        <v>0</v>
      </c>
      <c r="G108" s="1187"/>
      <c r="H108" s="2283"/>
    </row>
    <row r="109" spans="1:9" s="43" customFormat="1" ht="15" customHeight="1" x14ac:dyDescent="0.2">
      <c r="A109" s="2275"/>
      <c r="B109" s="2283"/>
      <c r="C109" s="1156" t="str">
        <f>OF!C212</f>
        <v>outside the AA and 0.5 to 2 miles away, in a generally similar wetland.</v>
      </c>
      <c r="D109" s="351">
        <f>OF!D212</f>
        <v>0</v>
      </c>
      <c r="E109" s="1215">
        <v>0</v>
      </c>
      <c r="F109" s="1070">
        <f>D109*E109</f>
        <v>0</v>
      </c>
      <c r="G109" s="1187"/>
      <c r="H109" s="2283"/>
    </row>
    <row r="110" spans="1:9" s="43" customFormat="1" ht="57" customHeight="1" x14ac:dyDescent="0.2">
      <c r="A110" s="2275"/>
      <c r="B110" s="2283"/>
      <c r="C110" s="1156" t="str">
        <f>OF!C213</f>
        <v>beyond 2 miles, or no recent observation of these species by a qualified observer under conditions similar to what now occur. However: at least one of the following have been confirmed nesting in the AA: Short-eared Owl, Alder Flycatcher, Warbling Vireo, Red-eyed Vireo, Northern Waterthrush, Common Yellowthroat, Red-winged Blackbird.</v>
      </c>
      <c r="D110" s="351">
        <f>OF!D213</f>
        <v>0</v>
      </c>
      <c r="E110" s="1215">
        <v>1</v>
      </c>
      <c r="F110" s="1070">
        <f>D110*E110</f>
        <v>0</v>
      </c>
      <c r="G110" s="1192"/>
      <c r="H110" s="2283"/>
    </row>
    <row r="111" spans="1:9" s="43" customFormat="1" ht="15.6" customHeight="1" thickBot="1" x14ac:dyDescent="0.25">
      <c r="A111" s="2276"/>
      <c r="B111" s="2284"/>
      <c r="C111" s="1157" t="str">
        <f>OF!C214</f>
        <v>none of above, or no data</v>
      </c>
      <c r="D111" s="352">
        <f>OF!D214</f>
        <v>0</v>
      </c>
      <c r="E111" s="1219"/>
      <c r="F111" s="1176"/>
      <c r="G111" s="1188"/>
      <c r="H111" s="2284"/>
    </row>
    <row r="112" spans="1:9" s="43" customFormat="1" ht="60" customHeight="1" thickBot="1" x14ac:dyDescent="0.25">
      <c r="A112" s="2285" t="str">
        <f>OF!A215</f>
        <v>OF45</v>
      </c>
      <c r="B112" s="2283" t="str">
        <f>OF!B215</f>
        <v>Plants of Conservation Concern</v>
      </c>
      <c r="C112" s="1158" t="str">
        <f>OF!C215</f>
        <v>The AA contains an uncommon or imperiled wetland indicator plant that is (a) listed in Table C-6 of the Manual, or (b) is a native species that is not listed as occurring in Southeast Alaska in the PlantList worksheet, has been detected within the AA under conditions similar to what now occur, by a qualified observer, and:</v>
      </c>
      <c r="D112" s="1170"/>
      <c r="E112" s="1213"/>
      <c r="F112" s="1214"/>
      <c r="G112" s="1190">
        <f>IF((D115=1),"",MAX(F113:F114)/2)</f>
        <v>0</v>
      </c>
      <c r="H112" s="1688" t="s">
        <v>287</v>
      </c>
      <c r="I112" s="4" t="s">
        <v>601</v>
      </c>
    </row>
    <row r="113" spans="1:9" s="43" customFormat="1" ht="15" customHeight="1" x14ac:dyDescent="0.2">
      <c r="A113" s="2285"/>
      <c r="B113" s="2283"/>
      <c r="C113" s="1155" t="str">
        <f>OF!C216</f>
        <v>more than 1 such feature or species is present in the AA</v>
      </c>
      <c r="D113" s="350">
        <f>OF!D216</f>
        <v>0</v>
      </c>
      <c r="E113" s="1215">
        <v>2</v>
      </c>
      <c r="F113" s="1070">
        <f>D113*E113</f>
        <v>0</v>
      </c>
      <c r="G113" s="1186"/>
      <c r="H113" s="2283"/>
    </row>
    <row r="114" spans="1:9" s="43" customFormat="1" ht="15" customHeight="1" x14ac:dyDescent="0.2">
      <c r="A114" s="2285"/>
      <c r="B114" s="2283"/>
      <c r="C114" s="1156" t="str">
        <f>OF!C217</f>
        <v>only one such species or feature is present in the AA</v>
      </c>
      <c r="D114" s="351">
        <f>OF!D217</f>
        <v>0</v>
      </c>
      <c r="E114" s="1215">
        <v>1</v>
      </c>
      <c r="F114" s="1070">
        <f>D114*E114</f>
        <v>0</v>
      </c>
      <c r="G114" s="1187"/>
      <c r="H114" s="2283"/>
    </row>
    <row r="115" spans="1:9" s="43" customFormat="1" ht="27.6" customHeight="1" thickBot="1" x14ac:dyDescent="0.25">
      <c r="A115" s="2285"/>
      <c r="B115" s="2283"/>
      <c r="C115" s="1159" t="str">
        <f>OF!C218</f>
        <v>there are no recent observations of these in the AA by a qualified observer under conditions similar to what now occur, or no data.</v>
      </c>
      <c r="D115" s="353">
        <f>OF!D218</f>
        <v>0</v>
      </c>
      <c r="E115" s="1216"/>
      <c r="F115" s="1182"/>
      <c r="G115" s="1192"/>
      <c r="H115" s="2283"/>
    </row>
    <row r="116" spans="1:9" ht="30" customHeight="1" thickBot="1" x14ac:dyDescent="0.25">
      <c r="A116" s="1868" t="str">
        <f>F!A4</f>
        <v>F1</v>
      </c>
      <c r="B116" s="1687" t="str">
        <f>F!B4</f>
        <v>Wetland Type</v>
      </c>
      <c r="C116" s="231" t="str">
        <f>F!C4</f>
        <v>Most of the vegetated part of the AA (wetland Assessment Area) is a (select ONE):</v>
      </c>
      <c r="D116" s="1170"/>
      <c r="E116" s="1220"/>
      <c r="F116" s="1171"/>
      <c r="G116" s="836">
        <f>IF((D122=1),"",MAX(F117:F121)/MAX(E117:E121))</f>
        <v>0</v>
      </c>
      <c r="H116" s="1687" t="s">
        <v>1154</v>
      </c>
      <c r="I116" s="4" t="s">
        <v>1041</v>
      </c>
    </row>
    <row r="117" spans="1:9" ht="21" customHeight="1" x14ac:dyDescent="0.2">
      <c r="A117" s="1869"/>
      <c r="B117" s="1688"/>
      <c r="C117" s="21" t="str">
        <f>F!C5</f>
        <v>Forested Peatland</v>
      </c>
      <c r="D117" s="280">
        <f>F!D5</f>
        <v>0</v>
      </c>
      <c r="E117" s="1070">
        <v>4</v>
      </c>
      <c r="F117" s="1070">
        <f>D117*E117</f>
        <v>0</v>
      </c>
      <c r="G117" s="1173"/>
      <c r="H117" s="1688"/>
    </row>
    <row r="118" spans="1:9" ht="21" customHeight="1" x14ac:dyDescent="0.2">
      <c r="A118" s="1869"/>
      <c r="B118" s="1688"/>
      <c r="C118" s="6" t="str">
        <f>F!C6</f>
        <v>Open Peatland</v>
      </c>
      <c r="D118" s="46">
        <f>F!D6</f>
        <v>0</v>
      </c>
      <c r="E118" s="1070">
        <v>5</v>
      </c>
      <c r="F118" s="1070">
        <f>D118*E118</f>
        <v>0</v>
      </c>
      <c r="G118" s="1174"/>
      <c r="H118" s="1688"/>
    </row>
    <row r="119" spans="1:9" ht="21" customHeight="1" x14ac:dyDescent="0.2">
      <c r="A119" s="1869"/>
      <c r="B119" s="1688"/>
      <c r="C119" s="6" t="str">
        <f>F!C7</f>
        <v>Fen/ Marsh</v>
      </c>
      <c r="D119" s="46">
        <f>F!D7</f>
        <v>0</v>
      </c>
      <c r="E119" s="1070">
        <v>2</v>
      </c>
      <c r="F119" s="1070">
        <f>D119*E119</f>
        <v>0</v>
      </c>
      <c r="G119" s="1174"/>
      <c r="H119" s="1688"/>
    </row>
    <row r="120" spans="1:9" ht="21" customHeight="1" x14ac:dyDescent="0.2">
      <c r="A120" s="1869"/>
      <c r="B120" s="1688"/>
      <c r="C120" s="6" t="str">
        <f>F!C8</f>
        <v>Floodplain Wetland</v>
      </c>
      <c r="D120" s="46">
        <f>F!D8</f>
        <v>0</v>
      </c>
      <c r="E120" s="1070">
        <v>1</v>
      </c>
      <c r="F120" s="1070">
        <f>D120*E120</f>
        <v>0</v>
      </c>
      <c r="G120" s="1174"/>
      <c r="H120" s="1688"/>
    </row>
    <row r="121" spans="1:9" ht="21" customHeight="1" x14ac:dyDescent="0.2">
      <c r="A121" s="1869"/>
      <c r="B121" s="1688"/>
      <c r="C121" s="6" t="str">
        <f>F!C9</f>
        <v>Uplift Meadow</v>
      </c>
      <c r="D121" s="46">
        <f>F!D9</f>
        <v>0</v>
      </c>
      <c r="E121" s="1070">
        <v>3</v>
      </c>
      <c r="F121" s="1070">
        <f>D121*E121</f>
        <v>0</v>
      </c>
      <c r="G121" s="1174"/>
      <c r="H121" s="1688"/>
    </row>
    <row r="122" spans="1:9" ht="21" customHeight="1" thickBot="1" x14ac:dyDescent="0.25">
      <c r="A122" s="1870"/>
      <c r="B122" s="1689"/>
      <c r="C122" s="214" t="str">
        <f>F!C10</f>
        <v>Tidal Marsh or Tidal Swamp.  Do not continue.  Use other spreadsheet.</v>
      </c>
      <c r="D122" s="213">
        <f>F!D10</f>
        <v>0</v>
      </c>
      <c r="E122" s="1176"/>
      <c r="F122" s="1176"/>
      <c r="G122" s="1177"/>
      <c r="H122" s="1689"/>
    </row>
    <row r="123" spans="1:9" ht="30" customHeight="1" thickBot="1" x14ac:dyDescent="0.25">
      <c r="A123" s="1845" t="str">
        <f>F!A11</f>
        <v>F2</v>
      </c>
      <c r="B123" s="1688" t="str">
        <f>F!B11</f>
        <v>% Saturated Only</v>
      </c>
      <c r="C123" s="381" t="str">
        <f>F!C11</f>
        <v>The percentage of the AA that lacks surface water during an average year (that is, except perhaps for a few hours after snowmelt or rainstorms), but which is still a wetland, is:</v>
      </c>
      <c r="D123" s="1170"/>
      <c r="E123" s="1221"/>
      <c r="F123" s="1222"/>
      <c r="G123" s="1180">
        <f>MAX(F124:F129)/MAX(E124:E129)</f>
        <v>0</v>
      </c>
      <c r="H123" s="1688" t="s">
        <v>1332</v>
      </c>
      <c r="I123" s="4" t="s">
        <v>1930</v>
      </c>
    </row>
    <row r="124" spans="1:9" ht="27" customHeight="1" x14ac:dyDescent="0.2">
      <c r="A124" s="1845"/>
      <c r="B124" s="1688"/>
      <c r="C124" s="384" t="str">
        <f>F!C12</f>
        <v>less than 1%, or &lt;0.01 acre (about 20 ft on a side) never has surface water.  In other words, all or nearly all of the AA is inundated permanently or at least seasonally.</v>
      </c>
      <c r="D124" s="280">
        <f>F!D12</f>
        <v>0</v>
      </c>
      <c r="E124" s="1070">
        <v>0</v>
      </c>
      <c r="F124" s="1070">
        <f t="shared" ref="F124:F129" si="2">D124*E124</f>
        <v>0</v>
      </c>
      <c r="G124" s="1174"/>
      <c r="H124" s="1688"/>
    </row>
    <row r="125" spans="1:9" ht="15" customHeight="1" x14ac:dyDescent="0.2">
      <c r="A125" s="1845"/>
      <c r="B125" s="1688"/>
      <c r="C125" s="487" t="str">
        <f>F!C13</f>
        <v xml:space="preserve">1-25% of the AA never contains surface water.  </v>
      </c>
      <c r="D125" s="46">
        <f>F!D13</f>
        <v>0</v>
      </c>
      <c r="E125" s="1070">
        <v>1</v>
      </c>
      <c r="F125" s="1070">
        <f t="shared" si="2"/>
        <v>0</v>
      </c>
      <c r="G125" s="1174"/>
      <c r="H125" s="1688"/>
    </row>
    <row r="126" spans="1:9" ht="15" customHeight="1" x14ac:dyDescent="0.2">
      <c r="A126" s="1845"/>
      <c r="B126" s="1688"/>
      <c r="C126" s="487" t="str">
        <f>F!C14</f>
        <v>25-50% of the AA never contains surface water.</v>
      </c>
      <c r="D126" s="46">
        <f>F!D14</f>
        <v>0</v>
      </c>
      <c r="E126" s="1070">
        <v>2</v>
      </c>
      <c r="F126" s="1070">
        <f t="shared" si="2"/>
        <v>0</v>
      </c>
      <c r="G126" s="1174"/>
      <c r="H126" s="1688"/>
    </row>
    <row r="127" spans="1:9" ht="15" customHeight="1" x14ac:dyDescent="0.2">
      <c r="A127" s="1845"/>
      <c r="B127" s="1688"/>
      <c r="C127" s="487" t="str">
        <f>F!C15</f>
        <v>50-99% of the AA never contains surface water.</v>
      </c>
      <c r="D127" s="46">
        <f>F!D15</f>
        <v>0</v>
      </c>
      <c r="E127" s="1070">
        <v>3</v>
      </c>
      <c r="F127" s="1070">
        <f t="shared" si="2"/>
        <v>0</v>
      </c>
      <c r="G127" s="1174"/>
      <c r="H127" s="1688"/>
    </row>
    <row r="128" spans="1:9" ht="27" customHeight="1" x14ac:dyDescent="0.2">
      <c r="A128" s="1845"/>
      <c r="B128" s="1688"/>
      <c r="C128" s="487" t="str">
        <f>F!C16</f>
        <v>&gt;99% of the AA never contains surface water, except for water flowing in channels and/or in pools that occupy &lt;1% of the AA. SKIP to F30.</v>
      </c>
      <c r="D128" s="46">
        <f>F!D16</f>
        <v>0</v>
      </c>
      <c r="E128" s="1070">
        <v>4</v>
      </c>
      <c r="F128" s="1070">
        <f t="shared" si="2"/>
        <v>0</v>
      </c>
      <c r="G128" s="1174"/>
      <c r="H128" s="1688"/>
    </row>
    <row r="129" spans="1:9" ht="27.6" customHeight="1" thickBot="1" x14ac:dyDescent="0.25">
      <c r="A129" s="1845"/>
      <c r="B129" s="1688"/>
      <c r="C129" s="379" t="str">
        <f>F!C17</f>
        <v>&gt;99% of the AA never contains surface water, and AA is not intersected by channels that have flow, not even for a few days per year. SKIP to F28.</v>
      </c>
      <c r="D129" s="20">
        <f>F!D17</f>
        <v>0</v>
      </c>
      <c r="E129" s="1182">
        <v>5</v>
      </c>
      <c r="F129" s="1182">
        <f t="shared" si="2"/>
        <v>0</v>
      </c>
      <c r="G129" s="1183"/>
      <c r="H129" s="1688"/>
    </row>
    <row r="130" spans="1:9" s="43" customFormat="1" ht="30" customHeight="1" thickBot="1" x14ac:dyDescent="0.25">
      <c r="A130" s="2303" t="str">
        <f>F!A44</f>
        <v>F9</v>
      </c>
      <c r="B130" s="2291" t="str">
        <f>F!B44</f>
        <v>Predominant Depth Class</v>
      </c>
      <c r="C130" s="1154" t="str">
        <f>F!C44</f>
        <v>During most of the growing season, surface water depth in most of the area where it is present is: [Note: This is not asking for the maximum depth.]</v>
      </c>
      <c r="D130" s="1170"/>
      <c r="E130" s="1170"/>
      <c r="F130" s="1171"/>
      <c r="G130" s="836">
        <f>IF((AllSat+AllSat1&gt;0),"",(MAX(F131:F135))/MAX(E131:E135))</f>
        <v>0</v>
      </c>
      <c r="H130" s="1687" t="s">
        <v>5544</v>
      </c>
      <c r="I130" s="4" t="s">
        <v>1047</v>
      </c>
    </row>
    <row r="131" spans="1:9" s="43" customFormat="1" ht="15" customHeight="1" x14ac:dyDescent="0.2">
      <c r="A131" s="2304"/>
      <c r="B131" s="2273"/>
      <c r="C131" s="1155" t="str">
        <f>F!C45</f>
        <v>&lt;0.5 ft deep (but &gt;0)</v>
      </c>
      <c r="D131" s="350">
        <f>F!D45</f>
        <v>0</v>
      </c>
      <c r="E131" s="1172">
        <v>4</v>
      </c>
      <c r="F131" s="1070">
        <f>D131*E131</f>
        <v>0</v>
      </c>
      <c r="G131" s="1173"/>
      <c r="H131" s="2283"/>
    </row>
    <row r="132" spans="1:9" s="43" customFormat="1" ht="15" customHeight="1" x14ac:dyDescent="0.2">
      <c r="A132" s="2304"/>
      <c r="B132" s="2273"/>
      <c r="C132" s="1156" t="str">
        <f>F!C46</f>
        <v>0.5 - 1 ft deep</v>
      </c>
      <c r="D132" s="351">
        <f>F!D46</f>
        <v>0</v>
      </c>
      <c r="E132" s="1172">
        <v>3</v>
      </c>
      <c r="F132" s="1070">
        <f>D132*E132</f>
        <v>0</v>
      </c>
      <c r="G132" s="1174"/>
      <c r="H132" s="2283"/>
    </row>
    <row r="133" spans="1:9" s="43" customFormat="1" ht="15" customHeight="1" x14ac:dyDescent="0.2">
      <c r="A133" s="2304"/>
      <c r="B133" s="2273"/>
      <c r="C133" s="1156" t="str">
        <f>F!C47</f>
        <v>1-2 ft deep</v>
      </c>
      <c r="D133" s="351">
        <f>F!D47</f>
        <v>0</v>
      </c>
      <c r="E133" s="1172">
        <v>2</v>
      </c>
      <c r="F133" s="1070">
        <f>D133*E133</f>
        <v>0</v>
      </c>
      <c r="G133" s="1174"/>
      <c r="H133" s="2283"/>
    </row>
    <row r="134" spans="1:9" s="43" customFormat="1" ht="15" customHeight="1" x14ac:dyDescent="0.2">
      <c r="A134" s="2304"/>
      <c r="B134" s="2273"/>
      <c r="C134" s="1156" t="str">
        <f>F!C48</f>
        <v>2-6 ft deep</v>
      </c>
      <c r="D134" s="351">
        <f>F!D48</f>
        <v>0</v>
      </c>
      <c r="E134" s="1172">
        <v>1</v>
      </c>
      <c r="F134" s="1070">
        <f>D134*E134</f>
        <v>0</v>
      </c>
      <c r="G134" s="1174"/>
      <c r="H134" s="2283"/>
    </row>
    <row r="135" spans="1:9" s="43" customFormat="1" ht="15.6" customHeight="1" thickBot="1" x14ac:dyDescent="0.25">
      <c r="A135" s="2305"/>
      <c r="B135" s="2292"/>
      <c r="C135" s="1157" t="str">
        <f>F!C49</f>
        <v>&gt;6 ft deep.  True for many fringe wetlands.</v>
      </c>
      <c r="D135" s="352">
        <f>F!D49</f>
        <v>0</v>
      </c>
      <c r="E135" s="1194">
        <v>0</v>
      </c>
      <c r="F135" s="1176">
        <f>D135*E135</f>
        <v>0</v>
      </c>
      <c r="G135" s="1177"/>
      <c r="H135" s="2284"/>
    </row>
    <row r="136" spans="1:9" s="43" customFormat="1" ht="60" customHeight="1" thickBot="1" x14ac:dyDescent="0.25">
      <c r="A136" s="2290" t="str">
        <f>F!A61</f>
        <v>F13</v>
      </c>
      <c r="B136" s="2273" t="str">
        <f>F!B61</f>
        <v>Width of AA's Vegetated Zone</v>
      </c>
      <c r="C136" s="1158" t="str">
        <f>F!C61</f>
        <v>At the driest time of year (or lowest water level), the width of vegetated area in the AA that separates adjoining uplands from most of the open water within or adjoining the AA is:</v>
      </c>
      <c r="D136" s="1170"/>
      <c r="E136" s="1178"/>
      <c r="F136" s="1179"/>
      <c r="G136" s="1180" t="str">
        <f>IF((AllSat+AllSat1&gt;0),"",IF((OpenW=0),"",MAX(F137:F141)/MAX(E137:E141)))</f>
        <v/>
      </c>
      <c r="H136" s="1688" t="s">
        <v>5424</v>
      </c>
      <c r="I136" s="4" t="s">
        <v>1048</v>
      </c>
    </row>
    <row r="137" spans="1:9" s="43" customFormat="1" ht="27" customHeight="1" x14ac:dyDescent="0.2">
      <c r="A137" s="2290"/>
      <c r="B137" s="2273"/>
      <c r="C137" s="1155" t="str">
        <f>F!C62</f>
        <v xml:space="preserve">1-5 ft </v>
      </c>
      <c r="D137" s="350">
        <f>F!D62</f>
        <v>0</v>
      </c>
      <c r="E137" s="1172">
        <v>6</v>
      </c>
      <c r="F137" s="1070">
        <f>D137*E137</f>
        <v>0</v>
      </c>
      <c r="G137" s="1173"/>
      <c r="H137" s="2283"/>
    </row>
    <row r="138" spans="1:9" s="43" customFormat="1" ht="27" customHeight="1" x14ac:dyDescent="0.2">
      <c r="A138" s="2290"/>
      <c r="B138" s="2273"/>
      <c r="C138" s="1156" t="str">
        <f>F!C63</f>
        <v>5-25 ft</v>
      </c>
      <c r="D138" s="351">
        <f>F!D63</f>
        <v>0</v>
      </c>
      <c r="E138" s="1172">
        <v>4</v>
      </c>
      <c r="F138" s="1070">
        <f>D138*E138</f>
        <v>0</v>
      </c>
      <c r="G138" s="1174"/>
      <c r="H138" s="2283"/>
    </row>
    <row r="139" spans="1:9" s="43" customFormat="1" ht="27" customHeight="1" x14ac:dyDescent="0.2">
      <c r="A139" s="2290"/>
      <c r="B139" s="2273"/>
      <c r="C139" s="1156" t="str">
        <f>F!C64</f>
        <v>25-100 ft</v>
      </c>
      <c r="D139" s="351">
        <f>F!D64</f>
        <v>0</v>
      </c>
      <c r="E139" s="1172">
        <v>2</v>
      </c>
      <c r="F139" s="1070">
        <f>D139*E139</f>
        <v>0</v>
      </c>
      <c r="G139" s="1174"/>
      <c r="H139" s="2283"/>
    </row>
    <row r="140" spans="1:9" s="43" customFormat="1" ht="27" customHeight="1" x14ac:dyDescent="0.2">
      <c r="A140" s="2290"/>
      <c r="B140" s="2273"/>
      <c r="C140" s="1156" t="str">
        <f>F!C65</f>
        <v>100-300 ft</v>
      </c>
      <c r="D140" s="351">
        <f>F!D65</f>
        <v>0</v>
      </c>
      <c r="E140" s="1172">
        <v>1</v>
      </c>
      <c r="F140" s="1070">
        <f>D140*E140</f>
        <v>0</v>
      </c>
      <c r="G140" s="1174"/>
      <c r="H140" s="2283"/>
    </row>
    <row r="141" spans="1:9" s="43" customFormat="1" ht="27" customHeight="1" thickBot="1" x14ac:dyDescent="0.25">
      <c r="A141" s="2290"/>
      <c r="B141" s="2273"/>
      <c r="C141" s="1159" t="str">
        <f>F!C66</f>
        <v>&gt;300 ft</v>
      </c>
      <c r="D141" s="353">
        <f>F!D66</f>
        <v>0</v>
      </c>
      <c r="E141" s="1181">
        <v>0</v>
      </c>
      <c r="F141" s="1182">
        <f>D141*E141</f>
        <v>0</v>
      </c>
      <c r="G141" s="1183"/>
      <c r="H141" s="2283"/>
    </row>
    <row r="142" spans="1:9" s="43" customFormat="1" ht="45" customHeight="1" thickBot="1" x14ac:dyDescent="0.25">
      <c r="A142" s="2289" t="str">
        <f>F!A71</f>
        <v>F15</v>
      </c>
      <c r="B142" s="2321" t="str">
        <f>F!B71</f>
        <v>All Ponded Water - Extent</v>
      </c>
      <c r="C142" s="1154" t="str">
        <f>F!C71</f>
        <v>During most of the growing season, the percentage of the AA that has ponded surface water (stagnant, or flows so slowly that fine sediment is not held in suspension) which is either open or shaded by emergent vegetation is:</v>
      </c>
      <c r="D142" s="1170"/>
      <c r="E142" s="1170"/>
      <c r="F142" s="1171"/>
      <c r="G142" s="836">
        <f>IF((AllSat+AllSat1&gt;0),"",MAX(F143:F149)/MAX(E143:E149))</f>
        <v>0</v>
      </c>
      <c r="H142" s="1687" t="s">
        <v>5425</v>
      </c>
      <c r="I142" s="4" t="s">
        <v>1045</v>
      </c>
    </row>
    <row r="143" spans="1:9" s="43" customFormat="1" ht="15" customHeight="1" x14ac:dyDescent="0.2">
      <c r="A143" s="2319"/>
      <c r="B143" s="2322"/>
      <c r="C143" s="1155" t="str">
        <f>F!C72</f>
        <v>&lt;1% or none, or occupies &lt;100 sq. ft cumulatively.  Enter "1" and SKIP to F19.</v>
      </c>
      <c r="D143" s="350">
        <f>F!D72</f>
        <v>0</v>
      </c>
      <c r="E143" s="1069">
        <v>1</v>
      </c>
      <c r="F143" s="1070">
        <f t="shared" ref="F143:F149" si="3">D143*E143</f>
        <v>0</v>
      </c>
      <c r="G143" s="1174"/>
      <c r="H143" s="2283"/>
    </row>
    <row r="144" spans="1:9" s="43" customFormat="1" ht="15" customHeight="1" x14ac:dyDescent="0.2">
      <c r="A144" s="2319"/>
      <c r="B144" s="2322"/>
      <c r="C144" s="1155" t="str">
        <f>F!C73</f>
        <v>1-25% of the AA, and mainly in small fishless pools. Enter "1" and SKIP to F19.</v>
      </c>
      <c r="D144" s="350">
        <f>F!D73</f>
        <v>0</v>
      </c>
      <c r="E144" s="1069">
        <v>3</v>
      </c>
      <c r="F144" s="1070">
        <f t="shared" si="3"/>
        <v>0</v>
      </c>
      <c r="G144" s="1174"/>
      <c r="H144" s="2283"/>
    </row>
    <row r="145" spans="1:9" s="43" customFormat="1" ht="15" customHeight="1" x14ac:dyDescent="0.2">
      <c r="A145" s="2319"/>
      <c r="B145" s="2322"/>
      <c r="C145" s="1155" t="str">
        <f>F!C74</f>
        <v>1-25% of the AA, and mainly in a single large pool or pond, with or without fish access.</v>
      </c>
      <c r="D145" s="350">
        <f>F!D74</f>
        <v>0</v>
      </c>
      <c r="E145" s="1069">
        <v>2</v>
      </c>
      <c r="F145" s="1070">
        <f t="shared" si="3"/>
        <v>0</v>
      </c>
      <c r="G145" s="1174"/>
      <c r="H145" s="2283"/>
    </row>
    <row r="146" spans="1:9" s="43" customFormat="1" ht="15" customHeight="1" x14ac:dyDescent="0.2">
      <c r="A146" s="2319"/>
      <c r="B146" s="2322"/>
      <c r="C146" s="1155" t="str">
        <f>F!C75</f>
        <v>5-30% of the AA.</v>
      </c>
      <c r="D146" s="350">
        <f>F!D75</f>
        <v>0</v>
      </c>
      <c r="E146" s="1069">
        <v>4</v>
      </c>
      <c r="F146" s="1070">
        <f t="shared" si="3"/>
        <v>0</v>
      </c>
      <c r="G146" s="1174"/>
      <c r="H146" s="2283"/>
    </row>
    <row r="147" spans="1:9" s="43" customFormat="1" ht="15" customHeight="1" x14ac:dyDescent="0.2">
      <c r="A147" s="2319"/>
      <c r="B147" s="2322"/>
      <c r="C147" s="1155" t="str">
        <f>F!C76</f>
        <v>30-70% of the AA.</v>
      </c>
      <c r="D147" s="350">
        <f>F!D76</f>
        <v>0</v>
      </c>
      <c r="E147" s="1069">
        <v>5</v>
      </c>
      <c r="F147" s="1070">
        <f t="shared" si="3"/>
        <v>0</v>
      </c>
      <c r="G147" s="1174"/>
      <c r="H147" s="2283"/>
    </row>
    <row r="148" spans="1:9" s="43" customFormat="1" ht="15" customHeight="1" x14ac:dyDescent="0.2">
      <c r="A148" s="2319"/>
      <c r="B148" s="2322"/>
      <c r="C148" s="1155" t="str">
        <f>F!C77</f>
        <v>70-95% of the AA.</v>
      </c>
      <c r="D148" s="350">
        <f>F!D77</f>
        <v>0</v>
      </c>
      <c r="E148" s="1069">
        <v>6</v>
      </c>
      <c r="F148" s="1070">
        <f t="shared" si="3"/>
        <v>0</v>
      </c>
      <c r="G148" s="1174"/>
      <c r="H148" s="2283"/>
    </row>
    <row r="149" spans="1:9" s="43" customFormat="1" ht="15.6" customHeight="1" thickBot="1" x14ac:dyDescent="0.25">
      <c r="A149" s="2320"/>
      <c r="B149" s="2323"/>
      <c r="C149" s="1163" t="str">
        <f>F!C78</f>
        <v>&gt;95% of the AA.</v>
      </c>
      <c r="D149" s="354">
        <f>F!D78</f>
        <v>0</v>
      </c>
      <c r="E149" s="1175">
        <v>7</v>
      </c>
      <c r="F149" s="1176">
        <f t="shared" si="3"/>
        <v>0</v>
      </c>
      <c r="G149" s="1177"/>
      <c r="H149" s="2284"/>
    </row>
    <row r="150" spans="1:9" s="43" customFormat="1" ht="45" customHeight="1" thickBot="1" x14ac:dyDescent="0.25">
      <c r="A150" s="811" t="str">
        <f>F!A91</f>
        <v>F19</v>
      </c>
      <c r="B150" s="1169" t="str">
        <f>F!B91</f>
        <v>Ice Cover</v>
      </c>
      <c r="C150" s="1164" t="str">
        <f>F!C91</f>
        <v>Ice (not just snow) covers nearly all of the AA's water surface for more than 4 continuous weeks during most years, potentially altering the air-water exchange.  If true, enter "1" in next column.  If untrue, enter "0".</v>
      </c>
      <c r="D150" s="355">
        <f>F!D91</f>
        <v>0</v>
      </c>
      <c r="E150" s="1223"/>
      <c r="F150" s="1224"/>
      <c r="G150" s="1225">
        <f>IF((AllSat+AllSat1&gt;0),"",D150)</f>
        <v>0</v>
      </c>
      <c r="H150" s="109" t="s">
        <v>1046</v>
      </c>
      <c r="I150" s="4" t="s">
        <v>1044</v>
      </c>
    </row>
    <row r="151" spans="1:9" s="43" customFormat="1" ht="21" customHeight="1" thickBot="1" x14ac:dyDescent="0.25">
      <c r="A151" s="2274" t="str">
        <f>F!A94</f>
        <v>F22</v>
      </c>
      <c r="B151" s="2293" t="str">
        <f>F!B94</f>
        <v>Beaver</v>
      </c>
      <c r="C151" s="1154" t="str">
        <f>F!C94</f>
        <v>Use of the AA by beaver during the past 5 years is (select most applicable ONE):</v>
      </c>
      <c r="D151" s="1170"/>
      <c r="E151" s="1170"/>
      <c r="F151" s="1171"/>
      <c r="G151" s="836">
        <f>MAX(F152:F155)/MAX(E152:E155)</f>
        <v>0</v>
      </c>
      <c r="H151" s="1687" t="s">
        <v>1040</v>
      </c>
      <c r="I151" s="4" t="s">
        <v>1059</v>
      </c>
    </row>
    <row r="152" spans="1:9" s="43" customFormat="1" ht="27" customHeight="1" x14ac:dyDescent="0.2">
      <c r="A152" s="2275"/>
      <c r="B152" s="2283"/>
      <c r="C152" s="1155" t="str">
        <f>F!C95</f>
        <v>evident from direct observation or presence of gnawed limbs, dams, tracks, dens, lodges, or extensive stands of water-killed trees (snags).</v>
      </c>
      <c r="D152" s="350">
        <f>F!D95</f>
        <v>0</v>
      </c>
      <c r="E152" s="1069">
        <v>5</v>
      </c>
      <c r="F152" s="1182">
        <f>D152*E152</f>
        <v>0</v>
      </c>
      <c r="G152" s="1173"/>
      <c r="H152" s="2283"/>
    </row>
    <row r="153" spans="1:9" s="43" customFormat="1" ht="42" customHeight="1" x14ac:dyDescent="0.2">
      <c r="A153" s="2275"/>
      <c r="B153" s="2283"/>
      <c r="C153" s="1156"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53" s="351">
        <f>F!D96</f>
        <v>0</v>
      </c>
      <c r="E153" s="1069">
        <v>2</v>
      </c>
      <c r="F153" s="1182">
        <f>D153*E153</f>
        <v>0</v>
      </c>
      <c r="G153" s="1174"/>
      <c r="H153" s="2283"/>
    </row>
    <row r="154" spans="1:9" s="43" customFormat="1" ht="27" customHeight="1" x14ac:dyDescent="0.2">
      <c r="A154" s="2275"/>
      <c r="B154" s="2283"/>
      <c r="C154" s="1156" t="str">
        <f>F!C97</f>
        <v>unlikely because site characteristics above are deficient, and/or this is a settled area or other area where beaver are routinely removed.  But beaver occur in the region (i.e., within 10 miles, or on same island).</v>
      </c>
      <c r="D154" s="351">
        <f>F!D97</f>
        <v>0</v>
      </c>
      <c r="E154" s="1069">
        <v>1</v>
      </c>
      <c r="F154" s="1182">
        <f>D154*E154</f>
        <v>0</v>
      </c>
      <c r="G154" s="1174"/>
      <c r="H154" s="2283"/>
    </row>
    <row r="155" spans="1:9" s="43" customFormat="1" ht="15.6" customHeight="1" thickBot="1" x14ac:dyDescent="0.25">
      <c r="A155" s="2276"/>
      <c r="B155" s="2284"/>
      <c r="C155" s="1157" t="str">
        <f>F!C98</f>
        <v>none.  Beaver are absent from the region and/or the island.</v>
      </c>
      <c r="D155" s="352">
        <f>F!D98</f>
        <v>0</v>
      </c>
      <c r="E155" s="1175">
        <v>0</v>
      </c>
      <c r="F155" s="1176">
        <f>D155*E155</f>
        <v>0</v>
      </c>
      <c r="G155" s="1177"/>
      <c r="H155" s="2284"/>
    </row>
    <row r="156" spans="1:9" s="43" customFormat="1" ht="30" customHeight="1" thickBot="1" x14ac:dyDescent="0.25">
      <c r="A156" s="2290" t="str">
        <f>F!A120</f>
        <v>F28</v>
      </c>
      <c r="B156" s="2273" t="str">
        <f>F!B120</f>
        <v>Outflow Duration</v>
      </c>
      <c r="C156" s="1158" t="str">
        <f>F!C120</f>
        <v>The most persistent surface water connection (outlet channel or pipe, ditch, or overbank water exchange) between the AA and the closest off-site downslope water body is:</v>
      </c>
      <c r="D156" s="1170"/>
      <c r="E156" s="1178"/>
      <c r="F156" s="1179"/>
      <c r="G156" s="1180">
        <f>MAX(F157:F161)/MAX(E157:E161)</f>
        <v>0</v>
      </c>
      <c r="H156" s="1688" t="s">
        <v>888</v>
      </c>
      <c r="I156" s="4" t="s">
        <v>1049</v>
      </c>
    </row>
    <row r="157" spans="1:9" s="43" customFormat="1" ht="27" customHeight="1" x14ac:dyDescent="0.2">
      <c r="A157" s="2290"/>
      <c r="B157" s="2273"/>
      <c r="C157" s="1155" t="str">
        <f>F!C121</f>
        <v>persistent (&gt;9 months/year); almost always shown on stream maps, or determine from your dry-season observation.</v>
      </c>
      <c r="D157" s="350">
        <f>F!D121</f>
        <v>0</v>
      </c>
      <c r="E157" s="1172">
        <v>0</v>
      </c>
      <c r="F157" s="1070">
        <f>D157*E157</f>
        <v>0</v>
      </c>
      <c r="G157" s="1173"/>
      <c r="H157" s="2283"/>
    </row>
    <row r="158" spans="1:9" s="43" customFormat="1" ht="15" customHeight="1" x14ac:dyDescent="0.2">
      <c r="A158" s="2290"/>
      <c r="B158" s="2273"/>
      <c r="C158" s="1156" t="str">
        <f>F!C122</f>
        <v>seasonal (14 days to 9 months/year, not necessarily consecutive); sometimes shown on stream maps.</v>
      </c>
      <c r="D158" s="351">
        <f>F!D122</f>
        <v>0</v>
      </c>
      <c r="E158" s="1172">
        <v>1</v>
      </c>
      <c r="F158" s="1070">
        <f>D158*E158</f>
        <v>0</v>
      </c>
      <c r="G158" s="1174"/>
      <c r="H158" s="2283"/>
    </row>
    <row r="159" spans="1:9" s="43" customFormat="1" ht="15" customHeight="1" x14ac:dyDescent="0.2">
      <c r="A159" s="2290"/>
      <c r="B159" s="2273"/>
      <c r="C159" s="1156" t="str">
        <f>F!C123</f>
        <v>temporary (&lt;14 days, not necessarily consecutive); seldom shown on stream maps.</v>
      </c>
      <c r="D159" s="351">
        <f>F!D123</f>
        <v>0</v>
      </c>
      <c r="E159" s="1172">
        <v>2</v>
      </c>
      <c r="F159" s="1070">
        <f>D159*E159</f>
        <v>0</v>
      </c>
      <c r="G159" s="1174"/>
      <c r="H159" s="2283"/>
    </row>
    <row r="160" spans="1:9" s="43" customFormat="1" ht="27" customHeight="1" x14ac:dyDescent="0.2">
      <c r="A160" s="2290"/>
      <c r="B160" s="2273"/>
      <c r="C160" s="1156" t="str">
        <f>F!C124</f>
        <v xml:space="preserve">none -- but maps show a stream or other water body that is downslope from the AA and within a distance that is less than the AA's path length (see definition, OF35).  If so, mark "1" here and SKIP TO F30. </v>
      </c>
      <c r="D160" s="351">
        <f>F!D124</f>
        <v>0</v>
      </c>
      <c r="E160" s="1215">
        <v>4</v>
      </c>
      <c r="F160" s="1070">
        <f>D160*E160</f>
        <v>0</v>
      </c>
      <c r="G160" s="1183"/>
      <c r="H160" s="2283"/>
    </row>
    <row r="161" spans="1:9" s="43" customFormat="1" ht="42" customHeight="1" thickBot="1" x14ac:dyDescent="0.25">
      <c r="A161" s="2290"/>
      <c r="B161" s="2273"/>
      <c r="C161" s="1159" t="str">
        <f>F!C125</f>
        <v xml:space="preserve">no surface water flows out of the wetland except possibly during extreme events (less than once per 10 years). Or, water flows only into a wetland, ditch, or lake that lacks an outlet.  If so, mark "1" here and SKIP TO F30. </v>
      </c>
      <c r="D161" s="353">
        <f>F!D125</f>
        <v>0</v>
      </c>
      <c r="E161" s="1216">
        <v>5</v>
      </c>
      <c r="F161" s="1182">
        <f>D161*E161</f>
        <v>0</v>
      </c>
      <c r="G161" s="1183"/>
      <c r="H161" s="2283"/>
    </row>
    <row r="162" spans="1:9" s="43" customFormat="1" ht="30" customHeight="1" thickBot="1" x14ac:dyDescent="0.25">
      <c r="A162" s="2274" t="str">
        <f>F!A126</f>
        <v>F29</v>
      </c>
      <c r="B162" s="2293" t="str">
        <f>F!B126</f>
        <v>Outflow Confinement</v>
      </c>
      <c r="C162" s="1154" t="str">
        <f>F!C126</f>
        <v>During major runoff events, in the places where surface water in a channel exits the AA or connected waters nearby, it:</v>
      </c>
      <c r="D162" s="1170"/>
      <c r="E162" s="1170"/>
      <c r="F162" s="1171"/>
      <c r="G162" s="836">
        <f>IF((OutNone + OutNone1&gt;0),"",MAX(F163:F165)/MAX(E163:E165))</f>
        <v>0</v>
      </c>
      <c r="H162" s="1687" t="s">
        <v>5545</v>
      </c>
      <c r="I162" s="4" t="s">
        <v>1050</v>
      </c>
    </row>
    <row r="163" spans="1:9" s="43" customFormat="1" ht="42" customHeight="1" x14ac:dyDescent="0.2">
      <c r="A163" s="2275"/>
      <c r="B163" s="2283"/>
      <c r="C163" s="1155" t="str">
        <f>F!C127</f>
        <v>mostly passes through a pipe, culvert, narrowly breached dike, berm, beaver dam, or other partial obstruction (other than natural topography) that does not appear to drain the wetland artificially during most of the growing season.</v>
      </c>
      <c r="D163" s="350">
        <f>F!D127</f>
        <v>0</v>
      </c>
      <c r="E163" s="1172">
        <v>2</v>
      </c>
      <c r="F163" s="1226">
        <f>D163*E163</f>
        <v>0</v>
      </c>
      <c r="G163" s="1173"/>
      <c r="H163" s="2283"/>
    </row>
    <row r="164" spans="1:9" s="43" customFormat="1" ht="15" customHeight="1" x14ac:dyDescent="0.2">
      <c r="A164" s="2275"/>
      <c r="B164" s="2283"/>
      <c r="C164" s="1156" t="str">
        <f>F!C128</f>
        <v>leaves through natural exits, not mainly through artificial or temporary features.</v>
      </c>
      <c r="D164" s="351">
        <f>F!D128</f>
        <v>0</v>
      </c>
      <c r="E164" s="1172">
        <v>0</v>
      </c>
      <c r="F164" s="1226">
        <f>D164*E164</f>
        <v>0</v>
      </c>
      <c r="G164" s="1174"/>
      <c r="H164" s="2283"/>
    </row>
    <row r="165" spans="1:9" s="43" customFormat="1" ht="27.6" customHeight="1" thickBot="1" x14ac:dyDescent="0.25">
      <c r="A165" s="2276"/>
      <c r="B165" s="2284"/>
      <c r="C165" s="1157" t="str">
        <f>F!C129</f>
        <v>exported more quickly than usual due to ditches or pipes within the AA (or connected to its outlet or within 10 m of the AA's edge) which drain the wetland artificially, or water is pumped out of the AA.</v>
      </c>
      <c r="D165" s="352">
        <f>F!D129</f>
        <v>0</v>
      </c>
      <c r="E165" s="1194">
        <v>1</v>
      </c>
      <c r="F165" s="1176">
        <f>D165*E165</f>
        <v>0</v>
      </c>
      <c r="G165" s="1177"/>
      <c r="H165" s="2284"/>
    </row>
    <row r="166" spans="1:9" s="43" customFormat="1" ht="21" customHeight="1" thickBot="1" x14ac:dyDescent="0.25">
      <c r="A166" s="2290" t="str">
        <f>F!A140</f>
        <v>F32</v>
      </c>
      <c r="B166" s="2273" t="str">
        <f>F!B140</f>
        <v>Tree &amp; Tall Shrub Canopy Extent</v>
      </c>
      <c r="C166" s="1158" t="str">
        <f>F!C140</f>
        <v>Within the vegetated part of the AA, just the trees that are taller than 20 ft occupy:</v>
      </c>
      <c r="D166" s="1170"/>
      <c r="E166" s="1178"/>
      <c r="F166" s="1179"/>
      <c r="G166" s="1180">
        <f>IF((NoWoodyVeg=1),"",MAX(F167:F171)/MAX(E167:E171))</f>
        <v>0</v>
      </c>
      <c r="H166" s="1873" t="s">
        <v>5426</v>
      </c>
      <c r="I166" s="4" t="s">
        <v>606</v>
      </c>
    </row>
    <row r="167" spans="1:9" s="43" customFormat="1" ht="15" customHeight="1" x14ac:dyDescent="0.2">
      <c r="A167" s="2290"/>
      <c r="B167" s="2273"/>
      <c r="C167" s="1155" t="str">
        <f>F!C141</f>
        <v>&lt;1% of the vegetated AA, or the AA lacks trees.  Enter "1" and SKIP to F37.</v>
      </c>
      <c r="D167" s="350">
        <f>F!D141</f>
        <v>0</v>
      </c>
      <c r="E167" s="1227">
        <v>4</v>
      </c>
      <c r="F167" s="1070">
        <f>D167*E167</f>
        <v>0</v>
      </c>
      <c r="G167" s="1228"/>
      <c r="H167" s="2287"/>
    </row>
    <row r="168" spans="1:9" s="43" customFormat="1" ht="15" customHeight="1" x14ac:dyDescent="0.2">
      <c r="A168" s="2290"/>
      <c r="B168" s="2273"/>
      <c r="C168" s="1156" t="str">
        <f>F!C142</f>
        <v>1-25% of the vegetated AA</v>
      </c>
      <c r="D168" s="351">
        <f>F!D142</f>
        <v>0</v>
      </c>
      <c r="E168" s="1227">
        <v>3</v>
      </c>
      <c r="F168" s="1070">
        <f>D168*E168</f>
        <v>0</v>
      </c>
      <c r="G168" s="1183"/>
      <c r="H168" s="2287"/>
    </row>
    <row r="169" spans="1:9" s="43" customFormat="1" ht="15" customHeight="1" x14ac:dyDescent="0.2">
      <c r="A169" s="2290"/>
      <c r="B169" s="2273"/>
      <c r="C169" s="1156" t="str">
        <f>F!C143</f>
        <v>25-50% of the vegetated AA</v>
      </c>
      <c r="D169" s="351">
        <f>F!D143</f>
        <v>0</v>
      </c>
      <c r="E169" s="1227">
        <v>2</v>
      </c>
      <c r="F169" s="1070">
        <f>D169*E169</f>
        <v>0</v>
      </c>
      <c r="G169" s="1183"/>
      <c r="H169" s="2287"/>
    </row>
    <row r="170" spans="1:9" s="43" customFormat="1" ht="15" customHeight="1" x14ac:dyDescent="0.2">
      <c r="A170" s="2290"/>
      <c r="B170" s="2273"/>
      <c r="C170" s="1156" t="str">
        <f>F!C144</f>
        <v>50-95% of the vegetated AA</v>
      </c>
      <c r="D170" s="351">
        <f>F!D144</f>
        <v>0</v>
      </c>
      <c r="E170" s="1227">
        <v>1</v>
      </c>
      <c r="F170" s="1070">
        <f>D170*E170</f>
        <v>0</v>
      </c>
      <c r="G170" s="1183"/>
      <c r="H170" s="2287"/>
    </row>
    <row r="171" spans="1:9" s="43" customFormat="1" ht="15.6" customHeight="1" thickBot="1" x14ac:dyDescent="0.25">
      <c r="A171" s="2290"/>
      <c r="B171" s="2273"/>
      <c r="C171" s="1159" t="str">
        <f>F!C145</f>
        <v>&gt;95% of the vegetated part of the AA</v>
      </c>
      <c r="D171" s="353">
        <f>F!D145</f>
        <v>0</v>
      </c>
      <c r="E171" s="1227">
        <v>0</v>
      </c>
      <c r="F171" s="1182">
        <f>D171*E171</f>
        <v>0</v>
      </c>
      <c r="G171" s="1183"/>
      <c r="H171" s="2288"/>
    </row>
    <row r="172" spans="1:9" s="43" customFormat="1" ht="30" customHeight="1" thickBot="1" x14ac:dyDescent="0.25">
      <c r="A172" s="2303" t="str">
        <f>F!A152</f>
        <v>F34</v>
      </c>
      <c r="B172" s="2291" t="str">
        <f>F!B152</f>
        <v>Woody Diameter Classes</v>
      </c>
      <c r="C172" s="1154" t="str">
        <f>F!C152</f>
        <v>Mark all the classes of woody plants within the AA, but only IF they comprise more than 5% of the woody canopy within the AA.  Do not count trees that adjoin but are not within the AA.</v>
      </c>
      <c r="D172" s="1170"/>
      <c r="E172" s="1170"/>
      <c r="F172" s="1171"/>
      <c r="G172" s="836">
        <f>IF((NoWoodyVeg=1),"",IF((NoTrees=1),"",(MAX(F173:F180))/MAX(E173:E180)))</f>
        <v>0</v>
      </c>
      <c r="H172" s="1701" t="s">
        <v>5546</v>
      </c>
      <c r="I172" s="4" t="s">
        <v>1055</v>
      </c>
    </row>
    <row r="173" spans="1:9" s="43" customFormat="1" ht="15" customHeight="1" x14ac:dyDescent="0.2">
      <c r="A173" s="2304"/>
      <c r="B173" s="2273"/>
      <c r="C173" s="1155" t="str">
        <f>F!C153</f>
        <v>evergreen 1-4" diameter and &gt;3 ft tall</v>
      </c>
      <c r="D173" s="350">
        <f>F!D153</f>
        <v>0</v>
      </c>
      <c r="E173" s="1172">
        <v>0</v>
      </c>
      <c r="F173" s="1070">
        <f t="shared" ref="F173:F180" si="4">D173*E173</f>
        <v>0</v>
      </c>
      <c r="G173" s="1173"/>
      <c r="H173" s="2287"/>
    </row>
    <row r="174" spans="1:9" s="43" customFormat="1" ht="15" customHeight="1" x14ac:dyDescent="0.2">
      <c r="A174" s="2304"/>
      <c r="B174" s="2273"/>
      <c r="C174" s="1156" t="str">
        <f>F!C154</f>
        <v>deciduous 1-4" diameter and &gt;3 ft tall</v>
      </c>
      <c r="D174" s="351">
        <f>F!D154</f>
        <v>0</v>
      </c>
      <c r="E174" s="1172">
        <v>0</v>
      </c>
      <c r="F174" s="1070">
        <f t="shared" si="4"/>
        <v>0</v>
      </c>
      <c r="G174" s="1174"/>
      <c r="H174" s="2287"/>
    </row>
    <row r="175" spans="1:9" s="43" customFormat="1" ht="15" customHeight="1" x14ac:dyDescent="0.2">
      <c r="A175" s="2304"/>
      <c r="B175" s="2273"/>
      <c r="C175" s="1156" t="str">
        <f>F!C155</f>
        <v>evergreen 4-9" diameter</v>
      </c>
      <c r="D175" s="351">
        <f>F!D155</f>
        <v>0</v>
      </c>
      <c r="E175" s="1172">
        <v>1</v>
      </c>
      <c r="F175" s="1070">
        <f t="shared" si="4"/>
        <v>0</v>
      </c>
      <c r="G175" s="1174"/>
      <c r="H175" s="2287"/>
    </row>
    <row r="176" spans="1:9" s="43" customFormat="1" ht="15" customHeight="1" x14ac:dyDescent="0.2">
      <c r="A176" s="2304"/>
      <c r="B176" s="2273"/>
      <c r="C176" s="1156" t="str">
        <f>F!C156</f>
        <v>deciduous 4-9" diameter</v>
      </c>
      <c r="D176" s="351">
        <f>F!D156</f>
        <v>0</v>
      </c>
      <c r="E176" s="1172">
        <v>1</v>
      </c>
      <c r="F176" s="1070">
        <f t="shared" si="4"/>
        <v>0</v>
      </c>
      <c r="G176" s="1174"/>
      <c r="H176" s="2287"/>
    </row>
    <row r="177" spans="1:9" s="43" customFormat="1" ht="15" customHeight="1" x14ac:dyDescent="0.2">
      <c r="A177" s="2304"/>
      <c r="B177" s="2273"/>
      <c r="C177" s="1156" t="str">
        <f>F!C157</f>
        <v>evergreen 9-21" diameter</v>
      </c>
      <c r="D177" s="351">
        <f>F!D157</f>
        <v>0</v>
      </c>
      <c r="E177" s="1172">
        <v>2</v>
      </c>
      <c r="F177" s="1070">
        <f t="shared" si="4"/>
        <v>0</v>
      </c>
      <c r="G177" s="1174"/>
      <c r="H177" s="2287"/>
    </row>
    <row r="178" spans="1:9" s="43" customFormat="1" ht="15" customHeight="1" x14ac:dyDescent="0.2">
      <c r="A178" s="2304"/>
      <c r="B178" s="2273"/>
      <c r="C178" s="1156" t="str">
        <f>F!C158</f>
        <v>deciduous 9-21" diameter</v>
      </c>
      <c r="D178" s="351">
        <f>F!D158</f>
        <v>0</v>
      </c>
      <c r="E178" s="1172">
        <v>2</v>
      </c>
      <c r="F178" s="1070">
        <f t="shared" si="4"/>
        <v>0</v>
      </c>
      <c r="G178" s="1174"/>
      <c r="H178" s="2287"/>
    </row>
    <row r="179" spans="1:9" s="43" customFormat="1" ht="15" customHeight="1" x14ac:dyDescent="0.2">
      <c r="A179" s="2304"/>
      <c r="B179" s="2273"/>
      <c r="C179" s="1156" t="str">
        <f>F!C159</f>
        <v>evergreen &gt;21" diameter</v>
      </c>
      <c r="D179" s="351">
        <f>F!D159</f>
        <v>0</v>
      </c>
      <c r="E179" s="1172">
        <v>3</v>
      </c>
      <c r="F179" s="1070">
        <f t="shared" si="4"/>
        <v>0</v>
      </c>
      <c r="G179" s="1174"/>
      <c r="H179" s="2287"/>
    </row>
    <row r="180" spans="1:9" s="43" customFormat="1" ht="15.6" customHeight="1" thickBot="1" x14ac:dyDescent="0.25">
      <c r="A180" s="2305"/>
      <c r="B180" s="2292"/>
      <c r="C180" s="1157" t="str">
        <f>F!C160</f>
        <v>deciduous &gt;21" diameter</v>
      </c>
      <c r="D180" s="352">
        <f>F!D160</f>
        <v>0</v>
      </c>
      <c r="E180" s="1194">
        <v>3</v>
      </c>
      <c r="F180" s="1176">
        <f t="shared" si="4"/>
        <v>0</v>
      </c>
      <c r="G180" s="1177"/>
      <c r="H180" s="2296"/>
    </row>
    <row r="181" spans="1:9" s="43" customFormat="1" ht="30" customHeight="1" thickBot="1" x14ac:dyDescent="0.25">
      <c r="A181" s="2290" t="str">
        <f>F!A174</f>
        <v>F38</v>
      </c>
      <c r="B181" s="2273" t="str">
        <f>F!B174</f>
        <v>Shrub Species Dominance</v>
      </c>
      <c r="C181" s="1158" t="str">
        <f>F!C174</f>
        <v>Determine which two native shrub species (3 to 20 ft tall) comprise the greatest portion of the native shrub cover.  Then choose one:</v>
      </c>
      <c r="D181" s="1170"/>
      <c r="E181" s="1178"/>
      <c r="F181" s="1179"/>
      <c r="G181" s="1180">
        <f>IF((NoWoodyVeg=1), "", IF((NoShrub=1),"", (MAX(F182:F183))))</f>
        <v>0</v>
      </c>
      <c r="H181" s="1873" t="s">
        <v>5547</v>
      </c>
      <c r="I181" s="4" t="s">
        <v>1054</v>
      </c>
    </row>
    <row r="182" spans="1:9" s="43" customFormat="1" ht="15" customHeight="1" x14ac:dyDescent="0.2">
      <c r="A182" s="2290"/>
      <c r="B182" s="2273"/>
      <c r="C182" s="1155" t="str">
        <f>F!C175</f>
        <v>those species together comprise &gt; 50% of the areal cover of native shrub species.</v>
      </c>
      <c r="D182" s="350">
        <f>F!D175</f>
        <v>0</v>
      </c>
      <c r="E182" s="1069">
        <v>0</v>
      </c>
      <c r="F182" s="1070">
        <f>D182*E182</f>
        <v>0</v>
      </c>
      <c r="G182" s="1173"/>
      <c r="H182" s="2287"/>
    </row>
    <row r="183" spans="1:9" s="43" customFormat="1" ht="15.6" customHeight="1" thickBot="1" x14ac:dyDescent="0.25">
      <c r="A183" s="2290"/>
      <c r="B183" s="2273"/>
      <c r="C183" s="1159" t="str">
        <f>F!C176</f>
        <v>those species together do not comprise &gt; 50% of the areal cover of native shrub species.</v>
      </c>
      <c r="D183" s="353">
        <f>F!D176</f>
        <v>0</v>
      </c>
      <c r="E183" s="1191">
        <v>1</v>
      </c>
      <c r="F183" s="1182">
        <f>D183*E183</f>
        <v>0</v>
      </c>
      <c r="G183" s="1183"/>
      <c r="H183" s="2288"/>
    </row>
    <row r="184" spans="1:9" s="43" customFormat="1" ht="30" customHeight="1" thickBot="1" x14ac:dyDescent="0.25">
      <c r="A184" s="2303" t="str">
        <f>F!A177</f>
        <v>F39</v>
      </c>
      <c r="B184" s="2291" t="str">
        <f>F!B177</f>
        <v>Woody-Herbaceous Interspersion</v>
      </c>
      <c r="C184" s="1154" t="str">
        <f>F!C177</f>
        <v>In "ducks-eye view", the distribution pattern of woody vegetation (including low shrubs) VS. unshaded herbaceous/moss vegetation within the AA is:</v>
      </c>
      <c r="D184" s="1170"/>
      <c r="E184" s="1229"/>
      <c r="F184" s="1220"/>
      <c r="G184" s="836">
        <f>IF((NoWoodyVeg=1),"",(MAX(F185:F188))/MAX(E185:E188))</f>
        <v>0</v>
      </c>
      <c r="H184" s="1687" t="s">
        <v>5427</v>
      </c>
      <c r="I184" s="4" t="s">
        <v>1053</v>
      </c>
    </row>
    <row r="185" spans="1:9" s="43" customFormat="1" ht="42" customHeight="1" x14ac:dyDescent="0.2">
      <c r="A185" s="2304"/>
      <c r="B185" s="2273"/>
      <c r="C185" s="1155" t="str">
        <f>F!C178</f>
        <v>(a) Woody cover and herbaceous/moss cover EACH comprise 30-70% of the vegetated part of the AA, AND (b) There are many patches of woody vegetation scattered widely within herbaceous/moss vegetation, or many patches of herbaceous vegetation scattered widely within woody vegetation.</v>
      </c>
      <c r="D185" s="350">
        <f>F!D178</f>
        <v>0</v>
      </c>
      <c r="E185" s="1230">
        <v>0</v>
      </c>
      <c r="F185" s="1070">
        <f>D185*E185</f>
        <v>0</v>
      </c>
      <c r="G185" s="1174"/>
      <c r="H185" s="2283"/>
      <c r="I185" s="4"/>
    </row>
    <row r="186" spans="1:9" s="43" customFormat="1" ht="42" customHeight="1" x14ac:dyDescent="0.2">
      <c r="A186" s="2304"/>
      <c r="B186" s="2273"/>
      <c r="C186" s="1155" t="str">
        <f>F!C179</f>
        <v>(a) Woody cover and herbaceous/moss EACH comprise 30-70% of the vegetated AA, AND (b) There are few patches ("islands") of woody vegetation scattered widely within herbaceous vegetation, or few patches of herbaceous/moss vegetation ("gaps") scattered widely within woody vegetation.</v>
      </c>
      <c r="D186" s="350">
        <f>F!D179</f>
        <v>0</v>
      </c>
      <c r="E186" s="1231">
        <v>1</v>
      </c>
      <c r="F186" s="1070">
        <f>D186*E186</f>
        <v>0</v>
      </c>
      <c r="G186" s="1174"/>
      <c r="H186" s="2283"/>
    </row>
    <row r="187" spans="1:9" s="43" customFormat="1" ht="42" customHeight="1" x14ac:dyDescent="0.2">
      <c r="A187" s="2304"/>
      <c r="B187" s="2273"/>
      <c r="C187" s="1155" t="str">
        <f>F!C180</f>
        <v>(a) Woody cover OR herbaceous/moss comprise &gt;70% of the vegetated AA, AND (b) There are several patches of the other scattered within it. (e.g., forested AAs with patches -- not limited to corridors -- of skunk cabbage, or muskeg with scattered shrubs).</v>
      </c>
      <c r="D187" s="350">
        <f>F!D180</f>
        <v>0</v>
      </c>
      <c r="E187" s="1231">
        <v>2</v>
      </c>
      <c r="F187" s="1070">
        <f>D187*E187</f>
        <v>0</v>
      </c>
      <c r="G187" s="1174"/>
      <c r="H187" s="2283"/>
    </row>
    <row r="188" spans="1:9" s="43" customFormat="1" ht="42.6" customHeight="1" thickBot="1" x14ac:dyDescent="0.25">
      <c r="A188" s="2305"/>
      <c r="B188" s="2292"/>
      <c r="C188" s="1163" t="str">
        <f>F!C181</f>
        <v>(a) Woody over OR herbaceous/moss comprise &gt;70% of the vegetated AA, AND (b) The other is absent or is mostly in a single area or distinct zone with almost no intermixing of woody and unshaded herbaceous/moss vegetation.</v>
      </c>
      <c r="D188" s="354">
        <f>F!D181</f>
        <v>0</v>
      </c>
      <c r="E188" s="1232">
        <v>3</v>
      </c>
      <c r="F188" s="1176">
        <f>D188*E188</f>
        <v>0</v>
      </c>
      <c r="G188" s="1177"/>
      <c r="H188" s="2284"/>
    </row>
    <row r="189" spans="1:9" s="43" customFormat="1" ht="30" customHeight="1" thickBot="1" x14ac:dyDescent="0.25">
      <c r="A189" s="2285" t="str">
        <f>F!A188</f>
        <v>F41</v>
      </c>
      <c r="B189" s="2283" t="str">
        <f>F!B188</f>
        <v>N Fixers</v>
      </c>
      <c r="C189" s="1158" t="str">
        <f>F!C188</f>
        <v>The percent of the AA's vegetated cover that is nitrogen-fixing  plants -- e.g., alder, sweet clover (Meliolotus), sweetgale (Myrica gale), buffaloberry, clover, lupine, other legumes -- is:</v>
      </c>
      <c r="D189" s="1170"/>
      <c r="E189" s="1195"/>
      <c r="F189" s="1179"/>
      <c r="G189" s="1180">
        <f>MAX(F190:F194)/MAX(E190:E194)</f>
        <v>0</v>
      </c>
      <c r="H189" s="1873" t="s">
        <v>234</v>
      </c>
      <c r="I189" s="4" t="s">
        <v>1056</v>
      </c>
    </row>
    <row r="190" spans="1:9" s="43" customFormat="1" ht="15" customHeight="1" x14ac:dyDescent="0.2">
      <c r="A190" s="2285"/>
      <c r="B190" s="2283"/>
      <c r="C190" s="1155" t="str">
        <f>F!C189</f>
        <v>&lt;1% or none</v>
      </c>
      <c r="D190" s="350">
        <f>F!D189</f>
        <v>0</v>
      </c>
      <c r="E190" s="1172">
        <v>0</v>
      </c>
      <c r="F190" s="1070">
        <f>D190*E190</f>
        <v>0</v>
      </c>
      <c r="G190" s="1173"/>
      <c r="H190" s="1702"/>
    </row>
    <row r="191" spans="1:9" s="43" customFormat="1" ht="15" customHeight="1" x14ac:dyDescent="0.2">
      <c r="A191" s="2285"/>
      <c r="B191" s="2283"/>
      <c r="C191" s="1156" t="str">
        <f>F!C190</f>
        <v>1-25% of the shrub plus ground cover, in the AA or along its water edge (whichever has more).</v>
      </c>
      <c r="D191" s="351">
        <f>F!D190</f>
        <v>0</v>
      </c>
      <c r="E191" s="1172">
        <v>2</v>
      </c>
      <c r="F191" s="1070">
        <f>D191*E191</f>
        <v>0</v>
      </c>
      <c r="G191" s="1174"/>
      <c r="H191" s="1702"/>
    </row>
    <row r="192" spans="1:9" s="43" customFormat="1" ht="15" customHeight="1" x14ac:dyDescent="0.2">
      <c r="A192" s="2285"/>
      <c r="B192" s="2283"/>
      <c r="C192" s="1156" t="str">
        <f>F!C191</f>
        <v>25-50% of the shrub plus ground cover, in the AA or along its water edge (whichever has more).</v>
      </c>
      <c r="D192" s="351">
        <f>F!D191</f>
        <v>0</v>
      </c>
      <c r="E192" s="1172">
        <v>3</v>
      </c>
      <c r="F192" s="1070">
        <f>D192*E192</f>
        <v>0</v>
      </c>
      <c r="G192" s="1174"/>
      <c r="H192" s="1702"/>
    </row>
    <row r="193" spans="1:9" s="43" customFormat="1" ht="15" customHeight="1" x14ac:dyDescent="0.2">
      <c r="A193" s="2285"/>
      <c r="B193" s="2283"/>
      <c r="C193" s="1156" t="str">
        <f>F!C192</f>
        <v>50-75% of the shrub plus ground cover, in the AA or along its water edge (whichever has more).</v>
      </c>
      <c r="D193" s="351">
        <f>F!D192</f>
        <v>0</v>
      </c>
      <c r="E193" s="1172">
        <v>4</v>
      </c>
      <c r="F193" s="1070">
        <f>D193*E193</f>
        <v>0</v>
      </c>
      <c r="G193" s="1174"/>
      <c r="H193" s="1702"/>
    </row>
    <row r="194" spans="1:9" s="43" customFormat="1" ht="15.6" customHeight="1" thickBot="1" x14ac:dyDescent="0.25">
      <c r="A194" s="2285"/>
      <c r="B194" s="2283"/>
      <c r="C194" s="1159" t="str">
        <f>F!C193</f>
        <v>&gt;75% of the shrub plus ground cover, in the AA or along its water edge (whichever has more).</v>
      </c>
      <c r="D194" s="353">
        <f>F!D193</f>
        <v>0</v>
      </c>
      <c r="E194" s="1181">
        <v>5</v>
      </c>
      <c r="F194" s="1182">
        <f>D194*E194</f>
        <v>0</v>
      </c>
      <c r="G194" s="1183"/>
      <c r="H194" s="1703"/>
    </row>
    <row r="195" spans="1:9" s="43" customFormat="1" ht="60" customHeight="1" thickBot="1" x14ac:dyDescent="0.25">
      <c r="A195" s="2303" t="str">
        <f>F!A200</f>
        <v>F43</v>
      </c>
      <c r="B195" s="2291" t="str">
        <f>F!B200</f>
        <v>Bare Ground &amp; Accumulated Plant Litter</v>
      </c>
      <c r="C195" s="1154" t="str">
        <f>F!C200</f>
        <v>As viewed from above at mid-summer, the extent of bare ground (unvegetated mineral or organic soil or rock) within the AA, excluding parts not visible because under water, snow, or dense thatch) is:</v>
      </c>
      <c r="D195" s="1170"/>
      <c r="E195" s="1170"/>
      <c r="F195" s="1171"/>
      <c r="G195" s="836">
        <f>MAX(F196:F199)/MAX(E196:E199)</f>
        <v>0</v>
      </c>
      <c r="H195" s="1687" t="s">
        <v>933</v>
      </c>
      <c r="I195" s="4" t="s">
        <v>1057</v>
      </c>
    </row>
    <row r="196" spans="1:9" s="43" customFormat="1" ht="42" customHeight="1" x14ac:dyDescent="0.2">
      <c r="A196" s="2304"/>
      <c r="B196" s="2273"/>
      <c r="C196" s="1155" t="str">
        <f>F!C201</f>
        <v xml:space="preserve">little or no (&lt;5%) bare ground is visible between erect stems or under canopy and ground surface is extensively blanketed by moss, lichens, graminoids with great stem densities, or plants with ground-hugging foliage.  </v>
      </c>
      <c r="D196" s="350">
        <f>F!D201</f>
        <v>0</v>
      </c>
      <c r="E196" s="1172">
        <v>0</v>
      </c>
      <c r="F196" s="1070">
        <f>D196*E196</f>
        <v>0</v>
      </c>
      <c r="G196" s="1173"/>
      <c r="H196" s="2283"/>
    </row>
    <row r="197" spans="1:9" s="43" customFormat="1" ht="27" customHeight="1" x14ac:dyDescent="0.2">
      <c r="A197" s="2304"/>
      <c r="B197" s="2273"/>
      <c r="C197" s="1156" t="str">
        <f>F!C202</f>
        <v>Slightly bare ground (5-20% bare between plants) is visible in places, but those areas comprise less than 5% of the unflooded parts of the AA.</v>
      </c>
      <c r="D197" s="351">
        <f>F!D202</f>
        <v>0</v>
      </c>
      <c r="E197" s="1172">
        <v>1</v>
      </c>
      <c r="F197" s="1070">
        <f>D197*E197</f>
        <v>0</v>
      </c>
      <c r="G197" s="1174"/>
      <c r="H197" s="2283"/>
    </row>
    <row r="198" spans="1:9" s="43" customFormat="1" ht="27" customHeight="1" x14ac:dyDescent="0.2">
      <c r="A198" s="2304"/>
      <c r="B198" s="2273"/>
      <c r="C198" s="1156" t="str">
        <f>F!C203</f>
        <v>Much bare ground (20-50% bare between plants) is visible in places, and those areas comprise more than 5% of the unflooded parts of the AA. </v>
      </c>
      <c r="D198" s="351">
        <f>F!D203</f>
        <v>0</v>
      </c>
      <c r="E198" s="1172">
        <v>2</v>
      </c>
      <c r="F198" s="1070">
        <f>D198*E198</f>
        <v>0</v>
      </c>
      <c r="G198" s="1174"/>
      <c r="H198" s="2283"/>
    </row>
    <row r="199" spans="1:9" s="43" customFormat="1" ht="15.6" customHeight="1" thickBot="1" x14ac:dyDescent="0.25">
      <c r="A199" s="2305"/>
      <c r="B199" s="2292"/>
      <c r="C199" s="1157" t="str">
        <f>F!C204</f>
        <v>mostly (&gt;50%) bare ground or ground covered only with thatch.</v>
      </c>
      <c r="D199" s="352">
        <f>F!D204</f>
        <v>0</v>
      </c>
      <c r="E199" s="1194">
        <v>3</v>
      </c>
      <c r="F199" s="1176">
        <f>D199*E199</f>
        <v>0</v>
      </c>
      <c r="G199" s="1177"/>
      <c r="H199" s="2284"/>
    </row>
    <row r="200" spans="1:9" s="43" customFormat="1" ht="60" customHeight="1" thickBot="1" x14ac:dyDescent="0.25">
      <c r="A200" s="2290" t="str">
        <f>F!A214</f>
        <v>F46</v>
      </c>
      <c r="B200" s="2273" t="str">
        <f>F!B214</f>
        <v>Soil Texture</v>
      </c>
      <c r="C200" s="1158"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200" s="1170"/>
      <c r="E200" s="1178"/>
      <c r="F200" s="1179"/>
      <c r="G200" s="1180">
        <f>MAX(F201:F205)/MAX(E201:E205)</f>
        <v>0</v>
      </c>
      <c r="H200" s="1688" t="s">
        <v>1042</v>
      </c>
      <c r="I200" s="4" t="s">
        <v>1058</v>
      </c>
    </row>
    <row r="201" spans="1:9" s="43" customFormat="1" ht="15" customHeight="1" x14ac:dyDescent="0.2">
      <c r="A201" s="2290"/>
      <c r="B201" s="2273"/>
      <c r="C201" s="1155" t="str">
        <f>F!C215</f>
        <v>Loamy: includes loam, sandy loam</v>
      </c>
      <c r="D201" s="350">
        <f>F!D215</f>
        <v>0</v>
      </c>
      <c r="E201" s="1069">
        <v>1</v>
      </c>
      <c r="F201" s="1070">
        <f>D201*E201</f>
        <v>0</v>
      </c>
      <c r="G201" s="1173"/>
      <c r="H201" s="2283"/>
    </row>
    <row r="202" spans="1:9" s="43" customFormat="1" ht="15" customHeight="1" x14ac:dyDescent="0.2">
      <c r="A202" s="2290"/>
      <c r="B202" s="2273"/>
      <c r="C202" s="1156" t="str">
        <f>F!C216</f>
        <v>Fines: includes silt, glacial flour, clay, clay loam, silty clay, silty clay loam, sandy clay, sandy clay loam.</v>
      </c>
      <c r="D202" s="351">
        <f>F!D216</f>
        <v>0</v>
      </c>
      <c r="E202" s="1069">
        <v>1</v>
      </c>
      <c r="F202" s="1070">
        <f>D202*E202</f>
        <v>0</v>
      </c>
      <c r="G202" s="1174"/>
      <c r="H202" s="2283"/>
    </row>
    <row r="203" spans="1:9" s="43" customFormat="1" ht="15" customHeight="1" x14ac:dyDescent="0.2">
      <c r="A203" s="2290"/>
      <c r="B203" s="2273"/>
      <c r="C203" s="1156" t="str">
        <f>F!C217</f>
        <v>Organic, from surface to within 4 inches of surface only.  Exclude live roots unless from moss.</v>
      </c>
      <c r="D203" s="351">
        <f>F!D217</f>
        <v>0</v>
      </c>
      <c r="E203" s="1069">
        <v>3</v>
      </c>
      <c r="F203" s="1070">
        <f>D203*E203</f>
        <v>0</v>
      </c>
      <c r="G203" s="1174"/>
      <c r="H203" s="2283"/>
    </row>
    <row r="204" spans="1:9" s="43" customFormat="1" ht="15" customHeight="1" x14ac:dyDescent="0.2">
      <c r="A204" s="2290"/>
      <c r="B204" s="2273"/>
      <c r="C204" s="1156" t="str">
        <f>F!C219</f>
        <v>Organic, from surface to greater than 16 inch depth. Exclude live roots unless from moss.</v>
      </c>
      <c r="D204" s="351">
        <f>F!D219</f>
        <v>0</v>
      </c>
      <c r="E204" s="1069">
        <v>4</v>
      </c>
      <c r="F204" s="1070">
        <f>D204*E204</f>
        <v>0</v>
      </c>
      <c r="G204" s="1174"/>
      <c r="H204" s="2283"/>
    </row>
    <row r="205" spans="1:9" s="43" customFormat="1" ht="15.6" customHeight="1" thickBot="1" x14ac:dyDescent="0.25">
      <c r="A205" s="2290"/>
      <c r="B205" s="2273"/>
      <c r="C205" s="1159" t="str">
        <f>F!C220</f>
        <v>Coarse: includes sand, loamy sand, gravel, cobble, stones, boulders, fluvents, fluvaquents, riverwash.</v>
      </c>
      <c r="D205" s="353">
        <f>F!D220</f>
        <v>0</v>
      </c>
      <c r="E205" s="1191">
        <v>0</v>
      </c>
      <c r="F205" s="1182">
        <f>D205*E205</f>
        <v>0</v>
      </c>
      <c r="G205" s="1183"/>
      <c r="H205" s="2283"/>
    </row>
    <row r="206" spans="1:9" s="43" customFormat="1" ht="45" customHeight="1" thickBot="1" x14ac:dyDescent="0.25">
      <c r="A206" s="1868" t="str">
        <f>F!A226</f>
        <v>F48</v>
      </c>
      <c r="B206" s="2291" t="str">
        <f>F!B226</f>
        <v>Largest Herbaceous Patch</v>
      </c>
      <c r="C206" s="1154"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206" s="1170"/>
      <c r="E206" s="1170"/>
      <c r="F206" s="1184"/>
      <c r="G206" s="1185">
        <f>MAX(F207:F212)/MAX(E207:E212)</f>
        <v>0</v>
      </c>
      <c r="H206" s="2293" t="s">
        <v>907</v>
      </c>
      <c r="I206" s="4" t="s">
        <v>1064</v>
      </c>
    </row>
    <row r="207" spans="1:9" s="43" customFormat="1" ht="15" customHeight="1" x14ac:dyDescent="0.2">
      <c r="A207" s="1869"/>
      <c r="B207" s="2273"/>
      <c r="C207" s="1155" t="str">
        <f>F!C227</f>
        <v>&lt;0.1 acre.  SKIP to F54.</v>
      </c>
      <c r="D207" s="350">
        <f>F!D227</f>
        <v>0</v>
      </c>
      <c r="E207" s="388">
        <v>10</v>
      </c>
      <c r="F207" s="1069">
        <f t="shared" ref="F207:F212" si="5">D206*E206</f>
        <v>0</v>
      </c>
      <c r="G207" s="1186"/>
      <c r="H207" s="2283"/>
    </row>
    <row r="208" spans="1:9" s="43" customFormat="1" ht="15" customHeight="1" x14ac:dyDescent="0.2">
      <c r="A208" s="1869"/>
      <c r="B208" s="2273"/>
      <c r="C208" s="1156" t="str">
        <f>F!C228</f>
        <v>0.1 - 1 acre</v>
      </c>
      <c r="D208" s="351">
        <f>F!D228</f>
        <v>0</v>
      </c>
      <c r="E208" s="388">
        <v>9</v>
      </c>
      <c r="F208" s="1069">
        <f t="shared" si="5"/>
        <v>0</v>
      </c>
      <c r="G208" s="1187"/>
      <c r="H208" s="2283"/>
    </row>
    <row r="209" spans="1:9" s="43" customFormat="1" ht="15" customHeight="1" x14ac:dyDescent="0.2">
      <c r="A209" s="1869"/>
      <c r="B209" s="2273"/>
      <c r="C209" s="1156" t="str">
        <f>F!C229</f>
        <v>1 to 10 acres</v>
      </c>
      <c r="D209" s="351">
        <f>F!D229</f>
        <v>0</v>
      </c>
      <c r="E209" s="388">
        <v>7</v>
      </c>
      <c r="F209" s="1069">
        <f t="shared" si="5"/>
        <v>0</v>
      </c>
      <c r="G209" s="1187"/>
      <c r="H209" s="2283"/>
    </row>
    <row r="210" spans="1:9" s="43" customFormat="1" ht="15" customHeight="1" x14ac:dyDescent="0.2">
      <c r="A210" s="1869"/>
      <c r="B210" s="2273"/>
      <c r="C210" s="1156" t="str">
        <f>F!C230</f>
        <v>10 to 100 acres</v>
      </c>
      <c r="D210" s="351">
        <f>F!D230</f>
        <v>0</v>
      </c>
      <c r="E210" s="388">
        <v>5</v>
      </c>
      <c r="F210" s="1069">
        <f t="shared" si="5"/>
        <v>0</v>
      </c>
      <c r="G210" s="1187"/>
      <c r="H210" s="2283"/>
    </row>
    <row r="211" spans="1:9" s="43" customFormat="1" ht="15" customHeight="1" x14ac:dyDescent="0.2">
      <c r="A211" s="1869"/>
      <c r="B211" s="2273"/>
      <c r="C211" s="1156" t="str">
        <f>F!C231</f>
        <v>100 to 1000 acres</v>
      </c>
      <c r="D211" s="351">
        <f>F!D231</f>
        <v>0</v>
      </c>
      <c r="E211" s="388">
        <v>2</v>
      </c>
      <c r="F211" s="1069">
        <f t="shared" si="5"/>
        <v>0</v>
      </c>
      <c r="G211" s="1187"/>
      <c r="H211" s="2283"/>
    </row>
    <row r="212" spans="1:9" s="43" customFormat="1" ht="15.6" customHeight="1" thickBot="1" x14ac:dyDescent="0.25">
      <c r="A212" s="1870"/>
      <c r="B212" s="2292"/>
      <c r="C212" s="1157" t="str">
        <f>F!C232</f>
        <v>&gt;1000 acres</v>
      </c>
      <c r="D212" s="352">
        <f>F!D232</f>
        <v>0</v>
      </c>
      <c r="E212" s="389">
        <v>1</v>
      </c>
      <c r="F212" s="1175">
        <f t="shared" si="5"/>
        <v>0</v>
      </c>
      <c r="G212" s="1188"/>
      <c r="H212" s="2284"/>
    </row>
    <row r="213" spans="1:9" s="43" customFormat="1" ht="66" customHeight="1" thickBot="1" x14ac:dyDescent="0.25">
      <c r="A213" s="2274" t="str">
        <f>F!A250</f>
        <v>F52</v>
      </c>
      <c r="B213" s="2293" t="str">
        <f>F!B250</f>
        <v>Herbaceous Species Dominance</v>
      </c>
      <c r="C213" s="1154" t="str">
        <f>F!C250</f>
        <v>Determine which two native herbaceous (forb, graminoid, fern) species comprise the greatest portion of the herbaceous cover that is unshaded by a woody canopy. Then choose one:</v>
      </c>
      <c r="D213" s="1170"/>
      <c r="E213" s="1197"/>
      <c r="F213" s="1220"/>
      <c r="G213" s="836">
        <f>IF((NoHerbCov=1),"",MAX(F214:F215))</f>
        <v>0</v>
      </c>
      <c r="H213" s="1701" t="s">
        <v>5428</v>
      </c>
      <c r="I213" s="4" t="s">
        <v>1052</v>
      </c>
    </row>
    <row r="214" spans="1:9" s="43" customFormat="1" ht="30" customHeight="1" x14ac:dyDescent="0.2">
      <c r="A214" s="2275"/>
      <c r="B214" s="2283"/>
      <c r="C214" s="1155" t="str">
        <f>F!C251</f>
        <v>those species together comprise &gt; 50% of the areal cover of native herbaceous plants at any time during the year.</v>
      </c>
      <c r="D214" s="350">
        <f>F!D251</f>
        <v>0</v>
      </c>
      <c r="E214" s="1172">
        <v>0</v>
      </c>
      <c r="F214" s="1070">
        <f>D214*E214</f>
        <v>0</v>
      </c>
      <c r="G214" s="1174"/>
      <c r="H214" s="2287"/>
    </row>
    <row r="215" spans="1:9" s="43" customFormat="1" ht="30" customHeight="1" thickBot="1" x14ac:dyDescent="0.25">
      <c r="A215" s="2276"/>
      <c r="B215" s="2284"/>
      <c r="C215" s="1157" t="str">
        <f>F!C252</f>
        <v>those species together do not comprise &gt; 50% of the areal cover of native herbaceous plants at any time during the year.</v>
      </c>
      <c r="D215" s="352">
        <f>F!D252</f>
        <v>0</v>
      </c>
      <c r="E215" s="1194">
        <v>1</v>
      </c>
      <c r="F215" s="1176">
        <f>D215*E215</f>
        <v>0</v>
      </c>
      <c r="G215" s="1177"/>
      <c r="H215" s="2296"/>
    </row>
    <row r="216" spans="1:9" s="43" customFormat="1" ht="45" customHeight="1" thickBot="1" x14ac:dyDescent="0.25">
      <c r="A216" s="2290" t="str">
        <f>F!A253</f>
        <v>F53</v>
      </c>
      <c r="B216" s="2273" t="str">
        <f>F!B253</f>
        <v>Invasive &amp; Non-native Cover</v>
      </c>
      <c r="C216" s="1158" t="str">
        <f>F!C253</f>
        <v>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v>
      </c>
      <c r="D216" s="1170"/>
      <c r="E216" s="1223"/>
      <c r="F216" s="1224"/>
      <c r="G216" s="1180">
        <f>IF((NoHerbCov=1),"",(MAX(F217:F221))/MAX(E217:E221))</f>
        <v>0</v>
      </c>
      <c r="H216" s="1873" t="s">
        <v>2206</v>
      </c>
      <c r="I216" s="4" t="s">
        <v>1051</v>
      </c>
    </row>
    <row r="217" spans="1:9" s="43" customFormat="1" ht="15" customHeight="1" x14ac:dyDescent="0.2">
      <c r="A217" s="2290"/>
      <c r="B217" s="2273"/>
      <c r="C217" s="1155" t="str">
        <f>F!C254</f>
        <v>apparently no invasive species are present in the AA.</v>
      </c>
      <c r="D217" s="350">
        <f>F!D254</f>
        <v>0</v>
      </c>
      <c r="E217" s="1069">
        <v>4</v>
      </c>
      <c r="F217" s="1070">
        <f>D217*E217</f>
        <v>0</v>
      </c>
      <c r="G217" s="1173"/>
      <c r="H217" s="2287"/>
    </row>
    <row r="218" spans="1:9" s="43" customFormat="1" ht="15" customHeight="1" x14ac:dyDescent="0.2">
      <c r="A218" s="2290"/>
      <c r="B218" s="2273"/>
      <c r="C218" s="1156" t="str">
        <f>F!C255</f>
        <v>Invasive species are present but comprise &lt;5% of the herbaceous and &lt;5% of the shrub cover.</v>
      </c>
      <c r="D218" s="351">
        <f>F!D255</f>
        <v>0</v>
      </c>
      <c r="E218" s="1178">
        <v>3</v>
      </c>
      <c r="F218" s="1196"/>
      <c r="G218" s="1173"/>
      <c r="H218" s="2287"/>
    </row>
    <row r="219" spans="1:9" s="43" customFormat="1" ht="15" customHeight="1" x14ac:dyDescent="0.2">
      <c r="A219" s="2290"/>
      <c r="B219" s="2273"/>
      <c r="C219" s="1156" t="str">
        <f>F!C256</f>
        <v>Invasive species comprise 5-20% of the herb or shrub cover.</v>
      </c>
      <c r="D219" s="351">
        <f>F!D256</f>
        <v>0</v>
      </c>
      <c r="E219" s="1195">
        <v>2</v>
      </c>
      <c r="F219" s="1196">
        <f>D219*E219</f>
        <v>0</v>
      </c>
      <c r="G219" s="1173"/>
      <c r="H219" s="2287"/>
    </row>
    <row r="220" spans="1:9" s="43" customFormat="1" ht="15" customHeight="1" x14ac:dyDescent="0.2">
      <c r="A220" s="2290"/>
      <c r="B220" s="2273"/>
      <c r="C220" s="1156" t="str">
        <f>F!C257</f>
        <v>Invasive species comprise 20-50% of the herb or shrub cover.</v>
      </c>
      <c r="D220" s="351">
        <f>F!D257</f>
        <v>0</v>
      </c>
      <c r="E220" s="1172">
        <v>1</v>
      </c>
      <c r="F220" s="1070">
        <f>D220*E220</f>
        <v>0</v>
      </c>
      <c r="G220" s="1174"/>
      <c r="H220" s="2287"/>
    </row>
    <row r="221" spans="1:9" s="43" customFormat="1" ht="15.6" customHeight="1" thickBot="1" x14ac:dyDescent="0.25">
      <c r="A221" s="2290"/>
      <c r="B221" s="2273"/>
      <c r="C221" s="1159" t="str">
        <f>F!C258</f>
        <v>Invasive species comprise &gt;50% of the herb or shrub cover.</v>
      </c>
      <c r="D221" s="353">
        <f>F!D258</f>
        <v>0</v>
      </c>
      <c r="E221" s="1181">
        <v>0</v>
      </c>
      <c r="F221" s="1182">
        <f>D221*E221</f>
        <v>0</v>
      </c>
      <c r="G221" s="1183"/>
      <c r="H221" s="2288"/>
    </row>
    <row r="222" spans="1:9" s="43" customFormat="1" ht="30" customHeight="1" thickBot="1" x14ac:dyDescent="0.25">
      <c r="A222" s="2303" t="str">
        <f>F!A264</f>
        <v>F55</v>
      </c>
      <c r="B222" s="2291" t="str">
        <f>F!B264</f>
        <v>Natural Cover in Buffer</v>
      </c>
      <c r="C222" s="1154" t="str">
        <f>F!C264</f>
        <v>Along the wetland-upland edge and extending 100 ft upslope, the percentage of the upland that contains natural (not necessarily native -- see column E) land cover taller than 6 inches is:</v>
      </c>
      <c r="D222" s="1170"/>
      <c r="E222" s="1170"/>
      <c r="F222" s="1171"/>
      <c r="G222" s="836">
        <f>MAX(F223:F227)/MAX(E223:E227)</f>
        <v>0</v>
      </c>
      <c r="H222" s="2293" t="s">
        <v>903</v>
      </c>
      <c r="I222" s="43" t="s">
        <v>1060</v>
      </c>
    </row>
    <row r="223" spans="1:9" s="43" customFormat="1" ht="15" customHeight="1" x14ac:dyDescent="0.2">
      <c r="A223" s="2304"/>
      <c r="B223" s="2273"/>
      <c r="C223" s="1155" t="str">
        <f>F!C265</f>
        <v xml:space="preserve">&lt;5% </v>
      </c>
      <c r="D223" s="350">
        <f>F!D265</f>
        <v>0</v>
      </c>
      <c r="E223" s="1172">
        <v>0</v>
      </c>
      <c r="F223" s="1070">
        <f>D223*E223</f>
        <v>0</v>
      </c>
      <c r="G223" s="1173"/>
      <c r="H223" s="2283"/>
    </row>
    <row r="224" spans="1:9" s="43" customFormat="1" ht="15" customHeight="1" x14ac:dyDescent="0.2">
      <c r="A224" s="2304"/>
      <c r="B224" s="2273"/>
      <c r="C224" s="1156" t="str">
        <f>F!C266</f>
        <v>5 to 30%</v>
      </c>
      <c r="D224" s="351">
        <f>F!D266</f>
        <v>0</v>
      </c>
      <c r="E224" s="1172">
        <v>2</v>
      </c>
      <c r="F224" s="1070">
        <f>D224*E224</f>
        <v>0</v>
      </c>
      <c r="G224" s="1174"/>
      <c r="H224" s="2283"/>
    </row>
    <row r="225" spans="1:9" s="43" customFormat="1" ht="15" customHeight="1" x14ac:dyDescent="0.2">
      <c r="A225" s="2304"/>
      <c r="B225" s="2273"/>
      <c r="C225" s="1156" t="str">
        <f>F!C267</f>
        <v>30 to 60%</v>
      </c>
      <c r="D225" s="351">
        <f>F!D267</f>
        <v>0</v>
      </c>
      <c r="E225" s="1172">
        <v>3</v>
      </c>
      <c r="F225" s="1070">
        <f>D225*E225</f>
        <v>0</v>
      </c>
      <c r="G225" s="1174"/>
      <c r="H225" s="2283"/>
    </row>
    <row r="226" spans="1:9" s="43" customFormat="1" ht="15" customHeight="1" x14ac:dyDescent="0.2">
      <c r="A226" s="2304"/>
      <c r="B226" s="2273"/>
      <c r="C226" s="1156" t="str">
        <f>F!C268</f>
        <v>60 to 90%</v>
      </c>
      <c r="D226" s="351">
        <f>F!D268</f>
        <v>0</v>
      </c>
      <c r="E226" s="1172">
        <v>4</v>
      </c>
      <c r="F226" s="1070">
        <f>D226*E226</f>
        <v>0</v>
      </c>
      <c r="G226" s="1174"/>
      <c r="H226" s="2283"/>
    </row>
    <row r="227" spans="1:9" s="43" customFormat="1" ht="15.6" customHeight="1" thickBot="1" x14ac:dyDescent="0.25">
      <c r="A227" s="2305"/>
      <c r="B227" s="2292"/>
      <c r="C227" s="1157" t="str">
        <f>F!C269</f>
        <v>&gt;90%.  SKIP to F58.</v>
      </c>
      <c r="D227" s="352">
        <f>F!D269</f>
        <v>0</v>
      </c>
      <c r="E227" s="1194">
        <v>6</v>
      </c>
      <c r="F227" s="1176">
        <f>D227*E227</f>
        <v>0</v>
      </c>
      <c r="G227" s="1177"/>
      <c r="H227" s="2284"/>
    </row>
    <row r="228" spans="1:9" s="43" customFormat="1" ht="30" customHeight="1" thickBot="1" x14ac:dyDescent="0.25">
      <c r="A228" s="2290" t="str">
        <f>F!A273</f>
        <v>F57</v>
      </c>
      <c r="B228" s="2273" t="str">
        <f>F!B273</f>
        <v>Slope from Disturbed Lands</v>
      </c>
      <c r="C228" s="1158" t="str">
        <f>F!C273</f>
        <v>The average percent slope of the land, measured from the AA's wetland-upland edge and extending uphill to the most extensive and/or closest disturbance feature within 100 ft, is:</v>
      </c>
      <c r="D228" s="1170"/>
      <c r="E228" s="1178"/>
      <c r="F228" s="1179"/>
      <c r="G228" s="1180">
        <f>IF((NoCA=1),"",MAX(F229:F232)/MAX(E229:E232))</f>
        <v>0</v>
      </c>
      <c r="H228" s="2295" t="s">
        <v>904</v>
      </c>
      <c r="I228" s="4" t="s">
        <v>1061</v>
      </c>
    </row>
    <row r="229" spans="1:9" s="43" customFormat="1" ht="15" customHeight="1" x14ac:dyDescent="0.2">
      <c r="A229" s="2290"/>
      <c r="B229" s="2273"/>
      <c r="C229" s="1155" t="str">
        <f>F!C274</f>
        <v>&lt;1% (flat -- almost no noticeable slope)</v>
      </c>
      <c r="D229" s="350">
        <f>F!D274</f>
        <v>0</v>
      </c>
      <c r="E229" s="1172">
        <v>0</v>
      </c>
      <c r="F229" s="1070">
        <f>D229*E229</f>
        <v>0</v>
      </c>
      <c r="G229" s="1173"/>
      <c r="H229" s="2287"/>
    </row>
    <row r="230" spans="1:9" s="43" customFormat="1" ht="15" customHeight="1" x14ac:dyDescent="0.2">
      <c r="A230" s="2290"/>
      <c r="B230" s="2273"/>
      <c r="C230" s="1156" t="str">
        <f>F!C275</f>
        <v>2-5%</v>
      </c>
      <c r="D230" s="351">
        <f>F!D275</f>
        <v>0</v>
      </c>
      <c r="E230" s="1172">
        <v>1</v>
      </c>
      <c r="F230" s="1070">
        <f>D230*E230</f>
        <v>0</v>
      </c>
      <c r="G230" s="1174"/>
      <c r="H230" s="2287"/>
    </row>
    <row r="231" spans="1:9" s="43" customFormat="1" ht="15" customHeight="1" x14ac:dyDescent="0.2">
      <c r="A231" s="2290"/>
      <c r="B231" s="2273"/>
      <c r="C231" s="1156" t="str">
        <f>F!C276</f>
        <v>5-30%</v>
      </c>
      <c r="D231" s="351">
        <f>F!D276</f>
        <v>0</v>
      </c>
      <c r="E231" s="1172">
        <v>2</v>
      </c>
      <c r="F231" s="1070">
        <f>D231*E231</f>
        <v>0</v>
      </c>
      <c r="G231" s="1174"/>
      <c r="H231" s="2287"/>
    </row>
    <row r="232" spans="1:9" s="43" customFormat="1" ht="15.6" customHeight="1" thickBot="1" x14ac:dyDescent="0.25">
      <c r="A232" s="2290"/>
      <c r="B232" s="2273"/>
      <c r="C232" s="1159" t="str">
        <f>F!C277</f>
        <v>&gt;30%</v>
      </c>
      <c r="D232" s="353">
        <f>F!D277</f>
        <v>0</v>
      </c>
      <c r="E232" s="1181">
        <v>5</v>
      </c>
      <c r="F232" s="1182">
        <f>D232*E232</f>
        <v>0</v>
      </c>
      <c r="G232" s="1183"/>
      <c r="H232" s="2288"/>
    </row>
    <row r="233" spans="1:9" s="43" customFormat="1" ht="45" customHeight="1" thickBot="1" x14ac:dyDescent="0.25">
      <c r="A233" s="2277" t="str">
        <f>F!A279</f>
        <v>F59</v>
      </c>
      <c r="B233" s="2280" t="str">
        <f>F!B279</f>
        <v>New Wetland</v>
      </c>
      <c r="C233" s="1165" t="str">
        <f>F!C279</f>
        <v>The AA is (or is within, or contains) a "new" wetland resulting from human actions (e.g., excavation, impoundment) or debris or lava flows, sea level rise, or other factors affecting what once was upland (non-hydric) soil.</v>
      </c>
      <c r="D233" s="1170"/>
      <c r="E233" s="1170"/>
      <c r="F233" s="1171"/>
      <c r="G233" s="836">
        <f>IF((D239=1),"",MAX(F234:F238)/MAX(E234:E238))</f>
        <v>0</v>
      </c>
      <c r="H233" s="1687" t="s">
        <v>595</v>
      </c>
      <c r="I233" s="4" t="s">
        <v>596</v>
      </c>
    </row>
    <row r="234" spans="1:9" s="43" customFormat="1" ht="15" customHeight="1" x14ac:dyDescent="0.2">
      <c r="A234" s="2278"/>
      <c r="B234" s="2281"/>
      <c r="C234" s="1166" t="str">
        <f>F!C280</f>
        <v>No</v>
      </c>
      <c r="D234" s="356">
        <f>F!D280</f>
        <v>0</v>
      </c>
      <c r="E234" s="1069">
        <v>0</v>
      </c>
      <c r="F234" s="1070">
        <f>D234*E234</f>
        <v>0</v>
      </c>
      <c r="G234" s="1173"/>
      <c r="H234" s="2283"/>
    </row>
    <row r="235" spans="1:9" s="43" customFormat="1" ht="15" customHeight="1" x14ac:dyDescent="0.2">
      <c r="A235" s="2278"/>
      <c r="B235" s="2281"/>
      <c r="C235" s="1167" t="str">
        <f>F!C281</f>
        <v xml:space="preserve">yes, and most recently created, deglaciated, or uplifted 20 - 100 years ago </v>
      </c>
      <c r="D235" s="357">
        <f>F!D281</f>
        <v>0</v>
      </c>
      <c r="E235" s="1069">
        <v>1</v>
      </c>
      <c r="F235" s="1070">
        <f>D235*E235</f>
        <v>0</v>
      </c>
      <c r="G235" s="1174"/>
      <c r="H235" s="2283"/>
    </row>
    <row r="236" spans="1:9" s="43" customFormat="1" ht="15" customHeight="1" x14ac:dyDescent="0.2">
      <c r="A236" s="2278"/>
      <c r="B236" s="2281"/>
      <c r="C236" s="1167" t="str">
        <f>F!C282</f>
        <v>yes, and most recently created, deglaciated, or uplifted 3-20 years ago</v>
      </c>
      <c r="D236" s="357">
        <f>F!D282</f>
        <v>0</v>
      </c>
      <c r="E236" s="1069">
        <v>2</v>
      </c>
      <c r="F236" s="1070">
        <f>D236*E236</f>
        <v>0</v>
      </c>
      <c r="G236" s="1174"/>
      <c r="H236" s="2283"/>
    </row>
    <row r="237" spans="1:9" s="43" customFormat="1" ht="15" customHeight="1" x14ac:dyDescent="0.2">
      <c r="A237" s="2278"/>
      <c r="B237" s="2281"/>
      <c r="C237" s="1167" t="str">
        <f>F!C283</f>
        <v>yes, and most recently created, deglaciated, or uplifted within last 3 years</v>
      </c>
      <c r="D237" s="357">
        <f>F!D283</f>
        <v>0</v>
      </c>
      <c r="E237" s="1069">
        <v>3</v>
      </c>
      <c r="F237" s="1070">
        <f>D237*E237</f>
        <v>0</v>
      </c>
      <c r="G237" s="1174"/>
      <c r="H237" s="2283"/>
    </row>
    <row r="238" spans="1:9" s="43" customFormat="1" ht="15" customHeight="1" x14ac:dyDescent="0.2">
      <c r="A238" s="2278"/>
      <c r="B238" s="2281"/>
      <c r="C238" s="1167" t="str">
        <f>F!C284</f>
        <v>yes, but time of origin unknown</v>
      </c>
      <c r="D238" s="357">
        <f>F!D284</f>
        <v>0</v>
      </c>
      <c r="E238" s="1069">
        <v>1</v>
      </c>
      <c r="F238" s="1070">
        <f>D238*E238</f>
        <v>0</v>
      </c>
      <c r="G238" s="1174"/>
      <c r="H238" s="2283"/>
    </row>
    <row r="239" spans="1:9" s="43" customFormat="1" ht="15.6" customHeight="1" thickBot="1" x14ac:dyDescent="0.25">
      <c r="A239" s="2279"/>
      <c r="B239" s="2282"/>
      <c r="C239" s="1168" t="str">
        <f>F!C285</f>
        <v>unknown if new within 20 years or not</v>
      </c>
      <c r="D239" s="358">
        <f>F!D285</f>
        <v>0</v>
      </c>
      <c r="E239" s="1175"/>
      <c r="F239" s="1176"/>
      <c r="G239" s="1177"/>
      <c r="H239" s="2284"/>
    </row>
    <row r="240" spans="1:9" s="45" customFormat="1" ht="21" customHeight="1" thickBot="1" x14ac:dyDescent="0.25">
      <c r="A240" s="1829"/>
      <c r="B240" s="1829"/>
      <c r="C240" s="2271"/>
      <c r="D240" s="2271"/>
      <c r="E240" s="2271"/>
      <c r="F240" s="2271"/>
      <c r="G240" s="2271"/>
      <c r="H240" s="2272"/>
    </row>
    <row r="241" spans="1:9" s="45" customFormat="1" ht="30" customHeight="1" x14ac:dyDescent="0.2">
      <c r="A241" s="1826"/>
      <c r="B241" s="1826"/>
      <c r="C241" s="2316" t="s">
        <v>2617</v>
      </c>
      <c r="D241" s="2317"/>
      <c r="E241" s="2317"/>
      <c r="F241" s="2318"/>
      <c r="G241" s="1233">
        <f>AVERAGE((OutDura_S * AVERAGE(SatPct_S, ShedPos_S,CUratio_S,Freeze_S, IsoDry_S, Depth_S, Constric_S)),AVERAGE(BuffSlope_S,Erodib_S,SoilTex_S,Beaver_S))</f>
        <v>0</v>
      </c>
      <c r="H241" s="1384" t="s">
        <v>1931</v>
      </c>
      <c r="I241" s="4" t="s">
        <v>607</v>
      </c>
    </row>
    <row r="242" spans="1:9" s="45" customFormat="1" ht="30" customHeight="1" x14ac:dyDescent="0.2">
      <c r="A242" s="1826"/>
      <c r="B242" s="1826"/>
      <c r="C242" s="2309" t="s">
        <v>5542</v>
      </c>
      <c r="D242" s="2310"/>
      <c r="E242" s="2310"/>
      <c r="F242" s="2311"/>
      <c r="G242" s="1234">
        <f>AVERAGE((AVERAGE(VwidthAbs_S, Size_S, (AVERAGE(EmSens1_S, ShrubPattS, WoodySens2_S, Gcover_S, UpEdge_S)), MAX(AmpSiteS, WBNsiteS, WBFsiteS, SBMsiteS, PlantSiteS))))</f>
        <v>0</v>
      </c>
      <c r="H242" s="1385" t="s">
        <v>1241</v>
      </c>
      <c r="I242" s="4" t="s">
        <v>608</v>
      </c>
    </row>
    <row r="243" spans="1:9" s="45" customFormat="1" ht="21" customHeight="1" x14ac:dyDescent="0.2">
      <c r="A243" s="1826"/>
      <c r="B243" s="1826"/>
      <c r="C243" s="2312" t="s">
        <v>5538</v>
      </c>
      <c r="D243" s="2310"/>
      <c r="E243" s="2310"/>
      <c r="F243" s="2311"/>
      <c r="G243" s="1234">
        <f>AVERAGE(WettypeS,NfixS,NewWet_S)</f>
        <v>0</v>
      </c>
      <c r="H243" s="1385" t="s">
        <v>605</v>
      </c>
      <c r="I243" s="4" t="s">
        <v>609</v>
      </c>
    </row>
    <row r="244" spans="1:9" s="45" customFormat="1" ht="21" customHeight="1" x14ac:dyDescent="0.2">
      <c r="A244" s="1826"/>
      <c r="B244" s="1826"/>
      <c r="C244" s="2312" t="s">
        <v>5539</v>
      </c>
      <c r="D244" s="2310"/>
      <c r="E244" s="2310"/>
      <c r="F244" s="2311"/>
      <c r="G244" s="1235">
        <f>AVERAGE(TidalProx_S, GDD_S,ShedPos_S)</f>
        <v>0</v>
      </c>
      <c r="H244" s="1385" t="s">
        <v>1908</v>
      </c>
      <c r="I244" s="4" t="s">
        <v>425</v>
      </c>
    </row>
    <row r="245" spans="1:9" s="1383" customFormat="1" ht="30" customHeight="1" x14ac:dyDescent="0.2">
      <c r="A245" s="1826"/>
      <c r="B245" s="1826"/>
      <c r="C245" s="2312" t="s">
        <v>5541</v>
      </c>
      <c r="D245" s="2310"/>
      <c r="E245" s="2310"/>
      <c r="F245" s="2311"/>
      <c r="G245" s="1235">
        <f>AVERAGE(UniqVegF,DistRareTypS,RareWclass_S, GeogS, AVERAGE(HerbDom2, NatVegProx_S,NatVegSize_S,NatVegCUpct_S),AVERAGE(PondScape_S,PondProx_S,LakeProx_S))</f>
        <v>0</v>
      </c>
      <c r="H245" s="1385" t="s">
        <v>2523</v>
      </c>
      <c r="I245" s="1382" t="s">
        <v>610</v>
      </c>
    </row>
    <row r="246" spans="1:9" s="45" customFormat="1" ht="21" customHeight="1" thickBot="1" x14ac:dyDescent="0.25">
      <c r="A246" s="1826"/>
      <c r="B246" s="1826"/>
      <c r="C246" s="2313" t="s">
        <v>5540</v>
      </c>
      <c r="D246" s="2314"/>
      <c r="E246" s="2314"/>
      <c r="F246" s="2315"/>
      <c r="G246" s="1236">
        <f>IF((NoWoodyVeg=1),"",AVERAGE(TreeCovS,TreeDBHs))</f>
        <v>0</v>
      </c>
      <c r="H246" s="1386" t="s">
        <v>2212</v>
      </c>
      <c r="I246" s="4" t="s">
        <v>611</v>
      </c>
    </row>
    <row r="247" spans="1:9" s="45" customFormat="1" ht="21" customHeight="1" thickBot="1" x14ac:dyDescent="0.25">
      <c r="A247" s="1826"/>
      <c r="B247" s="1826"/>
      <c r="C247" s="2271"/>
      <c r="D247" s="2271"/>
      <c r="E247" s="2271"/>
      <c r="F247" s="2271"/>
      <c r="G247" s="2271"/>
      <c r="H247" s="2272"/>
    </row>
    <row r="248" spans="1:9" ht="30" customHeight="1" thickBot="1" x14ac:dyDescent="0.25">
      <c r="A248" s="1826"/>
      <c r="B248" s="1826"/>
      <c r="C248" s="2306" t="s">
        <v>210</v>
      </c>
      <c r="D248" s="2307"/>
      <c r="E248" s="2307"/>
      <c r="F248" s="2308"/>
      <c r="G248" s="548">
        <f>10*AVERAGE(AbioSens,BioSens,Fertility,ClimateS,Colonizer,GrowthRate)</f>
        <v>0</v>
      </c>
      <c r="H248" s="49" t="s">
        <v>612</v>
      </c>
    </row>
    <row r="249" spans="1:9" ht="21" customHeight="1" thickBot="1" x14ac:dyDescent="0.25">
      <c r="A249" s="1862"/>
      <c r="B249" s="1862"/>
      <c r="C249" s="1862"/>
      <c r="D249" s="1862"/>
      <c r="E249" s="1862"/>
      <c r="F249" s="1862"/>
      <c r="G249" s="1862"/>
    </row>
    <row r="250" spans="1:9" ht="21" customHeight="1" thickBot="1" x14ac:dyDescent="0.25">
      <c r="A250" s="1862"/>
      <c r="B250" s="1862"/>
      <c r="C250" s="1862"/>
      <c r="D250" s="1862"/>
      <c r="E250" s="1862"/>
      <c r="F250" s="1862"/>
      <c r="G250" s="1862"/>
      <c r="H250" s="80" t="s">
        <v>1345</v>
      </c>
    </row>
    <row r="251" spans="1:9" ht="27" customHeight="1" x14ac:dyDescent="0.2">
      <c r="A251" s="1862"/>
      <c r="B251" s="1862"/>
      <c r="C251" s="1862"/>
      <c r="D251" s="1862"/>
      <c r="E251" s="1862"/>
      <c r="F251" s="1862"/>
      <c r="G251" s="1862"/>
      <c r="H251" s="145" t="s">
        <v>1747</v>
      </c>
    </row>
    <row r="252" spans="1:9" ht="27" customHeight="1" x14ac:dyDescent="0.2">
      <c r="A252" s="1862"/>
      <c r="B252" s="1862"/>
      <c r="C252" s="1862"/>
      <c r="D252" s="1862"/>
      <c r="E252" s="1862"/>
      <c r="F252" s="1862"/>
      <c r="G252" s="1862"/>
      <c r="H252" s="116" t="s">
        <v>1723</v>
      </c>
    </row>
    <row r="253" spans="1:9" ht="27" customHeight="1" x14ac:dyDescent="0.2">
      <c r="A253" s="1862"/>
      <c r="B253" s="1862"/>
      <c r="C253" s="1862"/>
      <c r="D253" s="1862"/>
      <c r="E253" s="1862"/>
      <c r="F253" s="1862"/>
      <c r="G253" s="1862"/>
      <c r="H253" s="116" t="s">
        <v>1748</v>
      </c>
    </row>
    <row r="254" spans="1:9" ht="27" customHeight="1" x14ac:dyDescent="0.2">
      <c r="A254" s="1862"/>
      <c r="B254" s="1862"/>
      <c r="C254" s="1862"/>
      <c r="D254" s="1862"/>
      <c r="E254" s="1862"/>
      <c r="F254" s="1862"/>
      <c r="G254" s="1862"/>
      <c r="H254" s="116" t="s">
        <v>1749</v>
      </c>
    </row>
    <row r="255" spans="1:9" ht="27" customHeight="1" x14ac:dyDescent="0.2">
      <c r="A255" s="1862"/>
      <c r="B255" s="1862"/>
      <c r="C255" s="1862"/>
      <c r="D255" s="1862"/>
      <c r="E255" s="1862"/>
      <c r="F255" s="1862"/>
      <c r="G255" s="1862"/>
      <c r="H255" s="116" t="s">
        <v>1520</v>
      </c>
    </row>
    <row r="256" spans="1:9" ht="42" customHeight="1" x14ac:dyDescent="0.2">
      <c r="A256" s="1862"/>
      <c r="B256" s="1862"/>
      <c r="C256" s="1862"/>
      <c r="D256" s="1862"/>
      <c r="E256" s="1862"/>
      <c r="F256" s="1862"/>
      <c r="G256" s="1862"/>
      <c r="H256" s="116" t="s">
        <v>1729</v>
      </c>
    </row>
    <row r="257" spans="1:8" ht="42" customHeight="1" x14ac:dyDescent="0.2">
      <c r="A257" s="1862"/>
      <c r="B257" s="1862"/>
      <c r="C257" s="1862"/>
      <c r="D257" s="1862"/>
      <c r="E257" s="1862"/>
      <c r="F257" s="1862"/>
      <c r="G257" s="1862"/>
      <c r="H257" s="116" t="s">
        <v>1365</v>
      </c>
    </row>
    <row r="258" spans="1:8" ht="27" customHeight="1" x14ac:dyDescent="0.2">
      <c r="A258" s="1862"/>
      <c r="B258" s="1862"/>
      <c r="C258" s="1862"/>
      <c r="D258" s="1862"/>
      <c r="E258" s="1862"/>
      <c r="F258" s="1862"/>
      <c r="G258" s="1862"/>
      <c r="H258" s="116" t="s">
        <v>1750</v>
      </c>
    </row>
    <row r="259" spans="1:8" ht="27" customHeight="1" x14ac:dyDescent="0.2">
      <c r="A259" s="1862"/>
      <c r="B259" s="1862"/>
      <c r="C259" s="1862"/>
      <c r="D259" s="1862"/>
      <c r="E259" s="1862"/>
      <c r="F259" s="1862"/>
      <c r="G259" s="1862"/>
      <c r="H259" s="116" t="s">
        <v>1751</v>
      </c>
    </row>
    <row r="260" spans="1:8" ht="27" customHeight="1" x14ac:dyDescent="0.2">
      <c r="A260" s="1862"/>
      <c r="B260" s="1862"/>
      <c r="C260" s="1862"/>
      <c r="D260" s="1862"/>
      <c r="E260" s="1862"/>
      <c r="F260" s="1862"/>
      <c r="G260" s="1862"/>
      <c r="H260" s="116" t="s">
        <v>5543</v>
      </c>
    </row>
    <row r="261" spans="1:8" ht="27" customHeight="1" x14ac:dyDescent="0.2">
      <c r="A261" s="1862"/>
      <c r="B261" s="1862"/>
      <c r="C261" s="1862"/>
      <c r="D261" s="1862"/>
      <c r="E261" s="1862"/>
      <c r="F261" s="1862"/>
      <c r="G261" s="1862"/>
      <c r="H261" s="116" t="s">
        <v>1735</v>
      </c>
    </row>
    <row r="262" spans="1:8" ht="27" customHeight="1" x14ac:dyDescent="0.2">
      <c r="A262" s="1862"/>
      <c r="B262" s="1862"/>
      <c r="C262" s="1862"/>
      <c r="D262" s="1862"/>
      <c r="E262" s="1862"/>
      <c r="F262" s="1862"/>
      <c r="G262" s="1862"/>
      <c r="H262" s="116" t="s">
        <v>1752</v>
      </c>
    </row>
    <row r="263" spans="1:8" ht="27" customHeight="1" x14ac:dyDescent="0.2">
      <c r="A263" s="1862"/>
      <c r="B263" s="1862"/>
      <c r="C263" s="1862"/>
      <c r="D263" s="1862"/>
      <c r="E263" s="1862"/>
      <c r="F263" s="1862"/>
      <c r="G263" s="1862"/>
      <c r="H263" s="116" t="s">
        <v>1753</v>
      </c>
    </row>
    <row r="264" spans="1:8" ht="27" customHeight="1" x14ac:dyDescent="0.2">
      <c r="A264" s="1862"/>
      <c r="B264" s="1862"/>
      <c r="C264" s="1862"/>
      <c r="D264" s="1862"/>
      <c r="E264" s="1862"/>
      <c r="F264" s="1862"/>
      <c r="G264" s="1862"/>
      <c r="H264" s="116" t="s">
        <v>1754</v>
      </c>
    </row>
    <row r="265" spans="1:8" ht="42" customHeight="1" x14ac:dyDescent="0.2">
      <c r="A265" s="1862"/>
      <c r="B265" s="1862"/>
      <c r="C265" s="1862"/>
      <c r="D265" s="1862"/>
      <c r="E265" s="1862"/>
      <c r="F265" s="1862"/>
      <c r="G265" s="1862"/>
      <c r="H265" s="116" t="s">
        <v>1992</v>
      </c>
    </row>
    <row r="266" spans="1:8" ht="42" customHeight="1" x14ac:dyDescent="0.2">
      <c r="A266" s="1862"/>
      <c r="B266" s="1862"/>
      <c r="C266" s="1862"/>
      <c r="D266" s="1862"/>
      <c r="E266" s="1862"/>
      <c r="F266" s="1862"/>
      <c r="G266" s="1862"/>
      <c r="H266" s="120" t="s">
        <v>1755</v>
      </c>
    </row>
    <row r="267" spans="1:8" ht="27" customHeight="1" x14ac:dyDescent="0.2">
      <c r="A267" s="1862"/>
      <c r="B267" s="1862"/>
      <c r="C267" s="1862"/>
      <c r="D267" s="1862"/>
      <c r="E267" s="1862"/>
      <c r="F267" s="1862"/>
      <c r="G267" s="1862"/>
      <c r="H267" s="116" t="s">
        <v>1756</v>
      </c>
    </row>
    <row r="268" spans="1:8" ht="21" customHeight="1" x14ac:dyDescent="0.2">
      <c r="A268" s="1862"/>
      <c r="B268" s="1862"/>
      <c r="C268" s="1862"/>
      <c r="D268" s="1862"/>
      <c r="E268" s="1862"/>
      <c r="F268" s="1862"/>
      <c r="G268" s="1862"/>
      <c r="H268" s="116" t="s">
        <v>1757</v>
      </c>
    </row>
    <row r="269" spans="1:8" ht="42" customHeight="1" x14ac:dyDescent="0.2">
      <c r="A269" s="1862"/>
      <c r="B269" s="1862"/>
      <c r="C269" s="1862"/>
      <c r="D269" s="1862"/>
      <c r="E269" s="1862"/>
      <c r="F269" s="1862"/>
      <c r="G269" s="1862"/>
      <c r="H269" s="116" t="s">
        <v>1758</v>
      </c>
    </row>
    <row r="270" spans="1:8" ht="42" customHeight="1" thickBot="1" x14ac:dyDescent="0.25">
      <c r="A270" s="1862"/>
      <c r="B270" s="1862"/>
      <c r="C270" s="1862"/>
      <c r="D270" s="1862"/>
      <c r="E270" s="1862"/>
      <c r="F270" s="1862"/>
      <c r="G270" s="1862"/>
      <c r="H270" s="119" t="s">
        <v>1759</v>
      </c>
    </row>
    <row r="274" spans="1:1" x14ac:dyDescent="0.2">
      <c r="A274" s="81"/>
    </row>
  </sheetData>
  <sheetProtection algorithmName="SHA-512" hashValue="5btpWQZGVZGM5Y6qoVFeuc0+Sg+haS/ooajknIFaYMUVNDqK61H9uTzIX0M94V6JGDzvaJbmlnOOSWGObXBCEQ==" saltValue="BFqyim0PdDM5BBZ2LV6AIA=="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133">
    <mergeCell ref="H30:H36"/>
    <mergeCell ref="H37:H43"/>
    <mergeCell ref="H15:H29"/>
    <mergeCell ref="H81:H85"/>
    <mergeCell ref="H86:H89"/>
    <mergeCell ref="B51:B55"/>
    <mergeCell ref="A142:A149"/>
    <mergeCell ref="B142:B149"/>
    <mergeCell ref="A86:A89"/>
    <mergeCell ref="A116:A122"/>
    <mergeCell ref="A123:A129"/>
    <mergeCell ref="A136:A141"/>
    <mergeCell ref="B116:B122"/>
    <mergeCell ref="A106:A111"/>
    <mergeCell ref="B123:B129"/>
    <mergeCell ref="A56:A61"/>
    <mergeCell ref="B78:B79"/>
    <mergeCell ref="B62:B65"/>
    <mergeCell ref="A78:A79"/>
    <mergeCell ref="B95:B100"/>
    <mergeCell ref="A51:A55"/>
    <mergeCell ref="H162:H165"/>
    <mergeCell ref="H62:H65"/>
    <mergeCell ref="H44:H50"/>
    <mergeCell ref="H51:H55"/>
    <mergeCell ref="H112:H115"/>
    <mergeCell ref="H206:H212"/>
    <mergeCell ref="H73:H77"/>
    <mergeCell ref="H130:H135"/>
    <mergeCell ref="H136:H141"/>
    <mergeCell ref="H101:H105"/>
    <mergeCell ref="H90:H94"/>
    <mergeCell ref="H106:H111"/>
    <mergeCell ref="H116:H122"/>
    <mergeCell ref="H151:H155"/>
    <mergeCell ref="H200:H205"/>
    <mergeCell ref="H78:H79"/>
    <mergeCell ref="B151:B155"/>
    <mergeCell ref="B90:B94"/>
    <mergeCell ref="A162:A165"/>
    <mergeCell ref="A130:A135"/>
    <mergeCell ref="B166:B171"/>
    <mergeCell ref="B136:B141"/>
    <mergeCell ref="C248:F248"/>
    <mergeCell ref="A228:A232"/>
    <mergeCell ref="B200:B205"/>
    <mergeCell ref="B228:B232"/>
    <mergeCell ref="A172:A180"/>
    <mergeCell ref="A195:A199"/>
    <mergeCell ref="A156:A161"/>
    <mergeCell ref="B189:B194"/>
    <mergeCell ref="B162:B165"/>
    <mergeCell ref="B181:B183"/>
    <mergeCell ref="B172:B180"/>
    <mergeCell ref="B156:B161"/>
    <mergeCell ref="C242:F242"/>
    <mergeCell ref="C243:F243"/>
    <mergeCell ref="C244:F244"/>
    <mergeCell ref="C245:F245"/>
    <mergeCell ref="C246:F246"/>
    <mergeCell ref="C241:F241"/>
    <mergeCell ref="A200:A205"/>
    <mergeCell ref="H233:H239"/>
    <mergeCell ref="H56:H61"/>
    <mergeCell ref="A62:A65"/>
    <mergeCell ref="B73:B77"/>
    <mergeCell ref="B9:B14"/>
    <mergeCell ref="A9:A14"/>
    <mergeCell ref="A81:A85"/>
    <mergeCell ref="B37:B43"/>
    <mergeCell ref="B30:B36"/>
    <mergeCell ref="A30:A36"/>
    <mergeCell ref="A206:A212"/>
    <mergeCell ref="A73:A77"/>
    <mergeCell ref="A90:A94"/>
    <mergeCell ref="A95:A100"/>
    <mergeCell ref="A222:A227"/>
    <mergeCell ref="A189:A194"/>
    <mergeCell ref="A184:A188"/>
    <mergeCell ref="B222:B227"/>
    <mergeCell ref="B195:B199"/>
    <mergeCell ref="B130:B135"/>
    <mergeCell ref="A166:A171"/>
    <mergeCell ref="B216:B221"/>
    <mergeCell ref="B213:B215"/>
    <mergeCell ref="A213:A215"/>
    <mergeCell ref="B3:B8"/>
    <mergeCell ref="B206:B212"/>
    <mergeCell ref="B56:B61"/>
    <mergeCell ref="B81:B85"/>
    <mergeCell ref="B106:B111"/>
    <mergeCell ref="A44:A50"/>
    <mergeCell ref="H228:H232"/>
    <mergeCell ref="H184:H188"/>
    <mergeCell ref="H172:H180"/>
    <mergeCell ref="H9:H14"/>
    <mergeCell ref="B112:B115"/>
    <mergeCell ref="B184:B188"/>
    <mergeCell ref="H95:H100"/>
    <mergeCell ref="H123:H129"/>
    <mergeCell ref="H166:H171"/>
    <mergeCell ref="H222:H227"/>
    <mergeCell ref="H181:H183"/>
    <mergeCell ref="H189:H194"/>
    <mergeCell ref="H195:H199"/>
    <mergeCell ref="H142:H149"/>
    <mergeCell ref="H213:H215"/>
    <mergeCell ref="H3:H8"/>
    <mergeCell ref="H156:H161"/>
    <mergeCell ref="E1:H1"/>
    <mergeCell ref="A240:B248"/>
    <mergeCell ref="C240:H240"/>
    <mergeCell ref="C247:H247"/>
    <mergeCell ref="A249:G270"/>
    <mergeCell ref="B44:B50"/>
    <mergeCell ref="A3:A8"/>
    <mergeCell ref="A233:A239"/>
    <mergeCell ref="B233:B239"/>
    <mergeCell ref="B15:B29"/>
    <mergeCell ref="A15:A29"/>
    <mergeCell ref="H216:H221"/>
    <mergeCell ref="A1:B1"/>
    <mergeCell ref="A66:A72"/>
    <mergeCell ref="B66:B72"/>
    <mergeCell ref="H66:H72"/>
    <mergeCell ref="A37:A43"/>
    <mergeCell ref="A181:A183"/>
    <mergeCell ref="A216:A221"/>
    <mergeCell ref="A151:A155"/>
    <mergeCell ref="B86:B89"/>
    <mergeCell ref="B101:B105"/>
    <mergeCell ref="A101:A105"/>
    <mergeCell ref="A112:A115"/>
  </mergeCells>
  <phoneticPr fontId="3" type="noConversion"/>
  <pageMargins left="0.75" right="0.75" top="1" bottom="1" header="0.5" footer="0.5"/>
  <pageSetup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indexed="53"/>
  </sheetPr>
  <dimension ref="A1:H85"/>
  <sheetViews>
    <sheetView zoomScaleNormal="100" workbookViewId="0">
      <selection activeCell="J17" sqref="J17"/>
    </sheetView>
  </sheetViews>
  <sheetFormatPr defaultColWidth="9.33203125" defaultRowHeight="12.75" x14ac:dyDescent="0.2"/>
  <cols>
    <col min="1" max="1" width="5.83203125" style="3" customWidth="1"/>
    <col min="2" max="2" width="19.83203125" style="15" customWidth="1"/>
    <col min="3" max="3" width="100.83203125" style="3" customWidth="1"/>
    <col min="4" max="4" width="7.83203125" style="724" customWidth="1"/>
    <col min="5" max="5" width="9" style="724" customWidth="1"/>
    <col min="6" max="6" width="8.1640625" style="724" customWidth="1"/>
    <col min="7" max="7" width="10.83203125" style="727" customWidth="1"/>
    <col min="8" max="8" width="45.83203125" style="3" customWidth="1"/>
    <col min="9" max="9" width="13.5" style="3" customWidth="1"/>
    <col min="10" max="16384" width="9.33203125" style="3"/>
  </cols>
  <sheetData>
    <row r="1" spans="1:8" ht="45" customHeight="1" thickBot="1" x14ac:dyDescent="0.25">
      <c r="A1" s="1933" t="s">
        <v>5750</v>
      </c>
      <c r="B1" s="2326"/>
      <c r="C1" s="88" t="s">
        <v>2153</v>
      </c>
      <c r="D1" s="130" t="s">
        <v>2152</v>
      </c>
      <c r="E1" s="2324"/>
      <c r="F1" s="2325"/>
      <c r="G1" s="2325"/>
      <c r="H1" s="2325"/>
    </row>
    <row r="2" spans="1:8" ht="30" customHeight="1" thickBot="1" x14ac:dyDescent="0.25">
      <c r="A2" s="1251" t="s">
        <v>290</v>
      </c>
      <c r="B2" s="1247" t="s">
        <v>5548</v>
      </c>
      <c r="C2" s="1392" t="s">
        <v>2606</v>
      </c>
      <c r="D2" s="1248" t="s">
        <v>117</v>
      </c>
      <c r="E2" s="1249" t="s">
        <v>2603</v>
      </c>
      <c r="F2" s="1248" t="s">
        <v>2605</v>
      </c>
      <c r="G2" s="1247" t="s">
        <v>178</v>
      </c>
      <c r="H2" s="1393"/>
    </row>
    <row r="3" spans="1:8" ht="21" customHeight="1" thickBot="1" x14ac:dyDescent="0.25">
      <c r="A3" s="1868" t="str">
        <f>OF!A4</f>
        <v>OF1</v>
      </c>
      <c r="B3" s="1687" t="str">
        <f>OF!B4</f>
        <v>Distance by Road to Nearest Population Center</v>
      </c>
      <c r="C3" s="231" t="str">
        <f>OF!C4</f>
        <v>Measured along the maintained road or boat landing that is nearest the AA, the distance to the nearest population center is:</v>
      </c>
      <c r="D3" s="392"/>
      <c r="E3" s="392"/>
      <c r="F3" s="393"/>
      <c r="G3" s="1238">
        <f>MAX(F4:F8)/MAX(E4:E8)</f>
        <v>0</v>
      </c>
      <c r="H3" s="1687" t="s">
        <v>1007</v>
      </c>
    </row>
    <row r="4" spans="1:8" ht="15" customHeight="1" x14ac:dyDescent="0.2">
      <c r="A4" s="1869"/>
      <c r="B4" s="1688"/>
      <c r="C4" s="21" t="str">
        <f>OF!C5</f>
        <v>&lt;0.5 mile</v>
      </c>
      <c r="D4" s="280">
        <f>OF!D5</f>
        <v>0</v>
      </c>
      <c r="E4" s="388">
        <v>5</v>
      </c>
      <c r="F4" s="388">
        <f>D4*E4</f>
        <v>0</v>
      </c>
      <c r="G4" s="863"/>
      <c r="H4" s="1688"/>
    </row>
    <row r="5" spans="1:8" ht="15" customHeight="1" x14ac:dyDescent="0.2">
      <c r="A5" s="1869"/>
      <c r="B5" s="1688"/>
      <c r="C5" s="6" t="str">
        <f>OF!C6</f>
        <v>0.5 - 2 miles</v>
      </c>
      <c r="D5" s="46">
        <f>OF!D6</f>
        <v>0</v>
      </c>
      <c r="E5" s="388">
        <v>3</v>
      </c>
      <c r="F5" s="388">
        <f>D5*E5</f>
        <v>0</v>
      </c>
      <c r="G5" s="864"/>
      <c r="H5" s="1688"/>
    </row>
    <row r="6" spans="1:8" ht="15" customHeight="1" x14ac:dyDescent="0.2">
      <c r="A6" s="1869"/>
      <c r="B6" s="1688"/>
      <c r="C6" s="6" t="str">
        <f>OF!C7</f>
        <v>2-5 miles</v>
      </c>
      <c r="D6" s="46">
        <f>OF!D7</f>
        <v>0</v>
      </c>
      <c r="E6" s="388">
        <v>2</v>
      </c>
      <c r="F6" s="388">
        <f>D6*E6</f>
        <v>0</v>
      </c>
      <c r="G6" s="864"/>
      <c r="H6" s="1688"/>
    </row>
    <row r="7" spans="1:8" ht="15" customHeight="1" x14ac:dyDescent="0.2">
      <c r="A7" s="1869"/>
      <c r="B7" s="1688"/>
      <c r="C7" s="6" t="str">
        <f>OF!C8</f>
        <v>5-10 miles</v>
      </c>
      <c r="D7" s="46">
        <f>OF!D8</f>
        <v>0</v>
      </c>
      <c r="E7" s="388">
        <v>1</v>
      </c>
      <c r="F7" s="388">
        <f>D7*E7</f>
        <v>0</v>
      </c>
      <c r="G7" s="864"/>
      <c r="H7" s="1688"/>
    </row>
    <row r="8" spans="1:8" ht="15.6" customHeight="1" thickBot="1" x14ac:dyDescent="0.25">
      <c r="A8" s="1870"/>
      <c r="B8" s="1689"/>
      <c r="C8" s="214" t="str">
        <f>OF!C9</f>
        <v>&gt;10 miles</v>
      </c>
      <c r="D8" s="213">
        <f>OF!D9</f>
        <v>0</v>
      </c>
      <c r="E8" s="389">
        <v>0</v>
      </c>
      <c r="F8" s="389">
        <f>D8*E8</f>
        <v>0</v>
      </c>
      <c r="G8" s="865"/>
      <c r="H8" s="1689"/>
    </row>
    <row r="9" spans="1:8" ht="45" customHeight="1" thickBot="1" x14ac:dyDescent="0.25">
      <c r="A9" s="1246" t="str">
        <f>OF!A10</f>
        <v>OF2</v>
      </c>
      <c r="B9" s="610" t="str">
        <f>OF!B10</f>
        <v>Wildlife Access</v>
      </c>
      <c r="C9" s="771" t="str">
        <f>OF!C10</f>
        <v>Draw a circle of radius of 0.5 mile from the center of the AA.  If mammals and amphibians can move from the center of the AA to all other separate wetlands located within the circle without being forced to cross maintained roads (any width), lawns, bare ground, marine waters, and/or steep (&gt;30%) slopes, mark 1= yes can move, or no other wetlands within that distance, or 0= no.</v>
      </c>
      <c r="D9" s="316">
        <f>OF!D10</f>
        <v>0</v>
      </c>
      <c r="E9" s="407"/>
      <c r="F9" s="401"/>
      <c r="G9" s="1239">
        <f>1-D9</f>
        <v>1</v>
      </c>
      <c r="H9" s="5" t="s">
        <v>1019</v>
      </c>
    </row>
    <row r="10" spans="1:8" ht="21" customHeight="1" thickBot="1" x14ac:dyDescent="0.25">
      <c r="A10" s="1954" t="str">
        <f>OF!A11</f>
        <v>OF3</v>
      </c>
      <c r="B10" s="1687" t="str">
        <f>OF!B11</f>
        <v>Distance to Nearest Maintained Road</v>
      </c>
      <c r="C10" s="231" t="str">
        <f>OF!C11</f>
        <v>From the center of the AA, the distance to the nearest maintained public road (dirt or paved) is:</v>
      </c>
      <c r="D10" s="392"/>
      <c r="E10" s="392"/>
      <c r="F10" s="393"/>
      <c r="G10" s="1238">
        <f>MAX(F11:F16)/MAX(E11:E16)</f>
        <v>0</v>
      </c>
      <c r="H10" s="1687" t="s">
        <v>1020</v>
      </c>
    </row>
    <row r="11" spans="1:8" ht="15" customHeight="1" x14ac:dyDescent="0.2">
      <c r="A11" s="1955"/>
      <c r="B11" s="1688"/>
      <c r="C11" s="21" t="str">
        <f>OF!C12</f>
        <v>&lt;100 ft</v>
      </c>
      <c r="D11" s="280">
        <f>OF!D12</f>
        <v>0</v>
      </c>
      <c r="E11" s="388">
        <v>5</v>
      </c>
      <c r="F11" s="388">
        <f t="shared" ref="F11:F16" si="0">D11*E11</f>
        <v>0</v>
      </c>
      <c r="G11" s="863"/>
      <c r="H11" s="1688"/>
    </row>
    <row r="12" spans="1:8" ht="15" customHeight="1" x14ac:dyDescent="0.2">
      <c r="A12" s="1955"/>
      <c r="B12" s="1688"/>
      <c r="C12" s="6" t="str">
        <f>OF!C13</f>
        <v>100-500 ft</v>
      </c>
      <c r="D12" s="46">
        <f>OF!D13</f>
        <v>0</v>
      </c>
      <c r="E12" s="388">
        <v>4</v>
      </c>
      <c r="F12" s="388">
        <f t="shared" si="0"/>
        <v>0</v>
      </c>
      <c r="G12" s="864"/>
      <c r="H12" s="1688"/>
    </row>
    <row r="13" spans="1:8" ht="15" customHeight="1" x14ac:dyDescent="0.2">
      <c r="A13" s="1955"/>
      <c r="B13" s="1688"/>
      <c r="C13" s="6" t="str">
        <f>OF!C14</f>
        <v>500-1000 ft</v>
      </c>
      <c r="D13" s="46">
        <f>OF!D14</f>
        <v>0</v>
      </c>
      <c r="E13" s="388">
        <v>2</v>
      </c>
      <c r="F13" s="388">
        <f t="shared" si="0"/>
        <v>0</v>
      </c>
      <c r="G13" s="864"/>
      <c r="H13" s="1688"/>
    </row>
    <row r="14" spans="1:8" ht="15" customHeight="1" x14ac:dyDescent="0.2">
      <c r="A14" s="1955"/>
      <c r="B14" s="1688"/>
      <c r="C14" s="6" t="str">
        <f>OF!C15</f>
        <v>1000 ft - 0.5 mile</v>
      </c>
      <c r="D14" s="46">
        <f>OF!D15</f>
        <v>0</v>
      </c>
      <c r="E14" s="388">
        <v>1</v>
      </c>
      <c r="F14" s="388">
        <f t="shared" si="0"/>
        <v>0</v>
      </c>
      <c r="G14" s="864"/>
      <c r="H14" s="1688"/>
    </row>
    <row r="15" spans="1:8" ht="15" customHeight="1" x14ac:dyDescent="0.2">
      <c r="A15" s="1955"/>
      <c r="B15" s="1688"/>
      <c r="C15" s="6" t="str">
        <f>OF!C16</f>
        <v>0.5- 1 mile</v>
      </c>
      <c r="D15" s="46">
        <f>OF!D16</f>
        <v>0</v>
      </c>
      <c r="E15" s="388">
        <v>1</v>
      </c>
      <c r="F15" s="388">
        <f t="shared" si="0"/>
        <v>0</v>
      </c>
      <c r="G15" s="864"/>
      <c r="H15" s="1688"/>
    </row>
    <row r="16" spans="1:8" ht="15.6" customHeight="1" thickBot="1" x14ac:dyDescent="0.25">
      <c r="A16" s="1956"/>
      <c r="B16" s="1689"/>
      <c r="C16" s="214" t="str">
        <f>OF!C17</f>
        <v>&gt;1 mile</v>
      </c>
      <c r="D16" s="213">
        <f>OF!D17</f>
        <v>0</v>
      </c>
      <c r="E16" s="389">
        <v>0</v>
      </c>
      <c r="F16" s="417">
        <f t="shared" si="0"/>
        <v>0</v>
      </c>
      <c r="G16" s="865"/>
      <c r="H16" s="1689"/>
    </row>
    <row r="17" spans="1:8" ht="60" customHeight="1" thickBot="1" x14ac:dyDescent="0.25">
      <c r="A17" s="1869" t="str">
        <f>OF!A127</f>
        <v>OF25</v>
      </c>
      <c r="B17" s="1688" t="str">
        <f>OF!B127</f>
        <v xml:space="preserve">Toxicity Documented Upstream </v>
      </c>
      <c r="C17" s="385"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17" s="392"/>
      <c r="E17" s="387"/>
      <c r="F17" s="390"/>
      <c r="G17" s="1240">
        <f>IF((D21=1),"", IF((D18=1),1, IF((D19=1), 0.5,0)))</f>
        <v>0</v>
      </c>
      <c r="H17" s="1687" t="s">
        <v>1022</v>
      </c>
    </row>
    <row r="18" spans="1:8" ht="15" customHeight="1" x14ac:dyDescent="0.2">
      <c r="A18" s="1869"/>
      <c r="B18" s="1688"/>
      <c r="C18" s="700" t="str">
        <f>OF!C128</f>
        <v>within the AA</v>
      </c>
      <c r="D18" s="304">
        <f>OF!D128</f>
        <v>0</v>
      </c>
      <c r="E18" s="388"/>
      <c r="F18" s="413"/>
      <c r="G18" s="863"/>
      <c r="H18" s="1688"/>
    </row>
    <row r="19" spans="1:8" ht="15" customHeight="1" x14ac:dyDescent="0.2">
      <c r="A19" s="1869"/>
      <c r="B19" s="1688"/>
      <c r="C19" s="21" t="str">
        <f>OF!C129</f>
        <v>in waters within 1 mile that flow into the AA.</v>
      </c>
      <c r="D19" s="280">
        <f>OF!D129</f>
        <v>0</v>
      </c>
      <c r="E19" s="388"/>
      <c r="F19" s="413"/>
      <c r="G19" s="864"/>
      <c r="H19" s="1688"/>
    </row>
    <row r="20" spans="1:8" ht="15" customHeight="1" x14ac:dyDescent="0.2">
      <c r="A20" s="1869"/>
      <c r="B20" s="1688"/>
      <c r="C20" s="21" t="str">
        <f>OF!C130</f>
        <v>Sampling (not just absence of map symbols) indicates no problems.</v>
      </c>
      <c r="D20" s="280">
        <f>OF!D130</f>
        <v>0</v>
      </c>
      <c r="E20" s="388"/>
      <c r="F20" s="413"/>
      <c r="G20" s="864"/>
      <c r="H20" s="1688"/>
    </row>
    <row r="21" spans="1:8" ht="15.6" customHeight="1" thickBot="1" x14ac:dyDescent="0.25">
      <c r="A21" s="1869"/>
      <c r="B21" s="1688"/>
      <c r="C21" s="19" t="str">
        <f>OF!C131</f>
        <v>insufficient data (no map symbols &amp; no sampling, or &gt;1 mile upstream).</v>
      </c>
      <c r="D21" s="380">
        <f>OF!D131</f>
        <v>0</v>
      </c>
      <c r="E21" s="391"/>
      <c r="F21" s="415"/>
      <c r="G21" s="1241"/>
      <c r="H21" s="1688"/>
    </row>
    <row r="22" spans="1:8" ht="30" customHeight="1" thickBot="1" x14ac:dyDescent="0.25">
      <c r="A22" s="1868" t="str">
        <f>OF!A157</f>
        <v>OF31</v>
      </c>
      <c r="B22" s="1687" t="str">
        <f>OF!B157</f>
        <v>Unvegetated Surface in the Contributing Area</v>
      </c>
      <c r="C22" s="231" t="str">
        <f>OF!C157</f>
        <v>The proportion of the AA's contributing area (measured to no more than 1000 ft upslope) that is comprised of buildings, roads, parking lots, other pavement, exposed bedrock, debris flows, and other mostly-bare (but unfrozen) surface is about :</v>
      </c>
      <c r="D22" s="392"/>
      <c r="E22" s="392"/>
      <c r="F22" s="393"/>
      <c r="G22" s="1238">
        <f>MAX(F23:F25)/MAX(E23:E25)</f>
        <v>0</v>
      </c>
      <c r="H22" s="1687" t="s">
        <v>1021</v>
      </c>
    </row>
    <row r="23" spans="1:8" ht="15" customHeight="1" x14ac:dyDescent="0.2">
      <c r="A23" s="1869"/>
      <c r="B23" s="1688"/>
      <c r="C23" s="21" t="str">
        <f>OF!C158</f>
        <v>&lt;10%</v>
      </c>
      <c r="D23" s="280">
        <f>OF!D158</f>
        <v>0</v>
      </c>
      <c r="E23" s="388">
        <v>0</v>
      </c>
      <c r="F23" s="413">
        <f>D23*E23</f>
        <v>0</v>
      </c>
      <c r="G23" s="863"/>
      <c r="H23" s="1688"/>
    </row>
    <row r="24" spans="1:8" ht="15" customHeight="1" x14ac:dyDescent="0.2">
      <c r="A24" s="1869"/>
      <c r="B24" s="1688"/>
      <c r="C24" s="21" t="str">
        <f>OF!C159</f>
        <v>10 to 25%</v>
      </c>
      <c r="D24" s="280">
        <f>OF!D159</f>
        <v>0</v>
      </c>
      <c r="E24" s="388">
        <v>2</v>
      </c>
      <c r="F24" s="413">
        <f>D24*E24</f>
        <v>0</v>
      </c>
      <c r="G24" s="864"/>
      <c r="H24" s="1688"/>
    </row>
    <row r="25" spans="1:8" ht="15.6" customHeight="1" thickBot="1" x14ac:dyDescent="0.25">
      <c r="A25" s="1870"/>
      <c r="B25" s="1689"/>
      <c r="C25" s="702" t="str">
        <f>OF!C160</f>
        <v>&gt;25%</v>
      </c>
      <c r="D25" s="317">
        <f>OF!D160</f>
        <v>0</v>
      </c>
      <c r="E25" s="389">
        <v>3</v>
      </c>
      <c r="F25" s="417">
        <f>D25*E25</f>
        <v>0</v>
      </c>
      <c r="G25" s="865"/>
      <c r="H25" s="1689"/>
    </row>
    <row r="26" spans="1:8" ht="21" customHeight="1" thickBot="1" x14ac:dyDescent="0.25">
      <c r="A26" s="1896" t="str">
        <f>F!A126</f>
        <v>F29</v>
      </c>
      <c r="B26" s="1692" t="str">
        <f>F!B126</f>
        <v>Outflow Confinement</v>
      </c>
      <c r="C26" s="586" t="str">
        <f>F!C126</f>
        <v>During major runoff events, in the places where surface water in a channel exits the AA or connected waters nearby, it:</v>
      </c>
      <c r="D26" s="392"/>
      <c r="E26" s="392"/>
      <c r="F26" s="392"/>
      <c r="G26" s="1238">
        <f>IF((OutNone + OutNone1&gt;0),"",MAX(F27:F29)/MAX(E27:E29))</f>
        <v>0</v>
      </c>
      <c r="H26" s="1687" t="s">
        <v>2113</v>
      </c>
    </row>
    <row r="27" spans="1:8" ht="27" customHeight="1" x14ac:dyDescent="0.2">
      <c r="A27" s="1897"/>
      <c r="B27" s="1713"/>
      <c r="C27" s="587" t="str">
        <f>F!C127</f>
        <v>mostly passes through a pipe, culvert, narrowly breached dike, berm, beaver dam, or other partial obstruction (other than natural topography) that does not appear to drain the wetland artificially during most of the growing season.</v>
      </c>
      <c r="D27" s="283">
        <f>F!D127</f>
        <v>0</v>
      </c>
      <c r="E27" s="388">
        <v>1</v>
      </c>
      <c r="F27" s="413">
        <f>D27*E27</f>
        <v>0</v>
      </c>
      <c r="G27" s="864"/>
      <c r="H27" s="1688"/>
    </row>
    <row r="28" spans="1:8" ht="15" customHeight="1" x14ac:dyDescent="0.2">
      <c r="A28" s="1897"/>
      <c r="B28" s="1713"/>
      <c r="C28" s="588" t="str">
        <f>F!C128</f>
        <v>leaves through natural exits, not mainly through artificial or temporary features.</v>
      </c>
      <c r="D28" s="284">
        <f>F!D128</f>
        <v>0</v>
      </c>
      <c r="E28" s="388">
        <v>0</v>
      </c>
      <c r="F28" s="413">
        <f>D28*E28</f>
        <v>0</v>
      </c>
      <c r="G28" s="864"/>
      <c r="H28" s="1688"/>
    </row>
    <row r="29" spans="1:8" ht="30" customHeight="1" thickBot="1" x14ac:dyDescent="0.25">
      <c r="A29" s="1898"/>
      <c r="B29" s="1714"/>
      <c r="C29" s="748" t="str">
        <f>F!C129</f>
        <v>exported more quickly than usual due to ditches or pipes within the AA (or connected to its outlet or within 10 m of the AA's edge) which drain the wetland artificially, or water is pumped out of the AA.</v>
      </c>
      <c r="D29" s="313">
        <f>F!D129</f>
        <v>0</v>
      </c>
      <c r="E29" s="389">
        <v>2</v>
      </c>
      <c r="F29" s="417">
        <f>D29*E29</f>
        <v>0</v>
      </c>
      <c r="G29" s="865"/>
      <c r="H29" s="1689"/>
    </row>
    <row r="30" spans="1:8" ht="45" customHeight="1" thickBot="1" x14ac:dyDescent="0.25">
      <c r="A30" s="1954" t="str">
        <f>F!A259</f>
        <v>F54</v>
      </c>
      <c r="B30" s="1687" t="str">
        <f>F!B259</f>
        <v>Weed Source Along Upland Edge</v>
      </c>
      <c r="C30" s="231" t="str">
        <f>F!C259</f>
        <v>Along the wetland-upland boundary, the percent of the upland edge (within 10 ft of wetland) that is occupied by plant species that are considered invasive is:  (see list in above question, plus others in PlantList worksheet or Table B-3 of the manual)</v>
      </c>
      <c r="D30" s="392"/>
      <c r="E30" s="392"/>
      <c r="F30" s="393"/>
      <c r="G30" s="1238">
        <f>MAX(F31:F34)/MAX(E31:E34)</f>
        <v>0</v>
      </c>
      <c r="H30" s="1687" t="s">
        <v>1015</v>
      </c>
    </row>
    <row r="31" spans="1:8" ht="15" customHeight="1" x14ac:dyDescent="0.2">
      <c r="A31" s="1955"/>
      <c r="B31" s="1688"/>
      <c r="C31" s="21" t="str">
        <f>F!C260</f>
        <v>none of the upland edge (invasives apparently absent)</v>
      </c>
      <c r="D31" s="280">
        <f>F!D260</f>
        <v>0</v>
      </c>
      <c r="E31" s="388">
        <v>3</v>
      </c>
      <c r="F31" s="388">
        <f>D31*E31</f>
        <v>0</v>
      </c>
      <c r="G31" s="1242"/>
      <c r="H31" s="1688"/>
    </row>
    <row r="32" spans="1:8" ht="15" customHeight="1" x14ac:dyDescent="0.2">
      <c r="A32" s="1955"/>
      <c r="B32" s="1688"/>
      <c r="C32" s="6" t="str">
        <f>F!C261</f>
        <v>some (but &lt;5%) of the upland edge</v>
      </c>
      <c r="D32" s="46">
        <f>F!D261</f>
        <v>0</v>
      </c>
      <c r="E32" s="388">
        <v>2</v>
      </c>
      <c r="F32" s="388">
        <f>D32*E32</f>
        <v>0</v>
      </c>
      <c r="G32" s="1243"/>
      <c r="H32" s="1688"/>
    </row>
    <row r="33" spans="1:8" ht="15" customHeight="1" x14ac:dyDescent="0.2">
      <c r="A33" s="1955"/>
      <c r="B33" s="1688"/>
      <c r="C33" s="6" t="str">
        <f>F!C262</f>
        <v>5-50% of the upland edge</v>
      </c>
      <c r="D33" s="46">
        <f>F!D262</f>
        <v>0</v>
      </c>
      <c r="E33" s="388">
        <v>1</v>
      </c>
      <c r="F33" s="388">
        <f>D33*E33</f>
        <v>0</v>
      </c>
      <c r="G33" s="1243"/>
      <c r="H33" s="1688"/>
    </row>
    <row r="34" spans="1:8" ht="15.6" customHeight="1" thickBot="1" x14ac:dyDescent="0.25">
      <c r="A34" s="1956"/>
      <c r="B34" s="1689"/>
      <c r="C34" s="214" t="str">
        <f>F!C263</f>
        <v>most (&gt;50%) of the upland edge</v>
      </c>
      <c r="D34" s="213">
        <f>F!D263</f>
        <v>0</v>
      </c>
      <c r="E34" s="389">
        <v>0</v>
      </c>
      <c r="F34" s="389">
        <f>D34*E34</f>
        <v>0</v>
      </c>
      <c r="G34" s="1244"/>
      <c r="H34" s="1689"/>
    </row>
    <row r="35" spans="1:8" ht="30" customHeight="1" thickBot="1" x14ac:dyDescent="0.25">
      <c r="A35" s="1955" t="str">
        <f>F!A264</f>
        <v>F55</v>
      </c>
      <c r="B35" s="1688" t="str">
        <f>F!B264</f>
        <v>Natural Cover in Buffer</v>
      </c>
      <c r="C35" s="385" t="str">
        <f>F!C264</f>
        <v>Along the wetland-upland edge and extending 100 ft upslope, the percentage of the upland that contains natural (not necessarily native -- see column E) land cover taller than 6 inches is:</v>
      </c>
      <c r="D35" s="392"/>
      <c r="E35" s="387"/>
      <c r="F35" s="390"/>
      <c r="G35" s="1240">
        <f>MAX(F36:F40)/MAX(E36:E40)</f>
        <v>0</v>
      </c>
      <c r="H35" s="1687" t="s">
        <v>1016</v>
      </c>
    </row>
    <row r="36" spans="1:8" ht="15" customHeight="1" x14ac:dyDescent="0.2">
      <c r="A36" s="1955"/>
      <c r="B36" s="1688"/>
      <c r="C36" s="21" t="str">
        <f>F!C265</f>
        <v xml:space="preserve">&lt;5% </v>
      </c>
      <c r="D36" s="280">
        <f>F!D265</f>
        <v>0</v>
      </c>
      <c r="E36" s="388">
        <v>4</v>
      </c>
      <c r="F36" s="388">
        <f>D36*E36</f>
        <v>0</v>
      </c>
      <c r="G36" s="1242"/>
      <c r="H36" s="1688"/>
    </row>
    <row r="37" spans="1:8" ht="15" customHeight="1" x14ac:dyDescent="0.2">
      <c r="A37" s="1955"/>
      <c r="B37" s="1688"/>
      <c r="C37" s="6" t="str">
        <f>F!C266</f>
        <v>5 to 30%</v>
      </c>
      <c r="D37" s="46">
        <f>F!D266</f>
        <v>0</v>
      </c>
      <c r="E37" s="388">
        <v>3</v>
      </c>
      <c r="F37" s="388">
        <f>D37*E37</f>
        <v>0</v>
      </c>
      <c r="G37" s="1243"/>
      <c r="H37" s="1688"/>
    </row>
    <row r="38" spans="1:8" ht="15" customHeight="1" x14ac:dyDescent="0.2">
      <c r="A38" s="1955"/>
      <c r="B38" s="1688"/>
      <c r="C38" s="6" t="str">
        <f>F!C267</f>
        <v>30 to 60%</v>
      </c>
      <c r="D38" s="46">
        <f>F!D267</f>
        <v>0</v>
      </c>
      <c r="E38" s="388">
        <v>2</v>
      </c>
      <c r="F38" s="388">
        <f>D38*E38</f>
        <v>0</v>
      </c>
      <c r="G38" s="1243"/>
      <c r="H38" s="1688"/>
    </row>
    <row r="39" spans="1:8" ht="15" customHeight="1" x14ac:dyDescent="0.2">
      <c r="A39" s="1955"/>
      <c r="B39" s="1688"/>
      <c r="C39" s="6" t="str">
        <f>F!C268</f>
        <v>60 to 90%</v>
      </c>
      <c r="D39" s="46">
        <f>F!D268</f>
        <v>0</v>
      </c>
      <c r="E39" s="388">
        <v>1</v>
      </c>
      <c r="F39" s="388">
        <f>D39*E39</f>
        <v>0</v>
      </c>
      <c r="G39" s="1243"/>
      <c r="H39" s="1688"/>
    </row>
    <row r="40" spans="1:8" ht="15.6" customHeight="1" thickBot="1" x14ac:dyDescent="0.25">
      <c r="A40" s="1955"/>
      <c r="B40" s="1688"/>
      <c r="C40" s="470" t="str">
        <f>F!C269</f>
        <v>&gt;90%.  SKIP to F58.</v>
      </c>
      <c r="D40" s="20">
        <f>F!D269</f>
        <v>0</v>
      </c>
      <c r="E40" s="391">
        <v>0</v>
      </c>
      <c r="F40" s="391">
        <f>D40*E40</f>
        <v>0</v>
      </c>
      <c r="G40" s="1245"/>
      <c r="H40" s="1689"/>
    </row>
    <row r="41" spans="1:8" ht="30" customHeight="1" thickBot="1" x14ac:dyDescent="0.25">
      <c r="A41" s="1868" t="str">
        <f>F!A270</f>
        <v>F56</v>
      </c>
      <c r="B41" s="1687" t="str">
        <f>F!B270</f>
        <v>Type of Cover in Buffer</v>
      </c>
      <c r="C41" s="231" t="str">
        <f>F!C270</f>
        <v>Within 100 ft upslope of the wetland-upland edge closest to the AA, the upland land cover that is NOT unmanaged vegetation or water is mostly (mark ONE):</v>
      </c>
      <c r="D41" s="392"/>
      <c r="E41" s="392"/>
      <c r="F41" s="393"/>
      <c r="G41" s="1238">
        <f>IF((BuffAllNat=1),"", MAX(F42:F43)/MAX(E42:E43))</f>
        <v>0</v>
      </c>
      <c r="H41" s="1687" t="s">
        <v>1945</v>
      </c>
    </row>
    <row r="42" spans="1:8" ht="15" customHeight="1" x14ac:dyDescent="0.2">
      <c r="A42" s="1869"/>
      <c r="B42" s="1688"/>
      <c r="C42" s="21" t="str">
        <f>F!C271</f>
        <v>impervious surface, e.g., paved road, parking lot, building, exposed rock.</v>
      </c>
      <c r="D42" s="280">
        <f>F!D271</f>
        <v>0</v>
      </c>
      <c r="E42" s="388">
        <v>2</v>
      </c>
      <c r="F42" s="388">
        <f>D42*E42</f>
        <v>0</v>
      </c>
      <c r="G42" s="863"/>
      <c r="H42" s="1688"/>
    </row>
    <row r="43" spans="1:8" ht="15.6" customHeight="1" thickBot="1" x14ac:dyDescent="0.25">
      <c r="A43" s="1870"/>
      <c r="B43" s="1689"/>
      <c r="C43" s="214" t="str">
        <f>F!C272</f>
        <v>bare or nearly bare pervious surface or managed vegetation, e.g., lawn, mostly-unvegetated clearcut, landslide, unpaved road, dike.</v>
      </c>
      <c r="D43" s="213">
        <f>F!D272</f>
        <v>0</v>
      </c>
      <c r="E43" s="389">
        <v>1</v>
      </c>
      <c r="F43" s="389">
        <f>D43*E43</f>
        <v>0</v>
      </c>
      <c r="G43" s="865"/>
      <c r="H43" s="1689"/>
    </row>
    <row r="44" spans="1:8" ht="30" customHeight="1" thickBot="1" x14ac:dyDescent="0.25">
      <c r="A44" s="1869" t="str">
        <f>F!A286</f>
        <v>F60</v>
      </c>
      <c r="B44" s="1688" t="str">
        <f>F!B286</f>
        <v>Visibility</v>
      </c>
      <c r="C44" s="385" t="str">
        <f>F!C286</f>
        <v>The maximum percent of the AA that is visible from the best vantage point on public roads, public parking lots, public buildings, or well-defined public trails that intersect, adjoin, or are within 300 ft of the wetland (select one) is:</v>
      </c>
      <c r="D44" s="392"/>
      <c r="E44" s="387"/>
      <c r="F44" s="390"/>
      <c r="G44" s="1240">
        <f>MAX(F45:F47)/MAX(E45:E47)</f>
        <v>0</v>
      </c>
      <c r="H44" s="1687" t="s">
        <v>1944</v>
      </c>
    </row>
    <row r="45" spans="1:8" ht="15" customHeight="1" x14ac:dyDescent="0.2">
      <c r="A45" s="1869"/>
      <c r="B45" s="1688"/>
      <c r="C45" s="21" t="str">
        <f>F!C287</f>
        <v>&lt;25%</v>
      </c>
      <c r="D45" s="280">
        <f>F!D287</f>
        <v>0</v>
      </c>
      <c r="E45" s="388">
        <v>0</v>
      </c>
      <c r="F45" s="388">
        <f>D45*E45</f>
        <v>0</v>
      </c>
      <c r="G45" s="863"/>
      <c r="H45" s="1688"/>
    </row>
    <row r="46" spans="1:8" ht="15" customHeight="1" x14ac:dyDescent="0.2">
      <c r="A46" s="1869"/>
      <c r="B46" s="1688"/>
      <c r="C46" s="6" t="str">
        <f>F!C288</f>
        <v>25-50%</v>
      </c>
      <c r="D46" s="46">
        <f>F!D288</f>
        <v>0</v>
      </c>
      <c r="E46" s="388">
        <v>1</v>
      </c>
      <c r="F46" s="388">
        <f>D46*E46</f>
        <v>0</v>
      </c>
      <c r="G46" s="1241"/>
      <c r="H46" s="1688"/>
    </row>
    <row r="47" spans="1:8" ht="15.6" customHeight="1" thickBot="1" x14ac:dyDescent="0.25">
      <c r="A47" s="1869"/>
      <c r="B47" s="1688"/>
      <c r="C47" s="470" t="str">
        <f>F!C289</f>
        <v>&gt;50%</v>
      </c>
      <c r="D47" s="20">
        <f>F!D289</f>
        <v>0</v>
      </c>
      <c r="E47" s="391">
        <v>2</v>
      </c>
      <c r="F47" s="415">
        <f>D47*E47</f>
        <v>0</v>
      </c>
      <c r="G47" s="1241"/>
      <c r="H47" s="1689"/>
    </row>
    <row r="48" spans="1:8" ht="21" customHeight="1" thickBot="1" x14ac:dyDescent="0.25">
      <c r="A48" s="1868" t="str">
        <f>F!A290</f>
        <v>F61</v>
      </c>
      <c r="B48" s="1687" t="str">
        <f>F!B290</f>
        <v>Ownership</v>
      </c>
      <c r="C48" s="231" t="str">
        <f>F!C290</f>
        <v>Most of the AA is (select one):</v>
      </c>
      <c r="D48" s="392"/>
      <c r="E48" s="392"/>
      <c r="F48" s="393"/>
      <c r="G48" s="1238">
        <f>MAX(F49:F52)/MAX(E49:E52)</f>
        <v>0</v>
      </c>
      <c r="H48" s="1687" t="s">
        <v>1216</v>
      </c>
    </row>
    <row r="49" spans="1:8" ht="27" customHeight="1" x14ac:dyDescent="0.2">
      <c r="A49" s="1869"/>
      <c r="B49" s="1688"/>
      <c r="C49" s="21" t="str">
        <f>F!C291</f>
        <v xml:space="preserve">publicly owned conservation lands that exclude new timber harvest, roads, mineral extraction, and intensive summer recreation (e.g., off-road vehicles). </v>
      </c>
      <c r="D49" s="280">
        <f>F!D291</f>
        <v>0</v>
      </c>
      <c r="E49" s="388">
        <v>0</v>
      </c>
      <c r="F49" s="388">
        <f>D49*E49</f>
        <v>0</v>
      </c>
      <c r="G49" s="863"/>
      <c r="H49" s="1688"/>
    </row>
    <row r="50" spans="1:8" ht="15" customHeight="1" x14ac:dyDescent="0.2">
      <c r="A50" s="1869"/>
      <c r="B50" s="1688"/>
      <c r="C50" s="6" t="str">
        <f>F!C292</f>
        <v>publicly owned resource use lands (allowed activities such as timber harvest, mining, or intensive recreation), or unknown.</v>
      </c>
      <c r="D50" s="46">
        <f>F!D292</f>
        <v>0</v>
      </c>
      <c r="E50" s="388">
        <v>2</v>
      </c>
      <c r="F50" s="388">
        <f>D50*E50</f>
        <v>0</v>
      </c>
      <c r="G50" s="863"/>
      <c r="H50" s="1688"/>
    </row>
    <row r="51" spans="1:8" ht="15" customHeight="1" x14ac:dyDescent="0.2">
      <c r="A51" s="1869"/>
      <c r="B51" s="1688"/>
      <c r="C51" s="6" t="str">
        <f>F!C293</f>
        <v>owned by non-profit conservation organization or lease holder who allows public access.</v>
      </c>
      <c r="D51" s="46">
        <f>F!D293</f>
        <v>0</v>
      </c>
      <c r="E51" s="388">
        <v>1</v>
      </c>
      <c r="F51" s="388">
        <f>D51*E51</f>
        <v>0</v>
      </c>
      <c r="G51" s="863"/>
      <c r="H51" s="1688"/>
    </row>
    <row r="52" spans="1:8" ht="15.6" customHeight="1" thickBot="1" x14ac:dyDescent="0.25">
      <c r="A52" s="1870"/>
      <c r="B52" s="1689"/>
      <c r="C52" s="214" t="str">
        <f>F!C294</f>
        <v>other private ownership, including Tribes.</v>
      </c>
      <c r="D52" s="213">
        <f>F!D294</f>
        <v>0</v>
      </c>
      <c r="E52" s="389">
        <v>2</v>
      </c>
      <c r="F52" s="389">
        <f>D52*E52</f>
        <v>0</v>
      </c>
      <c r="G52" s="865"/>
      <c r="H52" s="1689"/>
    </row>
    <row r="53" spans="1:8" ht="21" customHeight="1" thickBot="1" x14ac:dyDescent="0.25">
      <c r="A53" s="1869" t="str">
        <f>F!A295</f>
        <v>F62</v>
      </c>
      <c r="B53" s="1688" t="str">
        <f>F!B295</f>
        <v>Non-consumptive Uses - Actual or Potential</v>
      </c>
      <c r="C53" s="381" t="str">
        <f>F!C295</f>
        <v>Assuming access permission was granted, select ALL statements that are true of the AA as it currently exists:</v>
      </c>
      <c r="D53" s="392"/>
      <c r="E53" s="387"/>
      <c r="F53" s="390"/>
      <c r="G53" s="1240">
        <f>SUM(F54:F57)/4</f>
        <v>0</v>
      </c>
      <c r="H53" s="1687" t="s">
        <v>1937</v>
      </c>
    </row>
    <row r="54" spans="1:8" ht="15" customHeight="1" x14ac:dyDescent="0.2">
      <c r="A54" s="1869"/>
      <c r="B54" s="1688"/>
      <c r="C54" s="384" t="str">
        <f>F!C296</f>
        <v>Walking is physically possible in (not just near) &gt;5% of the AA during most of year, e.g., free of deep water and dense shrub thickets.</v>
      </c>
      <c r="D54" s="280">
        <f>F!D296</f>
        <v>0</v>
      </c>
      <c r="E54" s="388">
        <v>1</v>
      </c>
      <c r="F54" s="388">
        <f>D54*E54</f>
        <v>0</v>
      </c>
      <c r="G54" s="864"/>
      <c r="H54" s="1688"/>
    </row>
    <row r="55" spans="1:8" ht="27" customHeight="1" x14ac:dyDescent="0.2">
      <c r="A55" s="1869"/>
      <c r="B55" s="1688"/>
      <c r="C55" s="487" t="str">
        <f>F!C297</f>
        <v>Maintained roads, parking areas, or foot-trails are within 30 ft of the AA, or the AA can be accessed part of the year by boats arriving via contiguous waters.</v>
      </c>
      <c r="D55" s="46">
        <f>F!D297</f>
        <v>0</v>
      </c>
      <c r="E55" s="388">
        <v>1</v>
      </c>
      <c r="F55" s="388">
        <f>D55*E55</f>
        <v>0</v>
      </c>
      <c r="G55" s="864"/>
      <c r="H55" s="1688"/>
    </row>
    <row r="56" spans="1:8" ht="15" customHeight="1" x14ac:dyDescent="0.2">
      <c r="A56" s="1869"/>
      <c r="B56" s="1688"/>
      <c r="C56" s="487" t="str">
        <f>F!C298</f>
        <v xml:space="preserve">Within or near the AA, there is an interpretive center, trails with interpretive signs or brochures, and/or regular guided interpretive tours. </v>
      </c>
      <c r="D56" s="46">
        <f>F!D298</f>
        <v>0</v>
      </c>
      <c r="E56" s="388">
        <v>1</v>
      </c>
      <c r="F56" s="388">
        <f>D56*E56</f>
        <v>0</v>
      </c>
      <c r="G56" s="864"/>
      <c r="H56" s="1688"/>
    </row>
    <row r="57" spans="1:8" ht="27.6" customHeight="1" thickBot="1" x14ac:dyDescent="0.25">
      <c r="A57" s="1869"/>
      <c r="B57" s="1688"/>
      <c r="C57" s="379" t="str">
        <f>F!C299</f>
        <v>The AA contains or adjoins a public boat dock or ramp, or is within 0.5 mile of a ferry terminal, airstrip, public lodge, campsite, snowmobile park, or picnic area.</v>
      </c>
      <c r="D57" s="20">
        <f>F!D299</f>
        <v>0</v>
      </c>
      <c r="E57" s="391">
        <v>1</v>
      </c>
      <c r="F57" s="391">
        <f>D57*E57</f>
        <v>0</v>
      </c>
      <c r="G57" s="1241"/>
      <c r="H57" s="1689"/>
    </row>
    <row r="58" spans="1:8" ht="45" customHeight="1" thickBot="1" x14ac:dyDescent="0.25">
      <c r="A58" s="1954" t="str">
        <f>F!A300</f>
        <v>F63</v>
      </c>
      <c r="B58" s="1687" t="str">
        <f>F!B300</f>
        <v>Core Area 1</v>
      </c>
      <c r="C58" s="231"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58" s="392"/>
      <c r="E58" s="392"/>
      <c r="F58" s="393"/>
      <c r="G58" s="1238">
        <f>MAX(F59:F64)/MAX(E59:E64)</f>
        <v>0</v>
      </c>
      <c r="H58" s="1687" t="s">
        <v>1017</v>
      </c>
    </row>
    <row r="59" spans="1:8" ht="15" customHeight="1" x14ac:dyDescent="0.2">
      <c r="A59" s="1955"/>
      <c r="B59" s="1688"/>
      <c r="C59" s="21" t="str">
        <f>F!C301</f>
        <v>&lt;5% and no inhabited building is within 300 ft of the AA</v>
      </c>
      <c r="D59" s="280">
        <f>F!D301</f>
        <v>0</v>
      </c>
      <c r="E59" s="388">
        <v>5</v>
      </c>
      <c r="F59" s="388">
        <f t="shared" ref="F59:F64" si="1">D59*E59</f>
        <v>0</v>
      </c>
      <c r="G59" s="1242"/>
      <c r="H59" s="1688"/>
    </row>
    <row r="60" spans="1:8" ht="15" customHeight="1" x14ac:dyDescent="0.2">
      <c r="A60" s="1955"/>
      <c r="B60" s="1688"/>
      <c r="C60" s="6" t="str">
        <f>F!C302</f>
        <v>&lt;5% and inhabited building is within 300 ft of the AA</v>
      </c>
      <c r="D60" s="46">
        <f>F!D302</f>
        <v>0</v>
      </c>
      <c r="E60" s="388">
        <v>5</v>
      </c>
      <c r="F60" s="388">
        <f t="shared" si="1"/>
        <v>0</v>
      </c>
      <c r="G60" s="1243"/>
      <c r="H60" s="1688"/>
    </row>
    <row r="61" spans="1:8" ht="15" customHeight="1" x14ac:dyDescent="0.2">
      <c r="A61" s="1955"/>
      <c r="B61" s="1688"/>
      <c r="C61" s="6" t="str">
        <f>F!C303</f>
        <v>5-50% and no inhabited building is within 300 ft of the AA</v>
      </c>
      <c r="D61" s="46">
        <f>F!D303</f>
        <v>0</v>
      </c>
      <c r="E61" s="388">
        <v>3</v>
      </c>
      <c r="F61" s="388">
        <f t="shared" si="1"/>
        <v>0</v>
      </c>
      <c r="G61" s="1243"/>
      <c r="H61" s="1688"/>
    </row>
    <row r="62" spans="1:8" ht="15" customHeight="1" x14ac:dyDescent="0.2">
      <c r="A62" s="1955"/>
      <c r="B62" s="1688"/>
      <c r="C62" s="6" t="str">
        <f>F!C304</f>
        <v>5-50% and inhabited building is within 300 ft of the AA</v>
      </c>
      <c r="D62" s="46">
        <f>F!D304</f>
        <v>0</v>
      </c>
      <c r="E62" s="388">
        <v>2</v>
      </c>
      <c r="F62" s="388">
        <f t="shared" si="1"/>
        <v>0</v>
      </c>
      <c r="G62" s="1243"/>
      <c r="H62" s="1688"/>
    </row>
    <row r="63" spans="1:8" ht="15" customHeight="1" x14ac:dyDescent="0.2">
      <c r="A63" s="1955"/>
      <c r="B63" s="1688"/>
      <c r="C63" s="6" t="str">
        <f>F!C305</f>
        <v>50-95%</v>
      </c>
      <c r="D63" s="46">
        <f>F!D305</f>
        <v>0</v>
      </c>
      <c r="E63" s="388">
        <v>1</v>
      </c>
      <c r="F63" s="388">
        <f t="shared" si="1"/>
        <v>0</v>
      </c>
      <c r="G63" s="1243"/>
      <c r="H63" s="1688"/>
    </row>
    <row r="64" spans="1:8" ht="15.6" customHeight="1" thickBot="1" x14ac:dyDescent="0.25">
      <c r="A64" s="1956"/>
      <c r="B64" s="1689"/>
      <c r="C64" s="214" t="str">
        <f>F!C306</f>
        <v>&gt;95% of the AA</v>
      </c>
      <c r="D64" s="213">
        <f>F!D306</f>
        <v>0</v>
      </c>
      <c r="E64" s="389">
        <v>0</v>
      </c>
      <c r="F64" s="389">
        <f t="shared" si="1"/>
        <v>0</v>
      </c>
      <c r="G64" s="1244"/>
      <c r="H64" s="1689"/>
    </row>
    <row r="65" spans="1:8" ht="45" customHeight="1" thickBot="1" x14ac:dyDescent="0.25">
      <c r="A65" s="1955" t="str">
        <f>F!A307</f>
        <v>F64</v>
      </c>
      <c r="B65" s="1688" t="str">
        <f>F!B307</f>
        <v>Core Area 2</v>
      </c>
      <c r="C65" s="385"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65" s="392"/>
      <c r="E65" s="387"/>
      <c r="F65" s="390"/>
      <c r="G65" s="1240">
        <f>MAX(F66:F69)/MAX(E66:E69)</f>
        <v>0</v>
      </c>
      <c r="H65" s="1687" t="s">
        <v>1018</v>
      </c>
    </row>
    <row r="66" spans="1:8" ht="15" customHeight="1" x14ac:dyDescent="0.2">
      <c r="A66" s="1955"/>
      <c r="B66" s="1688"/>
      <c r="C66" s="21" t="str">
        <f>F!C308</f>
        <v>&lt;5%.  If F63 was answered "&gt;95%", SKIP to F67.</v>
      </c>
      <c r="D66" s="280">
        <f>F!D308</f>
        <v>0</v>
      </c>
      <c r="E66" s="388">
        <v>0</v>
      </c>
      <c r="F66" s="388">
        <f>D66*E66</f>
        <v>0</v>
      </c>
      <c r="G66" s="1242"/>
      <c r="H66" s="1688"/>
    </row>
    <row r="67" spans="1:8" ht="15" customHeight="1" x14ac:dyDescent="0.2">
      <c r="A67" s="1955"/>
      <c r="B67" s="1688"/>
      <c r="C67" s="6" t="str">
        <f>F!C309</f>
        <v>5-50%</v>
      </c>
      <c r="D67" s="46">
        <f>F!D309</f>
        <v>0</v>
      </c>
      <c r="E67" s="388">
        <v>1</v>
      </c>
      <c r="F67" s="388">
        <f>D67*E67</f>
        <v>0</v>
      </c>
      <c r="G67" s="1243"/>
      <c r="H67" s="1688"/>
    </row>
    <row r="68" spans="1:8" ht="15" customHeight="1" x14ac:dyDescent="0.2">
      <c r="A68" s="1955"/>
      <c r="B68" s="1688"/>
      <c r="C68" s="6" t="str">
        <f>F!C310</f>
        <v>50-95%</v>
      </c>
      <c r="D68" s="46">
        <f>F!D310</f>
        <v>0</v>
      </c>
      <c r="E68" s="388">
        <v>3</v>
      </c>
      <c r="F68" s="388">
        <f>D68*E68</f>
        <v>0</v>
      </c>
      <c r="G68" s="1243"/>
      <c r="H68" s="1688"/>
    </row>
    <row r="69" spans="1:8" ht="15.6" customHeight="1" thickBot="1" x14ac:dyDescent="0.25">
      <c r="A69" s="1955"/>
      <c r="B69" s="1688"/>
      <c r="C69" s="470" t="str">
        <f>F!C311</f>
        <v>&gt;95% of the AA</v>
      </c>
      <c r="D69" s="20">
        <f>F!D311</f>
        <v>0</v>
      </c>
      <c r="E69" s="391">
        <v>3</v>
      </c>
      <c r="F69" s="391">
        <f>D69*E69</f>
        <v>0</v>
      </c>
      <c r="G69" s="1245"/>
      <c r="H69" s="1689"/>
    </row>
    <row r="70" spans="1:8" ht="30" customHeight="1" thickBot="1" x14ac:dyDescent="0.25">
      <c r="A70" s="362" t="str">
        <f>S!A2</f>
        <v>S1</v>
      </c>
      <c r="B70" s="148" t="str">
        <f>S!B2</f>
        <v>Wetter Water Regime - Internal Causes</v>
      </c>
      <c r="C70" s="707" t="str">
        <f>S!E18</f>
        <v>Final Score=</v>
      </c>
      <c r="D70" s="765">
        <f>S!F18</f>
        <v>0</v>
      </c>
      <c r="E70" s="411"/>
      <c r="F70" s="400"/>
      <c r="G70" s="1238">
        <f>D70</f>
        <v>0</v>
      </c>
      <c r="H70" s="5" t="s">
        <v>1023</v>
      </c>
    </row>
    <row r="71" spans="1:8" ht="30" customHeight="1" thickBot="1" x14ac:dyDescent="0.25">
      <c r="A71" s="1246" t="str">
        <f>S!A19</f>
        <v>S2</v>
      </c>
      <c r="B71" s="610" t="str">
        <f>S!B19</f>
        <v>Wetter Water Regime - External Causes</v>
      </c>
      <c r="C71" s="771" t="str">
        <f>S!E33</f>
        <v>Final Score=</v>
      </c>
      <c r="D71" s="764">
        <f>S!F33</f>
        <v>0</v>
      </c>
      <c r="E71" s="407"/>
      <c r="F71" s="401"/>
      <c r="G71" s="1239">
        <f>D71</f>
        <v>0</v>
      </c>
      <c r="H71" s="5" t="s">
        <v>1024</v>
      </c>
    </row>
    <row r="72" spans="1:8" ht="30" customHeight="1" thickBot="1" x14ac:dyDescent="0.25">
      <c r="A72" s="362" t="str">
        <f>S!A34</f>
        <v>S3</v>
      </c>
      <c r="B72" s="148" t="str">
        <f>S!B34</f>
        <v>Drier Water Regime - Internal Causes</v>
      </c>
      <c r="C72" s="707" t="str">
        <f>S!E49</f>
        <v>Final Score=</v>
      </c>
      <c r="D72" s="765">
        <f>S!F49</f>
        <v>0</v>
      </c>
      <c r="E72" s="411"/>
      <c r="F72" s="400"/>
      <c r="G72" s="1238">
        <f>D72</f>
        <v>0</v>
      </c>
      <c r="H72" s="5" t="s">
        <v>1025</v>
      </c>
    </row>
    <row r="73" spans="1:8" ht="30" customHeight="1" thickBot="1" x14ac:dyDescent="0.25">
      <c r="A73" s="1246" t="str">
        <f>S!A50</f>
        <v>S4</v>
      </c>
      <c r="B73" s="610" t="str">
        <f>S!B50</f>
        <v>Drier Water Regime - External Causes</v>
      </c>
      <c r="C73" s="771" t="str">
        <f>S!E64</f>
        <v>Final Score=</v>
      </c>
      <c r="D73" s="764">
        <f>S!F64</f>
        <v>0</v>
      </c>
      <c r="E73" s="407"/>
      <c r="F73" s="401"/>
      <c r="G73" s="1239">
        <f>D73</f>
        <v>0</v>
      </c>
      <c r="H73" s="5" t="s">
        <v>1026</v>
      </c>
    </row>
    <row r="74" spans="1:8" ht="30" customHeight="1" thickBot="1" x14ac:dyDescent="0.25">
      <c r="A74" s="362" t="str">
        <f>S!A65</f>
        <v>S5</v>
      </c>
      <c r="B74" s="148" t="str">
        <f>S!B65</f>
        <v>Altered Timing of Water Inputs</v>
      </c>
      <c r="C74" s="707" t="s">
        <v>2387</v>
      </c>
      <c r="D74" s="765">
        <f>S!F77</f>
        <v>0</v>
      </c>
      <c r="E74" s="411"/>
      <c r="F74" s="400"/>
      <c r="G74" s="1238" t="str">
        <f>IF((Inflows=0),"",D74)</f>
        <v/>
      </c>
      <c r="H74" s="5" t="s">
        <v>1027</v>
      </c>
    </row>
    <row r="75" spans="1:8" ht="30" customHeight="1" thickBot="1" x14ac:dyDescent="0.25">
      <c r="A75" s="1246" t="str">
        <f>S!A80</f>
        <v>S6</v>
      </c>
      <c r="B75" s="610" t="str">
        <f>S!B80</f>
        <v>Accelerated Inputs of Contaminants and/or Salts</v>
      </c>
      <c r="C75" s="771" t="str">
        <f>S!E92</f>
        <v>Final Score=</v>
      </c>
      <c r="D75" s="764">
        <f>S!F92</f>
        <v>0</v>
      </c>
      <c r="E75" s="407"/>
      <c r="F75" s="401"/>
      <c r="G75" s="1239">
        <f>D75</f>
        <v>0</v>
      </c>
      <c r="H75" s="5" t="s">
        <v>1028</v>
      </c>
    </row>
    <row r="76" spans="1:8" ht="30" customHeight="1" thickBot="1" x14ac:dyDescent="0.25">
      <c r="A76" s="362" t="str">
        <f>S!A93</f>
        <v>S7</v>
      </c>
      <c r="B76" s="148" t="str">
        <f>S!B93</f>
        <v>Accelerated Inputs of Nutrients</v>
      </c>
      <c r="C76" s="707" t="s">
        <v>2387</v>
      </c>
      <c r="D76" s="765">
        <f>S!F105</f>
        <v>0</v>
      </c>
      <c r="E76" s="411"/>
      <c r="F76" s="400"/>
      <c r="G76" s="1238">
        <f>D76</f>
        <v>0</v>
      </c>
      <c r="H76" s="5" t="s">
        <v>1938</v>
      </c>
    </row>
    <row r="77" spans="1:8" ht="45" customHeight="1" thickBot="1" x14ac:dyDescent="0.25">
      <c r="A77" s="1246" t="str">
        <f>S!A106</f>
        <v>S8</v>
      </c>
      <c r="B77" s="610" t="str">
        <f>S!B106</f>
        <v>Excessive Sediment Loading from Contributing Area</v>
      </c>
      <c r="C77" s="771" t="str">
        <f>S!E123</f>
        <v>Final Score=</v>
      </c>
      <c r="D77" s="764">
        <f>S!F123</f>
        <v>0</v>
      </c>
      <c r="E77" s="407"/>
      <c r="F77" s="401"/>
      <c r="G77" s="1239">
        <f>D77</f>
        <v>0</v>
      </c>
      <c r="H77" s="5" t="s">
        <v>1029</v>
      </c>
    </row>
    <row r="78" spans="1:8" ht="45" customHeight="1" thickBot="1" x14ac:dyDescent="0.25">
      <c r="A78" s="362" t="str">
        <f>S!A124</f>
        <v>S9</v>
      </c>
      <c r="B78" s="148" t="str">
        <f>S!B124</f>
        <v>Soil or Sediment Alteration Within the Assessment Area</v>
      </c>
      <c r="C78" s="707" t="str">
        <f>S!E141</f>
        <v>Final Score=</v>
      </c>
      <c r="D78" s="765">
        <f>S!F141</f>
        <v>0</v>
      </c>
      <c r="E78" s="411"/>
      <c r="F78" s="400"/>
      <c r="G78" s="1238">
        <f>D78</f>
        <v>0</v>
      </c>
      <c r="H78" s="121" t="s">
        <v>1030</v>
      </c>
    </row>
    <row r="79" spans="1:8" ht="21" customHeight="1" thickBot="1" x14ac:dyDescent="0.25">
      <c r="A79" s="1889"/>
      <c r="B79" s="1889"/>
      <c r="C79" s="2337"/>
      <c r="D79" s="2338"/>
      <c r="E79" s="2338"/>
      <c r="F79" s="2338"/>
      <c r="G79" s="2338"/>
      <c r="H79" s="2338"/>
    </row>
    <row r="80" spans="1:8" ht="21" customHeight="1" x14ac:dyDescent="0.2">
      <c r="A80" s="1862"/>
      <c r="B80" s="1862"/>
      <c r="C80" s="2330" t="s">
        <v>1939</v>
      </c>
      <c r="D80" s="2335" t="s">
        <v>1940</v>
      </c>
      <c r="E80" s="2336"/>
      <c r="F80" s="2336"/>
      <c r="G80" s="1388">
        <f>AVERAGE(DistRd, Wetter,WetterEx,Drier,DrierEx,AltTiming)</f>
        <v>0</v>
      </c>
      <c r="H80" s="1389" t="s">
        <v>1948</v>
      </c>
    </row>
    <row r="81" spans="1:8" ht="30" customHeight="1" x14ac:dyDescent="0.2">
      <c r="A81" s="1862"/>
      <c r="B81" s="1862"/>
      <c r="C81" s="2331"/>
      <c r="D81" s="2333" t="s">
        <v>1941</v>
      </c>
      <c r="E81" s="2334"/>
      <c r="F81" s="2334"/>
      <c r="G81" s="1387">
        <f>AVERAGE(Toxic, ToxicData, Enrich, SedLoad,SoilDisturb,CAimperv,BuffDisturbTyp)</f>
        <v>0</v>
      </c>
      <c r="H81" s="1390" t="s">
        <v>1947</v>
      </c>
    </row>
    <row r="82" spans="1:8" ht="21" customHeight="1" x14ac:dyDescent="0.2">
      <c r="A82" s="1862"/>
      <c r="B82" s="1862"/>
      <c r="C82" s="2331"/>
      <c r="D82" s="2333" t="s">
        <v>1942</v>
      </c>
      <c r="E82" s="2334"/>
      <c r="F82" s="2334"/>
      <c r="G82" s="1387">
        <f>AVERAGE(NatVegCA,WeedSource,RdBox)</f>
        <v>0.33333333333333331</v>
      </c>
      <c r="H82" s="1390" t="s">
        <v>1946</v>
      </c>
    </row>
    <row r="83" spans="1:8" ht="30" customHeight="1" thickBot="1" x14ac:dyDescent="0.25">
      <c r="A83" s="1862"/>
      <c r="B83" s="1862"/>
      <c r="C83" s="2332"/>
      <c r="D83" s="2339" t="s">
        <v>1943</v>
      </c>
      <c r="E83" s="2340"/>
      <c r="F83" s="2340"/>
      <c r="G83" s="1391">
        <f>AVERAGE(RecUse, Core1,Core2,DistRd, VisibWet, PopCtrDist, OwnerSS)</f>
        <v>0</v>
      </c>
      <c r="H83" s="1250" t="s">
        <v>1950</v>
      </c>
    </row>
    <row r="84" spans="1:8" ht="30" customHeight="1" thickBot="1" x14ac:dyDescent="0.25">
      <c r="A84" s="1862"/>
      <c r="B84" s="1862"/>
      <c r="C84" s="2327" t="s">
        <v>2619</v>
      </c>
      <c r="D84" s="2328"/>
      <c r="E84" s="2328"/>
      <c r="F84" s="2329"/>
      <c r="G84" s="1240">
        <f>10*((MAX(HydroStress, WQstress,FragStress,DisturbStress) + AVERAGE(HydroStress, WQstress,FragStress,DisturbStress))/2)</f>
        <v>2.083333333333333</v>
      </c>
      <c r="H84" s="1357" t="s">
        <v>1949</v>
      </c>
    </row>
    <row r="85" spans="1:8" ht="21" customHeight="1" x14ac:dyDescent="0.2">
      <c r="A85" s="1862"/>
      <c r="B85" s="1862"/>
      <c r="C85" s="1889"/>
      <c r="D85" s="1889"/>
      <c r="E85" s="1889"/>
      <c r="F85" s="1889"/>
      <c r="G85" s="1889"/>
      <c r="H85" s="1889"/>
    </row>
  </sheetData>
  <sheetProtection algorithmName="SHA-512" hashValue="BRY3OJpgI6GHKx97m9k3rP7S7f1rrbRodvI56b/iFM/X42hOMMdKsmT5OnhGfNVJU0uyOTyeu9QSl/edny0NLw==" saltValue="001HGG+Q02aB6SzAzkM2Xg==" spinCount="100000" sheet="1" formatCells="0" formatColumns="0" formatRows="0"/>
  <customSheetViews>
    <customSheetView guid="{B8E02330-2419-4DE6-AD01-7ACC7A5D18DD}" scale="75">
      <selection activeCell="H8" sqref="H8"/>
      <pageMargins left="0.75" right="0.75" top="1" bottom="1" header="0.5" footer="0.5"/>
      <pageSetup orientation="portrait" r:id="rId1"/>
      <headerFooter alignWithMargins="0"/>
    </customSheetView>
  </customSheetViews>
  <mergeCells count="50">
    <mergeCell ref="C85:H85"/>
    <mergeCell ref="A79:B85"/>
    <mergeCell ref="H3:H8"/>
    <mergeCell ref="H10:H16"/>
    <mergeCell ref="H17:H21"/>
    <mergeCell ref="H26:H29"/>
    <mergeCell ref="H22:H25"/>
    <mergeCell ref="H30:H34"/>
    <mergeCell ref="H35:H40"/>
    <mergeCell ref="H41:H43"/>
    <mergeCell ref="H44:H47"/>
    <mergeCell ref="H48:H52"/>
    <mergeCell ref="H53:H57"/>
    <mergeCell ref="H58:H64"/>
    <mergeCell ref="H65:H69"/>
    <mergeCell ref="D83:F83"/>
    <mergeCell ref="C84:F84"/>
    <mergeCell ref="C80:C83"/>
    <mergeCell ref="D81:F81"/>
    <mergeCell ref="A65:A69"/>
    <mergeCell ref="B65:B69"/>
    <mergeCell ref="D82:F82"/>
    <mergeCell ref="D80:F80"/>
    <mergeCell ref="C79:H79"/>
    <mergeCell ref="B26:B29"/>
    <mergeCell ref="A58:A64"/>
    <mergeCell ref="A22:A25"/>
    <mergeCell ref="A30:A34"/>
    <mergeCell ref="B58:B64"/>
    <mergeCell ref="B30:B34"/>
    <mergeCell ref="B35:B40"/>
    <mergeCell ref="B22:B25"/>
    <mergeCell ref="A53:A57"/>
    <mergeCell ref="B53:B57"/>
    <mergeCell ref="E1:H1"/>
    <mergeCell ref="A1:B1"/>
    <mergeCell ref="B3:B8"/>
    <mergeCell ref="B44:B47"/>
    <mergeCell ref="B48:B52"/>
    <mergeCell ref="B41:B43"/>
    <mergeCell ref="A10:A16"/>
    <mergeCell ref="A35:A40"/>
    <mergeCell ref="B10:B16"/>
    <mergeCell ref="B17:B21"/>
    <mergeCell ref="A3:A8"/>
    <mergeCell ref="A17:A21"/>
    <mergeCell ref="A44:A47"/>
    <mergeCell ref="A48:A52"/>
    <mergeCell ref="A41:A43"/>
    <mergeCell ref="A26:A29"/>
  </mergeCells>
  <phoneticPr fontId="3" type="noConversion"/>
  <pageMargins left="0.75" right="0.75" top="1" bottom="1" header="0.5" footer="0.5"/>
  <pageSetup orientation="portrait" r:id="rId2"/>
  <headerFooter alignWithMargins="0"/>
  <ignoredErrors>
    <ignoredError sqref="G74"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308"/>
  <sheetViews>
    <sheetView workbookViewId="0"/>
  </sheetViews>
  <sheetFormatPr defaultColWidth="9.33203125" defaultRowHeight="12.75" x14ac:dyDescent="0.2"/>
  <cols>
    <col min="1" max="1" width="65.33203125" style="1278" customWidth="1"/>
    <col min="2" max="2" width="10.1640625" style="1284" customWidth="1"/>
    <col min="3" max="4" width="8.83203125" style="1284" customWidth="1"/>
    <col min="5" max="5" width="26.5" style="1284" customWidth="1"/>
    <col min="6" max="6" width="8.83203125" style="1284" customWidth="1"/>
    <col min="7" max="7" width="8.33203125" style="1278" customWidth="1"/>
    <col min="8" max="8" width="7.1640625" style="1284" customWidth="1"/>
    <col min="9" max="16384" width="9.33203125" style="1279"/>
  </cols>
  <sheetData>
    <row r="1" spans="1:8" s="1381" customFormat="1" ht="155.25" customHeight="1" thickBot="1" x14ac:dyDescent="0.25">
      <c r="A1" s="1481" t="s">
        <v>5728</v>
      </c>
      <c r="B1" s="1480"/>
      <c r="C1" s="1480"/>
      <c r="D1" s="1480"/>
      <c r="E1" s="1480"/>
      <c r="F1" s="1480"/>
      <c r="G1" s="1480"/>
      <c r="H1" s="1480"/>
    </row>
    <row r="2" spans="1:8" ht="26.25" thickBot="1" x14ac:dyDescent="0.25">
      <c r="A2" s="1482" t="s">
        <v>2638</v>
      </c>
      <c r="B2" s="1378" t="s">
        <v>5726</v>
      </c>
      <c r="C2" s="1379" t="s">
        <v>2639</v>
      </c>
      <c r="D2" s="1380" t="s">
        <v>5727</v>
      </c>
      <c r="E2" s="1374" t="s">
        <v>2640</v>
      </c>
      <c r="F2" s="1375" t="s">
        <v>5537</v>
      </c>
      <c r="G2" s="1376" t="s">
        <v>2641</v>
      </c>
      <c r="H2" s="1377" t="s">
        <v>2642</v>
      </c>
    </row>
    <row r="3" spans="1:8" x14ac:dyDescent="0.2">
      <c r="A3" s="1371" t="s">
        <v>2644</v>
      </c>
      <c r="B3" s="1373" t="s">
        <v>2623</v>
      </c>
      <c r="C3" s="1373">
        <v>0</v>
      </c>
      <c r="D3" s="1373" t="s">
        <v>2645</v>
      </c>
      <c r="E3" s="1371" t="s">
        <v>2646</v>
      </c>
      <c r="F3" s="1372"/>
      <c r="G3" s="1373"/>
      <c r="H3" s="1373">
        <v>1</v>
      </c>
    </row>
    <row r="4" spans="1:8" x14ac:dyDescent="0.2">
      <c r="A4" s="1280" t="s">
        <v>2647</v>
      </c>
      <c r="B4" s="1281" t="s">
        <v>2623</v>
      </c>
      <c r="C4" s="1281">
        <v>9</v>
      </c>
      <c r="D4" s="1281" t="s">
        <v>2645</v>
      </c>
      <c r="E4" s="1280" t="s">
        <v>2648</v>
      </c>
      <c r="F4" s="1282"/>
      <c r="G4" s="1281"/>
      <c r="H4" s="1281"/>
    </row>
    <row r="5" spans="1:8" x14ac:dyDescent="0.2">
      <c r="A5" s="1280" t="s">
        <v>2649</v>
      </c>
      <c r="B5" s="1281"/>
      <c r="C5" s="1281">
        <v>0</v>
      </c>
      <c r="D5" s="1281" t="s">
        <v>2650</v>
      </c>
      <c r="E5" s="1280" t="s">
        <v>2651</v>
      </c>
      <c r="F5" s="1282"/>
      <c r="G5" s="1281"/>
      <c r="H5" s="1281"/>
    </row>
    <row r="6" spans="1:8" x14ac:dyDescent="0.2">
      <c r="A6" s="1280" t="s">
        <v>2652</v>
      </c>
      <c r="B6" s="1281" t="s">
        <v>2623</v>
      </c>
      <c r="C6" s="1281">
        <v>14</v>
      </c>
      <c r="D6" s="1281" t="s">
        <v>2653</v>
      </c>
      <c r="E6" s="1280" t="s">
        <v>2654</v>
      </c>
      <c r="F6" s="1282"/>
      <c r="G6" s="1281"/>
      <c r="H6" s="1281"/>
    </row>
    <row r="7" spans="1:8" x14ac:dyDescent="0.2">
      <c r="A7" s="1280" t="s">
        <v>2655</v>
      </c>
      <c r="B7" s="1281" t="s">
        <v>2623</v>
      </c>
      <c r="C7" s="1281">
        <v>10</v>
      </c>
      <c r="D7" s="1281" t="s">
        <v>2653</v>
      </c>
      <c r="E7" s="1280" t="s">
        <v>2656</v>
      </c>
      <c r="F7" s="1282"/>
      <c r="G7" s="1281"/>
      <c r="H7" s="1281"/>
    </row>
    <row r="8" spans="1:8" x14ac:dyDescent="0.2">
      <c r="A8" s="1280" t="s">
        <v>2657</v>
      </c>
      <c r="B8" s="1281"/>
      <c r="C8" s="1281">
        <v>0</v>
      </c>
      <c r="D8" s="1281" t="s">
        <v>2653</v>
      </c>
      <c r="E8" s="1280" t="s">
        <v>2658</v>
      </c>
      <c r="F8" s="1282" t="s">
        <v>2659</v>
      </c>
      <c r="G8" s="1281"/>
      <c r="H8" s="1281"/>
    </row>
    <row r="9" spans="1:8" x14ac:dyDescent="0.2">
      <c r="A9" s="1280" t="s">
        <v>2660</v>
      </c>
      <c r="B9" s="1281" t="s">
        <v>2623</v>
      </c>
      <c r="C9" s="1281">
        <v>19</v>
      </c>
      <c r="D9" s="1281" t="s">
        <v>2650</v>
      </c>
      <c r="E9" s="1280" t="s">
        <v>2661</v>
      </c>
      <c r="F9" s="1282"/>
      <c r="G9" s="1281"/>
      <c r="H9" s="1281"/>
    </row>
    <row r="10" spans="1:8" x14ac:dyDescent="0.2">
      <c r="A10" s="1280" t="s">
        <v>2662</v>
      </c>
      <c r="B10" s="1281"/>
      <c r="C10" s="1281">
        <v>0</v>
      </c>
      <c r="D10" s="1281" t="s">
        <v>2645</v>
      </c>
      <c r="E10" s="1280" t="s">
        <v>2663</v>
      </c>
      <c r="F10" s="1282"/>
      <c r="G10" s="1281"/>
      <c r="H10" s="1281"/>
    </row>
    <row r="11" spans="1:8" x14ac:dyDescent="0.2">
      <c r="A11" s="1280" t="s">
        <v>2664</v>
      </c>
      <c r="B11" s="1281"/>
      <c r="C11" s="1281">
        <v>0</v>
      </c>
      <c r="D11" s="1281" t="s">
        <v>2650</v>
      </c>
      <c r="E11" s="1280" t="s">
        <v>2665</v>
      </c>
      <c r="F11" s="1282"/>
      <c r="G11" s="1281"/>
      <c r="H11" s="1281"/>
    </row>
    <row r="12" spans="1:8" x14ac:dyDescent="0.2">
      <c r="A12" s="1280" t="s">
        <v>2666</v>
      </c>
      <c r="B12" s="1281" t="s">
        <v>2623</v>
      </c>
      <c r="C12" s="1281">
        <v>3</v>
      </c>
      <c r="D12" s="1281" t="s">
        <v>2667</v>
      </c>
      <c r="E12" s="1280" t="s">
        <v>2668</v>
      </c>
      <c r="F12" s="1282"/>
      <c r="G12" s="1281"/>
      <c r="H12" s="1281"/>
    </row>
    <row r="13" spans="1:8" x14ac:dyDescent="0.2">
      <c r="A13" s="1280" t="s">
        <v>2669</v>
      </c>
      <c r="B13" s="1281" t="s">
        <v>2623</v>
      </c>
      <c r="C13" s="1281">
        <v>6</v>
      </c>
      <c r="D13" s="1281" t="s">
        <v>2650</v>
      </c>
      <c r="E13" s="1280" t="s">
        <v>2670</v>
      </c>
      <c r="F13" s="1282"/>
      <c r="G13" s="1281"/>
      <c r="H13" s="1281"/>
    </row>
    <row r="14" spans="1:8" x14ac:dyDescent="0.2">
      <c r="A14" s="1280" t="s">
        <v>2671</v>
      </c>
      <c r="B14" s="1281" t="s">
        <v>2623</v>
      </c>
      <c r="C14" s="1281">
        <v>4</v>
      </c>
      <c r="D14" s="1281" t="s">
        <v>2650</v>
      </c>
      <c r="E14" s="1280" t="s">
        <v>2672</v>
      </c>
      <c r="F14" s="1282"/>
      <c r="G14" s="1281"/>
      <c r="H14" s="1281"/>
    </row>
    <row r="15" spans="1:8" x14ac:dyDescent="0.2">
      <c r="A15" s="1280" t="s">
        <v>2673</v>
      </c>
      <c r="B15" s="1281" t="s">
        <v>2623</v>
      </c>
      <c r="C15" s="1281">
        <v>0</v>
      </c>
      <c r="D15" s="1281" t="s">
        <v>2650</v>
      </c>
      <c r="E15" s="1280" t="s">
        <v>2674</v>
      </c>
      <c r="F15" s="1282"/>
      <c r="G15" s="1281"/>
      <c r="H15" s="1281"/>
    </row>
    <row r="16" spans="1:8" x14ac:dyDescent="0.2">
      <c r="A16" s="1280" t="s">
        <v>2675</v>
      </c>
      <c r="B16" s="1281" t="s">
        <v>2623</v>
      </c>
      <c r="C16" s="1281">
        <v>1</v>
      </c>
      <c r="D16" s="1281" t="s">
        <v>2650</v>
      </c>
      <c r="E16" s="1280" t="s">
        <v>2676</v>
      </c>
      <c r="F16" s="1282"/>
      <c r="G16" s="1281"/>
      <c r="H16" s="1281">
        <v>1</v>
      </c>
    </row>
    <row r="17" spans="1:8" x14ac:dyDescent="0.2">
      <c r="A17" s="1280" t="s">
        <v>2677</v>
      </c>
      <c r="B17" s="1281" t="s">
        <v>2623</v>
      </c>
      <c r="C17" s="1281">
        <v>2</v>
      </c>
      <c r="D17" s="1281" t="s">
        <v>2650</v>
      </c>
      <c r="E17" s="1280" t="s">
        <v>2678</v>
      </c>
      <c r="F17" s="1282"/>
      <c r="G17" s="1281"/>
      <c r="H17" s="1281">
        <v>1</v>
      </c>
    </row>
    <row r="18" spans="1:8" x14ac:dyDescent="0.2">
      <c r="A18" s="1280" t="s">
        <v>2679</v>
      </c>
      <c r="B18" s="1281"/>
      <c r="C18" s="1281">
        <v>0</v>
      </c>
      <c r="D18" s="1281" t="s">
        <v>2667</v>
      </c>
      <c r="E18" s="1280"/>
      <c r="F18" s="1282"/>
      <c r="G18" s="1281"/>
      <c r="H18" s="1281"/>
    </row>
    <row r="19" spans="1:8" x14ac:dyDescent="0.2">
      <c r="A19" s="1280" t="s">
        <v>2680</v>
      </c>
      <c r="B19" s="1281"/>
      <c r="C19" s="1281">
        <v>0</v>
      </c>
      <c r="D19" s="1281" t="s">
        <v>2667</v>
      </c>
      <c r="E19" s="1280"/>
      <c r="F19" s="1282"/>
      <c r="G19" s="1281"/>
      <c r="H19" s="1281"/>
    </row>
    <row r="20" spans="1:8" x14ac:dyDescent="0.2">
      <c r="A20" s="1280" t="s">
        <v>2681</v>
      </c>
      <c r="B20" s="1281" t="s">
        <v>2623</v>
      </c>
      <c r="C20" s="1281">
        <v>0</v>
      </c>
      <c r="D20" s="1281" t="s">
        <v>2653</v>
      </c>
      <c r="E20" s="1280" t="s">
        <v>2682</v>
      </c>
      <c r="F20" s="1282" t="s">
        <v>2659</v>
      </c>
      <c r="G20" s="1281"/>
      <c r="H20" s="1281"/>
    </row>
    <row r="21" spans="1:8" x14ac:dyDescent="0.2">
      <c r="A21" s="1280" t="s">
        <v>2683</v>
      </c>
      <c r="B21" s="1281"/>
      <c r="C21" s="1281">
        <v>0</v>
      </c>
      <c r="D21" s="1281" t="s">
        <v>2667</v>
      </c>
      <c r="E21" s="1280" t="s">
        <v>2684</v>
      </c>
      <c r="F21" s="1282"/>
      <c r="G21" s="1281"/>
      <c r="H21" s="1281">
        <v>1</v>
      </c>
    </row>
    <row r="22" spans="1:8" x14ac:dyDescent="0.2">
      <c r="A22" s="1280" t="s">
        <v>2685</v>
      </c>
      <c r="B22" s="1281" t="s">
        <v>2623</v>
      </c>
      <c r="C22" s="1281">
        <v>13</v>
      </c>
      <c r="D22" s="1281" t="s">
        <v>2686</v>
      </c>
      <c r="E22" s="1280" t="s">
        <v>2687</v>
      </c>
      <c r="F22" s="1282"/>
      <c r="G22" s="1281"/>
      <c r="H22" s="1281"/>
    </row>
    <row r="23" spans="1:8" x14ac:dyDescent="0.2">
      <c r="A23" s="1280" t="s">
        <v>2688</v>
      </c>
      <c r="B23" s="1281" t="s">
        <v>2623</v>
      </c>
      <c r="C23" s="1281">
        <v>0</v>
      </c>
      <c r="D23" s="1281" t="s">
        <v>2650</v>
      </c>
      <c r="E23" s="1280" t="s">
        <v>2689</v>
      </c>
      <c r="F23" s="1282" t="s">
        <v>2659</v>
      </c>
      <c r="G23" s="1281"/>
      <c r="H23" s="1281"/>
    </row>
    <row r="24" spans="1:8" x14ac:dyDescent="0.2">
      <c r="A24" s="1280" t="s">
        <v>2690</v>
      </c>
      <c r="B24" s="1281"/>
      <c r="C24" s="1281">
        <v>0</v>
      </c>
      <c r="D24" s="1281" t="s">
        <v>2686</v>
      </c>
      <c r="E24" s="1280" t="s">
        <v>2691</v>
      </c>
      <c r="F24" s="1282"/>
      <c r="G24" s="1281"/>
      <c r="H24" s="1281"/>
    </row>
    <row r="25" spans="1:8" x14ac:dyDescent="0.2">
      <c r="A25" s="1280" t="s">
        <v>2692</v>
      </c>
      <c r="B25" s="1281" t="s">
        <v>2623</v>
      </c>
      <c r="C25" s="1281">
        <v>3</v>
      </c>
      <c r="D25" s="1281" t="s">
        <v>2653</v>
      </c>
      <c r="E25" s="1280" t="s">
        <v>2693</v>
      </c>
      <c r="F25" s="1282"/>
      <c r="G25" s="1281"/>
      <c r="H25" s="1281"/>
    </row>
    <row r="26" spans="1:8" x14ac:dyDescent="0.2">
      <c r="A26" s="1280" t="s">
        <v>2694</v>
      </c>
      <c r="B26" s="1281" t="s">
        <v>2623</v>
      </c>
      <c r="C26" s="1281">
        <v>0</v>
      </c>
      <c r="D26" s="1281"/>
      <c r="E26" s="1280" t="s">
        <v>2695</v>
      </c>
      <c r="F26" s="1282"/>
      <c r="G26" s="1281"/>
      <c r="H26" s="1281"/>
    </row>
    <row r="27" spans="1:8" x14ac:dyDescent="0.2">
      <c r="A27" s="1280" t="s">
        <v>2696</v>
      </c>
      <c r="B27" s="1281" t="s">
        <v>2623</v>
      </c>
      <c r="C27" s="1281">
        <v>6</v>
      </c>
      <c r="D27" s="1281" t="s">
        <v>2650</v>
      </c>
      <c r="E27" s="1280" t="s">
        <v>2697</v>
      </c>
      <c r="F27" s="1282"/>
      <c r="G27" s="1281"/>
      <c r="H27" s="1281"/>
    </row>
    <row r="28" spans="1:8" x14ac:dyDescent="0.2">
      <c r="A28" s="1280" t="s">
        <v>2698</v>
      </c>
      <c r="B28" s="1281" t="s">
        <v>2623</v>
      </c>
      <c r="C28" s="1281">
        <v>2</v>
      </c>
      <c r="D28" s="1281" t="s">
        <v>2650</v>
      </c>
      <c r="E28" s="1280" t="s">
        <v>2699</v>
      </c>
      <c r="F28" s="1282" t="s">
        <v>2659</v>
      </c>
      <c r="G28" s="1281"/>
      <c r="H28" s="1281"/>
    </row>
    <row r="29" spans="1:8" x14ac:dyDescent="0.2">
      <c r="A29" s="1280" t="s">
        <v>2700</v>
      </c>
      <c r="B29" s="1281"/>
      <c r="C29" s="1281"/>
      <c r="D29" s="1281"/>
      <c r="E29" s="1280"/>
      <c r="F29" s="1281"/>
      <c r="G29" s="1281"/>
      <c r="H29" s="1281">
        <v>1</v>
      </c>
    </row>
    <row r="30" spans="1:8" x14ac:dyDescent="0.2">
      <c r="A30" s="1280" t="s">
        <v>2701</v>
      </c>
      <c r="B30" s="1281"/>
      <c r="C30" s="1281">
        <v>0</v>
      </c>
      <c r="D30" s="1281" t="s">
        <v>2650</v>
      </c>
      <c r="E30" s="1280" t="s">
        <v>2702</v>
      </c>
      <c r="F30" s="1282"/>
      <c r="G30" s="1281"/>
      <c r="H30" s="1281"/>
    </row>
    <row r="31" spans="1:8" x14ac:dyDescent="0.2">
      <c r="A31" s="1280" t="s">
        <v>2703</v>
      </c>
      <c r="B31" s="1281" t="s">
        <v>2623</v>
      </c>
      <c r="C31" s="1281">
        <v>0</v>
      </c>
      <c r="D31" s="1281" t="s">
        <v>2650</v>
      </c>
      <c r="E31" s="1280" t="s">
        <v>2704</v>
      </c>
      <c r="F31" s="1282" t="s">
        <v>2659</v>
      </c>
      <c r="G31" s="1281"/>
      <c r="H31" s="1281"/>
    </row>
    <row r="32" spans="1:8" x14ac:dyDescent="0.2">
      <c r="A32" s="1280" t="s">
        <v>2705</v>
      </c>
      <c r="B32" s="1281"/>
      <c r="C32" s="1281">
        <v>0</v>
      </c>
      <c r="D32" s="1281" t="s">
        <v>2667</v>
      </c>
      <c r="E32" s="1280" t="s">
        <v>2706</v>
      </c>
      <c r="F32" s="1282" t="s">
        <v>2659</v>
      </c>
      <c r="G32" s="1281"/>
      <c r="H32" s="1281"/>
    </row>
    <row r="33" spans="1:8" x14ac:dyDescent="0.2">
      <c r="A33" s="1280" t="s">
        <v>2707</v>
      </c>
      <c r="B33" s="1281"/>
      <c r="C33" s="1281">
        <v>0</v>
      </c>
      <c r="D33" s="1281" t="s">
        <v>2667</v>
      </c>
      <c r="E33" s="1280" t="s">
        <v>2708</v>
      </c>
      <c r="F33" s="1282"/>
      <c r="G33" s="1281"/>
      <c r="H33" s="1281"/>
    </row>
    <row r="34" spans="1:8" x14ac:dyDescent="0.2">
      <c r="A34" s="1280" t="s">
        <v>2709</v>
      </c>
      <c r="B34" s="1281" t="s">
        <v>2623</v>
      </c>
      <c r="C34" s="1281">
        <v>1</v>
      </c>
      <c r="D34" s="1281" t="s">
        <v>2653</v>
      </c>
      <c r="E34" s="1280" t="s">
        <v>2710</v>
      </c>
      <c r="F34" s="1282" t="s">
        <v>2659</v>
      </c>
      <c r="G34" s="1281"/>
      <c r="H34" s="1281"/>
    </row>
    <row r="35" spans="1:8" x14ac:dyDescent="0.2">
      <c r="A35" s="1280" t="s">
        <v>2711</v>
      </c>
      <c r="B35" s="1281" t="s">
        <v>2623</v>
      </c>
      <c r="C35" s="1281">
        <v>2</v>
      </c>
      <c r="D35" s="1281" t="s">
        <v>2650</v>
      </c>
      <c r="E35" s="1280" t="s">
        <v>2712</v>
      </c>
      <c r="F35" s="1282"/>
      <c r="G35" s="1281"/>
      <c r="H35" s="1281"/>
    </row>
    <row r="36" spans="1:8" x14ac:dyDescent="0.2">
      <c r="A36" s="1280" t="s">
        <v>2713</v>
      </c>
      <c r="B36" s="1281"/>
      <c r="C36" s="1281">
        <v>0</v>
      </c>
      <c r="D36" s="1281" t="s">
        <v>2645</v>
      </c>
      <c r="E36" s="1280" t="s">
        <v>2714</v>
      </c>
      <c r="F36" s="1282"/>
      <c r="G36" s="1281"/>
      <c r="H36" s="1281"/>
    </row>
    <row r="37" spans="1:8" x14ac:dyDescent="0.2">
      <c r="A37" s="1280" t="s">
        <v>2715</v>
      </c>
      <c r="B37" s="1281" t="s">
        <v>2623</v>
      </c>
      <c r="C37" s="1281">
        <v>1</v>
      </c>
      <c r="D37" s="1281" t="s">
        <v>2650</v>
      </c>
      <c r="E37" s="1280" t="s">
        <v>2716</v>
      </c>
      <c r="F37" s="1282"/>
      <c r="G37" s="1281"/>
      <c r="H37" s="1281"/>
    </row>
    <row r="38" spans="1:8" x14ac:dyDescent="0.2">
      <c r="A38" s="1280" t="s">
        <v>2717</v>
      </c>
      <c r="B38" s="1281" t="s">
        <v>2623</v>
      </c>
      <c r="C38" s="1281">
        <v>19</v>
      </c>
      <c r="D38" s="1281" t="s">
        <v>2650</v>
      </c>
      <c r="E38" s="1280" t="s">
        <v>2718</v>
      </c>
      <c r="F38" s="1282"/>
      <c r="G38" s="1281"/>
      <c r="H38" s="1281"/>
    </row>
    <row r="39" spans="1:8" x14ac:dyDescent="0.2">
      <c r="A39" s="1280" t="s">
        <v>2719</v>
      </c>
      <c r="B39" s="1281" t="s">
        <v>2623</v>
      </c>
      <c r="C39" s="1281">
        <v>16</v>
      </c>
      <c r="D39" s="1281" t="s">
        <v>2650</v>
      </c>
      <c r="E39" s="1280" t="s">
        <v>2720</v>
      </c>
      <c r="F39" s="1282"/>
      <c r="G39" s="1281"/>
      <c r="H39" s="1281"/>
    </row>
    <row r="40" spans="1:8" x14ac:dyDescent="0.2">
      <c r="A40" s="1280" t="s">
        <v>2721</v>
      </c>
      <c r="B40" s="1281" t="s">
        <v>2623</v>
      </c>
      <c r="C40" s="1281">
        <v>4</v>
      </c>
      <c r="D40" s="1281" t="s">
        <v>2667</v>
      </c>
      <c r="E40" s="1280" t="s">
        <v>2722</v>
      </c>
      <c r="F40" s="1282"/>
      <c r="G40" s="1281"/>
      <c r="H40" s="1281"/>
    </row>
    <row r="41" spans="1:8" x14ac:dyDescent="0.2">
      <c r="A41" s="1280" t="s">
        <v>2723</v>
      </c>
      <c r="B41" s="1281" t="s">
        <v>2623</v>
      </c>
      <c r="C41" s="1281">
        <v>4</v>
      </c>
      <c r="D41" s="1281" t="s">
        <v>2667</v>
      </c>
      <c r="E41" s="1280" t="s">
        <v>2724</v>
      </c>
      <c r="F41" s="1282" t="s">
        <v>2659</v>
      </c>
      <c r="G41" s="1281"/>
      <c r="H41" s="1281"/>
    </row>
    <row r="42" spans="1:8" x14ac:dyDescent="0.2">
      <c r="A42" s="1280" t="s">
        <v>2725</v>
      </c>
      <c r="B42" s="1281"/>
      <c r="C42" s="1281">
        <v>0</v>
      </c>
      <c r="D42" s="1281" t="s">
        <v>2686</v>
      </c>
      <c r="E42" s="1280" t="s">
        <v>2726</v>
      </c>
      <c r="F42" s="1282"/>
      <c r="G42" s="1281"/>
      <c r="H42" s="1281"/>
    </row>
    <row r="43" spans="1:8" x14ac:dyDescent="0.2">
      <c r="A43" s="1280" t="s">
        <v>2727</v>
      </c>
      <c r="B43" s="1281" t="s">
        <v>2623</v>
      </c>
      <c r="C43" s="1281">
        <v>2</v>
      </c>
      <c r="D43" s="1281" t="s">
        <v>2686</v>
      </c>
      <c r="E43" s="1280" t="s">
        <v>2728</v>
      </c>
      <c r="F43" s="1282" t="s">
        <v>2659</v>
      </c>
      <c r="G43" s="1281"/>
      <c r="H43" s="1281"/>
    </row>
    <row r="44" spans="1:8" x14ac:dyDescent="0.2">
      <c r="A44" s="1280" t="s">
        <v>2729</v>
      </c>
      <c r="B44" s="1281" t="s">
        <v>2623</v>
      </c>
      <c r="C44" s="1281">
        <v>0</v>
      </c>
      <c r="D44" s="1281" t="s">
        <v>2653</v>
      </c>
      <c r="E44" s="1280" t="s">
        <v>2730</v>
      </c>
      <c r="F44" s="1282" t="s">
        <v>2659</v>
      </c>
      <c r="G44" s="1281"/>
      <c r="H44" s="1281"/>
    </row>
    <row r="45" spans="1:8" x14ac:dyDescent="0.2">
      <c r="A45" s="1280" t="s">
        <v>2731</v>
      </c>
      <c r="B45" s="1281"/>
      <c r="C45" s="1281">
        <v>0</v>
      </c>
      <c r="D45" s="1281" t="s">
        <v>2645</v>
      </c>
      <c r="E45" s="1280" t="s">
        <v>2732</v>
      </c>
      <c r="F45" s="1282"/>
      <c r="G45" s="1281"/>
      <c r="H45" s="1281"/>
    </row>
    <row r="46" spans="1:8" x14ac:dyDescent="0.2">
      <c r="A46" s="1280" t="s">
        <v>2733</v>
      </c>
      <c r="B46" s="1281" t="s">
        <v>2623</v>
      </c>
      <c r="C46" s="1281">
        <v>0</v>
      </c>
      <c r="D46" s="1281" t="s">
        <v>2645</v>
      </c>
      <c r="E46" s="1280" t="s">
        <v>2734</v>
      </c>
      <c r="F46" s="1282" t="s">
        <v>2659</v>
      </c>
      <c r="G46" s="1281"/>
      <c r="H46" s="1281"/>
    </row>
    <row r="47" spans="1:8" x14ac:dyDescent="0.2">
      <c r="A47" s="1283" t="s">
        <v>2735</v>
      </c>
      <c r="B47" s="1281" t="s">
        <v>2623</v>
      </c>
      <c r="C47" s="1281">
        <v>0</v>
      </c>
      <c r="D47" s="1281"/>
      <c r="E47" s="1280"/>
      <c r="F47" s="1282"/>
      <c r="G47" s="1281"/>
      <c r="H47" s="1281"/>
    </row>
    <row r="48" spans="1:8" x14ac:dyDescent="0.2">
      <c r="A48" s="1280" t="s">
        <v>2736</v>
      </c>
      <c r="B48" s="1281" t="s">
        <v>2623</v>
      </c>
      <c r="C48" s="1281">
        <v>4</v>
      </c>
      <c r="D48" s="1281" t="s">
        <v>2645</v>
      </c>
      <c r="E48" s="1280" t="s">
        <v>2737</v>
      </c>
      <c r="F48" s="1282"/>
      <c r="G48" s="1281"/>
      <c r="H48" s="1281"/>
    </row>
    <row r="49" spans="1:8" x14ac:dyDescent="0.2">
      <c r="A49" s="1280" t="s">
        <v>2738</v>
      </c>
      <c r="B49" s="1281" t="s">
        <v>2623</v>
      </c>
      <c r="C49" s="1281">
        <v>0</v>
      </c>
      <c r="D49" s="1281" t="s">
        <v>2686</v>
      </c>
      <c r="E49" s="1280" t="s">
        <v>2739</v>
      </c>
      <c r="F49" s="1282"/>
      <c r="G49" s="1281"/>
      <c r="H49" s="1281"/>
    </row>
    <row r="50" spans="1:8" x14ac:dyDescent="0.2">
      <c r="A50" s="1280" t="s">
        <v>2740</v>
      </c>
      <c r="B50" s="1281" t="s">
        <v>2623</v>
      </c>
      <c r="C50" s="1281">
        <v>8</v>
      </c>
      <c r="D50" s="1281" t="s">
        <v>2686</v>
      </c>
      <c r="E50" s="1280" t="s">
        <v>2741</v>
      </c>
      <c r="F50" s="1282"/>
      <c r="G50" s="1281"/>
      <c r="H50" s="1281"/>
    </row>
    <row r="51" spans="1:8" x14ac:dyDescent="0.2">
      <c r="A51" s="1280" t="s">
        <v>2742</v>
      </c>
      <c r="B51" s="1281" t="s">
        <v>2623</v>
      </c>
      <c r="C51" s="1281">
        <v>2</v>
      </c>
      <c r="D51" s="1281" t="s">
        <v>2653</v>
      </c>
      <c r="E51" s="1280" t="s">
        <v>2743</v>
      </c>
      <c r="F51" s="1282"/>
      <c r="G51" s="1281"/>
      <c r="H51" s="1281"/>
    </row>
    <row r="52" spans="1:8" x14ac:dyDescent="0.2">
      <c r="A52" s="1280" t="s">
        <v>2744</v>
      </c>
      <c r="B52" s="1281" t="s">
        <v>2623</v>
      </c>
      <c r="C52" s="1281">
        <v>0</v>
      </c>
      <c r="D52" s="1281" t="s">
        <v>2645</v>
      </c>
      <c r="E52" s="1280" t="s">
        <v>2745</v>
      </c>
      <c r="F52" s="1282"/>
      <c r="G52" s="1281"/>
      <c r="H52" s="1281"/>
    </row>
    <row r="53" spans="1:8" x14ac:dyDescent="0.2">
      <c r="A53" s="1280" t="s">
        <v>2746</v>
      </c>
      <c r="B53" s="1281" t="s">
        <v>2623</v>
      </c>
      <c r="C53" s="1281">
        <v>10</v>
      </c>
      <c r="D53" s="1281" t="s">
        <v>2653</v>
      </c>
      <c r="E53" s="1280" t="s">
        <v>2747</v>
      </c>
      <c r="F53" s="1282"/>
      <c r="G53" s="1281"/>
      <c r="H53" s="1281"/>
    </row>
    <row r="54" spans="1:8" x14ac:dyDescent="0.2">
      <c r="A54" s="1280" t="s">
        <v>2748</v>
      </c>
      <c r="B54" s="1281" t="s">
        <v>2623</v>
      </c>
      <c r="C54" s="1281">
        <v>3</v>
      </c>
      <c r="D54" s="1281" t="s">
        <v>2653</v>
      </c>
      <c r="E54" s="1280" t="s">
        <v>2749</v>
      </c>
      <c r="F54" s="1282"/>
      <c r="G54" s="1281"/>
      <c r="H54" s="1281"/>
    </row>
    <row r="55" spans="1:8" x14ac:dyDescent="0.2">
      <c r="A55" s="1280" t="s">
        <v>2750</v>
      </c>
      <c r="B55" s="1281" t="s">
        <v>2623</v>
      </c>
      <c r="C55" s="1281">
        <v>6</v>
      </c>
      <c r="D55" s="1281" t="s">
        <v>2650</v>
      </c>
      <c r="E55" s="1280" t="s">
        <v>2751</v>
      </c>
      <c r="F55" s="1282"/>
      <c r="G55" s="1281"/>
      <c r="H55" s="1281"/>
    </row>
    <row r="56" spans="1:8" x14ac:dyDescent="0.2">
      <c r="A56" s="1280" t="s">
        <v>2752</v>
      </c>
      <c r="B56" s="1281"/>
      <c r="C56" s="1281">
        <v>0</v>
      </c>
      <c r="D56" s="1281" t="s">
        <v>2686</v>
      </c>
      <c r="E56" s="1280" t="s">
        <v>2753</v>
      </c>
      <c r="F56" s="1282"/>
      <c r="G56" s="1281"/>
      <c r="H56" s="1281"/>
    </row>
    <row r="57" spans="1:8" x14ac:dyDescent="0.2">
      <c r="A57" s="1280" t="s">
        <v>2754</v>
      </c>
      <c r="B57" s="1281" t="s">
        <v>2623</v>
      </c>
      <c r="C57" s="1281">
        <v>11</v>
      </c>
      <c r="D57" s="1281" t="s">
        <v>2686</v>
      </c>
      <c r="E57" s="1280" t="s">
        <v>2755</v>
      </c>
      <c r="F57" s="1282"/>
      <c r="G57" s="1281"/>
      <c r="H57" s="1281"/>
    </row>
    <row r="58" spans="1:8" x14ac:dyDescent="0.2">
      <c r="A58" s="1280" t="s">
        <v>2756</v>
      </c>
      <c r="B58" s="1281" t="s">
        <v>2623</v>
      </c>
      <c r="C58" s="1281">
        <v>3</v>
      </c>
      <c r="D58" s="1281" t="s">
        <v>2653</v>
      </c>
      <c r="E58" s="1280" t="s">
        <v>2757</v>
      </c>
      <c r="F58" s="1282"/>
      <c r="G58" s="1281"/>
      <c r="H58" s="1281"/>
    </row>
    <row r="59" spans="1:8" x14ac:dyDescent="0.2">
      <c r="A59" s="1280" t="s">
        <v>2758</v>
      </c>
      <c r="B59" s="1281" t="s">
        <v>2623</v>
      </c>
      <c r="C59" s="1281">
        <v>4</v>
      </c>
      <c r="D59" s="1281" t="s">
        <v>2653</v>
      </c>
      <c r="E59" s="1280" t="s">
        <v>2759</v>
      </c>
      <c r="F59" s="1282"/>
      <c r="G59" s="1281"/>
      <c r="H59" s="1281"/>
    </row>
    <row r="60" spans="1:8" x14ac:dyDescent="0.2">
      <c r="A60" s="1280" t="s">
        <v>2760</v>
      </c>
      <c r="B60" s="1281" t="s">
        <v>2623</v>
      </c>
      <c r="C60" s="1281">
        <v>1</v>
      </c>
      <c r="D60" s="1281"/>
      <c r="E60" s="1280" t="s">
        <v>2761</v>
      </c>
      <c r="F60" s="1282"/>
      <c r="G60" s="1281"/>
      <c r="H60" s="1281"/>
    </row>
    <row r="61" spans="1:8" x14ac:dyDescent="0.2">
      <c r="A61" s="1280" t="s">
        <v>2762</v>
      </c>
      <c r="B61" s="1281" t="s">
        <v>2623</v>
      </c>
      <c r="C61" s="1281">
        <v>2</v>
      </c>
      <c r="D61" s="1281" t="s">
        <v>2650</v>
      </c>
      <c r="E61" s="1280" t="s">
        <v>2763</v>
      </c>
      <c r="F61" s="1282"/>
      <c r="G61" s="1281"/>
      <c r="H61" s="1281"/>
    </row>
    <row r="62" spans="1:8" x14ac:dyDescent="0.2">
      <c r="A62" s="1280" t="s">
        <v>2764</v>
      </c>
      <c r="B62" s="1281" t="s">
        <v>2623</v>
      </c>
      <c r="C62" s="1281">
        <v>0</v>
      </c>
      <c r="D62" s="1281"/>
      <c r="E62" s="1280" t="s">
        <v>2765</v>
      </c>
      <c r="F62" s="1282"/>
      <c r="G62" s="1281"/>
      <c r="H62" s="1281"/>
    </row>
    <row r="63" spans="1:8" x14ac:dyDescent="0.2">
      <c r="A63" s="1280" t="s">
        <v>2766</v>
      </c>
      <c r="B63" s="1281" t="s">
        <v>2623</v>
      </c>
      <c r="C63" s="1281">
        <v>0</v>
      </c>
      <c r="D63" s="1281" t="s">
        <v>2653</v>
      </c>
      <c r="E63" s="1280" t="s">
        <v>2767</v>
      </c>
      <c r="F63" s="1282" t="s">
        <v>2659</v>
      </c>
      <c r="G63" s="1281"/>
      <c r="H63" s="1281"/>
    </row>
    <row r="64" spans="1:8" x14ac:dyDescent="0.2">
      <c r="A64" s="1280" t="s">
        <v>2768</v>
      </c>
      <c r="B64" s="1281"/>
      <c r="C64" s="1281">
        <v>0</v>
      </c>
      <c r="D64" s="1281" t="s">
        <v>2686</v>
      </c>
      <c r="E64" s="1280" t="s">
        <v>2769</v>
      </c>
      <c r="F64" s="1282"/>
      <c r="G64" s="1281"/>
      <c r="H64" s="1281"/>
    </row>
    <row r="65" spans="1:8" x14ac:dyDescent="0.2">
      <c r="A65" s="1280" t="s">
        <v>2770</v>
      </c>
      <c r="B65" s="1281" t="s">
        <v>2623</v>
      </c>
      <c r="C65" s="1281">
        <v>0</v>
      </c>
      <c r="D65" s="1281" t="s">
        <v>2645</v>
      </c>
      <c r="E65" s="1280" t="s">
        <v>2771</v>
      </c>
      <c r="F65" s="1282"/>
      <c r="G65" s="1281"/>
      <c r="H65" s="1281"/>
    </row>
    <row r="66" spans="1:8" x14ac:dyDescent="0.2">
      <c r="A66" s="1280" t="s">
        <v>2772</v>
      </c>
      <c r="B66" s="1281" t="s">
        <v>2623</v>
      </c>
      <c r="C66" s="1281">
        <v>3</v>
      </c>
      <c r="D66" s="1281" t="s">
        <v>2645</v>
      </c>
      <c r="E66" s="1280" t="s">
        <v>2773</v>
      </c>
      <c r="F66" s="1282" t="s">
        <v>2659</v>
      </c>
      <c r="G66" s="1281"/>
      <c r="H66" s="1281"/>
    </row>
    <row r="67" spans="1:8" x14ac:dyDescent="0.2">
      <c r="A67" s="1280" t="s">
        <v>2774</v>
      </c>
      <c r="B67" s="1281"/>
      <c r="C67" s="1281">
        <v>0</v>
      </c>
      <c r="D67" s="1281" t="s">
        <v>2653</v>
      </c>
      <c r="E67" s="1280" t="s">
        <v>2775</v>
      </c>
      <c r="F67" s="1282"/>
      <c r="G67" s="1281"/>
      <c r="H67" s="1281"/>
    </row>
    <row r="68" spans="1:8" x14ac:dyDescent="0.2">
      <c r="A68" s="1280" t="s">
        <v>2776</v>
      </c>
      <c r="B68" s="1281" t="s">
        <v>2623</v>
      </c>
      <c r="C68" s="1281">
        <v>0</v>
      </c>
      <c r="D68" s="1281" t="s">
        <v>2686</v>
      </c>
      <c r="E68" s="1280" t="s">
        <v>2777</v>
      </c>
      <c r="F68" s="1282"/>
      <c r="G68" s="1281"/>
      <c r="H68" s="1281">
        <v>1</v>
      </c>
    </row>
    <row r="69" spans="1:8" x14ac:dyDescent="0.2">
      <c r="A69" s="1280" t="s">
        <v>2778</v>
      </c>
      <c r="B69" s="1281" t="s">
        <v>2623</v>
      </c>
      <c r="C69" s="1281">
        <v>0</v>
      </c>
      <c r="D69" s="1281" t="s">
        <v>2645</v>
      </c>
      <c r="E69" s="1280" t="s">
        <v>2779</v>
      </c>
      <c r="F69" s="1282"/>
      <c r="G69" s="1281"/>
      <c r="H69" s="1281">
        <v>1</v>
      </c>
    </row>
    <row r="70" spans="1:8" x14ac:dyDescent="0.2">
      <c r="A70" s="1280" t="s">
        <v>2780</v>
      </c>
      <c r="B70" s="1281" t="s">
        <v>2623</v>
      </c>
      <c r="C70" s="1281">
        <v>13</v>
      </c>
      <c r="D70" s="1281" t="s">
        <v>2653</v>
      </c>
      <c r="E70" s="1280" t="s">
        <v>2781</v>
      </c>
      <c r="F70" s="1282"/>
      <c r="G70" s="1281"/>
      <c r="H70" s="1281"/>
    </row>
    <row r="71" spans="1:8" x14ac:dyDescent="0.2">
      <c r="A71" s="1280" t="s">
        <v>2782</v>
      </c>
      <c r="B71" s="1281" t="s">
        <v>2623</v>
      </c>
      <c r="C71" s="1281">
        <v>0</v>
      </c>
      <c r="D71" s="1281" t="s">
        <v>2653</v>
      </c>
      <c r="E71" s="1280" t="s">
        <v>2783</v>
      </c>
      <c r="F71" s="1282"/>
      <c r="G71" s="1281"/>
      <c r="H71" s="1281"/>
    </row>
    <row r="72" spans="1:8" x14ac:dyDescent="0.2">
      <c r="A72" s="1280" t="s">
        <v>2784</v>
      </c>
      <c r="B72" s="1281" t="s">
        <v>2623</v>
      </c>
      <c r="C72" s="1281">
        <v>0</v>
      </c>
      <c r="D72" s="1281"/>
      <c r="E72" s="1280" t="s">
        <v>2785</v>
      </c>
      <c r="F72" s="1282"/>
      <c r="G72" s="1281"/>
      <c r="H72" s="1281"/>
    </row>
    <row r="73" spans="1:8" x14ac:dyDescent="0.2">
      <c r="A73" s="1280" t="s">
        <v>2786</v>
      </c>
      <c r="B73" s="1281" t="s">
        <v>2623</v>
      </c>
      <c r="C73" s="1281">
        <v>0</v>
      </c>
      <c r="D73" s="1281" t="s">
        <v>2645</v>
      </c>
      <c r="E73" s="1280" t="s">
        <v>2787</v>
      </c>
      <c r="F73" s="1282"/>
      <c r="G73" s="1281"/>
      <c r="H73" s="1281"/>
    </row>
    <row r="74" spans="1:8" x14ac:dyDescent="0.2">
      <c r="A74" s="1280" t="s">
        <v>2788</v>
      </c>
      <c r="B74" s="1281" t="s">
        <v>2623</v>
      </c>
      <c r="C74" s="1281">
        <v>5</v>
      </c>
      <c r="D74" s="1281" t="s">
        <v>2653</v>
      </c>
      <c r="E74" s="1280" t="s">
        <v>2789</v>
      </c>
      <c r="F74" s="1282"/>
      <c r="G74" s="1281"/>
      <c r="H74" s="1281"/>
    </row>
    <row r="75" spans="1:8" x14ac:dyDescent="0.2">
      <c r="A75" s="1280" t="s">
        <v>2790</v>
      </c>
      <c r="B75" s="1281" t="s">
        <v>2623</v>
      </c>
      <c r="C75" s="1281">
        <v>1</v>
      </c>
      <c r="D75" s="1281"/>
      <c r="E75" s="1280"/>
      <c r="F75" s="1282"/>
      <c r="G75" s="1281"/>
      <c r="H75" s="1281"/>
    </row>
    <row r="76" spans="1:8" x14ac:dyDescent="0.2">
      <c r="A76" s="1280" t="s">
        <v>2791</v>
      </c>
      <c r="B76" s="1281" t="s">
        <v>2623</v>
      </c>
      <c r="C76" s="1281">
        <v>14</v>
      </c>
      <c r="D76" s="1281"/>
      <c r="E76" s="1280"/>
      <c r="F76" s="1282"/>
      <c r="G76" s="1281"/>
      <c r="H76" s="1281"/>
    </row>
    <row r="77" spans="1:8" x14ac:dyDescent="0.2">
      <c r="A77" s="1280" t="s">
        <v>2792</v>
      </c>
      <c r="B77" s="1281" t="s">
        <v>2623</v>
      </c>
      <c r="C77" s="1281">
        <v>2</v>
      </c>
      <c r="D77" s="1281" t="s">
        <v>2686</v>
      </c>
      <c r="E77" s="1280" t="s">
        <v>2793</v>
      </c>
      <c r="F77" s="1282"/>
      <c r="G77" s="1281"/>
      <c r="H77" s="1281"/>
    </row>
    <row r="78" spans="1:8" x14ac:dyDescent="0.2">
      <c r="A78" s="1280" t="s">
        <v>2794</v>
      </c>
      <c r="B78" s="1281" t="s">
        <v>2623</v>
      </c>
      <c r="C78" s="1281">
        <v>3</v>
      </c>
      <c r="D78" s="1281" t="s">
        <v>2686</v>
      </c>
      <c r="E78" s="1280" t="s">
        <v>2795</v>
      </c>
      <c r="F78" s="1282"/>
      <c r="G78" s="1281"/>
      <c r="H78" s="1281"/>
    </row>
    <row r="79" spans="1:8" x14ac:dyDescent="0.2">
      <c r="A79" s="1280" t="s">
        <v>2796</v>
      </c>
      <c r="B79" s="1281" t="s">
        <v>2623</v>
      </c>
      <c r="C79" s="1281">
        <v>0</v>
      </c>
      <c r="D79" s="1281" t="s">
        <v>2667</v>
      </c>
      <c r="E79" s="1280" t="s">
        <v>2797</v>
      </c>
      <c r="F79" s="1282"/>
      <c r="G79" s="1281"/>
      <c r="H79" s="1281"/>
    </row>
    <row r="80" spans="1:8" x14ac:dyDescent="0.2">
      <c r="A80" s="1280" t="s">
        <v>2798</v>
      </c>
      <c r="B80" s="1281"/>
      <c r="C80" s="1281">
        <v>0</v>
      </c>
      <c r="D80" s="1281" t="s">
        <v>2653</v>
      </c>
      <c r="E80" s="1280" t="s">
        <v>2799</v>
      </c>
      <c r="F80" s="1282"/>
      <c r="G80" s="1281"/>
      <c r="H80" s="1281"/>
    </row>
    <row r="81" spans="1:8" x14ac:dyDescent="0.2">
      <c r="A81" s="1280" t="s">
        <v>2800</v>
      </c>
      <c r="B81" s="1281"/>
      <c r="C81" s="1281">
        <v>0</v>
      </c>
      <c r="D81" s="1281" t="s">
        <v>2650</v>
      </c>
      <c r="E81" s="1280" t="s">
        <v>2801</v>
      </c>
      <c r="F81" s="1282"/>
      <c r="G81" s="1281"/>
      <c r="H81" s="1281"/>
    </row>
    <row r="82" spans="1:8" x14ac:dyDescent="0.2">
      <c r="A82" s="1280" t="s">
        <v>2802</v>
      </c>
      <c r="B82" s="1281" t="s">
        <v>2623</v>
      </c>
      <c r="C82" s="1281">
        <v>2</v>
      </c>
      <c r="D82" s="1281" t="s">
        <v>2645</v>
      </c>
      <c r="E82" s="1280" t="s">
        <v>2803</v>
      </c>
      <c r="F82" s="1282"/>
      <c r="G82" s="1281"/>
      <c r="H82" s="1281"/>
    </row>
    <row r="83" spans="1:8" x14ac:dyDescent="0.2">
      <c r="A83" s="1280" t="s">
        <v>2804</v>
      </c>
      <c r="B83" s="1281" t="s">
        <v>2623</v>
      </c>
      <c r="C83" s="1281">
        <v>0</v>
      </c>
      <c r="D83" s="1281" t="s">
        <v>2686</v>
      </c>
      <c r="E83" s="1280" t="s">
        <v>2805</v>
      </c>
      <c r="F83" s="1282"/>
      <c r="G83" s="1281"/>
      <c r="H83" s="1281"/>
    </row>
    <row r="84" spans="1:8" x14ac:dyDescent="0.2">
      <c r="A84" s="1280" t="s">
        <v>2806</v>
      </c>
      <c r="B84" s="1281" t="s">
        <v>2623</v>
      </c>
      <c r="C84" s="1281">
        <v>0</v>
      </c>
      <c r="D84" s="1281" t="s">
        <v>2686</v>
      </c>
      <c r="E84" s="1280" t="s">
        <v>2807</v>
      </c>
      <c r="F84" s="1282"/>
      <c r="G84" s="1281"/>
      <c r="H84" s="1281"/>
    </row>
    <row r="85" spans="1:8" x14ac:dyDescent="0.2">
      <c r="A85" s="1280" t="s">
        <v>2808</v>
      </c>
      <c r="B85" s="1281" t="s">
        <v>2623</v>
      </c>
      <c r="C85" s="1281">
        <v>0</v>
      </c>
      <c r="D85" s="1281" t="s">
        <v>2653</v>
      </c>
      <c r="E85" s="1280" t="s">
        <v>2809</v>
      </c>
      <c r="F85" s="1282"/>
      <c r="G85" s="1281"/>
      <c r="H85" s="1281"/>
    </row>
    <row r="86" spans="1:8" x14ac:dyDescent="0.2">
      <c r="A86" s="1280" t="s">
        <v>2810</v>
      </c>
      <c r="B86" s="1281" t="s">
        <v>2623</v>
      </c>
      <c r="C86" s="1281">
        <v>2</v>
      </c>
      <c r="D86" s="1281"/>
      <c r="E86" s="1280"/>
      <c r="F86" s="1282"/>
      <c r="G86" s="1281"/>
      <c r="H86" s="1281"/>
    </row>
    <row r="87" spans="1:8" x14ac:dyDescent="0.2">
      <c r="A87" s="1280" t="s">
        <v>2811</v>
      </c>
      <c r="B87" s="1281" t="s">
        <v>2623</v>
      </c>
      <c r="C87" s="1281">
        <v>2</v>
      </c>
      <c r="D87" s="1281" t="s">
        <v>2686</v>
      </c>
      <c r="E87" s="1280" t="s">
        <v>2812</v>
      </c>
      <c r="F87" s="1282"/>
      <c r="G87" s="1281"/>
      <c r="H87" s="1281"/>
    </row>
    <row r="88" spans="1:8" x14ac:dyDescent="0.2">
      <c r="A88" s="1280" t="s">
        <v>2813</v>
      </c>
      <c r="B88" s="1281" t="s">
        <v>2623</v>
      </c>
      <c r="C88" s="1281">
        <v>10</v>
      </c>
      <c r="D88" s="1281" t="s">
        <v>2650</v>
      </c>
      <c r="E88" s="1280" t="s">
        <v>2814</v>
      </c>
      <c r="F88" s="1282"/>
      <c r="G88" s="1281"/>
      <c r="H88" s="1281"/>
    </row>
    <row r="89" spans="1:8" x14ac:dyDescent="0.2">
      <c r="A89" s="1280" t="s">
        <v>2815</v>
      </c>
      <c r="B89" s="1281" t="s">
        <v>2623</v>
      </c>
      <c r="C89" s="1281">
        <v>15</v>
      </c>
      <c r="D89" s="1281" t="s">
        <v>2650</v>
      </c>
      <c r="E89" s="1280" t="s">
        <v>2816</v>
      </c>
      <c r="F89" s="1282"/>
      <c r="G89" s="1281"/>
      <c r="H89" s="1281"/>
    </row>
    <row r="90" spans="1:8" x14ac:dyDescent="0.2">
      <c r="A90" s="1283" t="s">
        <v>2817</v>
      </c>
      <c r="B90" s="1281" t="s">
        <v>2623</v>
      </c>
      <c r="C90" s="1281">
        <v>0</v>
      </c>
      <c r="D90" s="1281"/>
      <c r="E90" s="1280"/>
      <c r="F90" s="1282"/>
      <c r="G90" s="1281"/>
      <c r="H90" s="1281"/>
    </row>
    <row r="91" spans="1:8" x14ac:dyDescent="0.2">
      <c r="A91" s="1280" t="s">
        <v>2818</v>
      </c>
      <c r="B91" s="1281" t="s">
        <v>2623</v>
      </c>
      <c r="C91" s="1281">
        <v>0</v>
      </c>
      <c r="D91" s="1281" t="s">
        <v>2686</v>
      </c>
      <c r="E91" s="1280" t="s">
        <v>2819</v>
      </c>
      <c r="F91" s="1282"/>
      <c r="G91" s="1281"/>
      <c r="H91" s="1281">
        <v>1</v>
      </c>
    </row>
    <row r="92" spans="1:8" x14ac:dyDescent="0.2">
      <c r="A92" s="1280" t="s">
        <v>2820</v>
      </c>
      <c r="B92" s="1281" t="s">
        <v>2623</v>
      </c>
      <c r="C92" s="1281">
        <v>1</v>
      </c>
      <c r="D92" s="1281" t="s">
        <v>2686</v>
      </c>
      <c r="E92" s="1280" t="s">
        <v>2821</v>
      </c>
      <c r="F92" s="1282"/>
      <c r="G92" s="1281"/>
      <c r="H92" s="1281"/>
    </row>
    <row r="93" spans="1:8" x14ac:dyDescent="0.2">
      <c r="A93" s="1280" t="s">
        <v>2822</v>
      </c>
      <c r="B93" s="1281" t="s">
        <v>2623</v>
      </c>
      <c r="C93" s="1281">
        <v>3</v>
      </c>
      <c r="D93" s="1281" t="s">
        <v>2645</v>
      </c>
      <c r="E93" s="1280" t="s">
        <v>2823</v>
      </c>
      <c r="F93" s="1282" t="s">
        <v>2659</v>
      </c>
      <c r="G93" s="1281"/>
      <c r="H93" s="1281"/>
    </row>
    <row r="94" spans="1:8" x14ac:dyDescent="0.2">
      <c r="A94" s="1280" t="s">
        <v>2824</v>
      </c>
      <c r="B94" s="1281" t="s">
        <v>2623</v>
      </c>
      <c r="C94" s="1281">
        <v>11</v>
      </c>
      <c r="D94" s="1281"/>
      <c r="E94" s="1280"/>
      <c r="F94" s="1282"/>
      <c r="G94" s="1281"/>
      <c r="H94" s="1281">
        <v>2</v>
      </c>
    </row>
    <row r="95" spans="1:8" x14ac:dyDescent="0.2">
      <c r="A95" s="1280" t="s">
        <v>2825</v>
      </c>
      <c r="B95" s="1281"/>
      <c r="C95" s="1281">
        <v>0</v>
      </c>
      <c r="D95" s="1281" t="s">
        <v>2650</v>
      </c>
      <c r="E95" s="1280" t="s">
        <v>2826</v>
      </c>
      <c r="F95" s="1282" t="s">
        <v>2659</v>
      </c>
      <c r="G95" s="1281"/>
      <c r="H95" s="1281"/>
    </row>
    <row r="96" spans="1:8" x14ac:dyDescent="0.2">
      <c r="A96" s="1280" t="s">
        <v>2827</v>
      </c>
      <c r="B96" s="1281"/>
      <c r="C96" s="1281">
        <v>0</v>
      </c>
      <c r="D96" s="1281" t="s">
        <v>2653</v>
      </c>
      <c r="E96" s="1280" t="s">
        <v>2828</v>
      </c>
      <c r="F96" s="1282"/>
      <c r="G96" s="1281"/>
      <c r="H96" s="1281"/>
    </row>
    <row r="97" spans="1:8" x14ac:dyDescent="0.2">
      <c r="A97" s="1280" t="s">
        <v>2829</v>
      </c>
      <c r="B97" s="1281"/>
      <c r="C97" s="1281">
        <v>0</v>
      </c>
      <c r="D97" s="1281" t="s">
        <v>2653</v>
      </c>
      <c r="E97" s="1280" t="s">
        <v>2830</v>
      </c>
      <c r="F97" s="1282" t="s">
        <v>2659</v>
      </c>
      <c r="G97" s="1281"/>
      <c r="H97" s="1281"/>
    </row>
    <row r="98" spans="1:8" x14ac:dyDescent="0.2">
      <c r="A98" s="1280" t="s">
        <v>2831</v>
      </c>
      <c r="B98" s="1281" t="s">
        <v>2623</v>
      </c>
      <c r="C98" s="1281">
        <v>3</v>
      </c>
      <c r="D98" s="1281" t="s">
        <v>2653</v>
      </c>
      <c r="E98" s="1280" t="s">
        <v>2832</v>
      </c>
      <c r="F98" s="1282"/>
      <c r="G98" s="1281"/>
      <c r="H98" s="1281"/>
    </row>
    <row r="99" spans="1:8" x14ac:dyDescent="0.2">
      <c r="A99" s="1280" t="s">
        <v>2833</v>
      </c>
      <c r="B99" s="1281"/>
      <c r="C99" s="1281">
        <v>0</v>
      </c>
      <c r="D99" s="1281" t="s">
        <v>2645</v>
      </c>
      <c r="E99" s="1280" t="s">
        <v>2834</v>
      </c>
      <c r="F99" s="1282"/>
      <c r="G99" s="1281"/>
      <c r="H99" s="1281">
        <v>1</v>
      </c>
    </row>
    <row r="100" spans="1:8" x14ac:dyDescent="0.2">
      <c r="A100" s="1280" t="s">
        <v>2835</v>
      </c>
      <c r="B100" s="1281" t="s">
        <v>2623</v>
      </c>
      <c r="C100" s="1281">
        <v>5</v>
      </c>
      <c r="D100" s="1281" t="s">
        <v>2653</v>
      </c>
      <c r="E100" s="1280" t="s">
        <v>2836</v>
      </c>
      <c r="F100" s="1282"/>
      <c r="G100" s="1281"/>
      <c r="H100" s="1281"/>
    </row>
    <row r="101" spans="1:8" x14ac:dyDescent="0.2">
      <c r="A101" s="1280" t="s">
        <v>2837</v>
      </c>
      <c r="B101" s="1281"/>
      <c r="C101" s="1281">
        <v>0</v>
      </c>
      <c r="D101" s="1281" t="s">
        <v>2645</v>
      </c>
      <c r="E101" s="1280" t="s">
        <v>2838</v>
      </c>
      <c r="F101" s="1282" t="s">
        <v>2659</v>
      </c>
      <c r="G101" s="1281"/>
      <c r="H101" s="1281"/>
    </row>
    <row r="102" spans="1:8" x14ac:dyDescent="0.2">
      <c r="A102" s="1280" t="s">
        <v>2839</v>
      </c>
      <c r="B102" s="1281" t="s">
        <v>2623</v>
      </c>
      <c r="C102" s="1281">
        <v>0</v>
      </c>
      <c r="D102" s="1281" t="s">
        <v>2645</v>
      </c>
      <c r="E102" s="1280" t="s">
        <v>2840</v>
      </c>
      <c r="F102" s="1282"/>
      <c r="G102" s="1281"/>
      <c r="H102" s="1281"/>
    </row>
    <row r="103" spans="1:8" x14ac:dyDescent="0.2">
      <c r="A103" s="1280" t="s">
        <v>2841</v>
      </c>
      <c r="B103" s="1281"/>
      <c r="C103" s="1281">
        <v>0</v>
      </c>
      <c r="D103" s="1281" t="s">
        <v>2645</v>
      </c>
      <c r="E103" s="1280" t="s">
        <v>2842</v>
      </c>
      <c r="F103" s="1282" t="s">
        <v>2659</v>
      </c>
      <c r="G103" s="1281"/>
      <c r="H103" s="1281"/>
    </row>
    <row r="104" spans="1:8" x14ac:dyDescent="0.2">
      <c r="A104" s="1280" t="s">
        <v>2843</v>
      </c>
      <c r="B104" s="1281" t="s">
        <v>2623</v>
      </c>
      <c r="C104" s="1281">
        <v>6</v>
      </c>
      <c r="D104" s="1281" t="s">
        <v>2650</v>
      </c>
      <c r="E104" s="1280" t="s">
        <v>2844</v>
      </c>
      <c r="F104" s="1282"/>
      <c r="G104" s="1281"/>
      <c r="H104" s="1281">
        <v>1</v>
      </c>
    </row>
    <row r="105" spans="1:8" x14ac:dyDescent="0.2">
      <c r="A105" s="1280" t="s">
        <v>2845</v>
      </c>
      <c r="B105" s="1281" t="s">
        <v>2623</v>
      </c>
      <c r="C105" s="1281">
        <v>1</v>
      </c>
      <c r="D105" s="1281"/>
      <c r="E105" s="1280" t="s">
        <v>2846</v>
      </c>
      <c r="F105" s="1282"/>
      <c r="G105" s="1281"/>
      <c r="H105" s="1281">
        <v>1</v>
      </c>
    </row>
    <row r="106" spans="1:8" x14ac:dyDescent="0.2">
      <c r="A106" s="1283" t="s">
        <v>2847</v>
      </c>
      <c r="B106" s="1281"/>
      <c r="C106" s="1281">
        <v>0</v>
      </c>
      <c r="D106" s="1281"/>
      <c r="E106" s="1280"/>
      <c r="F106" s="1282"/>
      <c r="G106" s="1281"/>
      <c r="H106" s="1281"/>
    </row>
    <row r="107" spans="1:8" x14ac:dyDescent="0.2">
      <c r="A107" s="1280" t="s">
        <v>2848</v>
      </c>
      <c r="B107" s="1281" t="s">
        <v>2623</v>
      </c>
      <c r="C107" s="1281">
        <v>8</v>
      </c>
      <c r="D107" s="1281"/>
      <c r="E107" s="1280"/>
      <c r="F107" s="1282"/>
      <c r="G107" s="1281"/>
      <c r="H107" s="1281"/>
    </row>
    <row r="108" spans="1:8" x14ac:dyDescent="0.2">
      <c r="A108" s="1280" t="s">
        <v>2849</v>
      </c>
      <c r="B108" s="1281" t="s">
        <v>2623</v>
      </c>
      <c r="C108" s="1281">
        <v>19</v>
      </c>
      <c r="D108" s="1281"/>
      <c r="E108" s="1280"/>
      <c r="F108" s="1282"/>
      <c r="G108" s="1281"/>
      <c r="H108" s="1281"/>
    </row>
    <row r="109" spans="1:8" x14ac:dyDescent="0.2">
      <c r="A109" s="1280" t="s">
        <v>2850</v>
      </c>
      <c r="B109" s="1281" t="s">
        <v>2623</v>
      </c>
      <c r="C109" s="1281">
        <v>0</v>
      </c>
      <c r="D109" s="1281"/>
      <c r="E109" s="1280" t="s">
        <v>2851</v>
      </c>
      <c r="F109" s="1282"/>
      <c r="G109" s="1281"/>
      <c r="H109" s="1281">
        <v>1</v>
      </c>
    </row>
    <row r="110" spans="1:8" x14ac:dyDescent="0.2">
      <c r="A110" s="1280" t="s">
        <v>2852</v>
      </c>
      <c r="B110" s="1281" t="s">
        <v>2623</v>
      </c>
      <c r="C110" s="1281">
        <v>10</v>
      </c>
      <c r="D110" s="1281" t="s">
        <v>2650</v>
      </c>
      <c r="E110" s="1280" t="s">
        <v>2853</v>
      </c>
      <c r="F110" s="1282"/>
      <c r="G110" s="1281"/>
      <c r="H110" s="1281"/>
    </row>
    <row r="111" spans="1:8" x14ac:dyDescent="0.2">
      <c r="A111" s="1280" t="s">
        <v>2854</v>
      </c>
      <c r="B111" s="1281" t="s">
        <v>2623</v>
      </c>
      <c r="C111" s="1281">
        <v>0</v>
      </c>
      <c r="D111" s="1281" t="s">
        <v>2650</v>
      </c>
      <c r="E111" s="1280" t="s">
        <v>2855</v>
      </c>
      <c r="F111" s="1282"/>
      <c r="G111" s="1281"/>
      <c r="H111" s="1281"/>
    </row>
    <row r="112" spans="1:8" x14ac:dyDescent="0.2">
      <c r="A112" s="1280" t="s">
        <v>2856</v>
      </c>
      <c r="B112" s="1281" t="s">
        <v>2623</v>
      </c>
      <c r="C112" s="1281">
        <v>0</v>
      </c>
      <c r="D112" s="1281" t="s">
        <v>2650</v>
      </c>
      <c r="E112" s="1280" t="s">
        <v>2857</v>
      </c>
      <c r="F112" s="1282"/>
      <c r="G112" s="1281"/>
      <c r="H112" s="1281"/>
    </row>
    <row r="113" spans="1:8" x14ac:dyDescent="0.2">
      <c r="A113" s="1280" t="s">
        <v>2858</v>
      </c>
      <c r="B113" s="1281" t="s">
        <v>2623</v>
      </c>
      <c r="C113" s="1281">
        <v>0</v>
      </c>
      <c r="D113" s="1281" t="s">
        <v>2645</v>
      </c>
      <c r="E113" s="1280" t="s">
        <v>2859</v>
      </c>
      <c r="F113" s="1282"/>
      <c r="G113" s="1281"/>
      <c r="H113" s="1281"/>
    </row>
    <row r="114" spans="1:8" x14ac:dyDescent="0.2">
      <c r="A114" s="1280" t="s">
        <v>2860</v>
      </c>
      <c r="B114" s="1281" t="s">
        <v>2623</v>
      </c>
      <c r="C114" s="1281">
        <v>0</v>
      </c>
      <c r="D114" s="1281" t="s">
        <v>2650</v>
      </c>
      <c r="E114" s="1280" t="s">
        <v>2861</v>
      </c>
      <c r="F114" s="1282"/>
      <c r="G114" s="1281"/>
      <c r="H114" s="1281"/>
    </row>
    <row r="115" spans="1:8" x14ac:dyDescent="0.2">
      <c r="A115" s="1280" t="s">
        <v>2862</v>
      </c>
      <c r="B115" s="1281"/>
      <c r="C115" s="1281">
        <v>0</v>
      </c>
      <c r="D115" s="1281" t="s">
        <v>2650</v>
      </c>
      <c r="E115" s="1280" t="s">
        <v>2863</v>
      </c>
      <c r="F115" s="1282"/>
      <c r="G115" s="1281"/>
      <c r="H115" s="1281"/>
    </row>
    <row r="116" spans="1:8" x14ac:dyDescent="0.2">
      <c r="A116" s="1280" t="s">
        <v>2864</v>
      </c>
      <c r="B116" s="1281" t="s">
        <v>2623</v>
      </c>
      <c r="C116" s="1281">
        <v>0</v>
      </c>
      <c r="D116" s="1281" t="s">
        <v>2650</v>
      </c>
      <c r="E116" s="1280" t="s">
        <v>2865</v>
      </c>
      <c r="F116" s="1282"/>
      <c r="G116" s="1281"/>
      <c r="H116" s="1281">
        <v>1</v>
      </c>
    </row>
    <row r="117" spans="1:8" x14ac:dyDescent="0.2">
      <c r="A117" s="1280" t="s">
        <v>2866</v>
      </c>
      <c r="B117" s="1281"/>
      <c r="C117" s="1281">
        <v>0</v>
      </c>
      <c r="D117" s="1281" t="s">
        <v>2650</v>
      </c>
      <c r="E117" s="1280" t="s">
        <v>2867</v>
      </c>
      <c r="F117" s="1282"/>
      <c r="G117" s="1281"/>
      <c r="H117" s="1281"/>
    </row>
    <row r="118" spans="1:8" x14ac:dyDescent="0.2">
      <c r="A118" s="1280" t="s">
        <v>2868</v>
      </c>
      <c r="B118" s="1281" t="s">
        <v>2623</v>
      </c>
      <c r="C118" s="1281">
        <v>9</v>
      </c>
      <c r="D118" s="1281" t="s">
        <v>2650</v>
      </c>
      <c r="E118" s="1280" t="s">
        <v>2869</v>
      </c>
      <c r="F118" s="1282"/>
      <c r="G118" s="1281"/>
      <c r="H118" s="1281"/>
    </row>
    <row r="119" spans="1:8" x14ac:dyDescent="0.2">
      <c r="A119" s="1280" t="s">
        <v>2870</v>
      </c>
      <c r="B119" s="1281"/>
      <c r="C119" s="1281">
        <v>0</v>
      </c>
      <c r="D119" s="1281" t="s">
        <v>2686</v>
      </c>
      <c r="E119" s="1280" t="s">
        <v>2871</v>
      </c>
      <c r="F119" s="1282"/>
      <c r="G119" s="1281"/>
      <c r="H119" s="1281"/>
    </row>
    <row r="120" spans="1:8" x14ac:dyDescent="0.2">
      <c r="A120" s="1280" t="s">
        <v>2872</v>
      </c>
      <c r="B120" s="1281" t="s">
        <v>2623</v>
      </c>
      <c r="C120" s="1281">
        <v>10</v>
      </c>
      <c r="D120" s="1281" t="s">
        <v>2686</v>
      </c>
      <c r="E120" s="1280" t="s">
        <v>2873</v>
      </c>
      <c r="F120" s="1282"/>
      <c r="G120" s="1281"/>
      <c r="H120" s="1281"/>
    </row>
    <row r="121" spans="1:8" x14ac:dyDescent="0.2">
      <c r="A121" s="1280" t="s">
        <v>2874</v>
      </c>
      <c r="B121" s="1281"/>
      <c r="C121" s="1281">
        <v>0</v>
      </c>
      <c r="D121" s="1281" t="s">
        <v>2686</v>
      </c>
      <c r="E121" s="1280" t="s">
        <v>2875</v>
      </c>
      <c r="F121" s="1282" t="s">
        <v>2659</v>
      </c>
      <c r="G121" s="1281"/>
      <c r="H121" s="1281"/>
    </row>
    <row r="122" spans="1:8" x14ac:dyDescent="0.2">
      <c r="A122" s="1280" t="s">
        <v>2876</v>
      </c>
      <c r="B122" s="1281" t="s">
        <v>2623</v>
      </c>
      <c r="C122" s="1281">
        <v>6</v>
      </c>
      <c r="D122" s="1281" t="s">
        <v>2686</v>
      </c>
      <c r="E122" s="1280" t="s">
        <v>2877</v>
      </c>
      <c r="F122" s="1282" t="s">
        <v>2659</v>
      </c>
      <c r="G122" s="1281"/>
      <c r="H122" s="1281"/>
    </row>
    <row r="123" spans="1:8" x14ac:dyDescent="0.2">
      <c r="A123" s="1280" t="s">
        <v>2878</v>
      </c>
      <c r="B123" s="1281"/>
      <c r="C123" s="1281">
        <v>0</v>
      </c>
      <c r="D123" s="1281" t="s">
        <v>2645</v>
      </c>
      <c r="E123" s="1280" t="s">
        <v>2879</v>
      </c>
      <c r="F123" s="1282" t="s">
        <v>2659</v>
      </c>
      <c r="G123" s="1281"/>
      <c r="H123" s="1281"/>
    </row>
    <row r="124" spans="1:8" x14ac:dyDescent="0.2">
      <c r="A124" s="1280" t="s">
        <v>2880</v>
      </c>
      <c r="B124" s="1281"/>
      <c r="C124" s="1281">
        <v>0</v>
      </c>
      <c r="D124" s="1281" t="s">
        <v>2667</v>
      </c>
      <c r="E124" s="1280" t="s">
        <v>2881</v>
      </c>
      <c r="F124" s="1282"/>
      <c r="G124" s="1281"/>
      <c r="H124" s="1281"/>
    </row>
    <row r="125" spans="1:8" x14ac:dyDescent="0.2">
      <c r="A125" s="1280" t="s">
        <v>2882</v>
      </c>
      <c r="B125" s="1281" t="s">
        <v>2623</v>
      </c>
      <c r="C125" s="1281">
        <v>6</v>
      </c>
      <c r="D125" s="1281" t="s">
        <v>2686</v>
      </c>
      <c r="E125" s="1280" t="s">
        <v>2883</v>
      </c>
      <c r="F125" s="1282"/>
      <c r="G125" s="1281"/>
      <c r="H125" s="1281"/>
    </row>
    <row r="126" spans="1:8" x14ac:dyDescent="0.2">
      <c r="A126" s="1280" t="s">
        <v>2884</v>
      </c>
      <c r="B126" s="1281" t="s">
        <v>2623</v>
      </c>
      <c r="C126" s="1281">
        <v>1</v>
      </c>
      <c r="D126" s="1281" t="s">
        <v>2667</v>
      </c>
      <c r="E126" s="1280" t="s">
        <v>2885</v>
      </c>
      <c r="F126" s="1282"/>
      <c r="G126" s="1281"/>
      <c r="H126" s="1281"/>
    </row>
    <row r="127" spans="1:8" x14ac:dyDescent="0.2">
      <c r="A127" s="1280" t="s">
        <v>2886</v>
      </c>
      <c r="B127" s="1281" t="s">
        <v>2623</v>
      </c>
      <c r="C127" s="1281">
        <v>2</v>
      </c>
      <c r="D127" s="1281" t="s">
        <v>2650</v>
      </c>
      <c r="E127" s="1280" t="s">
        <v>2887</v>
      </c>
      <c r="F127" s="1282"/>
      <c r="G127" s="1281"/>
      <c r="H127" s="1281"/>
    </row>
    <row r="128" spans="1:8" x14ac:dyDescent="0.2">
      <c r="A128" s="1280" t="s">
        <v>2888</v>
      </c>
      <c r="B128" s="1281" t="s">
        <v>2623</v>
      </c>
      <c r="C128" s="1281">
        <v>1</v>
      </c>
      <c r="D128" s="1281" t="s">
        <v>2650</v>
      </c>
      <c r="E128" s="1280" t="s">
        <v>2889</v>
      </c>
      <c r="F128" s="1282"/>
      <c r="G128" s="1281"/>
      <c r="H128" s="1281"/>
    </row>
    <row r="129" spans="1:8" x14ac:dyDescent="0.2">
      <c r="A129" s="1280" t="s">
        <v>2890</v>
      </c>
      <c r="B129" s="1281" t="s">
        <v>2623</v>
      </c>
      <c r="C129" s="1281">
        <v>0</v>
      </c>
      <c r="D129" s="1281" t="s">
        <v>2653</v>
      </c>
      <c r="E129" s="1280" t="s">
        <v>2891</v>
      </c>
      <c r="F129" s="1282"/>
      <c r="G129" s="1281"/>
      <c r="H129" s="1281"/>
    </row>
    <row r="130" spans="1:8" x14ac:dyDescent="0.2">
      <c r="A130" s="1280" t="s">
        <v>2892</v>
      </c>
      <c r="B130" s="1281"/>
      <c r="C130" s="1281">
        <v>0</v>
      </c>
      <c r="D130" s="1281" t="s">
        <v>2650</v>
      </c>
      <c r="E130" s="1280" t="s">
        <v>2893</v>
      </c>
      <c r="F130" s="1282"/>
      <c r="G130" s="1281"/>
      <c r="H130" s="1281"/>
    </row>
    <row r="131" spans="1:8" x14ac:dyDescent="0.2">
      <c r="A131" s="1280" t="s">
        <v>2894</v>
      </c>
      <c r="B131" s="1281" t="s">
        <v>2623</v>
      </c>
      <c r="C131" s="1281">
        <v>9</v>
      </c>
      <c r="D131" s="1281" t="s">
        <v>2653</v>
      </c>
      <c r="E131" s="1280" t="s">
        <v>2895</v>
      </c>
      <c r="F131" s="1282"/>
      <c r="G131" s="1281"/>
      <c r="H131" s="1281">
        <v>2</v>
      </c>
    </row>
    <row r="132" spans="1:8" x14ac:dyDescent="0.2">
      <c r="A132" s="1280" t="s">
        <v>2896</v>
      </c>
      <c r="B132" s="1281" t="s">
        <v>2623</v>
      </c>
      <c r="C132" s="1281">
        <v>0</v>
      </c>
      <c r="D132" s="1281" t="s">
        <v>2667</v>
      </c>
      <c r="E132" s="1280" t="s">
        <v>2897</v>
      </c>
      <c r="F132" s="1282"/>
      <c r="G132" s="1281"/>
      <c r="H132" s="1281"/>
    </row>
    <row r="133" spans="1:8" x14ac:dyDescent="0.2">
      <c r="A133" s="1280" t="s">
        <v>2898</v>
      </c>
      <c r="B133" s="1281" t="s">
        <v>2623</v>
      </c>
      <c r="C133" s="1281">
        <v>0</v>
      </c>
      <c r="D133" s="1281" t="s">
        <v>2686</v>
      </c>
      <c r="E133" s="1280" t="s">
        <v>2899</v>
      </c>
      <c r="F133" s="1282" t="s">
        <v>2659</v>
      </c>
      <c r="G133" s="1281"/>
      <c r="H133" s="1281"/>
    </row>
    <row r="134" spans="1:8" x14ac:dyDescent="0.2">
      <c r="A134" s="1280" t="s">
        <v>2900</v>
      </c>
      <c r="B134" s="1281"/>
      <c r="C134" s="1281">
        <v>0</v>
      </c>
      <c r="D134" s="1281" t="s">
        <v>2686</v>
      </c>
      <c r="E134" s="1280" t="s">
        <v>2901</v>
      </c>
      <c r="F134" s="1282"/>
      <c r="G134" s="1281"/>
      <c r="H134" s="1281"/>
    </row>
    <row r="135" spans="1:8" x14ac:dyDescent="0.2">
      <c r="A135" s="1280" t="s">
        <v>2902</v>
      </c>
      <c r="B135" s="1281" t="s">
        <v>2623</v>
      </c>
      <c r="C135" s="1281">
        <v>1</v>
      </c>
      <c r="D135" s="1281" t="s">
        <v>2653</v>
      </c>
      <c r="E135" s="1280" t="s">
        <v>2903</v>
      </c>
      <c r="F135" s="1282"/>
      <c r="G135" s="1281"/>
      <c r="H135" s="1281"/>
    </row>
    <row r="136" spans="1:8" x14ac:dyDescent="0.2">
      <c r="A136" s="1280" t="s">
        <v>2904</v>
      </c>
      <c r="B136" s="1281" t="s">
        <v>2623</v>
      </c>
      <c r="C136" s="1281">
        <v>10</v>
      </c>
      <c r="D136" s="1281" t="s">
        <v>2650</v>
      </c>
      <c r="E136" s="1280" t="s">
        <v>2905</v>
      </c>
      <c r="F136" s="1282"/>
      <c r="G136" s="1281"/>
      <c r="H136" s="1281"/>
    </row>
    <row r="137" spans="1:8" x14ac:dyDescent="0.2">
      <c r="A137" s="1280" t="s">
        <v>2906</v>
      </c>
      <c r="B137" s="1281" t="s">
        <v>2623</v>
      </c>
      <c r="C137" s="1281">
        <v>7</v>
      </c>
      <c r="D137" s="1281" t="s">
        <v>2650</v>
      </c>
      <c r="E137" s="1280" t="s">
        <v>2907</v>
      </c>
      <c r="F137" s="1282"/>
      <c r="G137" s="1281"/>
      <c r="H137" s="1281"/>
    </row>
    <row r="138" spans="1:8" x14ac:dyDescent="0.2">
      <c r="A138" s="1280" t="s">
        <v>2908</v>
      </c>
      <c r="B138" s="1281"/>
      <c r="C138" s="1281">
        <v>0</v>
      </c>
      <c r="D138" s="1281" t="s">
        <v>2667</v>
      </c>
      <c r="E138" s="1280" t="s">
        <v>2909</v>
      </c>
      <c r="F138" s="1282"/>
      <c r="G138" s="1281"/>
      <c r="H138" s="1281">
        <v>1</v>
      </c>
    </row>
    <row r="139" spans="1:8" x14ac:dyDescent="0.2">
      <c r="A139" s="1280" t="s">
        <v>2910</v>
      </c>
      <c r="B139" s="1281"/>
      <c r="C139" s="1281">
        <v>0</v>
      </c>
      <c r="D139" s="1281" t="s">
        <v>2653</v>
      </c>
      <c r="E139" s="1280"/>
      <c r="F139" s="1282"/>
      <c r="G139" s="1281"/>
      <c r="H139" s="1281"/>
    </row>
    <row r="140" spans="1:8" x14ac:dyDescent="0.2">
      <c r="A140" s="1280" t="s">
        <v>2911</v>
      </c>
      <c r="B140" s="1281"/>
      <c r="C140" s="1281">
        <v>0</v>
      </c>
      <c r="D140" s="1281" t="s">
        <v>2645</v>
      </c>
      <c r="E140" s="1280" t="s">
        <v>2912</v>
      </c>
      <c r="F140" s="1282"/>
      <c r="G140" s="1281"/>
      <c r="H140" s="1281"/>
    </row>
    <row r="141" spans="1:8" x14ac:dyDescent="0.2">
      <c r="A141" s="1280" t="s">
        <v>2913</v>
      </c>
      <c r="B141" s="1281" t="s">
        <v>2623</v>
      </c>
      <c r="C141" s="1281">
        <v>0</v>
      </c>
      <c r="D141" s="1281" t="s">
        <v>2645</v>
      </c>
      <c r="E141" s="1280" t="s">
        <v>2914</v>
      </c>
      <c r="F141" s="1282"/>
      <c r="G141" s="1281"/>
      <c r="H141" s="1281">
        <v>1</v>
      </c>
    </row>
    <row r="142" spans="1:8" x14ac:dyDescent="0.2">
      <c r="A142" s="1280" t="s">
        <v>2915</v>
      </c>
      <c r="B142" s="1281"/>
      <c r="C142" s="1281">
        <v>0</v>
      </c>
      <c r="D142" s="1281" t="s">
        <v>2653</v>
      </c>
      <c r="E142" s="1280" t="s">
        <v>2916</v>
      </c>
      <c r="F142" s="1282"/>
      <c r="G142" s="1281"/>
      <c r="H142" s="1281"/>
    </row>
    <row r="143" spans="1:8" x14ac:dyDescent="0.2">
      <c r="A143" s="1280" t="s">
        <v>2917</v>
      </c>
      <c r="B143" s="1281" t="s">
        <v>2623</v>
      </c>
      <c r="C143" s="1281">
        <v>4</v>
      </c>
      <c r="D143" s="1281" t="s">
        <v>2653</v>
      </c>
      <c r="E143" s="1280" t="s">
        <v>2918</v>
      </c>
      <c r="F143" s="1282"/>
      <c r="G143" s="1281"/>
      <c r="H143" s="1281"/>
    </row>
    <row r="144" spans="1:8" x14ac:dyDescent="0.2">
      <c r="A144" s="1280" t="s">
        <v>2919</v>
      </c>
      <c r="B144" s="1281" t="s">
        <v>2623</v>
      </c>
      <c r="C144" s="1281">
        <v>3</v>
      </c>
      <c r="D144" s="1281" t="s">
        <v>2653</v>
      </c>
      <c r="E144" s="1280" t="s">
        <v>2920</v>
      </c>
      <c r="F144" s="1282"/>
      <c r="G144" s="1281"/>
      <c r="H144" s="1281">
        <v>1</v>
      </c>
    </row>
    <row r="145" spans="1:8" x14ac:dyDescent="0.2">
      <c r="A145" s="1280" t="s">
        <v>2921</v>
      </c>
      <c r="B145" s="1281"/>
      <c r="C145" s="1281">
        <v>0</v>
      </c>
      <c r="D145" s="1281" t="s">
        <v>2645</v>
      </c>
      <c r="E145" s="1280" t="s">
        <v>2922</v>
      </c>
      <c r="F145" s="1282"/>
      <c r="G145" s="1281"/>
      <c r="H145" s="1281"/>
    </row>
    <row r="146" spans="1:8" x14ac:dyDescent="0.2">
      <c r="A146" s="1280" t="s">
        <v>2923</v>
      </c>
      <c r="B146" s="1281" t="s">
        <v>2623</v>
      </c>
      <c r="C146" s="1281">
        <v>1</v>
      </c>
      <c r="D146" s="1281" t="s">
        <v>2650</v>
      </c>
      <c r="E146" s="1280" t="s">
        <v>2924</v>
      </c>
      <c r="F146" s="1282"/>
      <c r="G146" s="1281"/>
      <c r="H146" s="1281"/>
    </row>
    <row r="147" spans="1:8" x14ac:dyDescent="0.2">
      <c r="A147" s="1280" t="s">
        <v>2925</v>
      </c>
      <c r="B147" s="1281" t="s">
        <v>2623</v>
      </c>
      <c r="C147" s="1281">
        <v>3</v>
      </c>
      <c r="D147" s="1281" t="s">
        <v>2686</v>
      </c>
      <c r="E147" s="1280" t="s">
        <v>2926</v>
      </c>
      <c r="F147" s="1282"/>
      <c r="G147" s="1281"/>
      <c r="H147" s="1281"/>
    </row>
    <row r="148" spans="1:8" x14ac:dyDescent="0.2">
      <c r="A148" s="1283" t="s">
        <v>2927</v>
      </c>
      <c r="B148" s="1281" t="s">
        <v>2623</v>
      </c>
      <c r="C148" s="1281">
        <v>0</v>
      </c>
      <c r="D148" s="1281"/>
      <c r="E148" s="1280"/>
      <c r="F148" s="1282"/>
      <c r="G148" s="1281"/>
      <c r="H148" s="1281"/>
    </row>
    <row r="149" spans="1:8" x14ac:dyDescent="0.2">
      <c r="A149" s="1280" t="s">
        <v>2928</v>
      </c>
      <c r="B149" s="1281" t="s">
        <v>2623</v>
      </c>
      <c r="C149" s="1281">
        <v>1</v>
      </c>
      <c r="D149" s="1281"/>
      <c r="E149" s="1280" t="s">
        <v>2929</v>
      </c>
      <c r="F149" s="1282"/>
      <c r="G149" s="1281"/>
      <c r="H149" s="1281"/>
    </row>
    <row r="150" spans="1:8" x14ac:dyDescent="0.2">
      <c r="A150" s="1280" t="s">
        <v>2930</v>
      </c>
      <c r="B150" s="1281" t="s">
        <v>2623</v>
      </c>
      <c r="C150" s="1281">
        <v>0</v>
      </c>
      <c r="D150" s="1281" t="s">
        <v>2645</v>
      </c>
      <c r="E150" s="1280" t="s">
        <v>2931</v>
      </c>
      <c r="F150" s="1282"/>
      <c r="G150" s="1281"/>
      <c r="H150" s="1281"/>
    </row>
    <row r="151" spans="1:8" x14ac:dyDescent="0.2">
      <c r="A151" s="1280" t="s">
        <v>2932</v>
      </c>
      <c r="B151" s="1281"/>
      <c r="C151" s="1281">
        <v>0</v>
      </c>
      <c r="D151" s="1281" t="s">
        <v>2653</v>
      </c>
      <c r="E151" s="1280" t="s">
        <v>2933</v>
      </c>
      <c r="F151" s="1282"/>
      <c r="G151" s="1281"/>
      <c r="H151" s="1281"/>
    </row>
    <row r="152" spans="1:8" x14ac:dyDescent="0.2">
      <c r="A152" s="1283" t="s">
        <v>2934</v>
      </c>
      <c r="B152" s="1281" t="s">
        <v>2623</v>
      </c>
      <c r="C152" s="1281">
        <v>0</v>
      </c>
      <c r="D152" s="1281"/>
      <c r="E152" s="1280"/>
      <c r="F152" s="1282"/>
      <c r="G152" s="1281"/>
      <c r="H152" s="1281">
        <v>1</v>
      </c>
    </row>
    <row r="153" spans="1:8" x14ac:dyDescent="0.2">
      <c r="A153" s="1280" t="s">
        <v>2935</v>
      </c>
      <c r="B153" s="1281" t="s">
        <v>2623</v>
      </c>
      <c r="C153" s="1281">
        <v>1</v>
      </c>
      <c r="D153" s="1281"/>
      <c r="E153" s="1280" t="s">
        <v>2936</v>
      </c>
      <c r="F153" s="1282"/>
      <c r="G153" s="1281"/>
      <c r="H153" s="1281">
        <v>1</v>
      </c>
    </row>
    <row r="154" spans="1:8" x14ac:dyDescent="0.2">
      <c r="A154" s="1283" t="s">
        <v>2937</v>
      </c>
      <c r="B154" s="1281" t="s">
        <v>2623</v>
      </c>
      <c r="C154" s="1281">
        <v>0</v>
      </c>
      <c r="D154" s="1281"/>
      <c r="E154" s="1280"/>
      <c r="F154" s="1282"/>
      <c r="G154" s="1281"/>
      <c r="H154" s="1281">
        <v>1</v>
      </c>
    </row>
    <row r="155" spans="1:8" x14ac:dyDescent="0.2">
      <c r="A155" s="1280" t="s">
        <v>2938</v>
      </c>
      <c r="B155" s="1281"/>
      <c r="C155" s="1281">
        <v>0</v>
      </c>
      <c r="D155" s="1281" t="s">
        <v>2653</v>
      </c>
      <c r="E155" s="1280" t="s">
        <v>2936</v>
      </c>
      <c r="F155" s="1282"/>
      <c r="G155" s="1281"/>
      <c r="H155" s="1281"/>
    </row>
    <row r="156" spans="1:8" x14ac:dyDescent="0.2">
      <c r="A156" s="1280" t="s">
        <v>2939</v>
      </c>
      <c r="B156" s="1281"/>
      <c r="C156" s="1281">
        <v>0</v>
      </c>
      <c r="D156" s="1281" t="s">
        <v>2645</v>
      </c>
      <c r="E156" s="1280" t="s">
        <v>2940</v>
      </c>
      <c r="F156" s="1282"/>
      <c r="G156" s="1281"/>
      <c r="H156" s="1281"/>
    </row>
    <row r="157" spans="1:8" x14ac:dyDescent="0.2">
      <c r="A157" s="1280" t="s">
        <v>2941</v>
      </c>
      <c r="B157" s="1281" t="s">
        <v>2623</v>
      </c>
      <c r="C157" s="1281">
        <v>0</v>
      </c>
      <c r="D157" s="1281" t="s">
        <v>2667</v>
      </c>
      <c r="E157" s="1280" t="s">
        <v>2942</v>
      </c>
      <c r="F157" s="1282"/>
      <c r="G157" s="1281"/>
      <c r="H157" s="1281">
        <v>1</v>
      </c>
    </row>
    <row r="158" spans="1:8" x14ac:dyDescent="0.2">
      <c r="A158" s="1280" t="s">
        <v>2943</v>
      </c>
      <c r="B158" s="1281" t="s">
        <v>2623</v>
      </c>
      <c r="C158" s="1281">
        <v>0</v>
      </c>
      <c r="D158" s="1281" t="s">
        <v>2645</v>
      </c>
      <c r="E158" s="1280" t="s">
        <v>2944</v>
      </c>
      <c r="F158" s="1282" t="s">
        <v>2659</v>
      </c>
      <c r="G158" s="1281"/>
      <c r="H158" s="1281"/>
    </row>
    <row r="159" spans="1:8" x14ac:dyDescent="0.2">
      <c r="A159" s="1280" t="s">
        <v>2945</v>
      </c>
      <c r="B159" s="1281" t="s">
        <v>2623</v>
      </c>
      <c r="C159" s="1281">
        <v>0</v>
      </c>
      <c r="D159" s="1281" t="s">
        <v>2645</v>
      </c>
      <c r="E159" s="1280" t="s">
        <v>2946</v>
      </c>
      <c r="F159" s="1282" t="s">
        <v>2659</v>
      </c>
      <c r="G159" s="1281"/>
      <c r="H159" s="1281"/>
    </row>
    <row r="160" spans="1:8" x14ac:dyDescent="0.2">
      <c r="A160" s="1280" t="s">
        <v>2947</v>
      </c>
      <c r="B160" s="1281"/>
      <c r="C160" s="1281">
        <v>0</v>
      </c>
      <c r="D160" s="1281" t="s">
        <v>2650</v>
      </c>
      <c r="E160" s="1280" t="s">
        <v>2948</v>
      </c>
      <c r="F160" s="1282"/>
      <c r="G160" s="1281"/>
      <c r="H160" s="1281"/>
    </row>
    <row r="161" spans="1:8" x14ac:dyDescent="0.2">
      <c r="A161" s="1280" t="s">
        <v>2949</v>
      </c>
      <c r="B161" s="1281" t="s">
        <v>2623</v>
      </c>
      <c r="C161" s="1281">
        <v>0</v>
      </c>
      <c r="D161" s="1281"/>
      <c r="E161" s="1280" t="s">
        <v>2950</v>
      </c>
      <c r="F161" s="1282"/>
      <c r="G161" s="1281"/>
      <c r="H161" s="1281"/>
    </row>
    <row r="162" spans="1:8" x14ac:dyDescent="0.2">
      <c r="A162" s="1280" t="s">
        <v>2951</v>
      </c>
      <c r="B162" s="1281"/>
      <c r="C162" s="1281">
        <v>0</v>
      </c>
      <c r="D162" s="1281" t="s">
        <v>2653</v>
      </c>
      <c r="E162" s="1280" t="s">
        <v>2952</v>
      </c>
      <c r="F162" s="1282" t="s">
        <v>2659</v>
      </c>
      <c r="G162" s="1281"/>
      <c r="H162" s="1281"/>
    </row>
    <row r="163" spans="1:8" x14ac:dyDescent="0.2">
      <c r="A163" s="1280" t="s">
        <v>2953</v>
      </c>
      <c r="B163" s="1281" t="s">
        <v>2623</v>
      </c>
      <c r="C163" s="1281">
        <v>0</v>
      </c>
      <c r="D163" s="1281" t="s">
        <v>2653</v>
      </c>
      <c r="E163" s="1280" t="s">
        <v>2954</v>
      </c>
      <c r="F163" s="1282"/>
      <c r="G163" s="1281"/>
      <c r="H163" s="1281"/>
    </row>
    <row r="164" spans="1:8" x14ac:dyDescent="0.2">
      <c r="A164" s="1280" t="s">
        <v>2955</v>
      </c>
      <c r="B164" s="1281" t="s">
        <v>2623</v>
      </c>
      <c r="C164" s="1281">
        <v>2</v>
      </c>
      <c r="D164" s="1281" t="s">
        <v>2653</v>
      </c>
      <c r="E164" s="1280" t="s">
        <v>2956</v>
      </c>
      <c r="F164" s="1282" t="s">
        <v>2659</v>
      </c>
      <c r="G164" s="1281"/>
      <c r="H164" s="1281"/>
    </row>
    <row r="165" spans="1:8" x14ac:dyDescent="0.2">
      <c r="A165" s="1280" t="s">
        <v>2957</v>
      </c>
      <c r="B165" s="1281" t="s">
        <v>2623</v>
      </c>
      <c r="C165" s="1281">
        <v>3</v>
      </c>
      <c r="D165" s="1281" t="s">
        <v>2645</v>
      </c>
      <c r="E165" s="1280" t="s">
        <v>2958</v>
      </c>
      <c r="F165" s="1282" t="s">
        <v>2659</v>
      </c>
      <c r="G165" s="1281"/>
      <c r="H165" s="1281"/>
    </row>
    <row r="166" spans="1:8" x14ac:dyDescent="0.2">
      <c r="A166" s="1280" t="s">
        <v>2959</v>
      </c>
      <c r="B166" s="1281" t="s">
        <v>2623</v>
      </c>
      <c r="C166" s="1281">
        <v>0</v>
      </c>
      <c r="D166" s="1281" t="s">
        <v>2653</v>
      </c>
      <c r="E166" s="1280" t="s">
        <v>2960</v>
      </c>
      <c r="F166" s="1282"/>
      <c r="G166" s="1281"/>
      <c r="H166" s="1281"/>
    </row>
    <row r="167" spans="1:8" x14ac:dyDescent="0.2">
      <c r="A167" s="1283" t="s">
        <v>2961</v>
      </c>
      <c r="B167" s="1281" t="s">
        <v>2623</v>
      </c>
      <c r="C167" s="1281">
        <v>0</v>
      </c>
      <c r="D167" s="1281"/>
      <c r="E167" s="1280"/>
      <c r="F167" s="1282"/>
      <c r="G167" s="1281"/>
      <c r="H167" s="1281"/>
    </row>
    <row r="168" spans="1:8" x14ac:dyDescent="0.2">
      <c r="A168" s="1280" t="s">
        <v>2962</v>
      </c>
      <c r="B168" s="1281" t="s">
        <v>2623</v>
      </c>
      <c r="C168" s="1281">
        <v>0</v>
      </c>
      <c r="D168" s="1281"/>
      <c r="E168" s="1280" t="s">
        <v>2963</v>
      </c>
      <c r="F168" s="1282" t="s">
        <v>2659</v>
      </c>
      <c r="G168" s="1281"/>
      <c r="H168" s="1281"/>
    </row>
    <row r="169" spans="1:8" x14ac:dyDescent="0.2">
      <c r="A169" s="1280" t="s">
        <v>2964</v>
      </c>
      <c r="B169" s="1281" t="s">
        <v>2623</v>
      </c>
      <c r="C169" s="1281">
        <v>4</v>
      </c>
      <c r="D169" s="1281" t="s">
        <v>2653</v>
      </c>
      <c r="E169" s="1280" t="s">
        <v>2965</v>
      </c>
      <c r="F169" s="1282"/>
      <c r="G169" s="1281"/>
      <c r="H169" s="1281"/>
    </row>
    <row r="170" spans="1:8" x14ac:dyDescent="0.2">
      <c r="A170" s="1283" t="s">
        <v>2966</v>
      </c>
      <c r="B170" s="1281" t="s">
        <v>2623</v>
      </c>
      <c r="C170" s="1281">
        <v>0</v>
      </c>
      <c r="D170" s="1281"/>
      <c r="E170" s="1280"/>
      <c r="F170" s="1282"/>
      <c r="G170" s="1281"/>
      <c r="H170" s="1281"/>
    </row>
    <row r="171" spans="1:8" x14ac:dyDescent="0.2">
      <c r="A171" s="1280" t="s">
        <v>2967</v>
      </c>
      <c r="B171" s="1281" t="s">
        <v>2623</v>
      </c>
      <c r="C171" s="1281">
        <v>34</v>
      </c>
      <c r="D171" s="1281" t="s">
        <v>2650</v>
      </c>
      <c r="E171" s="1280" t="s">
        <v>2968</v>
      </c>
      <c r="F171" s="1282"/>
      <c r="G171" s="1281"/>
      <c r="H171" s="1281"/>
    </row>
    <row r="172" spans="1:8" x14ac:dyDescent="0.2">
      <c r="A172" s="1280" t="s">
        <v>2969</v>
      </c>
      <c r="B172" s="1281" t="s">
        <v>2623</v>
      </c>
      <c r="C172" s="1281">
        <v>3</v>
      </c>
      <c r="D172" s="1281" t="s">
        <v>2686</v>
      </c>
      <c r="E172" s="1280" t="s">
        <v>2970</v>
      </c>
      <c r="F172" s="1282"/>
      <c r="G172" s="1281"/>
      <c r="H172" s="1281"/>
    </row>
    <row r="173" spans="1:8" x14ac:dyDescent="0.2">
      <c r="A173" s="1280" t="s">
        <v>2971</v>
      </c>
      <c r="B173" s="1281" t="s">
        <v>2623</v>
      </c>
      <c r="C173" s="1281">
        <v>0</v>
      </c>
      <c r="D173" s="1281" t="s">
        <v>2650</v>
      </c>
      <c r="E173" s="1280" t="s">
        <v>2972</v>
      </c>
      <c r="F173" s="1282"/>
      <c r="G173" s="1281"/>
      <c r="H173" s="1281"/>
    </row>
    <row r="174" spans="1:8" x14ac:dyDescent="0.2">
      <c r="A174" s="1280" t="s">
        <v>2973</v>
      </c>
      <c r="B174" s="1281" t="s">
        <v>2623</v>
      </c>
      <c r="C174" s="1281">
        <v>6</v>
      </c>
      <c r="D174" s="1281" t="s">
        <v>2650</v>
      </c>
      <c r="E174" s="1280" t="s">
        <v>2974</v>
      </c>
      <c r="F174" s="1282"/>
      <c r="G174" s="1281"/>
      <c r="H174" s="1281"/>
    </row>
    <row r="175" spans="1:8" x14ac:dyDescent="0.2">
      <c r="A175" s="1280" t="s">
        <v>2975</v>
      </c>
      <c r="B175" s="1281" t="s">
        <v>2623</v>
      </c>
      <c r="C175" s="1281">
        <v>0</v>
      </c>
      <c r="D175" s="1281" t="s">
        <v>2686</v>
      </c>
      <c r="E175" s="1280" t="s">
        <v>2976</v>
      </c>
      <c r="F175" s="1282"/>
      <c r="G175" s="1281"/>
      <c r="H175" s="1281"/>
    </row>
    <row r="176" spans="1:8" x14ac:dyDescent="0.2">
      <c r="A176" s="1280" t="s">
        <v>2977</v>
      </c>
      <c r="B176" s="1281"/>
      <c r="C176" s="1281">
        <v>0</v>
      </c>
      <c r="D176" s="1281" t="s">
        <v>2667</v>
      </c>
      <c r="E176" s="1280" t="s">
        <v>2978</v>
      </c>
      <c r="F176" s="1282"/>
      <c r="G176" s="1281"/>
      <c r="H176" s="1281"/>
    </row>
    <row r="177" spans="1:8" x14ac:dyDescent="0.2">
      <c r="A177" s="1280" t="s">
        <v>2979</v>
      </c>
      <c r="B177" s="1281" t="s">
        <v>2623</v>
      </c>
      <c r="C177" s="1281">
        <v>0</v>
      </c>
      <c r="D177" s="1281" t="s">
        <v>2667</v>
      </c>
      <c r="E177" s="1280" t="s">
        <v>2980</v>
      </c>
      <c r="F177" s="1282"/>
      <c r="G177" s="1281"/>
      <c r="H177" s="1281"/>
    </row>
    <row r="178" spans="1:8" x14ac:dyDescent="0.2">
      <c r="A178" s="1280" t="s">
        <v>2981</v>
      </c>
      <c r="B178" s="1281" t="s">
        <v>2623</v>
      </c>
      <c r="C178" s="1281">
        <v>0</v>
      </c>
      <c r="D178" s="1281" t="s">
        <v>2667</v>
      </c>
      <c r="E178" s="1280" t="s">
        <v>2982</v>
      </c>
      <c r="F178" s="1282"/>
      <c r="G178" s="1281"/>
      <c r="H178" s="1281"/>
    </row>
    <row r="179" spans="1:8" x14ac:dyDescent="0.2">
      <c r="A179" s="1280" t="s">
        <v>2983</v>
      </c>
      <c r="B179" s="1281" t="s">
        <v>2623</v>
      </c>
      <c r="C179" s="1281">
        <v>4</v>
      </c>
      <c r="D179" s="1281" t="s">
        <v>2667</v>
      </c>
      <c r="E179" s="1280" t="s">
        <v>2984</v>
      </c>
      <c r="F179" s="1282"/>
      <c r="G179" s="1281"/>
      <c r="H179" s="1281"/>
    </row>
    <row r="180" spans="1:8" x14ac:dyDescent="0.2">
      <c r="A180" s="1280" t="s">
        <v>2985</v>
      </c>
      <c r="B180" s="1281" t="s">
        <v>2623</v>
      </c>
      <c r="C180" s="1281">
        <v>5</v>
      </c>
      <c r="D180" s="1281" t="s">
        <v>2667</v>
      </c>
      <c r="E180" s="1280" t="s">
        <v>2986</v>
      </c>
      <c r="F180" s="1282"/>
      <c r="G180" s="1281"/>
      <c r="H180" s="1281"/>
    </row>
    <row r="181" spans="1:8" x14ac:dyDescent="0.2">
      <c r="A181" s="1280" t="s">
        <v>2987</v>
      </c>
      <c r="B181" s="1281"/>
      <c r="C181" s="1281">
        <v>0</v>
      </c>
      <c r="D181" s="1281" t="s">
        <v>2667</v>
      </c>
      <c r="E181" s="1280" t="s">
        <v>2988</v>
      </c>
      <c r="F181" s="1282"/>
      <c r="G181" s="1281"/>
      <c r="H181" s="1281"/>
    </row>
    <row r="182" spans="1:8" x14ac:dyDescent="0.2">
      <c r="A182" s="1280" t="s">
        <v>2989</v>
      </c>
      <c r="B182" s="1281" t="s">
        <v>2623</v>
      </c>
      <c r="C182" s="1281">
        <v>11</v>
      </c>
      <c r="D182" s="1281" t="s">
        <v>2667</v>
      </c>
      <c r="E182" s="1280" t="s">
        <v>2990</v>
      </c>
      <c r="F182" s="1282"/>
      <c r="G182" s="1281"/>
      <c r="H182" s="1281"/>
    </row>
    <row r="183" spans="1:8" x14ac:dyDescent="0.2">
      <c r="A183" s="1280" t="s">
        <v>2991</v>
      </c>
      <c r="B183" s="1281" t="s">
        <v>2623</v>
      </c>
      <c r="C183" s="1281">
        <v>2</v>
      </c>
      <c r="D183" s="1281" t="s">
        <v>2650</v>
      </c>
      <c r="E183" s="1280" t="s">
        <v>2992</v>
      </c>
      <c r="F183" s="1282"/>
      <c r="G183" s="1281"/>
      <c r="H183" s="1281"/>
    </row>
    <row r="184" spans="1:8" x14ac:dyDescent="0.2">
      <c r="A184" s="1280" t="s">
        <v>2993</v>
      </c>
      <c r="B184" s="1281" t="s">
        <v>2623</v>
      </c>
      <c r="C184" s="1281">
        <v>2</v>
      </c>
      <c r="D184" s="1281" t="s">
        <v>2650</v>
      </c>
      <c r="E184" s="1280" t="s">
        <v>2994</v>
      </c>
      <c r="F184" s="1282" t="s">
        <v>2659</v>
      </c>
      <c r="G184" s="1281"/>
      <c r="H184" s="1281"/>
    </row>
    <row r="185" spans="1:8" x14ac:dyDescent="0.2">
      <c r="A185" s="1280" t="s">
        <v>2995</v>
      </c>
      <c r="B185" s="1281" t="s">
        <v>2623</v>
      </c>
      <c r="C185" s="1281">
        <v>0</v>
      </c>
      <c r="D185" s="1281" t="s">
        <v>2645</v>
      </c>
      <c r="E185" s="1280" t="s">
        <v>2996</v>
      </c>
      <c r="F185" s="1282" t="s">
        <v>2659</v>
      </c>
      <c r="G185" s="1281"/>
      <c r="H185" s="1281"/>
    </row>
    <row r="186" spans="1:8" x14ac:dyDescent="0.2">
      <c r="A186" s="1280" t="s">
        <v>2997</v>
      </c>
      <c r="B186" s="1281" t="s">
        <v>2623</v>
      </c>
      <c r="C186" s="1281">
        <v>8</v>
      </c>
      <c r="D186" s="1281" t="s">
        <v>2645</v>
      </c>
      <c r="E186" s="1280" t="s">
        <v>2998</v>
      </c>
      <c r="F186" s="1282"/>
      <c r="G186" s="1281"/>
      <c r="H186" s="1281"/>
    </row>
    <row r="187" spans="1:8" x14ac:dyDescent="0.2">
      <c r="A187" s="1280" t="s">
        <v>2999</v>
      </c>
      <c r="B187" s="1281" t="s">
        <v>2623</v>
      </c>
      <c r="C187" s="1281">
        <v>12</v>
      </c>
      <c r="D187" s="1281" t="s">
        <v>2645</v>
      </c>
      <c r="E187" s="1280" t="s">
        <v>3000</v>
      </c>
      <c r="F187" s="1282"/>
      <c r="G187" s="1281"/>
      <c r="H187" s="1281"/>
    </row>
    <row r="188" spans="1:8" x14ac:dyDescent="0.2">
      <c r="A188" s="1280" t="s">
        <v>3001</v>
      </c>
      <c r="B188" s="1281" t="s">
        <v>2623</v>
      </c>
      <c r="C188" s="1281">
        <v>1</v>
      </c>
      <c r="D188" s="1281" t="s">
        <v>2645</v>
      </c>
      <c r="E188" s="1280" t="s">
        <v>3002</v>
      </c>
      <c r="F188" s="1282"/>
      <c r="G188" s="1281"/>
      <c r="H188" s="1281"/>
    </row>
    <row r="189" spans="1:8" x14ac:dyDescent="0.2">
      <c r="A189" s="1280" t="s">
        <v>3003</v>
      </c>
      <c r="B189" s="1281" t="s">
        <v>2623</v>
      </c>
      <c r="C189" s="1281">
        <v>0</v>
      </c>
      <c r="D189" s="1281" t="s">
        <v>2645</v>
      </c>
      <c r="E189" s="1280" t="s">
        <v>3004</v>
      </c>
      <c r="F189" s="1282"/>
      <c r="G189" s="1281"/>
      <c r="H189" s="1281"/>
    </row>
    <row r="190" spans="1:8" x14ac:dyDescent="0.2">
      <c r="A190" s="1280" t="s">
        <v>3005</v>
      </c>
      <c r="B190" s="1281" t="s">
        <v>2623</v>
      </c>
      <c r="C190" s="1281">
        <v>0</v>
      </c>
      <c r="D190" s="1281" t="s">
        <v>2650</v>
      </c>
      <c r="E190" s="1280" t="s">
        <v>3006</v>
      </c>
      <c r="F190" s="1282"/>
      <c r="G190" s="1281"/>
      <c r="H190" s="1281"/>
    </row>
    <row r="191" spans="1:8" x14ac:dyDescent="0.2">
      <c r="A191" s="1280" t="s">
        <v>3007</v>
      </c>
      <c r="B191" s="1281" t="s">
        <v>2623</v>
      </c>
      <c r="C191" s="1281">
        <v>1</v>
      </c>
      <c r="D191" s="1281" t="s">
        <v>2653</v>
      </c>
      <c r="E191" s="1280" t="s">
        <v>3008</v>
      </c>
      <c r="F191" s="1282" t="s">
        <v>2659</v>
      </c>
      <c r="G191" s="1281" t="s">
        <v>2659</v>
      </c>
      <c r="H191" s="1281"/>
    </row>
    <row r="192" spans="1:8" x14ac:dyDescent="0.2">
      <c r="A192" s="1280" t="s">
        <v>3009</v>
      </c>
      <c r="B192" s="1281" t="s">
        <v>2623</v>
      </c>
      <c r="C192" s="1281">
        <v>1</v>
      </c>
      <c r="D192" s="1281" t="s">
        <v>2686</v>
      </c>
      <c r="E192" s="1280" t="s">
        <v>3010</v>
      </c>
      <c r="F192" s="1282"/>
      <c r="G192" s="1281"/>
      <c r="H192" s="1281"/>
    </row>
    <row r="193" spans="1:8" x14ac:dyDescent="0.2">
      <c r="A193" s="1280" t="s">
        <v>3011</v>
      </c>
      <c r="B193" s="1281" t="s">
        <v>2623</v>
      </c>
      <c r="C193" s="1281">
        <v>3</v>
      </c>
      <c r="D193" s="1281" t="s">
        <v>2650</v>
      </c>
      <c r="E193" s="1280" t="s">
        <v>3012</v>
      </c>
      <c r="F193" s="1282"/>
      <c r="G193" s="1281"/>
      <c r="H193" s="1281">
        <v>1</v>
      </c>
    </row>
    <row r="194" spans="1:8" x14ac:dyDescent="0.2">
      <c r="A194" s="1280" t="s">
        <v>3013</v>
      </c>
      <c r="B194" s="1281" t="s">
        <v>2623</v>
      </c>
      <c r="C194" s="1281">
        <v>0</v>
      </c>
      <c r="D194" s="1281"/>
      <c r="E194" s="1280" t="s">
        <v>3014</v>
      </c>
      <c r="F194" s="1282"/>
      <c r="G194" s="1281"/>
      <c r="H194" s="1281"/>
    </row>
    <row r="195" spans="1:8" x14ac:dyDescent="0.2">
      <c r="A195" s="1280" t="s">
        <v>3015</v>
      </c>
      <c r="B195" s="1281"/>
      <c r="C195" s="1281">
        <v>0</v>
      </c>
      <c r="D195" s="1281" t="s">
        <v>2650</v>
      </c>
      <c r="E195" s="1280" t="s">
        <v>3016</v>
      </c>
      <c r="F195" s="1282"/>
      <c r="G195" s="1281"/>
      <c r="H195" s="1281"/>
    </row>
    <row r="196" spans="1:8" x14ac:dyDescent="0.2">
      <c r="A196" s="1280" t="s">
        <v>3017</v>
      </c>
      <c r="B196" s="1281"/>
      <c r="C196" s="1281">
        <v>0</v>
      </c>
      <c r="D196" s="1281" t="s">
        <v>2653</v>
      </c>
      <c r="E196" s="1280" t="s">
        <v>3018</v>
      </c>
      <c r="F196" s="1282"/>
      <c r="G196" s="1281"/>
      <c r="H196" s="1281"/>
    </row>
    <row r="197" spans="1:8" x14ac:dyDescent="0.2">
      <c r="A197" s="1280" t="s">
        <v>3019</v>
      </c>
      <c r="B197" s="1281"/>
      <c r="C197" s="1281">
        <v>0</v>
      </c>
      <c r="D197" s="1281" t="s">
        <v>2686</v>
      </c>
      <c r="E197" s="1280" t="s">
        <v>3020</v>
      </c>
      <c r="F197" s="1282"/>
      <c r="G197" s="1281"/>
      <c r="H197" s="1281"/>
    </row>
    <row r="198" spans="1:8" x14ac:dyDescent="0.2">
      <c r="A198" s="1280" t="s">
        <v>3021</v>
      </c>
      <c r="B198" s="1281" t="s">
        <v>2623</v>
      </c>
      <c r="C198" s="1281">
        <v>0</v>
      </c>
      <c r="D198" s="1281" t="s">
        <v>2686</v>
      </c>
      <c r="E198" s="1280" t="s">
        <v>3022</v>
      </c>
      <c r="F198" s="1282"/>
      <c r="G198" s="1281"/>
      <c r="H198" s="1281"/>
    </row>
    <row r="199" spans="1:8" x14ac:dyDescent="0.2">
      <c r="A199" s="1280" t="s">
        <v>3023</v>
      </c>
      <c r="B199" s="1281" t="s">
        <v>2623</v>
      </c>
      <c r="C199" s="1281">
        <v>1</v>
      </c>
      <c r="D199" s="1281" t="s">
        <v>2686</v>
      </c>
      <c r="E199" s="1280" t="s">
        <v>3024</v>
      </c>
      <c r="F199" s="1282"/>
      <c r="G199" s="1281"/>
      <c r="H199" s="1281"/>
    </row>
    <row r="200" spans="1:8" x14ac:dyDescent="0.2">
      <c r="A200" s="1280" t="s">
        <v>3025</v>
      </c>
      <c r="B200" s="1281" t="s">
        <v>2623</v>
      </c>
      <c r="C200" s="1281">
        <v>0</v>
      </c>
      <c r="D200" s="1281" t="s">
        <v>2667</v>
      </c>
      <c r="E200" s="1280" t="s">
        <v>3026</v>
      </c>
      <c r="F200" s="1282"/>
      <c r="G200" s="1281"/>
      <c r="H200" s="1281"/>
    </row>
    <row r="201" spans="1:8" x14ac:dyDescent="0.2">
      <c r="A201" s="1280" t="s">
        <v>3027</v>
      </c>
      <c r="B201" s="1281" t="s">
        <v>2623</v>
      </c>
      <c r="C201" s="1281">
        <v>2</v>
      </c>
      <c r="D201" s="1281" t="s">
        <v>2667</v>
      </c>
      <c r="E201" s="1280" t="s">
        <v>3028</v>
      </c>
      <c r="F201" s="1282"/>
      <c r="G201" s="1281"/>
      <c r="H201" s="1281"/>
    </row>
    <row r="202" spans="1:8" x14ac:dyDescent="0.2">
      <c r="A202" s="1280" t="s">
        <v>3029</v>
      </c>
      <c r="B202" s="1281"/>
      <c r="C202" s="1281">
        <v>0</v>
      </c>
      <c r="D202" s="1281" t="s">
        <v>2686</v>
      </c>
      <c r="E202" s="1280" t="s">
        <v>3030</v>
      </c>
      <c r="F202" s="1282"/>
      <c r="G202" s="1281"/>
      <c r="H202" s="1281"/>
    </row>
    <row r="203" spans="1:8" x14ac:dyDescent="0.2">
      <c r="A203" s="1280" t="s">
        <v>3031</v>
      </c>
      <c r="B203" s="1281"/>
      <c r="C203" s="1281">
        <v>0</v>
      </c>
      <c r="D203" s="1281" t="s">
        <v>2667</v>
      </c>
      <c r="E203" s="1280" t="s">
        <v>3032</v>
      </c>
      <c r="F203" s="1282"/>
      <c r="G203" s="1281"/>
      <c r="H203" s="1281"/>
    </row>
    <row r="204" spans="1:8" x14ac:dyDescent="0.2">
      <c r="A204" s="1280" t="s">
        <v>3033</v>
      </c>
      <c r="B204" s="1281" t="s">
        <v>2623</v>
      </c>
      <c r="C204" s="1281">
        <v>7</v>
      </c>
      <c r="D204" s="1281" t="s">
        <v>2686</v>
      </c>
      <c r="E204" s="1280" t="s">
        <v>3034</v>
      </c>
      <c r="F204" s="1282"/>
      <c r="G204" s="1281"/>
      <c r="H204" s="1281"/>
    </row>
    <row r="205" spans="1:8" x14ac:dyDescent="0.2">
      <c r="A205" s="1280" t="s">
        <v>3035</v>
      </c>
      <c r="B205" s="1281"/>
      <c r="C205" s="1281">
        <v>0</v>
      </c>
      <c r="D205" s="1281" t="s">
        <v>2667</v>
      </c>
      <c r="E205" s="1280" t="s">
        <v>3036</v>
      </c>
      <c r="F205" s="1282"/>
      <c r="G205" s="1281"/>
      <c r="H205" s="1281">
        <v>1</v>
      </c>
    </row>
    <row r="206" spans="1:8" x14ac:dyDescent="0.2">
      <c r="A206" s="1280" t="s">
        <v>3037</v>
      </c>
      <c r="B206" s="1281" t="s">
        <v>2623</v>
      </c>
      <c r="C206" s="1281">
        <v>0</v>
      </c>
      <c r="D206" s="1281" t="s">
        <v>2653</v>
      </c>
      <c r="E206" s="1280" t="s">
        <v>3038</v>
      </c>
      <c r="F206" s="1282"/>
      <c r="G206" s="1281"/>
      <c r="H206" s="1281"/>
    </row>
    <row r="207" spans="1:8" x14ac:dyDescent="0.2">
      <c r="A207" s="1280" t="s">
        <v>3039</v>
      </c>
      <c r="B207" s="1281" t="s">
        <v>2623</v>
      </c>
      <c r="C207" s="1281">
        <v>13</v>
      </c>
      <c r="D207" s="1281" t="s">
        <v>2686</v>
      </c>
      <c r="E207" s="1280" t="s">
        <v>3040</v>
      </c>
      <c r="F207" s="1282"/>
      <c r="G207" s="1281"/>
      <c r="H207" s="1281"/>
    </row>
    <row r="208" spans="1:8" x14ac:dyDescent="0.2">
      <c r="A208" s="1280" t="s">
        <v>3041</v>
      </c>
      <c r="B208" s="1281" t="s">
        <v>2623</v>
      </c>
      <c r="C208" s="1281">
        <v>17</v>
      </c>
      <c r="D208" s="1281" t="s">
        <v>2667</v>
      </c>
      <c r="E208" s="1280" t="s">
        <v>3042</v>
      </c>
      <c r="F208" s="1282"/>
      <c r="G208" s="1281"/>
      <c r="H208" s="1281"/>
    </row>
    <row r="209" spans="1:8" x14ac:dyDescent="0.2">
      <c r="A209" s="1280" t="s">
        <v>3043</v>
      </c>
      <c r="B209" s="1281" t="s">
        <v>2623</v>
      </c>
      <c r="C209" s="1281">
        <v>0</v>
      </c>
      <c r="D209" s="1281" t="s">
        <v>2667</v>
      </c>
      <c r="E209" s="1280" t="s">
        <v>3044</v>
      </c>
      <c r="F209" s="1282"/>
      <c r="G209" s="1281"/>
      <c r="H209" s="1281"/>
    </row>
    <row r="210" spans="1:8" x14ac:dyDescent="0.2">
      <c r="A210" s="1280" t="s">
        <v>3045</v>
      </c>
      <c r="B210" s="1281"/>
      <c r="C210" s="1281">
        <v>0</v>
      </c>
      <c r="D210" s="1281" t="s">
        <v>2667</v>
      </c>
      <c r="E210" s="1280" t="s">
        <v>3046</v>
      </c>
      <c r="F210" s="1282"/>
      <c r="G210" s="1281"/>
      <c r="H210" s="1281"/>
    </row>
    <row r="211" spans="1:8" x14ac:dyDescent="0.2">
      <c r="A211" s="1280" t="s">
        <v>3047</v>
      </c>
      <c r="B211" s="1281" t="s">
        <v>2623</v>
      </c>
      <c r="C211" s="1281">
        <v>0</v>
      </c>
      <c r="D211" s="1281" t="s">
        <v>2667</v>
      </c>
      <c r="E211" s="1280" t="s">
        <v>3048</v>
      </c>
      <c r="F211" s="1282"/>
      <c r="G211" s="1281"/>
      <c r="H211" s="1281">
        <v>1</v>
      </c>
    </row>
    <row r="212" spans="1:8" x14ac:dyDescent="0.2">
      <c r="A212" s="1280" t="s">
        <v>3049</v>
      </c>
      <c r="B212" s="1281" t="s">
        <v>2623</v>
      </c>
      <c r="C212" s="1281">
        <v>0</v>
      </c>
      <c r="D212" s="1281" t="s">
        <v>2650</v>
      </c>
      <c r="E212" s="1280" t="s">
        <v>3050</v>
      </c>
      <c r="F212" s="1282"/>
      <c r="G212" s="1281"/>
      <c r="H212" s="1281">
        <v>1</v>
      </c>
    </row>
    <row r="213" spans="1:8" x14ac:dyDescent="0.2">
      <c r="A213" s="1280" t="s">
        <v>3051</v>
      </c>
      <c r="B213" s="1281" t="s">
        <v>2623</v>
      </c>
      <c r="C213" s="1281">
        <v>0</v>
      </c>
      <c r="D213" s="1281" t="s">
        <v>2686</v>
      </c>
      <c r="E213" s="1280" t="s">
        <v>3052</v>
      </c>
      <c r="F213" s="1282"/>
      <c r="G213" s="1281"/>
      <c r="H213" s="1281">
        <v>1</v>
      </c>
    </row>
    <row r="214" spans="1:8" x14ac:dyDescent="0.2">
      <c r="A214" s="1280" t="s">
        <v>3053</v>
      </c>
      <c r="B214" s="1281"/>
      <c r="C214" s="1281">
        <v>0</v>
      </c>
      <c r="D214" s="1281" t="s">
        <v>2686</v>
      </c>
      <c r="E214" s="1280" t="s">
        <v>3054</v>
      </c>
      <c r="F214" s="1282"/>
      <c r="G214" s="1281"/>
      <c r="H214" s="1281"/>
    </row>
    <row r="215" spans="1:8" x14ac:dyDescent="0.2">
      <c r="A215" s="1280" t="s">
        <v>3055</v>
      </c>
      <c r="B215" s="1281" t="s">
        <v>2623</v>
      </c>
      <c r="C215" s="1281">
        <v>0</v>
      </c>
      <c r="D215" s="1281" t="s">
        <v>2686</v>
      </c>
      <c r="E215" s="1280" t="s">
        <v>3056</v>
      </c>
      <c r="F215" s="1282"/>
      <c r="G215" s="1281"/>
      <c r="H215" s="1281"/>
    </row>
    <row r="216" spans="1:8" x14ac:dyDescent="0.2">
      <c r="A216" s="1280" t="s">
        <v>3057</v>
      </c>
      <c r="B216" s="1281" t="s">
        <v>2623</v>
      </c>
      <c r="C216" s="1281">
        <v>2</v>
      </c>
      <c r="D216" s="1281" t="s">
        <v>2686</v>
      </c>
      <c r="E216" s="1280" t="s">
        <v>3058</v>
      </c>
      <c r="F216" s="1282"/>
      <c r="G216" s="1281"/>
      <c r="H216" s="1281"/>
    </row>
    <row r="217" spans="1:8" x14ac:dyDescent="0.2">
      <c r="A217" s="1280" t="s">
        <v>3059</v>
      </c>
      <c r="B217" s="1281" t="s">
        <v>2623</v>
      </c>
      <c r="C217" s="1281">
        <v>0</v>
      </c>
      <c r="D217" s="1281" t="s">
        <v>2667</v>
      </c>
      <c r="E217" s="1280" t="s">
        <v>3060</v>
      </c>
      <c r="F217" s="1282"/>
      <c r="G217" s="1281"/>
      <c r="H217" s="1281">
        <v>1</v>
      </c>
    </row>
    <row r="218" spans="1:8" x14ac:dyDescent="0.2">
      <c r="A218" s="1280" t="s">
        <v>3061</v>
      </c>
      <c r="B218" s="1281" t="s">
        <v>2623</v>
      </c>
      <c r="C218" s="1281">
        <v>3</v>
      </c>
      <c r="D218" s="1281" t="s">
        <v>2667</v>
      </c>
      <c r="E218" s="1280" t="s">
        <v>3062</v>
      </c>
      <c r="F218" s="1282"/>
      <c r="G218" s="1281"/>
      <c r="H218" s="1281"/>
    </row>
    <row r="219" spans="1:8" x14ac:dyDescent="0.2">
      <c r="A219" s="1280" t="s">
        <v>3063</v>
      </c>
      <c r="B219" s="1281" t="s">
        <v>2623</v>
      </c>
      <c r="C219" s="1281">
        <v>0</v>
      </c>
      <c r="D219" s="1281" t="s">
        <v>2650</v>
      </c>
      <c r="E219" s="1280" t="s">
        <v>3064</v>
      </c>
      <c r="F219" s="1282"/>
      <c r="G219" s="1281"/>
      <c r="H219" s="1281"/>
    </row>
    <row r="220" spans="1:8" x14ac:dyDescent="0.2">
      <c r="A220" s="1280" t="s">
        <v>3065</v>
      </c>
      <c r="B220" s="1281"/>
      <c r="C220" s="1281">
        <v>0</v>
      </c>
      <c r="D220" s="1281" t="s">
        <v>2686</v>
      </c>
      <c r="E220" s="1280" t="s">
        <v>3066</v>
      </c>
      <c r="F220" s="1282"/>
      <c r="G220" s="1281"/>
      <c r="H220" s="1281"/>
    </row>
    <row r="221" spans="1:8" x14ac:dyDescent="0.2">
      <c r="A221" s="1280" t="s">
        <v>3067</v>
      </c>
      <c r="B221" s="1281" t="s">
        <v>2623</v>
      </c>
      <c r="C221" s="1281">
        <v>1</v>
      </c>
      <c r="D221" s="1281" t="s">
        <v>2650</v>
      </c>
      <c r="E221" s="1280" t="s">
        <v>3068</v>
      </c>
      <c r="F221" s="1282"/>
      <c r="G221" s="1281"/>
      <c r="H221" s="1281">
        <v>2</v>
      </c>
    </row>
    <row r="222" spans="1:8" x14ac:dyDescent="0.2">
      <c r="A222" s="1280" t="s">
        <v>3069</v>
      </c>
      <c r="B222" s="1281" t="s">
        <v>2623</v>
      </c>
      <c r="C222" s="1281">
        <v>2</v>
      </c>
      <c r="D222" s="1281" t="s">
        <v>2686</v>
      </c>
      <c r="E222" s="1280" t="s">
        <v>3070</v>
      </c>
      <c r="F222" s="1282"/>
      <c r="G222" s="1281"/>
      <c r="H222" s="1281"/>
    </row>
    <row r="223" spans="1:8" x14ac:dyDescent="0.2">
      <c r="A223" s="1280" t="s">
        <v>3071</v>
      </c>
      <c r="B223" s="1281" t="s">
        <v>2623</v>
      </c>
      <c r="C223" s="1281">
        <v>13</v>
      </c>
      <c r="D223" s="1281" t="s">
        <v>2686</v>
      </c>
      <c r="E223" s="1280" t="s">
        <v>3072</v>
      </c>
      <c r="F223" s="1282"/>
      <c r="G223" s="1281"/>
      <c r="H223" s="1281"/>
    </row>
    <row r="224" spans="1:8" x14ac:dyDescent="0.2">
      <c r="A224" s="1280" t="s">
        <v>3073</v>
      </c>
      <c r="B224" s="1281" t="s">
        <v>2623</v>
      </c>
      <c r="C224" s="1281">
        <v>2</v>
      </c>
      <c r="D224" s="1281" t="s">
        <v>2686</v>
      </c>
      <c r="E224" s="1280" t="s">
        <v>3074</v>
      </c>
      <c r="F224" s="1282"/>
      <c r="G224" s="1281"/>
      <c r="H224" s="1281"/>
    </row>
    <row r="225" spans="1:8" x14ac:dyDescent="0.2">
      <c r="A225" s="1280" t="s">
        <v>3075</v>
      </c>
      <c r="B225" s="1281" t="s">
        <v>2623</v>
      </c>
      <c r="C225" s="1281">
        <v>0</v>
      </c>
      <c r="D225" s="1281" t="s">
        <v>2650</v>
      </c>
      <c r="E225" s="1280" t="s">
        <v>3076</v>
      </c>
      <c r="F225" s="1282"/>
      <c r="G225" s="1281"/>
      <c r="H225" s="1281"/>
    </row>
    <row r="226" spans="1:8" x14ac:dyDescent="0.2">
      <c r="A226" s="1280" t="s">
        <v>3077</v>
      </c>
      <c r="B226" s="1281" t="s">
        <v>2623</v>
      </c>
      <c r="C226" s="1281">
        <v>0</v>
      </c>
      <c r="D226" s="1281" t="s">
        <v>2667</v>
      </c>
      <c r="E226" s="1280" t="s">
        <v>3078</v>
      </c>
      <c r="F226" s="1282"/>
      <c r="G226" s="1281"/>
      <c r="H226" s="1281"/>
    </row>
    <row r="227" spans="1:8" x14ac:dyDescent="0.2">
      <c r="A227" s="1280" t="s">
        <v>3079</v>
      </c>
      <c r="B227" s="1281" t="s">
        <v>2623</v>
      </c>
      <c r="C227" s="1281">
        <v>6</v>
      </c>
      <c r="D227" s="1281" t="s">
        <v>2645</v>
      </c>
      <c r="E227" s="1280" t="s">
        <v>3080</v>
      </c>
      <c r="F227" s="1282"/>
      <c r="G227" s="1281"/>
      <c r="H227" s="1281"/>
    </row>
    <row r="228" spans="1:8" x14ac:dyDescent="0.2">
      <c r="A228" s="1280" t="s">
        <v>3081</v>
      </c>
      <c r="B228" s="1281" t="s">
        <v>2623</v>
      </c>
      <c r="C228" s="1281">
        <v>0</v>
      </c>
      <c r="D228" s="1281" t="s">
        <v>2650</v>
      </c>
      <c r="E228" s="1280" t="s">
        <v>3082</v>
      </c>
      <c r="F228" s="1282"/>
      <c r="G228" s="1281"/>
      <c r="H228" s="1281"/>
    </row>
    <row r="229" spans="1:8" x14ac:dyDescent="0.2">
      <c r="A229" s="1280" t="s">
        <v>3083</v>
      </c>
      <c r="B229" s="1281" t="s">
        <v>2623</v>
      </c>
      <c r="C229" s="1281">
        <v>0</v>
      </c>
      <c r="D229" s="1281" t="s">
        <v>2650</v>
      </c>
      <c r="E229" s="1280" t="s">
        <v>3084</v>
      </c>
      <c r="F229" s="1282"/>
      <c r="G229" s="1281"/>
      <c r="H229" s="1281">
        <v>1</v>
      </c>
    </row>
    <row r="230" spans="1:8" x14ac:dyDescent="0.2">
      <c r="A230" s="1280" t="s">
        <v>3085</v>
      </c>
      <c r="B230" s="1281"/>
      <c r="C230" s="1281">
        <v>0</v>
      </c>
      <c r="D230" s="1281" t="s">
        <v>2653</v>
      </c>
      <c r="E230" s="1280" t="s">
        <v>3086</v>
      </c>
      <c r="F230" s="1282"/>
      <c r="G230" s="1281"/>
      <c r="H230" s="1281">
        <v>1</v>
      </c>
    </row>
    <row r="231" spans="1:8" x14ac:dyDescent="0.2">
      <c r="A231" s="1280" t="s">
        <v>3087</v>
      </c>
      <c r="B231" s="1281" t="s">
        <v>2623</v>
      </c>
      <c r="C231" s="1281">
        <v>1</v>
      </c>
      <c r="D231" s="1281" t="s">
        <v>2667</v>
      </c>
      <c r="E231" s="1280" t="s">
        <v>3088</v>
      </c>
      <c r="F231" s="1282"/>
      <c r="G231" s="1281"/>
      <c r="H231" s="1281"/>
    </row>
    <row r="232" spans="1:8" x14ac:dyDescent="0.2">
      <c r="A232" s="1280" t="s">
        <v>3089</v>
      </c>
      <c r="B232" s="1281" t="s">
        <v>2623</v>
      </c>
      <c r="C232" s="1281">
        <v>2</v>
      </c>
      <c r="D232" s="1281" t="s">
        <v>2686</v>
      </c>
      <c r="E232" s="1280" t="s">
        <v>3090</v>
      </c>
      <c r="F232" s="1282"/>
      <c r="G232" s="1281"/>
      <c r="H232" s="1281"/>
    </row>
    <row r="233" spans="1:8" x14ac:dyDescent="0.2">
      <c r="A233" s="1280" t="s">
        <v>3091</v>
      </c>
      <c r="B233" s="1281"/>
      <c r="C233" s="1281">
        <v>0</v>
      </c>
      <c r="D233" s="1281" t="s">
        <v>2645</v>
      </c>
      <c r="E233" s="1280" t="s">
        <v>3092</v>
      </c>
      <c r="F233" s="1282"/>
      <c r="G233" s="1281"/>
      <c r="H233" s="1281"/>
    </row>
    <row r="234" spans="1:8" x14ac:dyDescent="0.2">
      <c r="A234" s="1280" t="s">
        <v>3093</v>
      </c>
      <c r="B234" s="1281"/>
      <c r="C234" s="1281">
        <v>0</v>
      </c>
      <c r="D234" s="1281" t="s">
        <v>2653</v>
      </c>
      <c r="E234" s="1280" t="s">
        <v>3094</v>
      </c>
      <c r="F234" s="1282"/>
      <c r="G234" s="1281"/>
      <c r="H234" s="1281">
        <v>1</v>
      </c>
    </row>
    <row r="235" spans="1:8" x14ac:dyDescent="0.2">
      <c r="A235" s="1280" t="s">
        <v>3095</v>
      </c>
      <c r="B235" s="1281" t="s">
        <v>2623</v>
      </c>
      <c r="C235" s="1281">
        <v>2</v>
      </c>
      <c r="D235" s="1281" t="s">
        <v>2667</v>
      </c>
      <c r="E235" s="1280" t="s">
        <v>3096</v>
      </c>
      <c r="F235" s="1282"/>
      <c r="G235" s="1281"/>
      <c r="H235" s="1281">
        <v>2</v>
      </c>
    </row>
    <row r="236" spans="1:8" x14ac:dyDescent="0.2">
      <c r="A236" s="1280" t="s">
        <v>3097</v>
      </c>
      <c r="B236" s="1281"/>
      <c r="C236" s="1281">
        <v>0</v>
      </c>
      <c r="D236" s="1281" t="s">
        <v>2686</v>
      </c>
      <c r="E236" s="1280" t="s">
        <v>3098</v>
      </c>
      <c r="F236" s="1282"/>
      <c r="G236" s="1281"/>
      <c r="H236" s="1281"/>
    </row>
    <row r="237" spans="1:8" x14ac:dyDescent="0.2">
      <c r="A237" s="1280" t="s">
        <v>3099</v>
      </c>
      <c r="B237" s="1281"/>
      <c r="C237" s="1281">
        <v>0</v>
      </c>
      <c r="D237" s="1281" t="s">
        <v>2667</v>
      </c>
      <c r="E237" s="1280" t="s">
        <v>3100</v>
      </c>
      <c r="F237" s="1282"/>
      <c r="G237" s="1281"/>
      <c r="H237" s="1281"/>
    </row>
    <row r="238" spans="1:8" x14ac:dyDescent="0.2">
      <c r="A238" s="1280" t="s">
        <v>3101</v>
      </c>
      <c r="B238" s="1281" t="s">
        <v>2623</v>
      </c>
      <c r="C238" s="1281">
        <v>6</v>
      </c>
      <c r="D238" s="1281" t="s">
        <v>2667</v>
      </c>
      <c r="E238" s="1280" t="s">
        <v>3102</v>
      </c>
      <c r="F238" s="1282"/>
      <c r="G238" s="1281"/>
      <c r="H238" s="1281"/>
    </row>
    <row r="239" spans="1:8" x14ac:dyDescent="0.2">
      <c r="A239" s="1280" t="s">
        <v>3103</v>
      </c>
      <c r="B239" s="1281" t="s">
        <v>2623</v>
      </c>
      <c r="C239" s="1281">
        <v>0</v>
      </c>
      <c r="D239" s="1281" t="s">
        <v>2653</v>
      </c>
      <c r="E239" s="1280" t="s">
        <v>3104</v>
      </c>
      <c r="F239" s="1282"/>
      <c r="G239" s="1281"/>
      <c r="H239" s="1281"/>
    </row>
    <row r="240" spans="1:8" x14ac:dyDescent="0.2">
      <c r="A240" s="1280" t="s">
        <v>3105</v>
      </c>
      <c r="B240" s="1281" t="s">
        <v>2623</v>
      </c>
      <c r="C240" s="1281">
        <v>0</v>
      </c>
      <c r="D240" s="1281" t="s">
        <v>2650</v>
      </c>
      <c r="E240" s="1280" t="s">
        <v>3106</v>
      </c>
      <c r="F240" s="1282"/>
      <c r="G240" s="1281"/>
      <c r="H240" s="1281"/>
    </row>
    <row r="241" spans="1:8" x14ac:dyDescent="0.2">
      <c r="A241" s="1280" t="s">
        <v>3107</v>
      </c>
      <c r="B241" s="1281" t="s">
        <v>2623</v>
      </c>
      <c r="C241" s="1281">
        <v>1</v>
      </c>
      <c r="D241" s="1281" t="s">
        <v>2686</v>
      </c>
      <c r="E241" s="1280" t="s">
        <v>3108</v>
      </c>
      <c r="F241" s="1282"/>
      <c r="G241" s="1281"/>
      <c r="H241" s="1281"/>
    </row>
    <row r="242" spans="1:8" x14ac:dyDescent="0.2">
      <c r="A242" s="1280" t="s">
        <v>3109</v>
      </c>
      <c r="B242" s="1281" t="s">
        <v>2623</v>
      </c>
      <c r="C242" s="1281">
        <v>2</v>
      </c>
      <c r="D242" s="1281" t="s">
        <v>2667</v>
      </c>
      <c r="E242" s="1280" t="s">
        <v>3110</v>
      </c>
      <c r="F242" s="1282"/>
      <c r="G242" s="1281"/>
      <c r="H242" s="1281">
        <v>2</v>
      </c>
    </row>
    <row r="243" spans="1:8" x14ac:dyDescent="0.2">
      <c r="A243" s="1280" t="s">
        <v>3111</v>
      </c>
      <c r="B243" s="1281" t="s">
        <v>2623</v>
      </c>
      <c r="C243" s="1281">
        <v>12</v>
      </c>
      <c r="D243" s="1281" t="s">
        <v>2650</v>
      </c>
      <c r="E243" s="1280" t="s">
        <v>3112</v>
      </c>
      <c r="F243" s="1282"/>
      <c r="G243" s="1281"/>
      <c r="H243" s="1281"/>
    </row>
    <row r="244" spans="1:8" x14ac:dyDescent="0.2">
      <c r="A244" s="1280" t="s">
        <v>3113</v>
      </c>
      <c r="B244" s="1281" t="s">
        <v>2623</v>
      </c>
      <c r="C244" s="1281">
        <v>0</v>
      </c>
      <c r="D244" s="1281" t="s">
        <v>2667</v>
      </c>
      <c r="E244" s="1280" t="s">
        <v>3114</v>
      </c>
      <c r="F244" s="1282"/>
      <c r="G244" s="1281"/>
      <c r="H244" s="1281"/>
    </row>
    <row r="245" spans="1:8" x14ac:dyDescent="0.2">
      <c r="A245" s="1280" t="s">
        <v>3115</v>
      </c>
      <c r="B245" s="1281"/>
      <c r="C245" s="1281">
        <v>0</v>
      </c>
      <c r="D245" s="1281" t="s">
        <v>2667</v>
      </c>
      <c r="E245" s="1280" t="s">
        <v>3116</v>
      </c>
      <c r="F245" s="1282"/>
      <c r="G245" s="1281"/>
      <c r="H245" s="1281">
        <v>1</v>
      </c>
    </row>
    <row r="246" spans="1:8" x14ac:dyDescent="0.2">
      <c r="A246" s="1280" t="s">
        <v>3117</v>
      </c>
      <c r="B246" s="1281"/>
      <c r="C246" s="1281">
        <v>0</v>
      </c>
      <c r="D246" s="1281" t="s">
        <v>2667</v>
      </c>
      <c r="E246" s="1280" t="s">
        <v>3118</v>
      </c>
      <c r="F246" s="1282"/>
      <c r="G246" s="1281"/>
      <c r="H246" s="1281">
        <v>1</v>
      </c>
    </row>
    <row r="247" spans="1:8" x14ac:dyDescent="0.2">
      <c r="A247" s="1280" t="s">
        <v>3119</v>
      </c>
      <c r="B247" s="1281" t="s">
        <v>2623</v>
      </c>
      <c r="C247" s="1281">
        <v>0</v>
      </c>
      <c r="D247" s="1281" t="s">
        <v>2653</v>
      </c>
      <c r="E247" s="1280" t="s">
        <v>3120</v>
      </c>
      <c r="F247" s="1282"/>
      <c r="G247" s="1281"/>
      <c r="H247" s="1281">
        <v>1</v>
      </c>
    </row>
    <row r="248" spans="1:8" x14ac:dyDescent="0.2">
      <c r="A248" s="1280" t="s">
        <v>3121</v>
      </c>
      <c r="B248" s="1281"/>
      <c r="C248" s="1281">
        <v>0</v>
      </c>
      <c r="D248" s="1281" t="s">
        <v>2650</v>
      </c>
      <c r="E248" s="1280" t="s">
        <v>3122</v>
      </c>
      <c r="F248" s="1282"/>
      <c r="G248" s="1281"/>
      <c r="H248" s="1281"/>
    </row>
    <row r="249" spans="1:8" x14ac:dyDescent="0.2">
      <c r="A249" s="1280" t="s">
        <v>3123</v>
      </c>
      <c r="B249" s="1281" t="s">
        <v>2623</v>
      </c>
      <c r="C249" s="1281">
        <v>1</v>
      </c>
      <c r="D249" s="1281" t="s">
        <v>2667</v>
      </c>
      <c r="E249" s="1280" t="s">
        <v>3124</v>
      </c>
      <c r="F249" s="1282"/>
      <c r="G249" s="1281"/>
      <c r="H249" s="1281">
        <v>1</v>
      </c>
    </row>
    <row r="250" spans="1:8" x14ac:dyDescent="0.2">
      <c r="A250" s="1280" t="s">
        <v>3125</v>
      </c>
      <c r="B250" s="1281" t="s">
        <v>2623</v>
      </c>
      <c r="C250" s="1281">
        <v>4</v>
      </c>
      <c r="D250" s="1281" t="s">
        <v>2667</v>
      </c>
      <c r="E250" s="1280" t="s">
        <v>3126</v>
      </c>
      <c r="F250" s="1282"/>
      <c r="G250" s="1281"/>
      <c r="H250" s="1281"/>
    </row>
    <row r="251" spans="1:8" x14ac:dyDescent="0.2">
      <c r="A251" s="1280" t="s">
        <v>3127</v>
      </c>
      <c r="B251" s="1281" t="s">
        <v>2623</v>
      </c>
      <c r="C251" s="1281">
        <v>12</v>
      </c>
      <c r="D251" s="1281" t="s">
        <v>2686</v>
      </c>
      <c r="E251" s="1280" t="s">
        <v>3128</v>
      </c>
      <c r="F251" s="1282"/>
      <c r="G251" s="1281"/>
      <c r="H251" s="1281"/>
    </row>
    <row r="252" spans="1:8" x14ac:dyDescent="0.2">
      <c r="A252" s="1280" t="s">
        <v>3129</v>
      </c>
      <c r="B252" s="1281"/>
      <c r="C252" s="1281">
        <v>0</v>
      </c>
      <c r="D252" s="1281" t="s">
        <v>2667</v>
      </c>
      <c r="E252" s="1280" t="s">
        <v>3130</v>
      </c>
      <c r="F252" s="1282"/>
      <c r="G252" s="1281"/>
      <c r="H252" s="1281">
        <v>1</v>
      </c>
    </row>
    <row r="253" spans="1:8" x14ac:dyDescent="0.2">
      <c r="A253" s="1280" t="s">
        <v>3131</v>
      </c>
      <c r="B253" s="1281" t="s">
        <v>2623</v>
      </c>
      <c r="C253" s="1281">
        <v>0</v>
      </c>
      <c r="D253" s="1281" t="s">
        <v>2667</v>
      </c>
      <c r="E253" s="1280" t="s">
        <v>3132</v>
      </c>
      <c r="F253" s="1282"/>
      <c r="G253" s="1281"/>
      <c r="H253" s="1281"/>
    </row>
    <row r="254" spans="1:8" x14ac:dyDescent="0.2">
      <c r="A254" s="1280" t="s">
        <v>3133</v>
      </c>
      <c r="B254" s="1281"/>
      <c r="C254" s="1281">
        <v>0</v>
      </c>
      <c r="D254" s="1281" t="s">
        <v>2667</v>
      </c>
      <c r="E254" s="1280" t="s">
        <v>3134</v>
      </c>
      <c r="F254" s="1282"/>
      <c r="G254" s="1281"/>
      <c r="H254" s="1281">
        <v>1</v>
      </c>
    </row>
    <row r="255" spans="1:8" x14ac:dyDescent="0.2">
      <c r="A255" s="1280" t="s">
        <v>3135</v>
      </c>
      <c r="B255" s="1281" t="s">
        <v>2623</v>
      </c>
      <c r="C255" s="1281">
        <v>13</v>
      </c>
      <c r="D255" s="1281" t="s">
        <v>2667</v>
      </c>
      <c r="E255" s="1280" t="s">
        <v>3136</v>
      </c>
      <c r="F255" s="1282"/>
      <c r="G255" s="1281"/>
      <c r="H255" s="1281"/>
    </row>
    <row r="256" spans="1:8" x14ac:dyDescent="0.2">
      <c r="A256" s="1280" t="s">
        <v>3137</v>
      </c>
      <c r="B256" s="1281" t="s">
        <v>2623</v>
      </c>
      <c r="C256" s="1281">
        <v>3</v>
      </c>
      <c r="D256" s="1281" t="s">
        <v>2667</v>
      </c>
      <c r="E256" s="1280" t="s">
        <v>3138</v>
      </c>
      <c r="F256" s="1282"/>
      <c r="G256" s="1281"/>
      <c r="H256" s="1281">
        <v>2</v>
      </c>
    </row>
    <row r="257" spans="1:8" x14ac:dyDescent="0.2">
      <c r="A257" s="1280" t="s">
        <v>3139</v>
      </c>
      <c r="B257" s="1281" t="s">
        <v>2623</v>
      </c>
      <c r="C257" s="1281">
        <v>5</v>
      </c>
      <c r="D257" s="1281" t="s">
        <v>2667</v>
      </c>
      <c r="E257" s="1280" t="s">
        <v>3140</v>
      </c>
      <c r="F257" s="1282"/>
      <c r="G257" s="1281"/>
      <c r="H257" s="1281"/>
    </row>
    <row r="258" spans="1:8" x14ac:dyDescent="0.2">
      <c r="A258" s="1280" t="s">
        <v>3141</v>
      </c>
      <c r="B258" s="1281" t="s">
        <v>2623</v>
      </c>
      <c r="C258" s="1281">
        <v>10</v>
      </c>
      <c r="D258" s="1281" t="s">
        <v>2667</v>
      </c>
      <c r="E258" s="1280" t="s">
        <v>3142</v>
      </c>
      <c r="F258" s="1282"/>
      <c r="G258" s="1281"/>
      <c r="H258" s="1281"/>
    </row>
    <row r="259" spans="1:8" x14ac:dyDescent="0.2">
      <c r="A259" s="1280" t="s">
        <v>3143</v>
      </c>
      <c r="B259" s="1281" t="s">
        <v>2623</v>
      </c>
      <c r="C259" s="1281">
        <v>0</v>
      </c>
      <c r="D259" s="1281" t="s">
        <v>2667</v>
      </c>
      <c r="E259" s="1280" t="s">
        <v>3144</v>
      </c>
      <c r="F259" s="1282"/>
      <c r="G259" s="1281"/>
      <c r="H259" s="1281"/>
    </row>
    <row r="260" spans="1:8" x14ac:dyDescent="0.2">
      <c r="A260" s="1280" t="s">
        <v>3145</v>
      </c>
      <c r="B260" s="1281" t="s">
        <v>2623</v>
      </c>
      <c r="C260" s="1281">
        <v>33</v>
      </c>
      <c r="D260" s="1281" t="s">
        <v>2667</v>
      </c>
      <c r="E260" s="1280" t="s">
        <v>3146</v>
      </c>
      <c r="F260" s="1282"/>
      <c r="G260" s="1281"/>
      <c r="H260" s="1281"/>
    </row>
    <row r="261" spans="1:8" x14ac:dyDescent="0.2">
      <c r="A261" s="1280" t="s">
        <v>3147</v>
      </c>
      <c r="B261" s="1281" t="s">
        <v>2623</v>
      </c>
      <c r="C261" s="1281">
        <v>0</v>
      </c>
      <c r="D261" s="1281" t="s">
        <v>2667</v>
      </c>
      <c r="E261" s="1280" t="s">
        <v>3148</v>
      </c>
      <c r="F261" s="1282"/>
      <c r="G261" s="1281"/>
      <c r="H261" s="1281"/>
    </row>
    <row r="262" spans="1:8" x14ac:dyDescent="0.2">
      <c r="A262" s="1280" t="s">
        <v>3149</v>
      </c>
      <c r="B262" s="1281" t="s">
        <v>2623</v>
      </c>
      <c r="C262" s="1281">
        <v>1</v>
      </c>
      <c r="D262" s="1281" t="s">
        <v>2650</v>
      </c>
      <c r="E262" s="1280" t="s">
        <v>3150</v>
      </c>
      <c r="F262" s="1282"/>
      <c r="G262" s="1281"/>
      <c r="H262" s="1281"/>
    </row>
    <row r="263" spans="1:8" x14ac:dyDescent="0.2">
      <c r="A263" s="1280" t="s">
        <v>3151</v>
      </c>
      <c r="B263" s="1281" t="s">
        <v>2623</v>
      </c>
      <c r="C263" s="1281">
        <v>3</v>
      </c>
      <c r="D263" s="1281" t="s">
        <v>2650</v>
      </c>
      <c r="E263" s="1280" t="s">
        <v>3152</v>
      </c>
      <c r="F263" s="1282"/>
      <c r="G263" s="1281"/>
      <c r="H263" s="1281"/>
    </row>
    <row r="264" spans="1:8" x14ac:dyDescent="0.2">
      <c r="A264" s="1280" t="s">
        <v>3153</v>
      </c>
      <c r="B264" s="1281" t="s">
        <v>2623</v>
      </c>
      <c r="C264" s="1281">
        <v>36</v>
      </c>
      <c r="D264" s="1281" t="s">
        <v>2686</v>
      </c>
      <c r="E264" s="1280" t="s">
        <v>3154</v>
      </c>
      <c r="F264" s="1282"/>
      <c r="G264" s="1281"/>
      <c r="H264" s="1281"/>
    </row>
    <row r="265" spans="1:8" x14ac:dyDescent="0.2">
      <c r="A265" s="1280" t="s">
        <v>3155</v>
      </c>
      <c r="B265" s="1281" t="s">
        <v>2623</v>
      </c>
      <c r="C265" s="1281">
        <v>1</v>
      </c>
      <c r="D265" s="1281" t="s">
        <v>2667</v>
      </c>
      <c r="E265" s="1280" t="s">
        <v>3156</v>
      </c>
      <c r="F265" s="1282"/>
      <c r="G265" s="1281"/>
      <c r="H265" s="1281"/>
    </row>
    <row r="266" spans="1:8" x14ac:dyDescent="0.2">
      <c r="A266" s="1280" t="s">
        <v>3157</v>
      </c>
      <c r="B266" s="1281"/>
      <c r="C266" s="1281">
        <v>0</v>
      </c>
      <c r="D266" s="1281" t="s">
        <v>2667</v>
      </c>
      <c r="E266" s="1280" t="s">
        <v>3158</v>
      </c>
      <c r="F266" s="1282"/>
      <c r="G266" s="1281"/>
      <c r="H266" s="1281"/>
    </row>
    <row r="267" spans="1:8" x14ac:dyDescent="0.2">
      <c r="A267" s="1280" t="s">
        <v>3159</v>
      </c>
      <c r="B267" s="1281" t="s">
        <v>2623</v>
      </c>
      <c r="C267" s="1281">
        <v>4</v>
      </c>
      <c r="D267" s="1281" t="s">
        <v>2650</v>
      </c>
      <c r="E267" s="1280" t="s">
        <v>3160</v>
      </c>
      <c r="F267" s="1282"/>
      <c r="G267" s="1281"/>
      <c r="H267" s="1281"/>
    </row>
    <row r="268" spans="1:8" x14ac:dyDescent="0.2">
      <c r="A268" s="1280" t="s">
        <v>3161</v>
      </c>
      <c r="B268" s="1281" t="s">
        <v>2623</v>
      </c>
      <c r="C268" s="1281">
        <v>0</v>
      </c>
      <c r="D268" s="1281" t="s">
        <v>2686</v>
      </c>
      <c r="E268" s="1280" t="s">
        <v>3162</v>
      </c>
      <c r="F268" s="1282"/>
      <c r="G268" s="1281"/>
      <c r="H268" s="1281"/>
    </row>
    <row r="269" spans="1:8" x14ac:dyDescent="0.2">
      <c r="A269" s="1280" t="s">
        <v>3163</v>
      </c>
      <c r="B269" s="1281" t="s">
        <v>2623</v>
      </c>
      <c r="C269" s="1281">
        <v>0</v>
      </c>
      <c r="D269" s="1281" t="s">
        <v>2686</v>
      </c>
      <c r="E269" s="1280" t="s">
        <v>3164</v>
      </c>
      <c r="F269" s="1282"/>
      <c r="G269" s="1281"/>
      <c r="H269" s="1281"/>
    </row>
    <row r="270" spans="1:8" x14ac:dyDescent="0.2">
      <c r="A270" s="1280" t="s">
        <v>3165</v>
      </c>
      <c r="B270" s="1281" t="s">
        <v>2623</v>
      </c>
      <c r="C270" s="1281">
        <v>12</v>
      </c>
      <c r="D270" s="1281" t="s">
        <v>2686</v>
      </c>
      <c r="E270" s="1280" t="s">
        <v>3166</v>
      </c>
      <c r="F270" s="1282"/>
      <c r="G270" s="1281"/>
      <c r="H270" s="1281"/>
    </row>
    <row r="271" spans="1:8" x14ac:dyDescent="0.2">
      <c r="A271" s="1280" t="s">
        <v>3167</v>
      </c>
      <c r="B271" s="1281" t="s">
        <v>2623</v>
      </c>
      <c r="C271" s="1281">
        <v>0</v>
      </c>
      <c r="D271" s="1281"/>
      <c r="E271" s="1280" t="s">
        <v>3168</v>
      </c>
      <c r="F271" s="1282"/>
      <c r="G271" s="1281"/>
      <c r="H271" s="1281"/>
    </row>
    <row r="272" spans="1:8" x14ac:dyDescent="0.2">
      <c r="A272" s="1280" t="s">
        <v>3169</v>
      </c>
      <c r="B272" s="1281" t="s">
        <v>2623</v>
      </c>
      <c r="C272" s="1281">
        <v>1</v>
      </c>
      <c r="D272" s="1281" t="s">
        <v>2667</v>
      </c>
      <c r="E272" s="1280" t="s">
        <v>3170</v>
      </c>
      <c r="F272" s="1282"/>
      <c r="G272" s="1281"/>
      <c r="H272" s="1281"/>
    </row>
    <row r="273" spans="1:8" x14ac:dyDescent="0.2">
      <c r="A273" s="1280" t="s">
        <v>3171</v>
      </c>
      <c r="B273" s="1281" t="s">
        <v>2623</v>
      </c>
      <c r="C273" s="1281">
        <v>13</v>
      </c>
      <c r="D273" s="1281" t="s">
        <v>2686</v>
      </c>
      <c r="E273" s="1280" t="s">
        <v>3172</v>
      </c>
      <c r="F273" s="1282"/>
      <c r="G273" s="1281"/>
      <c r="H273" s="1281"/>
    </row>
    <row r="274" spans="1:8" x14ac:dyDescent="0.2">
      <c r="A274" s="1280" t="s">
        <v>3173</v>
      </c>
      <c r="B274" s="1281"/>
      <c r="C274" s="1281">
        <v>0</v>
      </c>
      <c r="D274" s="1281" t="s">
        <v>2650</v>
      </c>
      <c r="E274" s="1280" t="s">
        <v>3174</v>
      </c>
      <c r="F274" s="1282"/>
      <c r="G274" s="1281"/>
      <c r="H274" s="1281"/>
    </row>
    <row r="275" spans="1:8" x14ac:dyDescent="0.2">
      <c r="A275" s="1280" t="s">
        <v>3175</v>
      </c>
      <c r="B275" s="1281" t="s">
        <v>2623</v>
      </c>
      <c r="C275" s="1281">
        <v>0</v>
      </c>
      <c r="D275" s="1281" t="s">
        <v>2653</v>
      </c>
      <c r="E275" s="1280" t="s">
        <v>3176</v>
      </c>
      <c r="F275" s="1282"/>
      <c r="G275" s="1281"/>
      <c r="H275" s="1281"/>
    </row>
    <row r="276" spans="1:8" x14ac:dyDescent="0.2">
      <c r="A276" s="1280" t="s">
        <v>3177</v>
      </c>
      <c r="B276" s="1281" t="s">
        <v>2623</v>
      </c>
      <c r="C276" s="1281">
        <v>8</v>
      </c>
      <c r="D276" s="1281" t="s">
        <v>2686</v>
      </c>
      <c r="E276" s="1280" t="s">
        <v>3178</v>
      </c>
      <c r="F276" s="1282"/>
      <c r="G276" s="1281"/>
      <c r="H276" s="1281"/>
    </row>
    <row r="277" spans="1:8" x14ac:dyDescent="0.2">
      <c r="A277" s="1280" t="s">
        <v>3179</v>
      </c>
      <c r="B277" s="1281" t="s">
        <v>2623</v>
      </c>
      <c r="C277" s="1281">
        <v>0</v>
      </c>
      <c r="D277" s="1281"/>
      <c r="E277" s="1280" t="s">
        <v>3180</v>
      </c>
      <c r="F277" s="1282"/>
      <c r="G277" s="1281"/>
      <c r="H277" s="1281"/>
    </row>
    <row r="278" spans="1:8" x14ac:dyDescent="0.2">
      <c r="A278" s="1280" t="s">
        <v>3181</v>
      </c>
      <c r="B278" s="1281" t="s">
        <v>2623</v>
      </c>
      <c r="C278" s="1281">
        <v>15</v>
      </c>
      <c r="D278" s="1281" t="s">
        <v>2650</v>
      </c>
      <c r="E278" s="1280" t="s">
        <v>3182</v>
      </c>
      <c r="F278" s="1282"/>
      <c r="G278" s="1281"/>
      <c r="H278" s="1281"/>
    </row>
    <row r="279" spans="1:8" x14ac:dyDescent="0.2">
      <c r="A279" s="1280" t="s">
        <v>3183</v>
      </c>
      <c r="B279" s="1281"/>
      <c r="C279" s="1281">
        <v>0</v>
      </c>
      <c r="D279" s="1281" t="s">
        <v>2686</v>
      </c>
      <c r="E279" s="1280" t="s">
        <v>3184</v>
      </c>
      <c r="F279" s="1282"/>
      <c r="G279" s="1281"/>
      <c r="H279" s="1281">
        <v>1</v>
      </c>
    </row>
    <row r="280" spans="1:8" x14ac:dyDescent="0.2">
      <c r="A280" s="1280" t="s">
        <v>3185</v>
      </c>
      <c r="B280" s="1281" t="s">
        <v>2623</v>
      </c>
      <c r="C280" s="1281">
        <v>5</v>
      </c>
      <c r="D280" s="1281" t="s">
        <v>2667</v>
      </c>
      <c r="E280" s="1280" t="s">
        <v>3186</v>
      </c>
      <c r="F280" s="1282"/>
      <c r="G280" s="1281"/>
      <c r="H280" s="1281"/>
    </row>
    <row r="281" spans="1:8" x14ac:dyDescent="0.2">
      <c r="A281" s="1280" t="s">
        <v>3187</v>
      </c>
      <c r="B281" s="1281"/>
      <c r="C281" s="1281">
        <v>0</v>
      </c>
      <c r="D281" s="1281" t="s">
        <v>2653</v>
      </c>
      <c r="E281" s="1280" t="s">
        <v>3188</v>
      </c>
      <c r="F281" s="1282"/>
      <c r="G281" s="1281"/>
      <c r="H281" s="1281"/>
    </row>
    <row r="282" spans="1:8" x14ac:dyDescent="0.2">
      <c r="A282" s="1280" t="s">
        <v>3189</v>
      </c>
      <c r="B282" s="1281" t="s">
        <v>2623</v>
      </c>
      <c r="C282" s="1281">
        <v>0</v>
      </c>
      <c r="D282" s="1281" t="s">
        <v>2645</v>
      </c>
      <c r="E282" s="1280" t="s">
        <v>3190</v>
      </c>
      <c r="F282" s="1282"/>
      <c r="G282" s="1281"/>
      <c r="H282" s="1281"/>
    </row>
    <row r="283" spans="1:8" x14ac:dyDescent="0.2">
      <c r="A283" s="1280" t="s">
        <v>3191</v>
      </c>
      <c r="B283" s="1281" t="s">
        <v>2623</v>
      </c>
      <c r="C283" s="1281">
        <v>1</v>
      </c>
      <c r="D283" s="1281" t="s">
        <v>2650</v>
      </c>
      <c r="E283" s="1280" t="s">
        <v>3192</v>
      </c>
      <c r="F283" s="1282"/>
      <c r="G283" s="1281"/>
      <c r="H283" s="1281">
        <v>1</v>
      </c>
    </row>
    <row r="284" spans="1:8" x14ac:dyDescent="0.2">
      <c r="A284" s="1280" t="s">
        <v>3193</v>
      </c>
      <c r="B284" s="1281" t="s">
        <v>2623</v>
      </c>
      <c r="C284" s="1281">
        <v>11</v>
      </c>
      <c r="D284" s="1281" t="s">
        <v>2667</v>
      </c>
      <c r="E284" s="1280" t="s">
        <v>3194</v>
      </c>
      <c r="F284" s="1282"/>
      <c r="G284" s="1281"/>
      <c r="H284" s="1281"/>
    </row>
    <row r="285" spans="1:8" x14ac:dyDescent="0.2">
      <c r="A285" s="1280" t="s">
        <v>3195</v>
      </c>
      <c r="B285" s="1281"/>
      <c r="C285" s="1281">
        <v>0</v>
      </c>
      <c r="D285" s="1281" t="s">
        <v>2686</v>
      </c>
      <c r="E285" s="1280" t="s">
        <v>3196</v>
      </c>
      <c r="F285" s="1282"/>
      <c r="G285" s="1281"/>
      <c r="H285" s="1281">
        <v>1</v>
      </c>
    </row>
    <row r="286" spans="1:8" x14ac:dyDescent="0.2">
      <c r="A286" s="1280" t="s">
        <v>3197</v>
      </c>
      <c r="B286" s="1281" t="s">
        <v>2623</v>
      </c>
      <c r="C286" s="1281">
        <v>1</v>
      </c>
      <c r="D286" s="1281" t="s">
        <v>2650</v>
      </c>
      <c r="E286" s="1280" t="s">
        <v>3198</v>
      </c>
      <c r="F286" s="1282"/>
      <c r="G286" s="1281"/>
      <c r="H286" s="1281"/>
    </row>
    <row r="287" spans="1:8" x14ac:dyDescent="0.2">
      <c r="A287" s="1280" t="s">
        <v>3199</v>
      </c>
      <c r="B287" s="1281" t="s">
        <v>2623</v>
      </c>
      <c r="C287" s="1281">
        <v>0</v>
      </c>
      <c r="D287" s="1281" t="s">
        <v>2653</v>
      </c>
      <c r="E287" s="1280" t="s">
        <v>3200</v>
      </c>
      <c r="F287" s="1282"/>
      <c r="G287" s="1281"/>
      <c r="H287" s="1281">
        <v>1</v>
      </c>
    </row>
    <row r="288" spans="1:8" x14ac:dyDescent="0.2">
      <c r="A288" s="1280" t="s">
        <v>3201</v>
      </c>
      <c r="B288" s="1281" t="s">
        <v>2623</v>
      </c>
      <c r="C288" s="1281">
        <v>1</v>
      </c>
      <c r="D288" s="1281" t="s">
        <v>2686</v>
      </c>
      <c r="E288" s="1280"/>
      <c r="F288" s="1282"/>
      <c r="G288" s="1281"/>
      <c r="H288" s="1281"/>
    </row>
    <row r="289" spans="1:8" x14ac:dyDescent="0.2">
      <c r="A289" s="1280" t="s">
        <v>3202</v>
      </c>
      <c r="B289" s="1281"/>
      <c r="C289" s="1281">
        <v>0</v>
      </c>
      <c r="D289" s="1281" t="s">
        <v>2667</v>
      </c>
      <c r="E289" s="1280" t="s">
        <v>3203</v>
      </c>
      <c r="F289" s="1282"/>
      <c r="G289" s="1281"/>
      <c r="H289" s="1281"/>
    </row>
    <row r="290" spans="1:8" x14ac:dyDescent="0.2">
      <c r="A290" s="1280" t="s">
        <v>3204</v>
      </c>
      <c r="B290" s="1281"/>
      <c r="C290" s="1281">
        <v>0</v>
      </c>
      <c r="D290" s="1281" t="s">
        <v>2667</v>
      </c>
      <c r="E290" s="1280" t="s">
        <v>3205</v>
      </c>
      <c r="F290" s="1282"/>
      <c r="G290" s="1281"/>
      <c r="H290" s="1281"/>
    </row>
    <row r="291" spans="1:8" x14ac:dyDescent="0.2">
      <c r="A291" s="1280" t="s">
        <v>3206</v>
      </c>
      <c r="B291" s="1281" t="s">
        <v>2623</v>
      </c>
      <c r="C291" s="1281">
        <v>3</v>
      </c>
      <c r="D291" s="1281" t="s">
        <v>2667</v>
      </c>
      <c r="E291" s="1280" t="s">
        <v>3207</v>
      </c>
      <c r="F291" s="1282"/>
      <c r="G291" s="1281"/>
      <c r="H291" s="1281"/>
    </row>
    <row r="292" spans="1:8" x14ac:dyDescent="0.2">
      <c r="A292" s="1280" t="s">
        <v>3208</v>
      </c>
      <c r="B292" s="1281"/>
      <c r="C292" s="1281">
        <v>0</v>
      </c>
      <c r="D292" s="1281" t="s">
        <v>2667</v>
      </c>
      <c r="E292" s="1280" t="s">
        <v>3209</v>
      </c>
      <c r="F292" s="1282"/>
      <c r="G292" s="1281"/>
      <c r="H292" s="1281"/>
    </row>
    <row r="293" spans="1:8" x14ac:dyDescent="0.2">
      <c r="A293" s="1280" t="s">
        <v>3210</v>
      </c>
      <c r="B293" s="1281" t="s">
        <v>2623</v>
      </c>
      <c r="C293" s="1281">
        <v>0</v>
      </c>
      <c r="D293" s="1281" t="s">
        <v>2653</v>
      </c>
      <c r="E293" s="1280" t="s">
        <v>3211</v>
      </c>
      <c r="F293" s="1282"/>
      <c r="G293" s="1281"/>
      <c r="H293" s="1281"/>
    </row>
    <row r="294" spans="1:8" x14ac:dyDescent="0.2">
      <c r="A294" s="1280" t="s">
        <v>3212</v>
      </c>
      <c r="B294" s="1281"/>
      <c r="C294" s="1281">
        <v>0</v>
      </c>
      <c r="D294" s="1281" t="s">
        <v>2667</v>
      </c>
      <c r="E294" s="1280" t="s">
        <v>3213</v>
      </c>
      <c r="F294" s="1282"/>
      <c r="G294" s="1281"/>
      <c r="H294" s="1281">
        <v>1</v>
      </c>
    </row>
    <row r="295" spans="1:8" x14ac:dyDescent="0.2">
      <c r="A295" s="1280" t="s">
        <v>3214</v>
      </c>
      <c r="B295" s="1281" t="s">
        <v>2623</v>
      </c>
      <c r="C295" s="1281">
        <v>9</v>
      </c>
      <c r="D295" s="1281" t="s">
        <v>2686</v>
      </c>
      <c r="E295" s="1280" t="s">
        <v>3215</v>
      </c>
      <c r="F295" s="1282"/>
      <c r="G295" s="1281"/>
      <c r="H295" s="1281"/>
    </row>
    <row r="296" spans="1:8" x14ac:dyDescent="0.2">
      <c r="A296" s="1280" t="s">
        <v>3216</v>
      </c>
      <c r="B296" s="1281" t="s">
        <v>2623</v>
      </c>
      <c r="C296" s="1281">
        <v>10</v>
      </c>
      <c r="D296" s="1281" t="s">
        <v>2653</v>
      </c>
      <c r="E296" s="1280" t="s">
        <v>3217</v>
      </c>
      <c r="F296" s="1282"/>
      <c r="G296" s="1281"/>
      <c r="H296" s="1281"/>
    </row>
    <row r="297" spans="1:8" x14ac:dyDescent="0.2">
      <c r="A297" s="1280" t="s">
        <v>3218</v>
      </c>
      <c r="B297" s="1281"/>
      <c r="C297" s="1281">
        <v>0</v>
      </c>
      <c r="D297" s="1281" t="s">
        <v>2653</v>
      </c>
      <c r="E297" s="1280" t="s">
        <v>3219</v>
      </c>
      <c r="F297" s="1282"/>
      <c r="G297" s="1281"/>
      <c r="H297" s="1281"/>
    </row>
    <row r="298" spans="1:8" x14ac:dyDescent="0.2">
      <c r="A298" s="1280" t="s">
        <v>3220</v>
      </c>
      <c r="B298" s="1281" t="s">
        <v>2623</v>
      </c>
      <c r="C298" s="1281">
        <v>0</v>
      </c>
      <c r="D298" s="1281" t="s">
        <v>2686</v>
      </c>
      <c r="E298" s="1280" t="s">
        <v>3221</v>
      </c>
      <c r="F298" s="1282"/>
      <c r="G298" s="1281"/>
      <c r="H298" s="1281"/>
    </row>
    <row r="299" spans="1:8" x14ac:dyDescent="0.2">
      <c r="A299" s="1280" t="s">
        <v>3222</v>
      </c>
      <c r="B299" s="1281"/>
      <c r="C299" s="1281">
        <v>0</v>
      </c>
      <c r="D299" s="1281" t="s">
        <v>2650</v>
      </c>
      <c r="E299" s="1280" t="s">
        <v>3223</v>
      </c>
      <c r="F299" s="1282"/>
      <c r="G299" s="1281"/>
      <c r="H299" s="1281">
        <v>1</v>
      </c>
    </row>
    <row r="300" spans="1:8" x14ac:dyDescent="0.2">
      <c r="A300" s="1280" t="s">
        <v>3224</v>
      </c>
      <c r="B300" s="1281" t="s">
        <v>2623</v>
      </c>
      <c r="C300" s="1281">
        <v>4</v>
      </c>
      <c r="D300" s="1281" t="s">
        <v>2667</v>
      </c>
      <c r="E300" s="1280" t="s">
        <v>3225</v>
      </c>
      <c r="F300" s="1282"/>
      <c r="G300" s="1281"/>
      <c r="H300" s="1281">
        <v>1</v>
      </c>
    </row>
    <row r="301" spans="1:8" x14ac:dyDescent="0.2">
      <c r="A301" s="1280" t="s">
        <v>3226</v>
      </c>
      <c r="B301" s="1281" t="s">
        <v>2623</v>
      </c>
      <c r="C301" s="1281">
        <v>8</v>
      </c>
      <c r="D301" s="1281" t="s">
        <v>2686</v>
      </c>
      <c r="E301" s="1280" t="s">
        <v>3227</v>
      </c>
      <c r="F301" s="1282"/>
      <c r="G301" s="1281"/>
      <c r="H301" s="1281"/>
    </row>
    <row r="302" spans="1:8" x14ac:dyDescent="0.2">
      <c r="A302" s="1280" t="s">
        <v>3228</v>
      </c>
      <c r="B302" s="1281"/>
      <c r="C302" s="1281">
        <v>0</v>
      </c>
      <c r="D302" s="1281" t="s">
        <v>2667</v>
      </c>
      <c r="E302" s="1280" t="s">
        <v>3229</v>
      </c>
      <c r="F302" s="1282"/>
      <c r="G302" s="1281"/>
      <c r="H302" s="1281"/>
    </row>
    <row r="303" spans="1:8" x14ac:dyDescent="0.2">
      <c r="A303" s="1280" t="s">
        <v>3230</v>
      </c>
      <c r="B303" s="1281"/>
      <c r="C303" s="1281">
        <v>0</v>
      </c>
      <c r="D303" s="1281" t="s">
        <v>2686</v>
      </c>
      <c r="E303" s="1280" t="s">
        <v>3231</v>
      </c>
      <c r="F303" s="1282"/>
      <c r="G303" s="1281"/>
      <c r="H303" s="1281">
        <v>1</v>
      </c>
    </row>
    <row r="304" spans="1:8" x14ac:dyDescent="0.2">
      <c r="A304" s="1280" t="s">
        <v>3232</v>
      </c>
      <c r="B304" s="1281" t="s">
        <v>2623</v>
      </c>
      <c r="C304" s="1281">
        <v>0</v>
      </c>
      <c r="D304" s="1281" t="s">
        <v>2667</v>
      </c>
      <c r="E304" s="1280" t="s">
        <v>3233</v>
      </c>
      <c r="F304" s="1282"/>
      <c r="G304" s="1281"/>
      <c r="H304" s="1281"/>
    </row>
    <row r="305" spans="1:8" x14ac:dyDescent="0.2">
      <c r="A305" s="1280" t="s">
        <v>3234</v>
      </c>
      <c r="B305" s="1281"/>
      <c r="C305" s="1281">
        <v>0</v>
      </c>
      <c r="D305" s="1281" t="s">
        <v>2686</v>
      </c>
      <c r="E305" s="1280" t="s">
        <v>3235</v>
      </c>
      <c r="F305" s="1282"/>
      <c r="G305" s="1281"/>
      <c r="H305" s="1281"/>
    </row>
    <row r="306" spans="1:8" x14ac:dyDescent="0.2">
      <c r="A306" s="1280" t="s">
        <v>3236</v>
      </c>
      <c r="B306" s="1281" t="s">
        <v>2623</v>
      </c>
      <c r="C306" s="1281">
        <v>9</v>
      </c>
      <c r="D306" s="1281" t="s">
        <v>2667</v>
      </c>
      <c r="E306" s="1280" t="s">
        <v>3237</v>
      </c>
      <c r="F306" s="1282"/>
      <c r="G306" s="1281"/>
      <c r="H306" s="1281"/>
    </row>
    <row r="307" spans="1:8" x14ac:dyDescent="0.2">
      <c r="A307" s="1280" t="s">
        <v>3238</v>
      </c>
      <c r="B307" s="1281" t="s">
        <v>2623</v>
      </c>
      <c r="C307" s="1281">
        <v>0</v>
      </c>
      <c r="D307" s="1281" t="s">
        <v>2667</v>
      </c>
      <c r="E307" s="1280" t="s">
        <v>3239</v>
      </c>
      <c r="F307" s="1282"/>
      <c r="G307" s="1281"/>
      <c r="H307" s="1281"/>
    </row>
    <row r="308" spans="1:8" x14ac:dyDescent="0.2">
      <c r="A308" s="1280" t="s">
        <v>3240</v>
      </c>
      <c r="B308" s="1281" t="s">
        <v>2623</v>
      </c>
      <c r="C308" s="1281">
        <v>3</v>
      </c>
      <c r="D308" s="1281" t="s">
        <v>2667</v>
      </c>
      <c r="E308" s="1280" t="s">
        <v>3241</v>
      </c>
      <c r="F308" s="1282"/>
      <c r="G308" s="1281"/>
      <c r="H308" s="1281"/>
    </row>
    <row r="309" spans="1:8" x14ac:dyDescent="0.2">
      <c r="A309" s="1280" t="s">
        <v>3242</v>
      </c>
      <c r="B309" s="1281"/>
      <c r="C309" s="1281">
        <v>0</v>
      </c>
      <c r="D309" s="1281" t="s">
        <v>2650</v>
      </c>
      <c r="E309" s="1280" t="s">
        <v>3243</v>
      </c>
      <c r="F309" s="1282"/>
      <c r="G309" s="1281"/>
      <c r="H309" s="1281"/>
    </row>
    <row r="310" spans="1:8" x14ac:dyDescent="0.2">
      <c r="A310" s="1280" t="s">
        <v>3244</v>
      </c>
      <c r="B310" s="1281"/>
      <c r="C310" s="1281">
        <v>0</v>
      </c>
      <c r="D310" s="1281" t="s">
        <v>2667</v>
      </c>
      <c r="E310" s="1280"/>
      <c r="F310" s="1282"/>
      <c r="G310" s="1281"/>
      <c r="H310" s="1281"/>
    </row>
    <row r="311" spans="1:8" x14ac:dyDescent="0.2">
      <c r="A311" s="1280" t="s">
        <v>3245</v>
      </c>
      <c r="B311" s="1281" t="s">
        <v>2623</v>
      </c>
      <c r="C311" s="1281">
        <v>18</v>
      </c>
      <c r="D311" s="1281" t="s">
        <v>2645</v>
      </c>
      <c r="E311" s="1280" t="s">
        <v>3246</v>
      </c>
      <c r="F311" s="1282"/>
      <c r="G311" s="1281"/>
      <c r="H311" s="1281"/>
    </row>
    <row r="312" spans="1:8" x14ac:dyDescent="0.2">
      <c r="A312" s="1280" t="s">
        <v>3247</v>
      </c>
      <c r="B312" s="1281" t="s">
        <v>2623</v>
      </c>
      <c r="C312" s="1281">
        <v>3</v>
      </c>
      <c r="D312" s="1281" t="s">
        <v>2653</v>
      </c>
      <c r="E312" s="1280" t="s">
        <v>3248</v>
      </c>
      <c r="F312" s="1282"/>
      <c r="G312" s="1281"/>
      <c r="H312" s="1281"/>
    </row>
    <row r="313" spans="1:8" x14ac:dyDescent="0.2">
      <c r="A313" s="1280" t="s">
        <v>3249</v>
      </c>
      <c r="B313" s="1281"/>
      <c r="C313" s="1281">
        <v>0</v>
      </c>
      <c r="D313" s="1281" t="s">
        <v>2650</v>
      </c>
      <c r="E313" s="1280" t="s">
        <v>3250</v>
      </c>
      <c r="F313" s="1282"/>
      <c r="G313" s="1281"/>
      <c r="H313" s="1281"/>
    </row>
    <row r="314" spans="1:8" x14ac:dyDescent="0.2">
      <c r="A314" s="1280" t="s">
        <v>3251</v>
      </c>
      <c r="B314" s="1281" t="s">
        <v>2623</v>
      </c>
      <c r="C314" s="1281">
        <v>26</v>
      </c>
      <c r="D314" s="1281" t="s">
        <v>2650</v>
      </c>
      <c r="E314" s="1280" t="s">
        <v>3252</v>
      </c>
      <c r="F314" s="1282"/>
      <c r="G314" s="1281"/>
      <c r="H314" s="1281"/>
    </row>
    <row r="315" spans="1:8" x14ac:dyDescent="0.2">
      <c r="A315" s="1280" t="s">
        <v>3253</v>
      </c>
      <c r="B315" s="1281"/>
      <c r="C315" s="1281">
        <v>0</v>
      </c>
      <c r="D315" s="1281" t="s">
        <v>2667</v>
      </c>
      <c r="E315" s="1280" t="s">
        <v>3254</v>
      </c>
      <c r="F315" s="1282"/>
      <c r="G315" s="1281"/>
      <c r="H315" s="1281">
        <v>1</v>
      </c>
    </row>
    <row r="316" spans="1:8" x14ac:dyDescent="0.2">
      <c r="A316" s="1280" t="s">
        <v>3255</v>
      </c>
      <c r="B316" s="1281" t="s">
        <v>2623</v>
      </c>
      <c r="C316" s="1281">
        <v>24</v>
      </c>
      <c r="D316" s="1281" t="s">
        <v>2653</v>
      </c>
      <c r="E316" s="1280" t="s">
        <v>3256</v>
      </c>
      <c r="F316" s="1282"/>
      <c r="G316" s="1281"/>
      <c r="H316" s="1281"/>
    </row>
    <row r="317" spans="1:8" x14ac:dyDescent="0.2">
      <c r="A317" s="1280" t="s">
        <v>3257</v>
      </c>
      <c r="B317" s="1281" t="s">
        <v>2623</v>
      </c>
      <c r="C317" s="1281">
        <v>14</v>
      </c>
      <c r="D317" s="1281" t="s">
        <v>2686</v>
      </c>
      <c r="E317" s="1280" t="s">
        <v>3258</v>
      </c>
      <c r="F317" s="1282"/>
      <c r="G317" s="1281"/>
      <c r="H317" s="1281">
        <v>1</v>
      </c>
    </row>
    <row r="318" spans="1:8" x14ac:dyDescent="0.2">
      <c r="A318" s="1280" t="s">
        <v>3259</v>
      </c>
      <c r="B318" s="1281" t="s">
        <v>2623</v>
      </c>
      <c r="C318" s="1281">
        <v>0</v>
      </c>
      <c r="D318" s="1281" t="s">
        <v>2650</v>
      </c>
      <c r="E318" s="1280" t="s">
        <v>3260</v>
      </c>
      <c r="F318" s="1282"/>
      <c r="G318" s="1281"/>
      <c r="H318" s="1281"/>
    </row>
    <row r="319" spans="1:8" x14ac:dyDescent="0.2">
      <c r="A319" s="1280" t="s">
        <v>3261</v>
      </c>
      <c r="B319" s="1281" t="s">
        <v>2623</v>
      </c>
      <c r="C319" s="1281">
        <v>0</v>
      </c>
      <c r="D319" s="1281" t="s">
        <v>2650</v>
      </c>
      <c r="E319" s="1280" t="s">
        <v>3262</v>
      </c>
      <c r="F319" s="1282"/>
      <c r="G319" s="1281"/>
      <c r="H319" s="1281"/>
    </row>
    <row r="320" spans="1:8" x14ac:dyDescent="0.2">
      <c r="A320" s="1280" t="s">
        <v>3263</v>
      </c>
      <c r="B320" s="1281" t="s">
        <v>2623</v>
      </c>
      <c r="C320" s="1281">
        <v>33</v>
      </c>
      <c r="D320" s="1281" t="s">
        <v>2650</v>
      </c>
      <c r="E320" s="1280" t="s">
        <v>3264</v>
      </c>
      <c r="F320" s="1282"/>
      <c r="G320" s="1281"/>
      <c r="H320" s="1281"/>
    </row>
    <row r="321" spans="1:8" x14ac:dyDescent="0.2">
      <c r="A321" s="1280" t="s">
        <v>3265</v>
      </c>
      <c r="B321" s="1281"/>
      <c r="C321" s="1281">
        <v>0</v>
      </c>
      <c r="D321" s="1281" t="s">
        <v>2667</v>
      </c>
      <c r="E321" s="1280" t="s">
        <v>3266</v>
      </c>
      <c r="F321" s="1282"/>
      <c r="G321" s="1281"/>
      <c r="H321" s="1281">
        <v>1</v>
      </c>
    </row>
    <row r="322" spans="1:8" x14ac:dyDescent="0.2">
      <c r="A322" s="1280" t="s">
        <v>3267</v>
      </c>
      <c r="B322" s="1281" t="s">
        <v>2623</v>
      </c>
      <c r="C322" s="1281">
        <v>5</v>
      </c>
      <c r="D322" s="1281" t="s">
        <v>2650</v>
      </c>
      <c r="E322" s="1280" t="s">
        <v>3268</v>
      </c>
      <c r="F322" s="1282"/>
      <c r="G322" s="1281"/>
      <c r="H322" s="1281"/>
    </row>
    <row r="323" spans="1:8" x14ac:dyDescent="0.2">
      <c r="A323" s="1280" t="s">
        <v>3269</v>
      </c>
      <c r="B323" s="1281" t="s">
        <v>2623</v>
      </c>
      <c r="C323" s="1281">
        <v>9</v>
      </c>
      <c r="D323" s="1281" t="s">
        <v>2650</v>
      </c>
      <c r="E323" s="1280" t="s">
        <v>3270</v>
      </c>
      <c r="F323" s="1282"/>
      <c r="G323" s="1281"/>
      <c r="H323" s="1281"/>
    </row>
    <row r="324" spans="1:8" x14ac:dyDescent="0.2">
      <c r="A324" s="1280" t="s">
        <v>3271</v>
      </c>
      <c r="B324" s="1281" t="s">
        <v>2623</v>
      </c>
      <c r="C324" s="1281">
        <v>1</v>
      </c>
      <c r="D324" s="1281" t="s">
        <v>2686</v>
      </c>
      <c r="E324" s="1280" t="s">
        <v>3272</v>
      </c>
      <c r="F324" s="1282"/>
      <c r="G324" s="1281"/>
      <c r="H324" s="1281"/>
    </row>
    <row r="325" spans="1:8" x14ac:dyDescent="0.2">
      <c r="A325" s="1280" t="s">
        <v>3273</v>
      </c>
      <c r="B325" s="1281" t="s">
        <v>2623</v>
      </c>
      <c r="C325" s="1281">
        <v>7</v>
      </c>
      <c r="D325" s="1281" t="s">
        <v>2653</v>
      </c>
      <c r="E325" s="1280" t="s">
        <v>3274</v>
      </c>
      <c r="F325" s="1282" t="s">
        <v>2659</v>
      </c>
      <c r="G325" s="1281" t="s">
        <v>2659</v>
      </c>
      <c r="H325" s="1281"/>
    </row>
    <row r="326" spans="1:8" x14ac:dyDescent="0.2">
      <c r="A326" s="1280" t="s">
        <v>3275</v>
      </c>
      <c r="B326" s="1281" t="s">
        <v>2623</v>
      </c>
      <c r="C326" s="1281">
        <v>1</v>
      </c>
      <c r="D326" s="1281" t="s">
        <v>2645</v>
      </c>
      <c r="E326" s="1280" t="s">
        <v>3276</v>
      </c>
      <c r="F326" s="1282" t="s">
        <v>2659</v>
      </c>
      <c r="G326" s="1281"/>
      <c r="H326" s="1281"/>
    </row>
    <row r="327" spans="1:8" x14ac:dyDescent="0.2">
      <c r="A327" s="1280" t="s">
        <v>3277</v>
      </c>
      <c r="B327" s="1281"/>
      <c r="C327" s="1281">
        <v>0</v>
      </c>
      <c r="D327" s="1281" t="s">
        <v>2686</v>
      </c>
      <c r="E327" s="1280" t="s">
        <v>3278</v>
      </c>
      <c r="F327" s="1282"/>
      <c r="G327" s="1281"/>
      <c r="H327" s="1281"/>
    </row>
    <row r="328" spans="1:8" x14ac:dyDescent="0.2">
      <c r="A328" s="1280" t="s">
        <v>3279</v>
      </c>
      <c r="B328" s="1281"/>
      <c r="C328" s="1281">
        <v>0</v>
      </c>
      <c r="D328" s="1281" t="s">
        <v>2667</v>
      </c>
      <c r="E328" s="1280" t="s">
        <v>3280</v>
      </c>
      <c r="F328" s="1282"/>
      <c r="G328" s="1281"/>
      <c r="H328" s="1281"/>
    </row>
    <row r="329" spans="1:8" x14ac:dyDescent="0.2">
      <c r="A329" s="1280" t="s">
        <v>3281</v>
      </c>
      <c r="B329" s="1281" t="s">
        <v>2623</v>
      </c>
      <c r="C329" s="1281">
        <v>8</v>
      </c>
      <c r="D329" s="1281"/>
      <c r="E329" s="1280" t="s">
        <v>3282</v>
      </c>
      <c r="F329" s="1282"/>
      <c r="G329" s="1281"/>
      <c r="H329" s="1281"/>
    </row>
    <row r="330" spans="1:8" x14ac:dyDescent="0.2">
      <c r="A330" s="1280" t="s">
        <v>3283</v>
      </c>
      <c r="B330" s="1281"/>
      <c r="C330" s="1281">
        <v>0</v>
      </c>
      <c r="D330" s="1281" t="s">
        <v>2686</v>
      </c>
      <c r="E330" s="1280" t="s">
        <v>3284</v>
      </c>
      <c r="F330" s="1282"/>
      <c r="G330" s="1281"/>
      <c r="H330" s="1281"/>
    </row>
    <row r="331" spans="1:8" x14ac:dyDescent="0.2">
      <c r="A331" s="1280" t="s">
        <v>3285</v>
      </c>
      <c r="B331" s="1281" t="s">
        <v>2623</v>
      </c>
      <c r="C331" s="1281">
        <v>0</v>
      </c>
      <c r="D331" s="1281" t="s">
        <v>2653</v>
      </c>
      <c r="E331" s="1280" t="s">
        <v>3286</v>
      </c>
      <c r="F331" s="1282"/>
      <c r="G331" s="1281"/>
      <c r="H331" s="1281"/>
    </row>
    <row r="332" spans="1:8" x14ac:dyDescent="0.2">
      <c r="A332" s="1280" t="s">
        <v>3287</v>
      </c>
      <c r="B332" s="1281" t="s">
        <v>2623</v>
      </c>
      <c r="C332" s="1281">
        <v>6</v>
      </c>
      <c r="D332" s="1281" t="s">
        <v>2650</v>
      </c>
      <c r="E332" s="1280" t="s">
        <v>3288</v>
      </c>
      <c r="F332" s="1282"/>
      <c r="G332" s="1281"/>
      <c r="H332" s="1281"/>
    </row>
    <row r="333" spans="1:8" x14ac:dyDescent="0.2">
      <c r="A333" s="1280" t="s">
        <v>3289</v>
      </c>
      <c r="B333" s="1281" t="s">
        <v>2623</v>
      </c>
      <c r="C333" s="1281">
        <v>1</v>
      </c>
      <c r="D333" s="1281" t="s">
        <v>2653</v>
      </c>
      <c r="E333" s="1280" t="s">
        <v>3290</v>
      </c>
      <c r="F333" s="1282" t="s">
        <v>2659</v>
      </c>
      <c r="G333" s="1281"/>
      <c r="H333" s="1281"/>
    </row>
    <row r="334" spans="1:8" x14ac:dyDescent="0.2">
      <c r="A334" s="1280" t="s">
        <v>3291</v>
      </c>
      <c r="B334" s="1281"/>
      <c r="C334" s="1281">
        <v>0</v>
      </c>
      <c r="D334" s="1281" t="s">
        <v>2650</v>
      </c>
      <c r="E334" s="1280" t="s">
        <v>3292</v>
      </c>
      <c r="F334" s="1282" t="s">
        <v>2659</v>
      </c>
      <c r="G334" s="1281"/>
      <c r="H334" s="1281"/>
    </row>
    <row r="335" spans="1:8" x14ac:dyDescent="0.2">
      <c r="A335" s="1280" t="s">
        <v>3293</v>
      </c>
      <c r="B335" s="1281" t="s">
        <v>2623</v>
      </c>
      <c r="C335" s="1281">
        <v>0</v>
      </c>
      <c r="D335" s="1281" t="s">
        <v>2653</v>
      </c>
      <c r="E335" s="1280" t="s">
        <v>3294</v>
      </c>
      <c r="F335" s="1282" t="s">
        <v>2659</v>
      </c>
      <c r="G335" s="1281"/>
      <c r="H335" s="1281"/>
    </row>
    <row r="336" spans="1:8" x14ac:dyDescent="0.2">
      <c r="A336" s="1280" t="s">
        <v>3295</v>
      </c>
      <c r="B336" s="1281"/>
      <c r="C336" s="1281">
        <v>0</v>
      </c>
      <c r="D336" s="1281" t="s">
        <v>2667</v>
      </c>
      <c r="E336" s="1280" t="s">
        <v>3296</v>
      </c>
      <c r="F336" s="1282" t="s">
        <v>2659</v>
      </c>
      <c r="G336" s="1281"/>
      <c r="H336" s="1281"/>
    </row>
    <row r="337" spans="1:8" x14ac:dyDescent="0.2">
      <c r="A337" s="1280" t="s">
        <v>3297</v>
      </c>
      <c r="B337" s="1281" t="s">
        <v>2623</v>
      </c>
      <c r="C337" s="1281">
        <v>0</v>
      </c>
      <c r="D337" s="1281" t="s">
        <v>2667</v>
      </c>
      <c r="E337" s="1280" t="s">
        <v>3298</v>
      </c>
      <c r="F337" s="1282"/>
      <c r="G337" s="1281"/>
      <c r="H337" s="1281"/>
    </row>
    <row r="338" spans="1:8" x14ac:dyDescent="0.2">
      <c r="A338" s="1280" t="s">
        <v>3299</v>
      </c>
      <c r="B338" s="1281"/>
      <c r="C338" s="1281">
        <v>0</v>
      </c>
      <c r="D338" s="1281" t="s">
        <v>2650</v>
      </c>
      <c r="E338" s="1280" t="s">
        <v>3300</v>
      </c>
      <c r="F338" s="1282"/>
      <c r="G338" s="1281"/>
      <c r="H338" s="1281"/>
    </row>
    <row r="339" spans="1:8" x14ac:dyDescent="0.2">
      <c r="A339" s="1280" t="s">
        <v>3301</v>
      </c>
      <c r="B339" s="1281"/>
      <c r="C339" s="1281">
        <v>0</v>
      </c>
      <c r="D339" s="1281" t="s">
        <v>2667</v>
      </c>
      <c r="E339" s="1280" t="s">
        <v>3302</v>
      </c>
      <c r="F339" s="1282"/>
      <c r="G339" s="1281"/>
      <c r="H339" s="1281">
        <v>1</v>
      </c>
    </row>
    <row r="340" spans="1:8" x14ac:dyDescent="0.2">
      <c r="A340" s="1280" t="s">
        <v>3303</v>
      </c>
      <c r="B340" s="1281" t="s">
        <v>2623</v>
      </c>
      <c r="C340" s="1281">
        <v>6</v>
      </c>
      <c r="D340" s="1281" t="s">
        <v>2667</v>
      </c>
      <c r="E340" s="1280" t="s">
        <v>3304</v>
      </c>
      <c r="F340" s="1282"/>
      <c r="G340" s="1281"/>
      <c r="H340" s="1281"/>
    </row>
    <row r="341" spans="1:8" x14ac:dyDescent="0.2">
      <c r="A341" s="1280" t="s">
        <v>3305</v>
      </c>
      <c r="B341" s="1281"/>
      <c r="C341" s="1281">
        <v>0</v>
      </c>
      <c r="D341" s="1281" t="s">
        <v>2667</v>
      </c>
      <c r="E341" s="1280" t="s">
        <v>3306</v>
      </c>
      <c r="F341" s="1282"/>
      <c r="G341" s="1281"/>
      <c r="H341" s="1281"/>
    </row>
    <row r="342" spans="1:8" x14ac:dyDescent="0.2">
      <c r="A342" s="1280" t="s">
        <v>3307</v>
      </c>
      <c r="B342" s="1281"/>
      <c r="C342" s="1281">
        <v>0</v>
      </c>
      <c r="D342" s="1281" t="s">
        <v>2667</v>
      </c>
      <c r="E342" s="1280" t="s">
        <v>3308</v>
      </c>
      <c r="F342" s="1282"/>
      <c r="G342" s="1281"/>
      <c r="H342" s="1281"/>
    </row>
    <row r="343" spans="1:8" x14ac:dyDescent="0.2">
      <c r="A343" s="1280" t="s">
        <v>3309</v>
      </c>
      <c r="B343" s="1281" t="s">
        <v>2623</v>
      </c>
      <c r="C343" s="1281">
        <v>1</v>
      </c>
      <c r="D343" s="1281" t="s">
        <v>2667</v>
      </c>
      <c r="E343" s="1280" t="s">
        <v>3310</v>
      </c>
      <c r="F343" s="1282"/>
      <c r="G343" s="1281"/>
      <c r="H343" s="1281"/>
    </row>
    <row r="344" spans="1:8" x14ac:dyDescent="0.2">
      <c r="A344" s="1280" t="s">
        <v>3311</v>
      </c>
      <c r="B344" s="1281" t="s">
        <v>2623</v>
      </c>
      <c r="C344" s="1281">
        <v>7</v>
      </c>
      <c r="D344" s="1281" t="s">
        <v>2686</v>
      </c>
      <c r="E344" s="1280" t="s">
        <v>3312</v>
      </c>
      <c r="F344" s="1282"/>
      <c r="G344" s="1281"/>
      <c r="H344" s="1281"/>
    </row>
    <row r="345" spans="1:8" x14ac:dyDescent="0.2">
      <c r="A345" s="1280" t="s">
        <v>3313</v>
      </c>
      <c r="B345" s="1281" t="s">
        <v>2623</v>
      </c>
      <c r="C345" s="1281">
        <v>5</v>
      </c>
      <c r="D345" s="1281" t="s">
        <v>2650</v>
      </c>
      <c r="E345" s="1280" t="s">
        <v>3314</v>
      </c>
      <c r="F345" s="1282" t="s">
        <v>2659</v>
      </c>
      <c r="G345" s="1281" t="s">
        <v>2659</v>
      </c>
      <c r="H345" s="1281"/>
    </row>
    <row r="346" spans="1:8" x14ac:dyDescent="0.2">
      <c r="A346" s="1280" t="s">
        <v>3315</v>
      </c>
      <c r="B346" s="1281" t="s">
        <v>2623</v>
      </c>
      <c r="C346" s="1281">
        <v>0</v>
      </c>
      <c r="D346" s="1281" t="s">
        <v>2650</v>
      </c>
      <c r="E346" s="1280" t="s">
        <v>3316</v>
      </c>
      <c r="F346" s="1282"/>
      <c r="G346" s="1281"/>
      <c r="H346" s="1281">
        <v>1</v>
      </c>
    </row>
    <row r="347" spans="1:8" x14ac:dyDescent="0.2">
      <c r="A347" s="1280" t="s">
        <v>3317</v>
      </c>
      <c r="B347" s="1281" t="s">
        <v>2623</v>
      </c>
      <c r="C347" s="1281">
        <v>0</v>
      </c>
      <c r="D347" s="1281" t="s">
        <v>2653</v>
      </c>
      <c r="E347" s="1280" t="s">
        <v>3318</v>
      </c>
      <c r="F347" s="1282"/>
      <c r="G347" s="1281"/>
      <c r="H347" s="1281">
        <v>1</v>
      </c>
    </row>
    <row r="348" spans="1:8" x14ac:dyDescent="0.2">
      <c r="A348" s="1280" t="s">
        <v>3319</v>
      </c>
      <c r="B348" s="1281" t="s">
        <v>2623</v>
      </c>
      <c r="C348" s="1281">
        <v>2</v>
      </c>
      <c r="D348" s="1281" t="s">
        <v>2645</v>
      </c>
      <c r="E348" s="1280" t="s">
        <v>3320</v>
      </c>
      <c r="F348" s="1282" t="s">
        <v>2659</v>
      </c>
      <c r="G348" s="1281"/>
      <c r="H348" s="1281"/>
    </row>
    <row r="349" spans="1:8" x14ac:dyDescent="0.2">
      <c r="A349" s="1280" t="s">
        <v>3321</v>
      </c>
      <c r="B349" s="1281"/>
      <c r="C349" s="1281">
        <v>0</v>
      </c>
      <c r="D349" s="1281" t="s">
        <v>2650</v>
      </c>
      <c r="E349" s="1280" t="s">
        <v>3322</v>
      </c>
      <c r="F349" s="1282"/>
      <c r="G349" s="1281"/>
      <c r="H349" s="1281">
        <v>1</v>
      </c>
    </row>
    <row r="350" spans="1:8" x14ac:dyDescent="0.2">
      <c r="A350" s="1280" t="s">
        <v>3323</v>
      </c>
      <c r="B350" s="1281"/>
      <c r="C350" s="1281">
        <v>0</v>
      </c>
      <c r="D350" s="1281" t="s">
        <v>2653</v>
      </c>
      <c r="E350" s="1280" t="s">
        <v>3324</v>
      </c>
      <c r="F350" s="1282"/>
      <c r="G350" s="1281"/>
      <c r="H350" s="1281"/>
    </row>
    <row r="351" spans="1:8" x14ac:dyDescent="0.2">
      <c r="A351" s="1280" t="s">
        <v>3325</v>
      </c>
      <c r="B351" s="1281"/>
      <c r="C351" s="1281">
        <v>0</v>
      </c>
      <c r="D351" s="1281" t="s">
        <v>2686</v>
      </c>
      <c r="E351" s="1280" t="s">
        <v>3326</v>
      </c>
      <c r="F351" s="1282"/>
      <c r="G351" s="1281"/>
      <c r="H351" s="1281"/>
    </row>
    <row r="352" spans="1:8" x14ac:dyDescent="0.2">
      <c r="A352" s="1280" t="s">
        <v>3327</v>
      </c>
      <c r="B352" s="1281" t="s">
        <v>2623</v>
      </c>
      <c r="C352" s="1281">
        <v>0</v>
      </c>
      <c r="D352" s="1281" t="s">
        <v>2650</v>
      </c>
      <c r="E352" s="1280" t="s">
        <v>3328</v>
      </c>
      <c r="F352" s="1282"/>
      <c r="G352" s="1281"/>
      <c r="H352" s="1281"/>
    </row>
    <row r="353" spans="1:8" x14ac:dyDescent="0.2">
      <c r="A353" s="1280" t="s">
        <v>3329</v>
      </c>
      <c r="B353" s="1281" t="s">
        <v>2623</v>
      </c>
      <c r="C353" s="1281">
        <v>19</v>
      </c>
      <c r="D353" s="1281" t="s">
        <v>2686</v>
      </c>
      <c r="E353" s="1280" t="s">
        <v>3330</v>
      </c>
      <c r="F353" s="1282"/>
      <c r="G353" s="1281"/>
      <c r="H353" s="1281"/>
    </row>
    <row r="354" spans="1:8" x14ac:dyDescent="0.2">
      <c r="A354" s="1280" t="s">
        <v>3331</v>
      </c>
      <c r="B354" s="1281" t="s">
        <v>2623</v>
      </c>
      <c r="C354" s="1281">
        <v>0</v>
      </c>
      <c r="D354" s="1281" t="s">
        <v>2686</v>
      </c>
      <c r="E354" s="1280" t="s">
        <v>3332</v>
      </c>
      <c r="F354" s="1282"/>
      <c r="G354" s="1281"/>
      <c r="H354" s="1281"/>
    </row>
    <row r="355" spans="1:8" x14ac:dyDescent="0.2">
      <c r="A355" s="1280" t="s">
        <v>3333</v>
      </c>
      <c r="B355" s="1281" t="s">
        <v>2623</v>
      </c>
      <c r="C355" s="1281">
        <v>0</v>
      </c>
      <c r="D355" s="1281" t="s">
        <v>2650</v>
      </c>
      <c r="E355" s="1280" t="s">
        <v>3334</v>
      </c>
      <c r="F355" s="1282"/>
      <c r="G355" s="1281"/>
      <c r="H355" s="1281"/>
    </row>
    <row r="356" spans="1:8" x14ac:dyDescent="0.2">
      <c r="A356" s="1280" t="s">
        <v>3335</v>
      </c>
      <c r="B356" s="1281" t="s">
        <v>2623</v>
      </c>
      <c r="C356" s="1281">
        <v>0</v>
      </c>
      <c r="D356" s="1281" t="s">
        <v>2686</v>
      </c>
      <c r="E356" s="1280" t="s">
        <v>3336</v>
      </c>
      <c r="F356" s="1282"/>
      <c r="G356" s="1281"/>
      <c r="H356" s="1281"/>
    </row>
    <row r="357" spans="1:8" x14ac:dyDescent="0.2">
      <c r="A357" s="1280" t="s">
        <v>3337</v>
      </c>
      <c r="B357" s="1281" t="s">
        <v>2623</v>
      </c>
      <c r="C357" s="1281">
        <v>10</v>
      </c>
      <c r="D357" s="1281" t="s">
        <v>2686</v>
      </c>
      <c r="E357" s="1280"/>
      <c r="F357" s="1282"/>
      <c r="G357" s="1281"/>
      <c r="H357" s="1281"/>
    </row>
    <row r="358" spans="1:8" x14ac:dyDescent="0.2">
      <c r="A358" s="1280" t="s">
        <v>3338</v>
      </c>
      <c r="B358" s="1281"/>
      <c r="C358" s="1281">
        <v>0</v>
      </c>
      <c r="D358" s="1281" t="s">
        <v>2686</v>
      </c>
      <c r="E358" s="1280" t="s">
        <v>3339</v>
      </c>
      <c r="F358" s="1282"/>
      <c r="G358" s="1281"/>
      <c r="H358" s="1281">
        <v>1</v>
      </c>
    </row>
    <row r="359" spans="1:8" x14ac:dyDescent="0.2">
      <c r="A359" s="1280" t="s">
        <v>3340</v>
      </c>
      <c r="B359" s="1281" t="s">
        <v>2623</v>
      </c>
      <c r="C359" s="1281">
        <v>4</v>
      </c>
      <c r="D359" s="1281" t="s">
        <v>2686</v>
      </c>
      <c r="E359" s="1280" t="s">
        <v>3341</v>
      </c>
      <c r="F359" s="1282"/>
      <c r="G359" s="1281"/>
      <c r="H359" s="1281"/>
    </row>
    <row r="360" spans="1:8" x14ac:dyDescent="0.2">
      <c r="A360" s="1280" t="s">
        <v>3342</v>
      </c>
      <c r="B360" s="1281" t="s">
        <v>2623</v>
      </c>
      <c r="C360" s="1281">
        <v>0</v>
      </c>
      <c r="D360" s="1281" t="s">
        <v>2653</v>
      </c>
      <c r="E360" s="1280" t="s">
        <v>3343</v>
      </c>
      <c r="F360" s="1282" t="s">
        <v>2659</v>
      </c>
      <c r="G360" s="1281"/>
      <c r="H360" s="1281"/>
    </row>
    <row r="361" spans="1:8" x14ac:dyDescent="0.2">
      <c r="A361" s="1280" t="s">
        <v>3344</v>
      </c>
      <c r="B361" s="1281"/>
      <c r="C361" s="1281">
        <v>0</v>
      </c>
      <c r="D361" s="1281" t="s">
        <v>2653</v>
      </c>
      <c r="E361" s="1280" t="s">
        <v>3345</v>
      </c>
      <c r="F361" s="1282"/>
      <c r="G361" s="1281"/>
      <c r="H361" s="1281"/>
    </row>
    <row r="362" spans="1:8" x14ac:dyDescent="0.2">
      <c r="A362" s="1280" t="s">
        <v>3346</v>
      </c>
      <c r="B362" s="1281" t="s">
        <v>2623</v>
      </c>
      <c r="C362" s="1281">
        <v>3</v>
      </c>
      <c r="D362" s="1281" t="s">
        <v>2667</v>
      </c>
      <c r="E362" s="1280" t="s">
        <v>3347</v>
      </c>
      <c r="F362" s="1282"/>
      <c r="G362" s="1281"/>
      <c r="H362" s="1281"/>
    </row>
    <row r="363" spans="1:8" x14ac:dyDescent="0.2">
      <c r="A363" s="1280" t="s">
        <v>3348</v>
      </c>
      <c r="B363" s="1281" t="s">
        <v>2623</v>
      </c>
      <c r="C363" s="1281">
        <v>0</v>
      </c>
      <c r="D363" s="1281" t="s">
        <v>2686</v>
      </c>
      <c r="E363" s="1280" t="s">
        <v>3349</v>
      </c>
      <c r="F363" s="1282"/>
      <c r="G363" s="1281"/>
      <c r="H363" s="1281"/>
    </row>
    <row r="364" spans="1:8" x14ac:dyDescent="0.2">
      <c r="A364" s="1280" t="s">
        <v>3350</v>
      </c>
      <c r="B364" s="1281" t="s">
        <v>2623</v>
      </c>
      <c r="C364" s="1281">
        <v>12</v>
      </c>
      <c r="D364" s="1281" t="s">
        <v>2686</v>
      </c>
      <c r="E364" s="1280" t="s">
        <v>3349</v>
      </c>
      <c r="F364" s="1282"/>
      <c r="G364" s="1281"/>
      <c r="H364" s="1281"/>
    </row>
    <row r="365" spans="1:8" x14ac:dyDescent="0.2">
      <c r="A365" s="1280" t="s">
        <v>3351</v>
      </c>
      <c r="B365" s="1281" t="s">
        <v>2623</v>
      </c>
      <c r="C365" s="1281">
        <v>0</v>
      </c>
      <c r="D365" s="1281" t="s">
        <v>2645</v>
      </c>
      <c r="E365" s="1280" t="s">
        <v>3352</v>
      </c>
      <c r="F365" s="1282" t="s">
        <v>2659</v>
      </c>
      <c r="G365" s="1281"/>
      <c r="H365" s="1281"/>
    </row>
    <row r="366" spans="1:8" x14ac:dyDescent="0.2">
      <c r="A366" s="1280" t="s">
        <v>3353</v>
      </c>
      <c r="B366" s="1281" t="s">
        <v>2623</v>
      </c>
      <c r="C366" s="1281">
        <v>7</v>
      </c>
      <c r="D366" s="1281" t="s">
        <v>2650</v>
      </c>
      <c r="E366" s="1280" t="s">
        <v>3354</v>
      </c>
      <c r="F366" s="1282"/>
      <c r="G366" s="1281"/>
      <c r="H366" s="1281"/>
    </row>
    <row r="367" spans="1:8" x14ac:dyDescent="0.2">
      <c r="A367" s="1280" t="s">
        <v>3355</v>
      </c>
      <c r="B367" s="1281" t="s">
        <v>2623</v>
      </c>
      <c r="C367" s="1281">
        <v>11</v>
      </c>
      <c r="D367" s="1281" t="s">
        <v>2650</v>
      </c>
      <c r="E367" s="1280" t="s">
        <v>3356</v>
      </c>
      <c r="F367" s="1282"/>
      <c r="G367" s="1281"/>
      <c r="H367" s="1281"/>
    </row>
    <row r="368" spans="1:8" x14ac:dyDescent="0.2">
      <c r="A368" s="1280" t="s">
        <v>3357</v>
      </c>
      <c r="B368" s="1281" t="s">
        <v>2623</v>
      </c>
      <c r="C368" s="1281">
        <v>0</v>
      </c>
      <c r="D368" s="1281" t="s">
        <v>2645</v>
      </c>
      <c r="E368" s="1280" t="s">
        <v>3358</v>
      </c>
      <c r="F368" s="1282"/>
      <c r="G368" s="1281"/>
      <c r="H368" s="1281"/>
    </row>
    <row r="369" spans="1:8" x14ac:dyDescent="0.2">
      <c r="A369" s="1280" t="s">
        <v>3359</v>
      </c>
      <c r="B369" s="1281" t="s">
        <v>2623</v>
      </c>
      <c r="C369" s="1281">
        <v>1</v>
      </c>
      <c r="D369" s="1281" t="s">
        <v>2686</v>
      </c>
      <c r="E369" s="1280" t="s">
        <v>3360</v>
      </c>
      <c r="F369" s="1282"/>
      <c r="G369" s="1281"/>
      <c r="H369" s="1281"/>
    </row>
    <row r="370" spans="1:8" x14ac:dyDescent="0.2">
      <c r="A370" s="1280" t="s">
        <v>3361</v>
      </c>
      <c r="B370" s="1281" t="s">
        <v>2623</v>
      </c>
      <c r="C370" s="1281">
        <v>3</v>
      </c>
      <c r="D370" s="1281" t="s">
        <v>2686</v>
      </c>
      <c r="E370" s="1280"/>
      <c r="F370" s="1282"/>
      <c r="G370" s="1281"/>
      <c r="H370" s="1281"/>
    </row>
    <row r="371" spans="1:8" x14ac:dyDescent="0.2">
      <c r="A371" s="1280" t="s">
        <v>3362</v>
      </c>
      <c r="B371" s="1281"/>
      <c r="C371" s="1281">
        <v>0</v>
      </c>
      <c r="D371" s="1281" t="s">
        <v>2653</v>
      </c>
      <c r="E371" s="1280" t="s">
        <v>3363</v>
      </c>
      <c r="F371" s="1282"/>
      <c r="G371" s="1281"/>
      <c r="H371" s="1281"/>
    </row>
    <row r="372" spans="1:8" x14ac:dyDescent="0.2">
      <c r="A372" s="1280" t="s">
        <v>3364</v>
      </c>
      <c r="B372" s="1281"/>
      <c r="C372" s="1281">
        <v>0</v>
      </c>
      <c r="D372" s="1281" t="s">
        <v>2650</v>
      </c>
      <c r="E372" s="1280" t="s">
        <v>3365</v>
      </c>
      <c r="F372" s="1282"/>
      <c r="G372" s="1281"/>
      <c r="H372" s="1281"/>
    </row>
    <row r="373" spans="1:8" x14ac:dyDescent="0.2">
      <c r="A373" s="1280" t="s">
        <v>3366</v>
      </c>
      <c r="B373" s="1281" t="s">
        <v>2623</v>
      </c>
      <c r="C373" s="1281">
        <v>8</v>
      </c>
      <c r="D373" s="1281" t="s">
        <v>2653</v>
      </c>
      <c r="E373" s="1280" t="s">
        <v>3367</v>
      </c>
      <c r="F373" s="1282"/>
      <c r="G373" s="1281"/>
      <c r="H373" s="1281"/>
    </row>
    <row r="374" spans="1:8" x14ac:dyDescent="0.2">
      <c r="A374" s="1280" t="s">
        <v>3368</v>
      </c>
      <c r="B374" s="1281" t="s">
        <v>2623</v>
      </c>
      <c r="C374" s="1281">
        <v>0</v>
      </c>
      <c r="D374" s="1281"/>
      <c r="E374" s="1280" t="s">
        <v>3369</v>
      </c>
      <c r="F374" s="1282"/>
      <c r="G374" s="1281"/>
      <c r="H374" s="1281"/>
    </row>
    <row r="375" spans="1:8" x14ac:dyDescent="0.2">
      <c r="A375" s="1280" t="s">
        <v>3370</v>
      </c>
      <c r="B375" s="1281" t="s">
        <v>2623</v>
      </c>
      <c r="C375" s="1281">
        <v>8</v>
      </c>
      <c r="D375" s="1281" t="s">
        <v>2650</v>
      </c>
      <c r="E375" s="1280" t="s">
        <v>3371</v>
      </c>
      <c r="F375" s="1282"/>
      <c r="G375" s="1281"/>
      <c r="H375" s="1281"/>
    </row>
    <row r="376" spans="1:8" x14ac:dyDescent="0.2">
      <c r="A376" s="1283" t="s">
        <v>3372</v>
      </c>
      <c r="B376" s="1281" t="s">
        <v>2623</v>
      </c>
      <c r="C376" s="1281">
        <v>0</v>
      </c>
      <c r="D376" s="1281"/>
      <c r="E376" s="1280"/>
      <c r="F376" s="1282"/>
      <c r="G376" s="1281"/>
      <c r="H376" s="1281"/>
    </row>
    <row r="377" spans="1:8" x14ac:dyDescent="0.2">
      <c r="A377" s="1280" t="s">
        <v>3373</v>
      </c>
      <c r="B377" s="1281"/>
      <c r="C377" s="1281">
        <v>0</v>
      </c>
      <c r="D377" s="1281" t="s">
        <v>2645</v>
      </c>
      <c r="E377" s="1280"/>
      <c r="F377" s="1282"/>
      <c r="G377" s="1281"/>
      <c r="H377" s="1281"/>
    </row>
    <row r="378" spans="1:8" x14ac:dyDescent="0.2">
      <c r="A378" s="1280" t="s">
        <v>3374</v>
      </c>
      <c r="B378" s="1281" t="s">
        <v>2623</v>
      </c>
      <c r="C378" s="1281">
        <v>0</v>
      </c>
      <c r="D378" s="1281" t="s">
        <v>2650</v>
      </c>
      <c r="E378" s="1280" t="s">
        <v>3375</v>
      </c>
      <c r="F378" s="1282"/>
      <c r="G378" s="1281"/>
      <c r="H378" s="1281"/>
    </row>
    <row r="379" spans="1:8" x14ac:dyDescent="0.2">
      <c r="A379" s="1280" t="s">
        <v>3376</v>
      </c>
      <c r="B379" s="1281" t="s">
        <v>2623</v>
      </c>
      <c r="C379" s="1281">
        <v>0</v>
      </c>
      <c r="D379" s="1281" t="s">
        <v>2667</v>
      </c>
      <c r="E379" s="1280" t="s">
        <v>3377</v>
      </c>
      <c r="F379" s="1282" t="s">
        <v>2659</v>
      </c>
      <c r="G379" s="1281"/>
      <c r="H379" s="1281"/>
    </row>
    <row r="380" spans="1:8" x14ac:dyDescent="0.2">
      <c r="A380" s="1280" t="s">
        <v>3378</v>
      </c>
      <c r="B380" s="1281" t="s">
        <v>2623</v>
      </c>
      <c r="C380" s="1281">
        <v>0</v>
      </c>
      <c r="D380" s="1281" t="s">
        <v>2667</v>
      </c>
      <c r="E380" s="1280" t="s">
        <v>3379</v>
      </c>
      <c r="F380" s="1282"/>
      <c r="G380" s="1281"/>
      <c r="H380" s="1281">
        <v>1</v>
      </c>
    </row>
    <row r="381" spans="1:8" x14ac:dyDescent="0.2">
      <c r="A381" s="1280" t="s">
        <v>3380</v>
      </c>
      <c r="B381" s="1281"/>
      <c r="C381" s="1281">
        <v>0</v>
      </c>
      <c r="D381" s="1281" t="s">
        <v>2667</v>
      </c>
      <c r="E381" s="1280" t="s">
        <v>3381</v>
      </c>
      <c r="F381" s="1282"/>
      <c r="G381" s="1281"/>
      <c r="H381" s="1281"/>
    </row>
    <row r="382" spans="1:8" x14ac:dyDescent="0.2">
      <c r="A382" s="1280" t="s">
        <v>3382</v>
      </c>
      <c r="B382" s="1281" t="s">
        <v>2623</v>
      </c>
      <c r="C382" s="1281">
        <v>0</v>
      </c>
      <c r="D382" s="1281" t="s">
        <v>2650</v>
      </c>
      <c r="E382" s="1280" t="s">
        <v>3383</v>
      </c>
      <c r="F382" s="1282"/>
      <c r="G382" s="1281"/>
      <c r="H382" s="1281">
        <v>1</v>
      </c>
    </row>
    <row r="383" spans="1:8" x14ac:dyDescent="0.2">
      <c r="A383" s="1280" t="s">
        <v>3384</v>
      </c>
      <c r="B383" s="1281"/>
      <c r="C383" s="1281">
        <v>0</v>
      </c>
      <c r="D383" s="1281" t="s">
        <v>2653</v>
      </c>
      <c r="E383" s="1280" t="s">
        <v>3385</v>
      </c>
      <c r="F383" s="1282"/>
      <c r="G383" s="1281"/>
      <c r="H383" s="1281"/>
    </row>
    <row r="384" spans="1:8" x14ac:dyDescent="0.2">
      <c r="A384" s="1280" t="s">
        <v>3386</v>
      </c>
      <c r="B384" s="1281"/>
      <c r="C384" s="1281">
        <v>0</v>
      </c>
      <c r="D384" s="1281" t="s">
        <v>2645</v>
      </c>
      <c r="E384" s="1280" t="s">
        <v>3387</v>
      </c>
      <c r="F384" s="1282"/>
      <c r="G384" s="1281"/>
      <c r="H384" s="1281"/>
    </row>
    <row r="385" spans="1:8" x14ac:dyDescent="0.2">
      <c r="A385" s="1280" t="s">
        <v>3388</v>
      </c>
      <c r="B385" s="1281" t="s">
        <v>2623</v>
      </c>
      <c r="C385" s="1281">
        <v>1</v>
      </c>
      <c r="D385" s="1281" t="s">
        <v>2645</v>
      </c>
      <c r="E385" s="1280" t="s">
        <v>3389</v>
      </c>
      <c r="F385" s="1282" t="s">
        <v>2659</v>
      </c>
      <c r="G385" s="1281"/>
      <c r="H385" s="1281"/>
    </row>
    <row r="386" spans="1:8" x14ac:dyDescent="0.2">
      <c r="A386" s="1280" t="s">
        <v>3390</v>
      </c>
      <c r="B386" s="1281" t="s">
        <v>2623</v>
      </c>
      <c r="C386" s="1281">
        <v>0</v>
      </c>
      <c r="D386" s="1281" t="s">
        <v>2650</v>
      </c>
      <c r="E386" s="1280" t="s">
        <v>3391</v>
      </c>
      <c r="F386" s="1282"/>
      <c r="G386" s="1281"/>
      <c r="H386" s="1281">
        <v>1</v>
      </c>
    </row>
    <row r="387" spans="1:8" x14ac:dyDescent="0.2">
      <c r="A387" s="1280" t="s">
        <v>3392</v>
      </c>
      <c r="B387" s="1281"/>
      <c r="C387" s="1281">
        <v>0</v>
      </c>
      <c r="D387" s="1281" t="s">
        <v>2686</v>
      </c>
      <c r="E387" s="1280" t="s">
        <v>3393</v>
      </c>
      <c r="F387" s="1282"/>
      <c r="G387" s="1281"/>
      <c r="H387" s="1281"/>
    </row>
    <row r="388" spans="1:8" x14ac:dyDescent="0.2">
      <c r="A388" s="1280" t="s">
        <v>3394</v>
      </c>
      <c r="B388" s="1281"/>
      <c r="C388" s="1281"/>
      <c r="D388" s="1281"/>
      <c r="E388" s="1280"/>
      <c r="F388" s="1281"/>
      <c r="G388" s="1281"/>
      <c r="H388" s="1281"/>
    </row>
    <row r="389" spans="1:8" x14ac:dyDescent="0.2">
      <c r="A389" s="1280" t="s">
        <v>3395</v>
      </c>
      <c r="B389" s="1281" t="s">
        <v>2623</v>
      </c>
      <c r="C389" s="1281">
        <v>1</v>
      </c>
      <c r="D389" s="1281" t="s">
        <v>2653</v>
      </c>
      <c r="E389" s="1280"/>
      <c r="F389" s="1282"/>
      <c r="G389" s="1281"/>
      <c r="H389" s="1281">
        <v>1</v>
      </c>
    </row>
    <row r="390" spans="1:8" x14ac:dyDescent="0.2">
      <c r="A390" s="1280" t="s">
        <v>3396</v>
      </c>
      <c r="B390" s="1281" t="s">
        <v>2623</v>
      </c>
      <c r="C390" s="1281">
        <v>0</v>
      </c>
      <c r="D390" s="1281" t="s">
        <v>2686</v>
      </c>
      <c r="E390" s="1280" t="s">
        <v>3397</v>
      </c>
      <c r="F390" s="1282"/>
      <c r="G390" s="1281"/>
      <c r="H390" s="1281">
        <v>1</v>
      </c>
    </row>
    <row r="391" spans="1:8" x14ac:dyDescent="0.2">
      <c r="A391" s="1280" t="s">
        <v>3398</v>
      </c>
      <c r="B391" s="1281" t="s">
        <v>2623</v>
      </c>
      <c r="C391" s="1281">
        <v>2</v>
      </c>
      <c r="D391" s="1281" t="s">
        <v>2650</v>
      </c>
      <c r="E391" s="1280" t="s">
        <v>3399</v>
      </c>
      <c r="F391" s="1282"/>
      <c r="G391" s="1281"/>
      <c r="H391" s="1281"/>
    </row>
    <row r="392" spans="1:8" x14ac:dyDescent="0.2">
      <c r="A392" s="1280" t="s">
        <v>3400</v>
      </c>
      <c r="B392" s="1281" t="s">
        <v>2623</v>
      </c>
      <c r="C392" s="1281">
        <v>12</v>
      </c>
      <c r="D392" s="1281" t="s">
        <v>2653</v>
      </c>
      <c r="E392" s="1280" t="s">
        <v>3401</v>
      </c>
      <c r="F392" s="1282"/>
      <c r="G392" s="1281"/>
      <c r="H392" s="1281"/>
    </row>
    <row r="393" spans="1:8" x14ac:dyDescent="0.2">
      <c r="A393" s="1280" t="s">
        <v>3402</v>
      </c>
      <c r="B393" s="1281" t="s">
        <v>2623</v>
      </c>
      <c r="C393" s="1281">
        <v>4</v>
      </c>
      <c r="D393" s="1281" t="s">
        <v>2650</v>
      </c>
      <c r="E393" s="1280" t="s">
        <v>3403</v>
      </c>
      <c r="F393" s="1282"/>
      <c r="G393" s="1281"/>
      <c r="H393" s="1281"/>
    </row>
    <row r="394" spans="1:8" x14ac:dyDescent="0.2">
      <c r="A394" s="1280" t="s">
        <v>3404</v>
      </c>
      <c r="B394" s="1281" t="s">
        <v>2623</v>
      </c>
      <c r="C394" s="1281">
        <v>1</v>
      </c>
      <c r="D394" s="1281" t="s">
        <v>2653</v>
      </c>
      <c r="E394" s="1280" t="s">
        <v>3405</v>
      </c>
      <c r="F394" s="1282" t="s">
        <v>2659</v>
      </c>
      <c r="G394" s="1281"/>
      <c r="H394" s="1281"/>
    </row>
    <row r="395" spans="1:8" x14ac:dyDescent="0.2">
      <c r="A395" s="1280" t="s">
        <v>3406</v>
      </c>
      <c r="B395" s="1281"/>
      <c r="C395" s="1281">
        <v>0</v>
      </c>
      <c r="D395" s="1281" t="s">
        <v>2650</v>
      </c>
      <c r="E395" s="1280" t="s">
        <v>3407</v>
      </c>
      <c r="F395" s="1282"/>
      <c r="G395" s="1281"/>
      <c r="H395" s="1281">
        <v>2</v>
      </c>
    </row>
    <row r="396" spans="1:8" x14ac:dyDescent="0.2">
      <c r="A396" s="1280" t="s">
        <v>3408</v>
      </c>
      <c r="B396" s="1281"/>
      <c r="C396" s="1281">
        <v>0</v>
      </c>
      <c r="D396" s="1281" t="s">
        <v>2645</v>
      </c>
      <c r="E396" s="1280" t="s">
        <v>3409</v>
      </c>
      <c r="F396" s="1282"/>
      <c r="G396" s="1281"/>
      <c r="H396" s="1281"/>
    </row>
    <row r="397" spans="1:8" x14ac:dyDescent="0.2">
      <c r="A397" s="1280" t="s">
        <v>3410</v>
      </c>
      <c r="B397" s="1281" t="s">
        <v>2623</v>
      </c>
      <c r="C397" s="1281">
        <v>1</v>
      </c>
      <c r="D397" s="1281" t="s">
        <v>2650</v>
      </c>
      <c r="E397" s="1280" t="s">
        <v>3411</v>
      </c>
      <c r="F397" s="1282"/>
      <c r="G397" s="1281"/>
      <c r="H397" s="1281"/>
    </row>
    <row r="398" spans="1:8" x14ac:dyDescent="0.2">
      <c r="A398" s="1280" t="s">
        <v>3412</v>
      </c>
      <c r="B398" s="1281" t="s">
        <v>2623</v>
      </c>
      <c r="C398" s="1281">
        <v>0</v>
      </c>
      <c r="D398" s="1281" t="s">
        <v>2650</v>
      </c>
      <c r="E398" s="1280" t="s">
        <v>3413</v>
      </c>
      <c r="F398" s="1282"/>
      <c r="G398" s="1281"/>
      <c r="H398" s="1281"/>
    </row>
    <row r="399" spans="1:8" x14ac:dyDescent="0.2">
      <c r="A399" s="1280" t="s">
        <v>3414</v>
      </c>
      <c r="B399" s="1281" t="s">
        <v>2623</v>
      </c>
      <c r="C399" s="1281">
        <v>0</v>
      </c>
      <c r="D399" s="1281" t="s">
        <v>2686</v>
      </c>
      <c r="E399" s="1280" t="s">
        <v>3415</v>
      </c>
      <c r="F399" s="1282"/>
      <c r="G399" s="1281"/>
      <c r="H399" s="1281"/>
    </row>
    <row r="400" spans="1:8" x14ac:dyDescent="0.2">
      <c r="A400" s="1280" t="s">
        <v>3416</v>
      </c>
      <c r="B400" s="1281"/>
      <c r="C400" s="1281">
        <v>0</v>
      </c>
      <c r="D400" s="1281" t="s">
        <v>2653</v>
      </c>
      <c r="E400" s="1280" t="s">
        <v>3417</v>
      </c>
      <c r="F400" s="1282"/>
      <c r="G400" s="1281"/>
      <c r="H400" s="1281"/>
    </row>
    <row r="401" spans="1:8" x14ac:dyDescent="0.2">
      <c r="A401" s="1280" t="s">
        <v>3418</v>
      </c>
      <c r="B401" s="1281"/>
      <c r="C401" s="1281">
        <v>0</v>
      </c>
      <c r="D401" s="1281" t="s">
        <v>2667</v>
      </c>
      <c r="E401" s="1280" t="s">
        <v>3419</v>
      </c>
      <c r="F401" s="1282"/>
      <c r="G401" s="1281"/>
      <c r="H401" s="1281"/>
    </row>
    <row r="402" spans="1:8" x14ac:dyDescent="0.2">
      <c r="A402" s="1280" t="s">
        <v>3420</v>
      </c>
      <c r="B402" s="1281" t="s">
        <v>2623</v>
      </c>
      <c r="C402" s="1281">
        <v>11</v>
      </c>
      <c r="D402" s="1281" t="s">
        <v>2650</v>
      </c>
      <c r="E402" s="1280" t="s">
        <v>3421</v>
      </c>
      <c r="F402" s="1282"/>
      <c r="G402" s="1281"/>
      <c r="H402" s="1281"/>
    </row>
    <row r="403" spans="1:8" x14ac:dyDescent="0.2">
      <c r="A403" s="1280" t="s">
        <v>3422</v>
      </c>
      <c r="B403" s="1281" t="s">
        <v>2623</v>
      </c>
      <c r="C403" s="1281">
        <v>12</v>
      </c>
      <c r="D403" s="1281" t="s">
        <v>2667</v>
      </c>
      <c r="E403" s="1280" t="s">
        <v>3423</v>
      </c>
      <c r="F403" s="1282"/>
      <c r="G403" s="1281"/>
      <c r="H403" s="1281"/>
    </row>
    <row r="404" spans="1:8" x14ac:dyDescent="0.2">
      <c r="A404" s="1280" t="s">
        <v>3424</v>
      </c>
      <c r="B404" s="1281" t="s">
        <v>2623</v>
      </c>
      <c r="C404" s="1281">
        <v>0</v>
      </c>
      <c r="D404" s="1281" t="s">
        <v>2650</v>
      </c>
      <c r="E404" s="1280" t="s">
        <v>3425</v>
      </c>
      <c r="F404" s="1282" t="s">
        <v>2659</v>
      </c>
      <c r="G404" s="1281"/>
      <c r="H404" s="1281"/>
    </row>
    <row r="405" spans="1:8" x14ac:dyDescent="0.2">
      <c r="A405" s="1280" t="s">
        <v>3426</v>
      </c>
      <c r="B405" s="1281" t="s">
        <v>2623</v>
      </c>
      <c r="C405" s="1281">
        <v>1</v>
      </c>
      <c r="D405" s="1281" t="s">
        <v>2650</v>
      </c>
      <c r="E405" s="1280" t="s">
        <v>3427</v>
      </c>
      <c r="F405" s="1282" t="s">
        <v>2659</v>
      </c>
      <c r="G405" s="1281"/>
      <c r="H405" s="1281"/>
    </row>
    <row r="406" spans="1:8" x14ac:dyDescent="0.2">
      <c r="A406" s="1280" t="s">
        <v>3428</v>
      </c>
      <c r="B406" s="1281" t="s">
        <v>2623</v>
      </c>
      <c r="C406" s="1281">
        <v>0</v>
      </c>
      <c r="D406" s="1281" t="s">
        <v>2645</v>
      </c>
      <c r="E406" s="1280" t="s">
        <v>3429</v>
      </c>
      <c r="F406" s="1282"/>
      <c r="G406" s="1281"/>
      <c r="H406" s="1281"/>
    </row>
    <row r="407" spans="1:8" x14ac:dyDescent="0.2">
      <c r="A407" s="1280" t="s">
        <v>3430</v>
      </c>
      <c r="B407" s="1281"/>
      <c r="C407" s="1281">
        <v>0</v>
      </c>
      <c r="D407" s="1281" t="s">
        <v>2645</v>
      </c>
      <c r="E407" s="1280" t="s">
        <v>3431</v>
      </c>
      <c r="F407" s="1282"/>
      <c r="G407" s="1281"/>
      <c r="H407" s="1281"/>
    </row>
    <row r="408" spans="1:8" x14ac:dyDescent="0.2">
      <c r="A408" s="1283" t="s">
        <v>3432</v>
      </c>
      <c r="B408" s="1281" t="s">
        <v>2623</v>
      </c>
      <c r="C408" s="1281">
        <v>0</v>
      </c>
      <c r="D408" s="1281"/>
      <c r="E408" s="1280"/>
      <c r="F408" s="1282"/>
      <c r="G408" s="1281"/>
      <c r="H408" s="1281"/>
    </row>
    <row r="409" spans="1:8" x14ac:dyDescent="0.2">
      <c r="A409" s="1280" t="s">
        <v>3433</v>
      </c>
      <c r="B409" s="1281" t="s">
        <v>2623</v>
      </c>
      <c r="C409" s="1281">
        <v>1</v>
      </c>
      <c r="D409" s="1281" t="s">
        <v>2653</v>
      </c>
      <c r="E409" s="1280" t="s">
        <v>3434</v>
      </c>
      <c r="F409" s="1282" t="s">
        <v>2659</v>
      </c>
      <c r="G409" s="1281"/>
      <c r="H409" s="1281"/>
    </row>
    <row r="410" spans="1:8" x14ac:dyDescent="0.2">
      <c r="A410" s="1280" t="s">
        <v>3435</v>
      </c>
      <c r="B410" s="1281" t="s">
        <v>2623</v>
      </c>
      <c r="C410" s="1281">
        <v>5</v>
      </c>
      <c r="D410" s="1281" t="s">
        <v>2653</v>
      </c>
      <c r="E410" s="1280" t="s">
        <v>3436</v>
      </c>
      <c r="F410" s="1282"/>
      <c r="G410" s="1281"/>
      <c r="H410" s="1281"/>
    </row>
    <row r="411" spans="1:8" x14ac:dyDescent="0.2">
      <c r="A411" s="1280" t="s">
        <v>3437</v>
      </c>
      <c r="B411" s="1281" t="s">
        <v>2623</v>
      </c>
      <c r="C411" s="1281">
        <v>0</v>
      </c>
      <c r="D411" s="1281" t="s">
        <v>2653</v>
      </c>
      <c r="E411" s="1280" t="s">
        <v>3438</v>
      </c>
      <c r="F411" s="1282"/>
      <c r="G411" s="1281"/>
      <c r="H411" s="1281"/>
    </row>
    <row r="412" spans="1:8" x14ac:dyDescent="0.2">
      <c r="A412" s="1280" t="s">
        <v>3439</v>
      </c>
      <c r="B412" s="1281" t="s">
        <v>2623</v>
      </c>
      <c r="C412" s="1281">
        <v>2</v>
      </c>
      <c r="D412" s="1281" t="s">
        <v>2686</v>
      </c>
      <c r="E412" s="1280" t="s">
        <v>3440</v>
      </c>
      <c r="F412" s="1282"/>
      <c r="G412" s="1281"/>
      <c r="H412" s="1281"/>
    </row>
    <row r="413" spans="1:8" x14ac:dyDescent="0.2">
      <c r="A413" s="1280" t="s">
        <v>3441</v>
      </c>
      <c r="B413" s="1281" t="s">
        <v>2623</v>
      </c>
      <c r="C413" s="1281">
        <v>9</v>
      </c>
      <c r="D413" s="1281" t="s">
        <v>2686</v>
      </c>
      <c r="E413" s="1280" t="s">
        <v>3442</v>
      </c>
      <c r="F413" s="1282"/>
      <c r="G413" s="1281"/>
      <c r="H413" s="1281"/>
    </row>
    <row r="414" spans="1:8" x14ac:dyDescent="0.2">
      <c r="A414" s="1280" t="s">
        <v>3443</v>
      </c>
      <c r="B414" s="1281" t="s">
        <v>2623</v>
      </c>
      <c r="C414" s="1281">
        <v>15</v>
      </c>
      <c r="D414" s="1281" t="s">
        <v>2686</v>
      </c>
      <c r="E414" s="1280" t="s">
        <v>3444</v>
      </c>
      <c r="F414" s="1282"/>
      <c r="G414" s="1281"/>
      <c r="H414" s="1281"/>
    </row>
    <row r="415" spans="1:8" x14ac:dyDescent="0.2">
      <c r="A415" s="1280" t="s">
        <v>3445</v>
      </c>
      <c r="B415" s="1281"/>
      <c r="C415" s="1281">
        <v>0</v>
      </c>
      <c r="D415" s="1281" t="s">
        <v>2650</v>
      </c>
      <c r="E415" s="1280" t="s">
        <v>3446</v>
      </c>
      <c r="F415" s="1282"/>
      <c r="G415" s="1281"/>
      <c r="H415" s="1281"/>
    </row>
    <row r="416" spans="1:8" x14ac:dyDescent="0.2">
      <c r="A416" s="1280" t="s">
        <v>3447</v>
      </c>
      <c r="B416" s="1281" t="s">
        <v>2623</v>
      </c>
      <c r="C416" s="1281">
        <v>0</v>
      </c>
      <c r="D416" s="1281" t="s">
        <v>2645</v>
      </c>
      <c r="E416" s="1280" t="s">
        <v>3448</v>
      </c>
      <c r="F416" s="1282"/>
      <c r="G416" s="1281"/>
      <c r="H416" s="1281"/>
    </row>
    <row r="417" spans="1:8" x14ac:dyDescent="0.2">
      <c r="A417" s="1280" t="s">
        <v>3449</v>
      </c>
      <c r="B417" s="1281" t="s">
        <v>2623</v>
      </c>
      <c r="C417" s="1281">
        <v>0</v>
      </c>
      <c r="D417" s="1281" t="s">
        <v>2645</v>
      </c>
      <c r="E417" s="1280" t="s">
        <v>3450</v>
      </c>
      <c r="F417" s="1282"/>
      <c r="G417" s="1281"/>
      <c r="H417" s="1281"/>
    </row>
    <row r="418" spans="1:8" x14ac:dyDescent="0.2">
      <c r="A418" s="1280" t="s">
        <v>3451</v>
      </c>
      <c r="B418" s="1281" t="s">
        <v>2623</v>
      </c>
      <c r="C418" s="1281">
        <v>2</v>
      </c>
      <c r="D418" s="1281" t="s">
        <v>2645</v>
      </c>
      <c r="E418" s="1280" t="s">
        <v>3452</v>
      </c>
      <c r="F418" s="1282"/>
      <c r="G418" s="1281"/>
      <c r="H418" s="1281"/>
    </row>
    <row r="419" spans="1:8" x14ac:dyDescent="0.2">
      <c r="A419" s="1280" t="s">
        <v>3453</v>
      </c>
      <c r="B419" s="1281" t="s">
        <v>2623</v>
      </c>
      <c r="C419" s="1281">
        <v>2</v>
      </c>
      <c r="D419" s="1281" t="s">
        <v>2645</v>
      </c>
      <c r="E419" s="1280" t="s">
        <v>3454</v>
      </c>
      <c r="F419" s="1282"/>
      <c r="G419" s="1281"/>
      <c r="H419" s="1281">
        <v>2</v>
      </c>
    </row>
    <row r="420" spans="1:8" x14ac:dyDescent="0.2">
      <c r="A420" s="1280" t="s">
        <v>3455</v>
      </c>
      <c r="B420" s="1281" t="s">
        <v>2623</v>
      </c>
      <c r="C420" s="1281">
        <v>0</v>
      </c>
      <c r="D420" s="1281" t="s">
        <v>2645</v>
      </c>
      <c r="E420" s="1280" t="s">
        <v>3456</v>
      </c>
      <c r="F420" s="1282"/>
      <c r="G420" s="1281"/>
      <c r="H420" s="1281"/>
    </row>
    <row r="421" spans="1:8" x14ac:dyDescent="0.2">
      <c r="A421" s="1280" t="s">
        <v>3457</v>
      </c>
      <c r="B421" s="1281" t="s">
        <v>2623</v>
      </c>
      <c r="C421" s="1281">
        <v>0</v>
      </c>
      <c r="D421" s="1281" t="s">
        <v>2645</v>
      </c>
      <c r="E421" s="1280" t="s">
        <v>3458</v>
      </c>
      <c r="F421" s="1282"/>
      <c r="G421" s="1281"/>
      <c r="H421" s="1281">
        <v>1</v>
      </c>
    </row>
    <row r="422" spans="1:8" x14ac:dyDescent="0.2">
      <c r="A422" s="1280" t="s">
        <v>3459</v>
      </c>
      <c r="B422" s="1281" t="s">
        <v>2623</v>
      </c>
      <c r="C422" s="1281">
        <v>1</v>
      </c>
      <c r="D422" s="1281" t="s">
        <v>2653</v>
      </c>
      <c r="E422" s="1280" t="s">
        <v>3460</v>
      </c>
      <c r="F422" s="1282"/>
      <c r="G422" s="1281"/>
      <c r="H422" s="1281"/>
    </row>
    <row r="423" spans="1:8" x14ac:dyDescent="0.2">
      <c r="A423" s="1280" t="s">
        <v>3461</v>
      </c>
      <c r="B423" s="1281" t="s">
        <v>2623</v>
      </c>
      <c r="C423" s="1281">
        <v>1</v>
      </c>
      <c r="D423" s="1281" t="s">
        <v>2653</v>
      </c>
      <c r="E423" s="1280" t="s">
        <v>3462</v>
      </c>
      <c r="F423" s="1282"/>
      <c r="G423" s="1281"/>
      <c r="H423" s="1281"/>
    </row>
    <row r="424" spans="1:8" x14ac:dyDescent="0.2">
      <c r="A424" s="1280" t="s">
        <v>3463</v>
      </c>
      <c r="B424" s="1281" t="s">
        <v>2623</v>
      </c>
      <c r="C424" s="1281">
        <v>6</v>
      </c>
      <c r="D424" s="1281" t="s">
        <v>2667</v>
      </c>
      <c r="E424" s="1280" t="s">
        <v>3464</v>
      </c>
      <c r="F424" s="1282"/>
      <c r="G424" s="1281"/>
      <c r="H424" s="1281"/>
    </row>
    <row r="425" spans="1:8" x14ac:dyDescent="0.2">
      <c r="A425" s="1280" t="s">
        <v>3465</v>
      </c>
      <c r="B425" s="1281" t="s">
        <v>2623</v>
      </c>
      <c r="C425" s="1281">
        <v>9</v>
      </c>
      <c r="D425" s="1281" t="s">
        <v>2667</v>
      </c>
      <c r="E425" s="1280" t="s">
        <v>3466</v>
      </c>
      <c r="F425" s="1282"/>
      <c r="G425" s="1281"/>
      <c r="H425" s="1281"/>
    </row>
    <row r="426" spans="1:8" x14ac:dyDescent="0.2">
      <c r="A426" s="1280" t="s">
        <v>3467</v>
      </c>
      <c r="B426" s="1281"/>
      <c r="C426" s="1281">
        <v>0</v>
      </c>
      <c r="D426" s="1281" t="s">
        <v>2667</v>
      </c>
      <c r="E426" s="1280"/>
      <c r="F426" s="1282"/>
      <c r="G426" s="1281"/>
      <c r="H426" s="1281"/>
    </row>
    <row r="427" spans="1:8" x14ac:dyDescent="0.2">
      <c r="A427" s="1280" t="s">
        <v>3468</v>
      </c>
      <c r="B427" s="1281" t="s">
        <v>2623</v>
      </c>
      <c r="C427" s="1281">
        <v>4</v>
      </c>
      <c r="D427" s="1281" t="s">
        <v>2653</v>
      </c>
      <c r="E427" s="1280" t="s">
        <v>3469</v>
      </c>
      <c r="F427" s="1282"/>
      <c r="G427" s="1281"/>
      <c r="H427" s="1281"/>
    </row>
    <row r="428" spans="1:8" x14ac:dyDescent="0.2">
      <c r="A428" s="1280" t="s">
        <v>3470</v>
      </c>
      <c r="B428" s="1281" t="s">
        <v>2623</v>
      </c>
      <c r="C428" s="1281">
        <v>1</v>
      </c>
      <c r="D428" s="1281" t="s">
        <v>2653</v>
      </c>
      <c r="E428" s="1280" t="s">
        <v>3471</v>
      </c>
      <c r="F428" s="1282"/>
      <c r="G428" s="1281"/>
      <c r="H428" s="1281"/>
    </row>
    <row r="429" spans="1:8" x14ac:dyDescent="0.2">
      <c r="A429" s="1280" t="s">
        <v>3472</v>
      </c>
      <c r="B429" s="1281" t="s">
        <v>2623</v>
      </c>
      <c r="C429" s="1281">
        <v>2</v>
      </c>
      <c r="D429" s="1281" t="s">
        <v>2645</v>
      </c>
      <c r="E429" s="1280" t="s">
        <v>3473</v>
      </c>
      <c r="F429" s="1282"/>
      <c r="G429" s="1281"/>
      <c r="H429" s="1281"/>
    </row>
    <row r="430" spans="1:8" x14ac:dyDescent="0.2">
      <c r="A430" s="1280" t="s">
        <v>3474</v>
      </c>
      <c r="B430" s="1281"/>
      <c r="C430" s="1281">
        <v>0</v>
      </c>
      <c r="D430" s="1281" t="s">
        <v>2653</v>
      </c>
      <c r="E430" s="1280"/>
      <c r="F430" s="1282"/>
      <c r="G430" s="1281"/>
      <c r="H430" s="1281"/>
    </row>
    <row r="431" spans="1:8" x14ac:dyDescent="0.2">
      <c r="A431" s="1280" t="s">
        <v>3475</v>
      </c>
      <c r="B431" s="1281" t="s">
        <v>2623</v>
      </c>
      <c r="C431" s="1281">
        <v>15</v>
      </c>
      <c r="D431" s="1281" t="s">
        <v>2653</v>
      </c>
      <c r="E431" s="1280" t="s">
        <v>3476</v>
      </c>
      <c r="F431" s="1282"/>
      <c r="G431" s="1281"/>
      <c r="H431" s="1281"/>
    </row>
    <row r="432" spans="1:8" x14ac:dyDescent="0.2">
      <c r="A432" s="1280" t="s">
        <v>3477</v>
      </c>
      <c r="B432" s="1281" t="s">
        <v>2623</v>
      </c>
      <c r="C432" s="1281">
        <v>1</v>
      </c>
      <c r="D432" s="1281" t="s">
        <v>2667</v>
      </c>
      <c r="E432" s="1280" t="s">
        <v>3478</v>
      </c>
      <c r="F432" s="1282"/>
      <c r="G432" s="1281"/>
      <c r="H432" s="1281">
        <v>1</v>
      </c>
    </row>
    <row r="433" spans="1:8" x14ac:dyDescent="0.2">
      <c r="A433" s="1280" t="s">
        <v>3479</v>
      </c>
      <c r="B433" s="1281"/>
      <c r="C433" s="1281">
        <v>0</v>
      </c>
      <c r="D433" s="1281" t="s">
        <v>2686</v>
      </c>
      <c r="E433" s="1280" t="s">
        <v>3480</v>
      </c>
      <c r="F433" s="1282"/>
      <c r="G433" s="1281"/>
      <c r="H433" s="1281"/>
    </row>
    <row r="434" spans="1:8" x14ac:dyDescent="0.2">
      <c r="A434" s="1280" t="s">
        <v>3481</v>
      </c>
      <c r="B434" s="1281"/>
      <c r="C434" s="1281">
        <v>0</v>
      </c>
      <c r="D434" s="1281" t="s">
        <v>2650</v>
      </c>
      <c r="E434" s="1280" t="s">
        <v>3482</v>
      </c>
      <c r="F434" s="1282"/>
      <c r="G434" s="1281"/>
      <c r="H434" s="1281"/>
    </row>
    <row r="435" spans="1:8" x14ac:dyDescent="0.2">
      <c r="A435" s="1280" t="s">
        <v>3483</v>
      </c>
      <c r="B435" s="1281" t="s">
        <v>2623</v>
      </c>
      <c r="C435" s="1281">
        <v>0</v>
      </c>
      <c r="D435" s="1281" t="s">
        <v>2667</v>
      </c>
      <c r="E435" s="1280" t="s">
        <v>3484</v>
      </c>
      <c r="F435" s="1282"/>
      <c r="G435" s="1281"/>
      <c r="H435" s="1281"/>
    </row>
    <row r="436" spans="1:8" x14ac:dyDescent="0.2">
      <c r="A436" s="1280" t="s">
        <v>3485</v>
      </c>
      <c r="B436" s="1281" t="s">
        <v>2623</v>
      </c>
      <c r="C436" s="1281">
        <v>3</v>
      </c>
      <c r="D436" s="1281" t="s">
        <v>2686</v>
      </c>
      <c r="E436" s="1280" t="s">
        <v>3486</v>
      </c>
      <c r="F436" s="1282"/>
      <c r="G436" s="1281"/>
      <c r="H436" s="1281">
        <v>1</v>
      </c>
    </row>
    <row r="437" spans="1:8" x14ac:dyDescent="0.2">
      <c r="A437" s="1280" t="s">
        <v>3487</v>
      </c>
      <c r="B437" s="1281" t="s">
        <v>2623</v>
      </c>
      <c r="C437" s="1281">
        <v>1</v>
      </c>
      <c r="D437" s="1281"/>
      <c r="E437" s="1280" t="s">
        <v>3488</v>
      </c>
      <c r="F437" s="1282"/>
      <c r="G437" s="1281"/>
      <c r="H437" s="1281"/>
    </row>
    <row r="438" spans="1:8" x14ac:dyDescent="0.2">
      <c r="A438" s="1280" t="s">
        <v>3489</v>
      </c>
      <c r="B438" s="1281" t="s">
        <v>2623</v>
      </c>
      <c r="C438" s="1281">
        <v>1</v>
      </c>
      <c r="D438" s="1281" t="s">
        <v>2667</v>
      </c>
      <c r="E438" s="1280" t="s">
        <v>3490</v>
      </c>
      <c r="F438" s="1282"/>
      <c r="G438" s="1281"/>
      <c r="H438" s="1281"/>
    </row>
    <row r="439" spans="1:8" x14ac:dyDescent="0.2">
      <c r="A439" s="1280" t="s">
        <v>3491</v>
      </c>
      <c r="B439" s="1281"/>
      <c r="C439" s="1281">
        <v>0</v>
      </c>
      <c r="D439" s="1281" t="s">
        <v>2667</v>
      </c>
      <c r="E439" s="1280" t="s">
        <v>3492</v>
      </c>
      <c r="F439" s="1282"/>
      <c r="G439" s="1281"/>
      <c r="H439" s="1281">
        <v>1</v>
      </c>
    </row>
    <row r="440" spans="1:8" x14ac:dyDescent="0.2">
      <c r="A440" s="1280" t="s">
        <v>3493</v>
      </c>
      <c r="B440" s="1281" t="s">
        <v>2623</v>
      </c>
      <c r="C440" s="1281">
        <v>4</v>
      </c>
      <c r="D440" s="1281" t="s">
        <v>2667</v>
      </c>
      <c r="E440" s="1280" t="s">
        <v>3494</v>
      </c>
      <c r="F440" s="1282"/>
      <c r="G440" s="1281"/>
      <c r="H440" s="1281"/>
    </row>
    <row r="441" spans="1:8" x14ac:dyDescent="0.2">
      <c r="A441" s="1280" t="s">
        <v>3495</v>
      </c>
      <c r="B441" s="1281" t="s">
        <v>2623</v>
      </c>
      <c r="C441" s="1281">
        <v>1</v>
      </c>
      <c r="D441" s="1281" t="s">
        <v>2667</v>
      </c>
      <c r="E441" s="1280" t="s">
        <v>3496</v>
      </c>
      <c r="F441" s="1282"/>
      <c r="G441" s="1281"/>
      <c r="H441" s="1281">
        <v>1</v>
      </c>
    </row>
    <row r="442" spans="1:8" x14ac:dyDescent="0.2">
      <c r="A442" s="1280" t="s">
        <v>3497</v>
      </c>
      <c r="B442" s="1281" t="s">
        <v>2623</v>
      </c>
      <c r="C442" s="1281">
        <v>1</v>
      </c>
      <c r="D442" s="1281" t="s">
        <v>2667</v>
      </c>
      <c r="E442" s="1280" t="s">
        <v>3498</v>
      </c>
      <c r="F442" s="1282"/>
      <c r="G442" s="1281"/>
      <c r="H442" s="1281"/>
    </row>
    <row r="443" spans="1:8" x14ac:dyDescent="0.2">
      <c r="A443" s="1280" t="s">
        <v>3499</v>
      </c>
      <c r="B443" s="1281" t="s">
        <v>2623</v>
      </c>
      <c r="C443" s="1281">
        <v>8</v>
      </c>
      <c r="D443" s="1281" t="s">
        <v>2650</v>
      </c>
      <c r="E443" s="1280" t="s">
        <v>3500</v>
      </c>
      <c r="F443" s="1282"/>
      <c r="G443" s="1281"/>
      <c r="H443" s="1281"/>
    </row>
    <row r="444" spans="1:8" x14ac:dyDescent="0.2">
      <c r="A444" s="1280" t="s">
        <v>3501</v>
      </c>
      <c r="B444" s="1281"/>
      <c r="C444" s="1281">
        <v>0</v>
      </c>
      <c r="D444" s="1281"/>
      <c r="E444" s="1280"/>
      <c r="F444" s="1282"/>
      <c r="G444" s="1281"/>
      <c r="H444" s="1281"/>
    </row>
    <row r="445" spans="1:8" x14ac:dyDescent="0.2">
      <c r="A445" s="1280" t="s">
        <v>3502</v>
      </c>
      <c r="B445" s="1281"/>
      <c r="C445" s="1281">
        <v>0</v>
      </c>
      <c r="D445" s="1281" t="s">
        <v>2667</v>
      </c>
      <c r="E445" s="1280" t="s">
        <v>3503</v>
      </c>
      <c r="F445" s="1282" t="s">
        <v>2659</v>
      </c>
      <c r="G445" s="1281" t="s">
        <v>2659</v>
      </c>
      <c r="H445" s="1281"/>
    </row>
    <row r="446" spans="1:8" x14ac:dyDescent="0.2">
      <c r="A446" s="1280" t="s">
        <v>3504</v>
      </c>
      <c r="B446" s="1281" t="s">
        <v>2623</v>
      </c>
      <c r="C446" s="1281">
        <v>2</v>
      </c>
      <c r="D446" s="1281" t="s">
        <v>2650</v>
      </c>
      <c r="E446" s="1280" t="s">
        <v>3505</v>
      </c>
      <c r="F446" s="1282"/>
      <c r="G446" s="1281"/>
      <c r="H446" s="1281"/>
    </row>
    <row r="447" spans="1:8" x14ac:dyDescent="0.2">
      <c r="A447" s="1280" t="s">
        <v>3506</v>
      </c>
      <c r="B447" s="1281" t="s">
        <v>2623</v>
      </c>
      <c r="C447" s="1281">
        <v>8</v>
      </c>
      <c r="D447" s="1281" t="s">
        <v>2653</v>
      </c>
      <c r="E447" s="1280" t="s">
        <v>3507</v>
      </c>
      <c r="F447" s="1282"/>
      <c r="G447" s="1281"/>
      <c r="H447" s="1281"/>
    </row>
    <row r="448" spans="1:8" x14ac:dyDescent="0.2">
      <c r="A448" s="1283" t="s">
        <v>3508</v>
      </c>
      <c r="B448" s="1281" t="s">
        <v>2623</v>
      </c>
      <c r="C448" s="1281">
        <v>0</v>
      </c>
      <c r="D448" s="1281"/>
      <c r="E448" s="1280"/>
      <c r="F448" s="1282"/>
      <c r="G448" s="1281"/>
      <c r="H448" s="1281"/>
    </row>
    <row r="449" spans="1:8" x14ac:dyDescent="0.2">
      <c r="A449" s="1280" t="s">
        <v>3509</v>
      </c>
      <c r="B449" s="1281"/>
      <c r="C449" s="1281">
        <v>0</v>
      </c>
      <c r="D449" s="1281" t="s">
        <v>2645</v>
      </c>
      <c r="E449" s="1280" t="s">
        <v>3510</v>
      </c>
      <c r="F449" s="1282"/>
      <c r="G449" s="1281"/>
      <c r="H449" s="1281"/>
    </row>
    <row r="450" spans="1:8" x14ac:dyDescent="0.2">
      <c r="A450" s="1280" t="s">
        <v>3511</v>
      </c>
      <c r="B450" s="1281"/>
      <c r="C450" s="1281">
        <v>0</v>
      </c>
      <c r="D450" s="1281" t="s">
        <v>2650</v>
      </c>
      <c r="E450" s="1280" t="s">
        <v>3512</v>
      </c>
      <c r="F450" s="1282"/>
      <c r="G450" s="1281"/>
      <c r="H450" s="1281"/>
    </row>
    <row r="451" spans="1:8" x14ac:dyDescent="0.2">
      <c r="A451" s="1280" t="s">
        <v>3513</v>
      </c>
      <c r="B451" s="1281" t="s">
        <v>2623</v>
      </c>
      <c r="C451" s="1281">
        <v>1</v>
      </c>
      <c r="D451" s="1281" t="s">
        <v>2653</v>
      </c>
      <c r="E451" s="1280" t="s">
        <v>3514</v>
      </c>
      <c r="F451" s="1282" t="s">
        <v>2659</v>
      </c>
      <c r="G451" s="1281" t="s">
        <v>2659</v>
      </c>
      <c r="H451" s="1281"/>
    </row>
    <row r="452" spans="1:8" x14ac:dyDescent="0.2">
      <c r="A452" s="1280" t="s">
        <v>3515</v>
      </c>
      <c r="B452" s="1281"/>
      <c r="C452" s="1281">
        <v>0</v>
      </c>
      <c r="D452" s="1281" t="s">
        <v>2650</v>
      </c>
      <c r="E452" s="1280" t="s">
        <v>3516</v>
      </c>
      <c r="F452" s="1282" t="s">
        <v>2659</v>
      </c>
      <c r="G452" s="1281"/>
      <c r="H452" s="1281"/>
    </row>
    <row r="453" spans="1:8" x14ac:dyDescent="0.2">
      <c r="A453" s="1280" t="s">
        <v>3517</v>
      </c>
      <c r="B453" s="1281" t="s">
        <v>2623</v>
      </c>
      <c r="C453" s="1281">
        <v>2</v>
      </c>
      <c r="D453" s="1281" t="s">
        <v>2653</v>
      </c>
      <c r="E453" s="1280" t="s">
        <v>3518</v>
      </c>
      <c r="F453" s="1282"/>
      <c r="G453" s="1281"/>
      <c r="H453" s="1281"/>
    </row>
    <row r="454" spans="1:8" x14ac:dyDescent="0.2">
      <c r="A454" s="1280" t="s">
        <v>3519</v>
      </c>
      <c r="B454" s="1281"/>
      <c r="C454" s="1281">
        <v>0</v>
      </c>
      <c r="D454" s="1281" t="s">
        <v>2645</v>
      </c>
      <c r="E454" s="1280" t="s">
        <v>3520</v>
      </c>
      <c r="F454" s="1282"/>
      <c r="G454" s="1281"/>
      <c r="H454" s="1281"/>
    </row>
    <row r="455" spans="1:8" x14ac:dyDescent="0.2">
      <c r="A455" s="1280" t="s">
        <v>3521</v>
      </c>
      <c r="B455" s="1281"/>
      <c r="C455" s="1281">
        <v>0</v>
      </c>
      <c r="D455" s="1281" t="s">
        <v>2650</v>
      </c>
      <c r="E455" s="1280" t="s">
        <v>3522</v>
      </c>
      <c r="F455" s="1282"/>
      <c r="G455" s="1281"/>
      <c r="H455" s="1281"/>
    </row>
    <row r="456" spans="1:8" x14ac:dyDescent="0.2">
      <c r="A456" s="1280" t="s">
        <v>3523</v>
      </c>
      <c r="B456" s="1281" t="s">
        <v>2623</v>
      </c>
      <c r="C456" s="1281">
        <v>18</v>
      </c>
      <c r="D456" s="1281" t="s">
        <v>2650</v>
      </c>
      <c r="E456" s="1280" t="s">
        <v>3524</v>
      </c>
      <c r="F456" s="1282"/>
      <c r="G456" s="1281"/>
      <c r="H456" s="1281"/>
    </row>
    <row r="457" spans="1:8" x14ac:dyDescent="0.2">
      <c r="A457" s="1280" t="s">
        <v>3525</v>
      </c>
      <c r="B457" s="1281" t="s">
        <v>2623</v>
      </c>
      <c r="C457" s="1281">
        <v>8</v>
      </c>
      <c r="D457" s="1281" t="s">
        <v>2650</v>
      </c>
      <c r="E457" s="1280" t="s">
        <v>3526</v>
      </c>
      <c r="F457" s="1282"/>
      <c r="G457" s="1281"/>
      <c r="H457" s="1281"/>
    </row>
    <row r="458" spans="1:8" x14ac:dyDescent="0.2">
      <c r="A458" s="1280" t="s">
        <v>3527</v>
      </c>
      <c r="B458" s="1281"/>
      <c r="C458" s="1281">
        <v>0</v>
      </c>
      <c r="D458" s="1281" t="s">
        <v>2686</v>
      </c>
      <c r="E458" s="1280" t="s">
        <v>3528</v>
      </c>
      <c r="F458" s="1282"/>
      <c r="G458" s="1281"/>
      <c r="H458" s="1281"/>
    </row>
    <row r="459" spans="1:8" x14ac:dyDescent="0.2">
      <c r="A459" s="1280" t="s">
        <v>3529</v>
      </c>
      <c r="B459" s="1281" t="s">
        <v>2623</v>
      </c>
      <c r="C459" s="1281">
        <v>13</v>
      </c>
      <c r="D459" s="1281" t="s">
        <v>2650</v>
      </c>
      <c r="E459" s="1280" t="s">
        <v>3530</v>
      </c>
      <c r="F459" s="1282"/>
      <c r="G459" s="1281"/>
      <c r="H459" s="1281"/>
    </row>
    <row r="460" spans="1:8" x14ac:dyDescent="0.2">
      <c r="A460" s="1280" t="s">
        <v>3531</v>
      </c>
      <c r="B460" s="1281"/>
      <c r="C460" s="1281">
        <v>0</v>
      </c>
      <c r="D460" s="1281" t="s">
        <v>2650</v>
      </c>
      <c r="E460" s="1280" t="s">
        <v>3532</v>
      </c>
      <c r="F460" s="1282"/>
      <c r="G460" s="1281"/>
      <c r="H460" s="1281"/>
    </row>
    <row r="461" spans="1:8" x14ac:dyDescent="0.2">
      <c r="A461" s="1280" t="s">
        <v>3533</v>
      </c>
      <c r="B461" s="1281" t="s">
        <v>2623</v>
      </c>
      <c r="C461" s="1281">
        <v>0</v>
      </c>
      <c r="D461" s="1281" t="s">
        <v>2686</v>
      </c>
      <c r="E461" s="1280" t="s">
        <v>3534</v>
      </c>
      <c r="F461" s="1282"/>
      <c r="G461" s="1281"/>
      <c r="H461" s="1281"/>
    </row>
    <row r="462" spans="1:8" x14ac:dyDescent="0.2">
      <c r="A462" s="1280" t="s">
        <v>3535</v>
      </c>
      <c r="B462" s="1281" t="s">
        <v>2623</v>
      </c>
      <c r="C462" s="1281">
        <v>10</v>
      </c>
      <c r="D462" s="1281" t="s">
        <v>2686</v>
      </c>
      <c r="E462" s="1280" t="s">
        <v>3536</v>
      </c>
      <c r="F462" s="1282"/>
      <c r="G462" s="1281"/>
      <c r="H462" s="1281"/>
    </row>
    <row r="463" spans="1:8" x14ac:dyDescent="0.2">
      <c r="A463" s="1280" t="s">
        <v>3537</v>
      </c>
      <c r="B463" s="1281" t="s">
        <v>2623</v>
      </c>
      <c r="C463" s="1281">
        <v>0</v>
      </c>
      <c r="D463" s="1281" t="s">
        <v>2686</v>
      </c>
      <c r="E463" s="1280" t="s">
        <v>3538</v>
      </c>
      <c r="F463" s="1282"/>
      <c r="G463" s="1281"/>
      <c r="H463" s="1281"/>
    </row>
    <row r="464" spans="1:8" x14ac:dyDescent="0.2">
      <c r="A464" s="1280" t="s">
        <v>3539</v>
      </c>
      <c r="B464" s="1281" t="s">
        <v>2623</v>
      </c>
      <c r="C464" s="1281">
        <v>10</v>
      </c>
      <c r="D464" s="1281"/>
      <c r="E464" s="1280"/>
      <c r="F464" s="1282"/>
      <c r="G464" s="1281"/>
      <c r="H464" s="1281"/>
    </row>
    <row r="465" spans="1:8" x14ac:dyDescent="0.2">
      <c r="A465" s="1280" t="s">
        <v>3540</v>
      </c>
      <c r="B465" s="1281" t="s">
        <v>2623</v>
      </c>
      <c r="C465" s="1281">
        <v>3</v>
      </c>
      <c r="D465" s="1281" t="s">
        <v>2686</v>
      </c>
      <c r="E465" s="1280" t="s">
        <v>3541</v>
      </c>
      <c r="F465" s="1282"/>
      <c r="G465" s="1281"/>
      <c r="H465" s="1281"/>
    </row>
    <row r="466" spans="1:8" x14ac:dyDescent="0.2">
      <c r="A466" s="1280" t="s">
        <v>3542</v>
      </c>
      <c r="B466" s="1281"/>
      <c r="C466" s="1281">
        <v>0</v>
      </c>
      <c r="D466" s="1281" t="s">
        <v>2686</v>
      </c>
      <c r="E466" s="1280" t="s">
        <v>3543</v>
      </c>
      <c r="F466" s="1282"/>
      <c r="G466" s="1281"/>
      <c r="H466" s="1281">
        <v>1</v>
      </c>
    </row>
    <row r="467" spans="1:8" x14ac:dyDescent="0.2">
      <c r="A467" s="1280" t="s">
        <v>3544</v>
      </c>
      <c r="B467" s="1281" t="s">
        <v>2623</v>
      </c>
      <c r="C467" s="1281">
        <v>7</v>
      </c>
      <c r="D467" s="1281" t="s">
        <v>2686</v>
      </c>
      <c r="E467" s="1280" t="s">
        <v>3545</v>
      </c>
      <c r="F467" s="1282"/>
      <c r="G467" s="1281"/>
      <c r="H467" s="1281"/>
    </row>
    <row r="468" spans="1:8" x14ac:dyDescent="0.2">
      <c r="A468" s="1280" t="s">
        <v>3546</v>
      </c>
      <c r="B468" s="1281" t="s">
        <v>2623</v>
      </c>
      <c r="C468" s="1281">
        <v>1</v>
      </c>
      <c r="D468" s="1281" t="s">
        <v>2667</v>
      </c>
      <c r="E468" s="1280" t="s">
        <v>3547</v>
      </c>
      <c r="F468" s="1282"/>
      <c r="G468" s="1281"/>
      <c r="H468" s="1281"/>
    </row>
    <row r="469" spans="1:8" x14ac:dyDescent="0.2">
      <c r="A469" s="1280" t="s">
        <v>3548</v>
      </c>
      <c r="B469" s="1281"/>
      <c r="C469" s="1281">
        <v>0</v>
      </c>
      <c r="D469" s="1281" t="s">
        <v>2667</v>
      </c>
      <c r="E469" s="1280"/>
      <c r="F469" s="1282"/>
      <c r="G469" s="1281"/>
      <c r="H469" s="1281"/>
    </row>
    <row r="470" spans="1:8" x14ac:dyDescent="0.2">
      <c r="A470" s="1280" t="s">
        <v>3549</v>
      </c>
      <c r="B470" s="1281" t="s">
        <v>2623</v>
      </c>
      <c r="C470" s="1281">
        <v>12</v>
      </c>
      <c r="D470" s="1281" t="s">
        <v>2650</v>
      </c>
      <c r="E470" s="1280" t="s">
        <v>3550</v>
      </c>
      <c r="F470" s="1282"/>
      <c r="G470" s="1281"/>
      <c r="H470" s="1281"/>
    </row>
    <row r="471" spans="1:8" x14ac:dyDescent="0.2">
      <c r="A471" s="1280" t="s">
        <v>3551</v>
      </c>
      <c r="B471" s="1281" t="s">
        <v>2623</v>
      </c>
      <c r="C471" s="1281">
        <v>5</v>
      </c>
      <c r="D471" s="1281" t="s">
        <v>2667</v>
      </c>
      <c r="E471" s="1280" t="s">
        <v>3552</v>
      </c>
      <c r="F471" s="1282"/>
      <c r="G471" s="1281"/>
      <c r="H471" s="1281"/>
    </row>
    <row r="472" spans="1:8" x14ac:dyDescent="0.2">
      <c r="A472" s="1280" t="s">
        <v>3553</v>
      </c>
      <c r="B472" s="1281" t="s">
        <v>2623</v>
      </c>
      <c r="C472" s="1281">
        <v>3</v>
      </c>
      <c r="D472" s="1281" t="s">
        <v>2686</v>
      </c>
      <c r="E472" s="1280" t="s">
        <v>3554</v>
      </c>
      <c r="F472" s="1282"/>
      <c r="G472" s="1281"/>
      <c r="H472" s="1281"/>
    </row>
    <row r="473" spans="1:8" x14ac:dyDescent="0.2">
      <c r="A473" s="1280" t="s">
        <v>3555</v>
      </c>
      <c r="B473" s="1281" t="s">
        <v>2623</v>
      </c>
      <c r="C473" s="1281">
        <v>0</v>
      </c>
      <c r="D473" s="1281" t="s">
        <v>2686</v>
      </c>
      <c r="E473" s="1280" t="s">
        <v>3556</v>
      </c>
      <c r="F473" s="1282"/>
      <c r="G473" s="1281"/>
      <c r="H473" s="1281"/>
    </row>
    <row r="474" spans="1:8" x14ac:dyDescent="0.2">
      <c r="A474" s="1280" t="s">
        <v>3557</v>
      </c>
      <c r="B474" s="1281" t="s">
        <v>2623</v>
      </c>
      <c r="C474" s="1281">
        <v>0</v>
      </c>
      <c r="D474" s="1281" t="s">
        <v>2686</v>
      </c>
      <c r="E474" s="1280" t="s">
        <v>3558</v>
      </c>
      <c r="F474" s="1282"/>
      <c r="G474" s="1281"/>
      <c r="H474" s="1281"/>
    </row>
    <row r="475" spans="1:8" x14ac:dyDescent="0.2">
      <c r="A475" s="1280" t="s">
        <v>3559</v>
      </c>
      <c r="B475" s="1281" t="s">
        <v>2623</v>
      </c>
      <c r="C475" s="1281">
        <v>0</v>
      </c>
      <c r="D475" s="1281"/>
      <c r="E475" s="1280" t="s">
        <v>3560</v>
      </c>
      <c r="F475" s="1282"/>
      <c r="G475" s="1281"/>
      <c r="H475" s="1281"/>
    </row>
    <row r="476" spans="1:8" x14ac:dyDescent="0.2">
      <c r="A476" s="1280" t="s">
        <v>3561</v>
      </c>
      <c r="B476" s="1281" t="s">
        <v>2623</v>
      </c>
      <c r="C476" s="1281">
        <v>1</v>
      </c>
      <c r="D476" s="1281" t="s">
        <v>2650</v>
      </c>
      <c r="E476" s="1280" t="s">
        <v>3562</v>
      </c>
      <c r="F476" s="1282"/>
      <c r="G476" s="1281"/>
      <c r="H476" s="1281"/>
    </row>
    <row r="477" spans="1:8" x14ac:dyDescent="0.2">
      <c r="A477" s="1280" t="s">
        <v>3563</v>
      </c>
      <c r="B477" s="1281" t="s">
        <v>2623</v>
      </c>
      <c r="C477" s="1281">
        <v>0</v>
      </c>
      <c r="D477" s="1281"/>
      <c r="E477" s="1280" t="s">
        <v>3564</v>
      </c>
      <c r="F477" s="1282"/>
      <c r="G477" s="1281"/>
      <c r="H477" s="1281"/>
    </row>
    <row r="478" spans="1:8" x14ac:dyDescent="0.2">
      <c r="A478" s="1280" t="s">
        <v>3565</v>
      </c>
      <c r="B478" s="1281" t="s">
        <v>2623</v>
      </c>
      <c r="C478" s="1281">
        <v>14</v>
      </c>
      <c r="D478" s="1281" t="s">
        <v>2686</v>
      </c>
      <c r="E478" s="1280" t="s">
        <v>3566</v>
      </c>
      <c r="F478" s="1282"/>
      <c r="G478" s="1281"/>
      <c r="H478" s="1281"/>
    </row>
    <row r="479" spans="1:8" x14ac:dyDescent="0.2">
      <c r="A479" s="1280" t="s">
        <v>3567</v>
      </c>
      <c r="B479" s="1281"/>
      <c r="C479" s="1281">
        <v>0</v>
      </c>
      <c r="D479" s="1281" t="s">
        <v>2667</v>
      </c>
      <c r="E479" s="1280"/>
      <c r="F479" s="1282"/>
      <c r="G479" s="1281"/>
      <c r="H479" s="1281"/>
    </row>
    <row r="480" spans="1:8" x14ac:dyDescent="0.2">
      <c r="A480" s="1280" t="s">
        <v>3568</v>
      </c>
      <c r="B480" s="1281"/>
      <c r="C480" s="1281">
        <v>0</v>
      </c>
      <c r="D480" s="1281" t="s">
        <v>2686</v>
      </c>
      <c r="E480" s="1280"/>
      <c r="F480" s="1282"/>
      <c r="G480" s="1281"/>
      <c r="H480" s="1281"/>
    </row>
    <row r="481" spans="1:8" x14ac:dyDescent="0.2">
      <c r="A481" s="1280" t="s">
        <v>3569</v>
      </c>
      <c r="B481" s="1281"/>
      <c r="C481" s="1281">
        <v>0</v>
      </c>
      <c r="D481" s="1281" t="s">
        <v>2645</v>
      </c>
      <c r="E481" s="1280" t="s">
        <v>3570</v>
      </c>
      <c r="F481" s="1282"/>
      <c r="G481" s="1281"/>
      <c r="H481" s="1281"/>
    </row>
    <row r="482" spans="1:8" x14ac:dyDescent="0.2">
      <c r="A482" s="1280" t="s">
        <v>3571</v>
      </c>
      <c r="B482" s="1281" t="s">
        <v>2623</v>
      </c>
      <c r="C482" s="1281">
        <v>1</v>
      </c>
      <c r="D482" s="1281" t="s">
        <v>2650</v>
      </c>
      <c r="E482" s="1280" t="s">
        <v>3572</v>
      </c>
      <c r="F482" s="1282"/>
      <c r="G482" s="1281"/>
      <c r="H482" s="1281">
        <v>2</v>
      </c>
    </row>
    <row r="483" spans="1:8" x14ac:dyDescent="0.2">
      <c r="A483" s="1280" t="s">
        <v>3573</v>
      </c>
      <c r="B483" s="1281"/>
      <c r="C483" s="1281">
        <v>0</v>
      </c>
      <c r="D483" s="1281" t="s">
        <v>2645</v>
      </c>
      <c r="E483" s="1280" t="s">
        <v>3574</v>
      </c>
      <c r="F483" s="1282"/>
      <c r="G483" s="1281"/>
      <c r="H483" s="1281"/>
    </row>
    <row r="484" spans="1:8" x14ac:dyDescent="0.2">
      <c r="A484" s="1280" t="s">
        <v>3575</v>
      </c>
      <c r="B484" s="1281" t="s">
        <v>2623</v>
      </c>
      <c r="C484" s="1281">
        <v>0</v>
      </c>
      <c r="D484" s="1281" t="s">
        <v>2686</v>
      </c>
      <c r="E484" s="1280" t="s">
        <v>3576</v>
      </c>
      <c r="F484" s="1282"/>
      <c r="G484" s="1281"/>
      <c r="H484" s="1281">
        <v>1</v>
      </c>
    </row>
    <row r="485" spans="1:8" x14ac:dyDescent="0.2">
      <c r="A485" s="1280" t="s">
        <v>3577</v>
      </c>
      <c r="B485" s="1281" t="s">
        <v>2623</v>
      </c>
      <c r="C485" s="1281">
        <v>16</v>
      </c>
      <c r="D485" s="1281" t="s">
        <v>2686</v>
      </c>
      <c r="E485" s="1280" t="s">
        <v>3578</v>
      </c>
      <c r="F485" s="1282"/>
      <c r="G485" s="1281"/>
      <c r="H485" s="1281"/>
    </row>
    <row r="486" spans="1:8" x14ac:dyDescent="0.2">
      <c r="A486" s="1280" t="s">
        <v>3579</v>
      </c>
      <c r="B486" s="1281" t="s">
        <v>2623</v>
      </c>
      <c r="C486" s="1281">
        <v>0</v>
      </c>
      <c r="D486" s="1281" t="s">
        <v>2686</v>
      </c>
      <c r="E486" s="1280" t="s">
        <v>3580</v>
      </c>
      <c r="F486" s="1282"/>
      <c r="G486" s="1281"/>
      <c r="H486" s="1281"/>
    </row>
    <row r="487" spans="1:8" x14ac:dyDescent="0.2">
      <c r="A487" s="1280" t="s">
        <v>3581</v>
      </c>
      <c r="B487" s="1281"/>
      <c r="C487" s="1281">
        <v>0</v>
      </c>
      <c r="D487" s="1281" t="s">
        <v>2653</v>
      </c>
      <c r="E487" s="1280" t="s">
        <v>3582</v>
      </c>
      <c r="F487" s="1282"/>
      <c r="G487" s="1281"/>
      <c r="H487" s="1281"/>
    </row>
    <row r="488" spans="1:8" x14ac:dyDescent="0.2">
      <c r="A488" s="1280" t="s">
        <v>3583</v>
      </c>
      <c r="B488" s="1281" t="s">
        <v>2623</v>
      </c>
      <c r="C488" s="1281">
        <v>18</v>
      </c>
      <c r="D488" s="1281" t="s">
        <v>2686</v>
      </c>
      <c r="E488" s="1280" t="s">
        <v>3584</v>
      </c>
      <c r="F488" s="1282"/>
      <c r="G488" s="1281"/>
      <c r="H488" s="1281"/>
    </row>
    <row r="489" spans="1:8" x14ac:dyDescent="0.2">
      <c r="A489" s="1280" t="s">
        <v>3585</v>
      </c>
      <c r="B489" s="1281" t="s">
        <v>2623</v>
      </c>
      <c r="C489" s="1281">
        <v>8</v>
      </c>
      <c r="D489" s="1281" t="s">
        <v>2667</v>
      </c>
      <c r="E489" s="1280" t="s">
        <v>3586</v>
      </c>
      <c r="F489" s="1282"/>
      <c r="G489" s="1281"/>
      <c r="H489" s="1281"/>
    </row>
    <row r="490" spans="1:8" x14ac:dyDescent="0.2">
      <c r="A490" s="1280" t="s">
        <v>3587</v>
      </c>
      <c r="B490" s="1281" t="s">
        <v>2623</v>
      </c>
      <c r="C490" s="1281">
        <v>0</v>
      </c>
      <c r="D490" s="1281" t="s">
        <v>2667</v>
      </c>
      <c r="E490" s="1280" t="s">
        <v>3588</v>
      </c>
      <c r="F490" s="1282"/>
      <c r="G490" s="1281"/>
      <c r="H490" s="1281"/>
    </row>
    <row r="491" spans="1:8" x14ac:dyDescent="0.2">
      <c r="A491" s="1280" t="s">
        <v>3589</v>
      </c>
      <c r="B491" s="1281" t="s">
        <v>2623</v>
      </c>
      <c r="C491" s="1281">
        <v>0</v>
      </c>
      <c r="D491" s="1281" t="s">
        <v>2686</v>
      </c>
      <c r="E491" s="1280" t="s">
        <v>3590</v>
      </c>
      <c r="F491" s="1282"/>
      <c r="G491" s="1281"/>
      <c r="H491" s="1281"/>
    </row>
    <row r="492" spans="1:8" x14ac:dyDescent="0.2">
      <c r="A492" s="1280" t="s">
        <v>3591</v>
      </c>
      <c r="B492" s="1281" t="s">
        <v>2623</v>
      </c>
      <c r="C492" s="1281">
        <v>9</v>
      </c>
      <c r="D492" s="1281" t="s">
        <v>2667</v>
      </c>
      <c r="E492" s="1280" t="s">
        <v>3592</v>
      </c>
      <c r="F492" s="1282"/>
      <c r="G492" s="1281"/>
      <c r="H492" s="1281"/>
    </row>
    <row r="493" spans="1:8" x14ac:dyDescent="0.2">
      <c r="A493" s="1280" t="s">
        <v>3593</v>
      </c>
      <c r="B493" s="1281" t="s">
        <v>2623</v>
      </c>
      <c r="C493" s="1281">
        <v>0</v>
      </c>
      <c r="D493" s="1281" t="s">
        <v>2667</v>
      </c>
      <c r="E493" s="1280" t="s">
        <v>3594</v>
      </c>
      <c r="F493" s="1282"/>
      <c r="G493" s="1281"/>
      <c r="H493" s="1281"/>
    </row>
    <row r="494" spans="1:8" x14ac:dyDescent="0.2">
      <c r="A494" s="1280" t="s">
        <v>3595</v>
      </c>
      <c r="B494" s="1281" t="s">
        <v>2623</v>
      </c>
      <c r="C494" s="1281">
        <v>1</v>
      </c>
      <c r="D494" s="1281" t="s">
        <v>2686</v>
      </c>
      <c r="E494" s="1280" t="s">
        <v>3596</v>
      </c>
      <c r="F494" s="1282"/>
      <c r="G494" s="1281"/>
      <c r="H494" s="1281"/>
    </row>
    <row r="495" spans="1:8" x14ac:dyDescent="0.2">
      <c r="A495" s="1280" t="s">
        <v>3597</v>
      </c>
      <c r="B495" s="1281" t="s">
        <v>2623</v>
      </c>
      <c r="C495" s="1281">
        <v>5</v>
      </c>
      <c r="D495" s="1281" t="s">
        <v>2667</v>
      </c>
      <c r="E495" s="1280" t="s">
        <v>3598</v>
      </c>
      <c r="F495" s="1282"/>
      <c r="G495" s="1281"/>
      <c r="H495" s="1281"/>
    </row>
    <row r="496" spans="1:8" x14ac:dyDescent="0.2">
      <c r="A496" s="1280" t="s">
        <v>3599</v>
      </c>
      <c r="B496" s="1281"/>
      <c r="C496" s="1281">
        <v>0</v>
      </c>
      <c r="D496" s="1281" t="s">
        <v>2686</v>
      </c>
      <c r="E496" s="1280" t="s">
        <v>3600</v>
      </c>
      <c r="F496" s="1282"/>
      <c r="G496" s="1281"/>
      <c r="H496" s="1281"/>
    </row>
    <row r="497" spans="1:8" x14ac:dyDescent="0.2">
      <c r="A497" s="1280" t="s">
        <v>3601</v>
      </c>
      <c r="B497" s="1281" t="s">
        <v>2623</v>
      </c>
      <c r="C497" s="1281">
        <v>0</v>
      </c>
      <c r="D497" s="1281" t="s">
        <v>2667</v>
      </c>
      <c r="E497" s="1280" t="s">
        <v>3602</v>
      </c>
      <c r="F497" s="1282"/>
      <c r="G497" s="1281"/>
      <c r="H497" s="1281">
        <v>1</v>
      </c>
    </row>
    <row r="498" spans="1:8" x14ac:dyDescent="0.2">
      <c r="A498" s="1280" t="s">
        <v>3603</v>
      </c>
      <c r="B498" s="1281" t="s">
        <v>2623</v>
      </c>
      <c r="C498" s="1281">
        <v>3</v>
      </c>
      <c r="D498" s="1281" t="s">
        <v>2645</v>
      </c>
      <c r="E498" s="1280" t="s">
        <v>3604</v>
      </c>
      <c r="F498" s="1282"/>
      <c r="G498" s="1281"/>
      <c r="H498" s="1281"/>
    </row>
    <row r="499" spans="1:8" x14ac:dyDescent="0.2">
      <c r="A499" s="1283" t="s">
        <v>3605</v>
      </c>
      <c r="B499" s="1281" t="s">
        <v>2623</v>
      </c>
      <c r="C499" s="1281">
        <v>0</v>
      </c>
      <c r="D499" s="1281"/>
      <c r="E499" s="1280"/>
      <c r="F499" s="1282"/>
      <c r="G499" s="1281"/>
      <c r="H499" s="1281"/>
    </row>
    <row r="500" spans="1:8" x14ac:dyDescent="0.2">
      <c r="A500" s="1280" t="s">
        <v>3606</v>
      </c>
      <c r="B500" s="1281"/>
      <c r="C500" s="1281">
        <v>0</v>
      </c>
      <c r="D500" s="1281" t="s">
        <v>2653</v>
      </c>
      <c r="E500" s="1280" t="s">
        <v>3607</v>
      </c>
      <c r="F500" s="1282"/>
      <c r="G500" s="1281"/>
      <c r="H500" s="1281"/>
    </row>
    <row r="501" spans="1:8" x14ac:dyDescent="0.2">
      <c r="A501" s="1280" t="s">
        <v>3608</v>
      </c>
      <c r="B501" s="1281" t="s">
        <v>2623</v>
      </c>
      <c r="C501" s="1281">
        <v>0</v>
      </c>
      <c r="D501" s="1281" t="s">
        <v>2650</v>
      </c>
      <c r="E501" s="1280" t="s">
        <v>3609</v>
      </c>
      <c r="F501" s="1282"/>
      <c r="G501" s="1281"/>
      <c r="H501" s="1281"/>
    </row>
    <row r="502" spans="1:8" x14ac:dyDescent="0.2">
      <c r="A502" s="1280" t="s">
        <v>3610</v>
      </c>
      <c r="B502" s="1281"/>
      <c r="C502" s="1281">
        <v>0</v>
      </c>
      <c r="D502" s="1281" t="s">
        <v>2650</v>
      </c>
      <c r="E502" s="1280" t="s">
        <v>3611</v>
      </c>
      <c r="F502" s="1282"/>
      <c r="G502" s="1281"/>
      <c r="H502" s="1281"/>
    </row>
    <row r="503" spans="1:8" x14ac:dyDescent="0.2">
      <c r="A503" s="1280" t="s">
        <v>3612</v>
      </c>
      <c r="B503" s="1281" t="s">
        <v>2623</v>
      </c>
      <c r="C503" s="1281">
        <v>0</v>
      </c>
      <c r="D503" s="1281" t="s">
        <v>2653</v>
      </c>
      <c r="E503" s="1280" t="s">
        <v>3613</v>
      </c>
      <c r="F503" s="1282" t="s">
        <v>2659</v>
      </c>
      <c r="G503" s="1281"/>
      <c r="H503" s="1281"/>
    </row>
    <row r="504" spans="1:8" x14ac:dyDescent="0.2">
      <c r="A504" s="1280" t="s">
        <v>3614</v>
      </c>
      <c r="B504" s="1281" t="s">
        <v>2623</v>
      </c>
      <c r="C504" s="1281">
        <v>0</v>
      </c>
      <c r="D504" s="1281" t="s">
        <v>2645</v>
      </c>
      <c r="E504" s="1280" t="s">
        <v>3615</v>
      </c>
      <c r="F504" s="1282" t="s">
        <v>2659</v>
      </c>
      <c r="G504" s="1281" t="s">
        <v>2659</v>
      </c>
      <c r="H504" s="1281"/>
    </row>
    <row r="505" spans="1:8" x14ac:dyDescent="0.2">
      <c r="A505" s="1280" t="s">
        <v>3616</v>
      </c>
      <c r="B505" s="1281" t="s">
        <v>2623</v>
      </c>
      <c r="C505" s="1281">
        <v>1</v>
      </c>
      <c r="D505" s="1281" t="s">
        <v>2645</v>
      </c>
      <c r="E505" s="1280" t="s">
        <v>3617</v>
      </c>
      <c r="F505" s="1282" t="s">
        <v>2659</v>
      </c>
      <c r="G505" s="1281"/>
      <c r="H505" s="1281"/>
    </row>
    <row r="506" spans="1:8" x14ac:dyDescent="0.2">
      <c r="A506" s="1280" t="s">
        <v>3618</v>
      </c>
      <c r="B506" s="1281" t="s">
        <v>2623</v>
      </c>
      <c r="C506" s="1281">
        <v>1</v>
      </c>
      <c r="D506" s="1281" t="s">
        <v>2686</v>
      </c>
      <c r="E506" s="1280"/>
      <c r="F506" s="1282"/>
      <c r="G506" s="1281"/>
      <c r="H506" s="1281"/>
    </row>
    <row r="507" spans="1:8" x14ac:dyDescent="0.2">
      <c r="A507" s="1280" t="s">
        <v>3619</v>
      </c>
      <c r="B507" s="1281" t="s">
        <v>2623</v>
      </c>
      <c r="C507" s="1281">
        <v>1</v>
      </c>
      <c r="D507" s="1281" t="s">
        <v>2650</v>
      </c>
      <c r="E507" s="1280" t="s">
        <v>3620</v>
      </c>
      <c r="F507" s="1282"/>
      <c r="G507" s="1281"/>
      <c r="H507" s="1281"/>
    </row>
    <row r="508" spans="1:8" x14ac:dyDescent="0.2">
      <c r="A508" s="1280" t="s">
        <v>3621</v>
      </c>
      <c r="B508" s="1281"/>
      <c r="C508" s="1281">
        <v>0</v>
      </c>
      <c r="D508" s="1281" t="s">
        <v>2645</v>
      </c>
      <c r="E508" s="1280"/>
      <c r="F508" s="1282" t="s">
        <v>2659</v>
      </c>
      <c r="G508" s="1281"/>
      <c r="H508" s="1281"/>
    </row>
    <row r="509" spans="1:8" x14ac:dyDescent="0.2">
      <c r="A509" s="1280" t="s">
        <v>3622</v>
      </c>
      <c r="B509" s="1281"/>
      <c r="C509" s="1281">
        <v>0</v>
      </c>
      <c r="D509" s="1281" t="s">
        <v>2645</v>
      </c>
      <c r="E509" s="1280" t="s">
        <v>3623</v>
      </c>
      <c r="F509" s="1282"/>
      <c r="G509" s="1281"/>
      <c r="H509" s="1281">
        <v>1</v>
      </c>
    </row>
    <row r="510" spans="1:8" x14ac:dyDescent="0.2">
      <c r="A510" s="1280" t="s">
        <v>3624</v>
      </c>
      <c r="B510" s="1281"/>
      <c r="C510" s="1281">
        <v>0</v>
      </c>
      <c r="D510" s="1281" t="s">
        <v>2653</v>
      </c>
      <c r="E510" s="1280" t="s">
        <v>3625</v>
      </c>
      <c r="F510" s="1282"/>
      <c r="G510" s="1281"/>
      <c r="H510" s="1281"/>
    </row>
    <row r="511" spans="1:8" x14ac:dyDescent="0.2">
      <c r="A511" s="1280" t="s">
        <v>3626</v>
      </c>
      <c r="B511" s="1281" t="s">
        <v>2623</v>
      </c>
      <c r="C511" s="1281">
        <v>24</v>
      </c>
      <c r="D511" s="1281" t="s">
        <v>2650</v>
      </c>
      <c r="E511" s="1280" t="s">
        <v>3627</v>
      </c>
      <c r="F511" s="1282"/>
      <c r="G511" s="1281"/>
      <c r="H511" s="1281"/>
    </row>
    <row r="512" spans="1:8" x14ac:dyDescent="0.2">
      <c r="A512" s="1280" t="s">
        <v>3628</v>
      </c>
      <c r="B512" s="1281" t="s">
        <v>2623</v>
      </c>
      <c r="C512" s="1281">
        <v>2</v>
      </c>
      <c r="D512" s="1281" t="s">
        <v>2653</v>
      </c>
      <c r="E512" s="1280" t="s">
        <v>3629</v>
      </c>
      <c r="F512" s="1282"/>
      <c r="G512" s="1281"/>
      <c r="H512" s="1281"/>
    </row>
    <row r="513" spans="1:8" x14ac:dyDescent="0.2">
      <c r="A513" s="1283" t="s">
        <v>3630</v>
      </c>
      <c r="B513" s="1281" t="s">
        <v>2623</v>
      </c>
      <c r="C513" s="1281">
        <v>0</v>
      </c>
      <c r="D513" s="1281"/>
      <c r="E513" s="1280"/>
      <c r="F513" s="1282"/>
      <c r="G513" s="1281"/>
      <c r="H513" s="1281"/>
    </row>
    <row r="514" spans="1:8" x14ac:dyDescent="0.2">
      <c r="A514" s="1280" t="s">
        <v>3631</v>
      </c>
      <c r="B514" s="1281" t="s">
        <v>2623</v>
      </c>
      <c r="C514" s="1281">
        <v>0</v>
      </c>
      <c r="D514" s="1281" t="s">
        <v>2645</v>
      </c>
      <c r="E514" s="1280" t="s">
        <v>3632</v>
      </c>
      <c r="F514" s="1282"/>
      <c r="G514" s="1281"/>
      <c r="H514" s="1281"/>
    </row>
    <row r="515" spans="1:8" x14ac:dyDescent="0.2">
      <c r="A515" s="1280" t="s">
        <v>3633</v>
      </c>
      <c r="B515" s="1281" t="s">
        <v>2623</v>
      </c>
      <c r="C515" s="1281">
        <v>15</v>
      </c>
      <c r="D515" s="1281" t="s">
        <v>2650</v>
      </c>
      <c r="E515" s="1280" t="s">
        <v>3634</v>
      </c>
      <c r="F515" s="1282"/>
      <c r="G515" s="1281"/>
      <c r="H515" s="1281"/>
    </row>
    <row r="516" spans="1:8" x14ac:dyDescent="0.2">
      <c r="A516" s="1280" t="s">
        <v>3635</v>
      </c>
      <c r="B516" s="1281"/>
      <c r="C516" s="1281">
        <v>0</v>
      </c>
      <c r="D516" s="1281" t="s">
        <v>2645</v>
      </c>
      <c r="E516" s="1280" t="s">
        <v>3636</v>
      </c>
      <c r="F516" s="1282" t="s">
        <v>2659</v>
      </c>
      <c r="G516" s="1281"/>
      <c r="H516" s="1281"/>
    </row>
    <row r="517" spans="1:8" x14ac:dyDescent="0.2">
      <c r="A517" s="1280" t="s">
        <v>3637</v>
      </c>
      <c r="B517" s="1281" t="s">
        <v>2623</v>
      </c>
      <c r="C517" s="1281">
        <v>4</v>
      </c>
      <c r="D517" s="1281" t="s">
        <v>2653</v>
      </c>
      <c r="E517" s="1280" t="s">
        <v>3638</v>
      </c>
      <c r="F517" s="1282"/>
      <c r="G517" s="1281"/>
      <c r="H517" s="1281"/>
    </row>
    <row r="518" spans="1:8" x14ac:dyDescent="0.2">
      <c r="A518" s="1280" t="s">
        <v>3639</v>
      </c>
      <c r="B518" s="1281" t="s">
        <v>2623</v>
      </c>
      <c r="C518" s="1281">
        <v>0</v>
      </c>
      <c r="D518" s="1281" t="s">
        <v>2653</v>
      </c>
      <c r="E518" s="1280" t="s">
        <v>3640</v>
      </c>
      <c r="F518" s="1282"/>
      <c r="G518" s="1281"/>
      <c r="H518" s="1281"/>
    </row>
    <row r="519" spans="1:8" x14ac:dyDescent="0.2">
      <c r="A519" s="1280" t="s">
        <v>3641</v>
      </c>
      <c r="B519" s="1281" t="s">
        <v>2623</v>
      </c>
      <c r="C519" s="1281">
        <v>12</v>
      </c>
      <c r="D519" s="1281" t="s">
        <v>2686</v>
      </c>
      <c r="E519" s="1280" t="s">
        <v>3642</v>
      </c>
      <c r="F519" s="1282"/>
      <c r="G519" s="1281"/>
      <c r="H519" s="1281"/>
    </row>
    <row r="520" spans="1:8" x14ac:dyDescent="0.2">
      <c r="A520" s="1280" t="s">
        <v>3643</v>
      </c>
      <c r="B520" s="1281" t="s">
        <v>2623</v>
      </c>
      <c r="C520" s="1281">
        <v>6</v>
      </c>
      <c r="D520" s="1281" t="s">
        <v>2650</v>
      </c>
      <c r="E520" s="1280" t="s">
        <v>3644</v>
      </c>
      <c r="F520" s="1282"/>
      <c r="G520" s="1281"/>
      <c r="H520" s="1281"/>
    </row>
    <row r="521" spans="1:8" x14ac:dyDescent="0.2">
      <c r="A521" s="1280" t="s">
        <v>3645</v>
      </c>
      <c r="B521" s="1281" t="s">
        <v>2623</v>
      </c>
      <c r="C521" s="1281">
        <v>12</v>
      </c>
      <c r="D521" s="1281" t="s">
        <v>2650</v>
      </c>
      <c r="E521" s="1280" t="s">
        <v>3646</v>
      </c>
      <c r="F521" s="1282"/>
      <c r="G521" s="1281"/>
      <c r="H521" s="1281"/>
    </row>
    <row r="522" spans="1:8" x14ac:dyDescent="0.2">
      <c r="A522" s="1280" t="s">
        <v>3647</v>
      </c>
      <c r="B522" s="1281"/>
      <c r="C522" s="1281">
        <v>0</v>
      </c>
      <c r="D522" s="1281" t="s">
        <v>2650</v>
      </c>
      <c r="E522" s="1280" t="s">
        <v>3648</v>
      </c>
      <c r="F522" s="1282"/>
      <c r="G522" s="1281"/>
      <c r="H522" s="1281"/>
    </row>
    <row r="523" spans="1:8" x14ac:dyDescent="0.2">
      <c r="A523" s="1280" t="s">
        <v>3649</v>
      </c>
      <c r="B523" s="1281" t="s">
        <v>2623</v>
      </c>
      <c r="C523" s="1281">
        <v>26</v>
      </c>
      <c r="D523" s="1281" t="s">
        <v>2686</v>
      </c>
      <c r="E523" s="1280" t="s">
        <v>3650</v>
      </c>
      <c r="F523" s="1282"/>
      <c r="G523" s="1281"/>
      <c r="H523" s="1281"/>
    </row>
    <row r="524" spans="1:8" x14ac:dyDescent="0.2">
      <c r="A524" s="1280" t="s">
        <v>3651</v>
      </c>
      <c r="B524" s="1281" t="s">
        <v>2623</v>
      </c>
      <c r="C524" s="1281">
        <v>6</v>
      </c>
      <c r="D524" s="1281" t="s">
        <v>2650</v>
      </c>
      <c r="E524" s="1280" t="s">
        <v>3652</v>
      </c>
      <c r="F524" s="1282"/>
      <c r="G524" s="1281"/>
      <c r="H524" s="1281"/>
    </row>
    <row r="525" spans="1:8" x14ac:dyDescent="0.2">
      <c r="A525" s="1283" t="s">
        <v>3653</v>
      </c>
      <c r="B525" s="1281" t="s">
        <v>2623</v>
      </c>
      <c r="C525" s="1281">
        <v>0</v>
      </c>
      <c r="D525" s="1281"/>
      <c r="E525" s="1280"/>
      <c r="F525" s="1282"/>
      <c r="G525" s="1281"/>
      <c r="H525" s="1281"/>
    </row>
    <row r="526" spans="1:8" x14ac:dyDescent="0.2">
      <c r="A526" s="1280" t="s">
        <v>3654</v>
      </c>
      <c r="B526" s="1281" t="s">
        <v>2623</v>
      </c>
      <c r="C526" s="1281">
        <v>1</v>
      </c>
      <c r="D526" s="1281" t="s">
        <v>2686</v>
      </c>
      <c r="E526" s="1280" t="s">
        <v>3655</v>
      </c>
      <c r="F526" s="1282"/>
      <c r="G526" s="1281"/>
      <c r="H526" s="1281"/>
    </row>
    <row r="527" spans="1:8" x14ac:dyDescent="0.2">
      <c r="A527" s="1280" t="s">
        <v>3656</v>
      </c>
      <c r="B527" s="1281" t="s">
        <v>2623</v>
      </c>
      <c r="C527" s="1281">
        <v>7</v>
      </c>
      <c r="D527" s="1281" t="s">
        <v>2686</v>
      </c>
      <c r="E527" s="1280" t="s">
        <v>3657</v>
      </c>
      <c r="F527" s="1282"/>
      <c r="G527" s="1281"/>
      <c r="H527" s="1281"/>
    </row>
    <row r="528" spans="1:8" x14ac:dyDescent="0.2">
      <c r="A528" s="1280" t="s">
        <v>3658</v>
      </c>
      <c r="B528" s="1281" t="s">
        <v>2623</v>
      </c>
      <c r="C528" s="1281">
        <v>2</v>
      </c>
      <c r="D528" s="1281" t="s">
        <v>2653</v>
      </c>
      <c r="E528" s="1280" t="s">
        <v>3659</v>
      </c>
      <c r="F528" s="1282"/>
      <c r="G528" s="1281"/>
      <c r="H528" s="1281">
        <v>2</v>
      </c>
    </row>
    <row r="529" spans="1:8" x14ac:dyDescent="0.2">
      <c r="A529" s="1280" t="s">
        <v>3660</v>
      </c>
      <c r="B529" s="1281" t="s">
        <v>2623</v>
      </c>
      <c r="C529" s="1281">
        <v>0</v>
      </c>
      <c r="D529" s="1281" t="s">
        <v>2686</v>
      </c>
      <c r="E529" s="1280" t="s">
        <v>3661</v>
      </c>
      <c r="F529" s="1282"/>
      <c r="G529" s="1281"/>
      <c r="H529" s="1281"/>
    </row>
    <row r="530" spans="1:8" x14ac:dyDescent="0.2">
      <c r="A530" s="1280" t="s">
        <v>3662</v>
      </c>
      <c r="B530" s="1281"/>
      <c r="C530" s="1281">
        <v>0</v>
      </c>
      <c r="D530" s="1281" t="s">
        <v>2686</v>
      </c>
      <c r="E530" s="1280" t="s">
        <v>3663</v>
      </c>
      <c r="F530" s="1282"/>
      <c r="G530" s="1281"/>
      <c r="H530" s="1281">
        <v>2</v>
      </c>
    </row>
    <row r="531" spans="1:8" x14ac:dyDescent="0.2">
      <c r="A531" s="1280" t="s">
        <v>3664</v>
      </c>
      <c r="B531" s="1281" t="s">
        <v>2623</v>
      </c>
      <c r="C531" s="1281">
        <v>2</v>
      </c>
      <c r="D531" s="1281" t="s">
        <v>2653</v>
      </c>
      <c r="E531" s="1280" t="s">
        <v>3665</v>
      </c>
      <c r="F531" s="1282"/>
      <c r="G531" s="1281"/>
      <c r="H531" s="1281"/>
    </row>
    <row r="532" spans="1:8" x14ac:dyDescent="0.2">
      <c r="A532" s="1280" t="s">
        <v>3666</v>
      </c>
      <c r="B532" s="1281" t="s">
        <v>2623</v>
      </c>
      <c r="C532" s="1281">
        <v>8</v>
      </c>
      <c r="D532" s="1281"/>
      <c r="E532" s="1280" t="s">
        <v>3667</v>
      </c>
      <c r="F532" s="1282"/>
      <c r="G532" s="1281"/>
      <c r="H532" s="1281"/>
    </row>
    <row r="533" spans="1:8" x14ac:dyDescent="0.2">
      <c r="A533" s="1280" t="s">
        <v>3668</v>
      </c>
      <c r="B533" s="1281" t="s">
        <v>2623</v>
      </c>
      <c r="C533" s="1281">
        <v>0</v>
      </c>
      <c r="D533" s="1281"/>
      <c r="E533" s="1280" t="s">
        <v>3669</v>
      </c>
      <c r="F533" s="1282" t="s">
        <v>2659</v>
      </c>
      <c r="G533" s="1281"/>
      <c r="H533" s="1281"/>
    </row>
    <row r="534" spans="1:8" x14ac:dyDescent="0.2">
      <c r="A534" s="1280" t="s">
        <v>3670</v>
      </c>
      <c r="B534" s="1281"/>
      <c r="C534" s="1281">
        <v>0</v>
      </c>
      <c r="D534" s="1281" t="s">
        <v>2653</v>
      </c>
      <c r="E534" s="1280" t="s">
        <v>3671</v>
      </c>
      <c r="F534" s="1282"/>
      <c r="G534" s="1281"/>
      <c r="H534" s="1281">
        <v>2</v>
      </c>
    </row>
    <row r="535" spans="1:8" x14ac:dyDescent="0.2">
      <c r="A535" s="1280" t="s">
        <v>3672</v>
      </c>
      <c r="B535" s="1281" t="s">
        <v>2623</v>
      </c>
      <c r="C535" s="1281">
        <v>17</v>
      </c>
      <c r="D535" s="1281" t="s">
        <v>2686</v>
      </c>
      <c r="E535" s="1280" t="s">
        <v>3673</v>
      </c>
      <c r="F535" s="1282"/>
      <c r="G535" s="1281"/>
      <c r="H535" s="1281"/>
    </row>
    <row r="536" spans="1:8" x14ac:dyDescent="0.2">
      <c r="A536" s="1280" t="s">
        <v>3674</v>
      </c>
      <c r="B536" s="1281" t="s">
        <v>2623</v>
      </c>
      <c r="C536" s="1281">
        <v>15</v>
      </c>
      <c r="D536" s="1281" t="s">
        <v>2650</v>
      </c>
      <c r="E536" s="1280" t="s">
        <v>3675</v>
      </c>
      <c r="F536" s="1282"/>
      <c r="G536" s="1281"/>
      <c r="H536" s="1281"/>
    </row>
    <row r="537" spans="1:8" x14ac:dyDescent="0.2">
      <c r="A537" s="1280" t="s">
        <v>3676</v>
      </c>
      <c r="B537" s="1281"/>
      <c r="C537" s="1281">
        <v>0</v>
      </c>
      <c r="D537" s="1281" t="s">
        <v>2686</v>
      </c>
      <c r="E537" s="1280" t="s">
        <v>3677</v>
      </c>
      <c r="F537" s="1282"/>
      <c r="G537" s="1281"/>
      <c r="H537" s="1281">
        <v>1</v>
      </c>
    </row>
    <row r="538" spans="1:8" x14ac:dyDescent="0.2">
      <c r="A538" s="1280" t="s">
        <v>3678</v>
      </c>
      <c r="B538" s="1281" t="s">
        <v>2623</v>
      </c>
      <c r="C538" s="1281">
        <v>0</v>
      </c>
      <c r="D538" s="1281" t="s">
        <v>2653</v>
      </c>
      <c r="E538" s="1280" t="s">
        <v>3679</v>
      </c>
      <c r="F538" s="1282"/>
      <c r="G538" s="1281"/>
      <c r="H538" s="1281"/>
    </row>
    <row r="539" spans="1:8" x14ac:dyDescent="0.2">
      <c r="A539" s="1280" t="s">
        <v>3680</v>
      </c>
      <c r="B539" s="1281" t="s">
        <v>2623</v>
      </c>
      <c r="C539" s="1281">
        <v>11</v>
      </c>
      <c r="D539" s="1281" t="s">
        <v>2667</v>
      </c>
      <c r="E539" s="1280" t="s">
        <v>3681</v>
      </c>
      <c r="F539" s="1282"/>
      <c r="G539" s="1281"/>
      <c r="H539" s="1281"/>
    </row>
    <row r="540" spans="1:8" x14ac:dyDescent="0.2">
      <c r="A540" s="1280" t="s">
        <v>3682</v>
      </c>
      <c r="B540" s="1281" t="s">
        <v>2623</v>
      </c>
      <c r="C540" s="1281">
        <v>0</v>
      </c>
      <c r="D540" s="1281" t="s">
        <v>2645</v>
      </c>
      <c r="E540" s="1280" t="s">
        <v>3683</v>
      </c>
      <c r="F540" s="1282" t="s">
        <v>2659</v>
      </c>
      <c r="G540" s="1281"/>
      <c r="H540" s="1281"/>
    </row>
    <row r="541" spans="1:8" x14ac:dyDescent="0.2">
      <c r="A541" s="1280" t="s">
        <v>3684</v>
      </c>
      <c r="B541" s="1281" t="s">
        <v>2623</v>
      </c>
      <c r="C541" s="1281">
        <v>4</v>
      </c>
      <c r="D541" s="1281" t="s">
        <v>2645</v>
      </c>
      <c r="E541" s="1280" t="s">
        <v>3685</v>
      </c>
      <c r="F541" s="1282"/>
      <c r="G541" s="1281"/>
      <c r="H541" s="1281">
        <v>2</v>
      </c>
    </row>
    <row r="542" spans="1:8" x14ac:dyDescent="0.2">
      <c r="A542" s="1280" t="s">
        <v>3686</v>
      </c>
      <c r="B542" s="1281" t="s">
        <v>2623</v>
      </c>
      <c r="C542" s="1281">
        <v>2</v>
      </c>
      <c r="D542" s="1281" t="s">
        <v>2667</v>
      </c>
      <c r="E542" s="1280" t="s">
        <v>3687</v>
      </c>
      <c r="F542" s="1282"/>
      <c r="G542" s="1281"/>
      <c r="H542" s="1281"/>
    </row>
    <row r="543" spans="1:8" x14ac:dyDescent="0.2">
      <c r="A543" s="1280" t="s">
        <v>3688</v>
      </c>
      <c r="B543" s="1281" t="s">
        <v>2623</v>
      </c>
      <c r="C543" s="1281">
        <v>0</v>
      </c>
      <c r="D543" s="1281" t="s">
        <v>2667</v>
      </c>
      <c r="E543" s="1280" t="s">
        <v>3689</v>
      </c>
      <c r="F543" s="1282"/>
      <c r="G543" s="1281"/>
      <c r="H543" s="1281"/>
    </row>
    <row r="544" spans="1:8" x14ac:dyDescent="0.2">
      <c r="A544" s="1280" t="s">
        <v>3690</v>
      </c>
      <c r="B544" s="1281" t="s">
        <v>2623</v>
      </c>
      <c r="C544" s="1281">
        <v>3</v>
      </c>
      <c r="D544" s="1281" t="s">
        <v>2667</v>
      </c>
      <c r="E544" s="1280" t="s">
        <v>3691</v>
      </c>
      <c r="F544" s="1282"/>
      <c r="G544" s="1281"/>
      <c r="H544" s="1281">
        <v>1</v>
      </c>
    </row>
    <row r="545" spans="1:8" x14ac:dyDescent="0.2">
      <c r="A545" s="1280" t="s">
        <v>3692</v>
      </c>
      <c r="B545" s="1281"/>
      <c r="C545" s="1281">
        <v>0</v>
      </c>
      <c r="D545" s="1281" t="s">
        <v>2667</v>
      </c>
      <c r="E545" s="1280" t="s">
        <v>3693</v>
      </c>
      <c r="F545" s="1282"/>
      <c r="G545" s="1281"/>
      <c r="H545" s="1281">
        <v>1</v>
      </c>
    </row>
    <row r="546" spans="1:8" x14ac:dyDescent="0.2">
      <c r="A546" s="1280" t="s">
        <v>3694</v>
      </c>
      <c r="B546" s="1281" t="s">
        <v>2623</v>
      </c>
      <c r="C546" s="1281">
        <v>0</v>
      </c>
      <c r="D546" s="1281" t="s">
        <v>2667</v>
      </c>
      <c r="E546" s="1280" t="s">
        <v>3695</v>
      </c>
      <c r="F546" s="1282"/>
      <c r="G546" s="1281"/>
      <c r="H546" s="1281"/>
    </row>
    <row r="547" spans="1:8" x14ac:dyDescent="0.2">
      <c r="A547" s="1280" t="s">
        <v>3696</v>
      </c>
      <c r="B547" s="1281" t="s">
        <v>2623</v>
      </c>
      <c r="C547" s="1281">
        <v>0</v>
      </c>
      <c r="D547" s="1281" t="s">
        <v>2645</v>
      </c>
      <c r="E547" s="1280" t="s">
        <v>3697</v>
      </c>
      <c r="F547" s="1282" t="s">
        <v>2659</v>
      </c>
      <c r="G547" s="1281"/>
      <c r="H547" s="1281"/>
    </row>
    <row r="548" spans="1:8" x14ac:dyDescent="0.2">
      <c r="A548" s="1280" t="s">
        <v>3698</v>
      </c>
      <c r="B548" s="1281" t="s">
        <v>2623</v>
      </c>
      <c r="C548" s="1281">
        <v>3</v>
      </c>
      <c r="D548" s="1281" t="s">
        <v>2645</v>
      </c>
      <c r="E548" s="1280" t="s">
        <v>3699</v>
      </c>
      <c r="F548" s="1282"/>
      <c r="G548" s="1281"/>
      <c r="H548" s="1281"/>
    </row>
    <row r="549" spans="1:8" x14ac:dyDescent="0.2">
      <c r="A549" s="1280" t="s">
        <v>3700</v>
      </c>
      <c r="B549" s="1281"/>
      <c r="C549" s="1281">
        <v>0</v>
      </c>
      <c r="D549" s="1281" t="s">
        <v>2650</v>
      </c>
      <c r="E549" s="1280" t="s">
        <v>3701</v>
      </c>
      <c r="F549" s="1282"/>
      <c r="G549" s="1281"/>
      <c r="H549" s="1281"/>
    </row>
    <row r="550" spans="1:8" x14ac:dyDescent="0.2">
      <c r="A550" s="1280" t="s">
        <v>3702</v>
      </c>
      <c r="B550" s="1281"/>
      <c r="C550" s="1281">
        <v>0</v>
      </c>
      <c r="D550" s="1281" t="s">
        <v>2653</v>
      </c>
      <c r="E550" s="1280" t="s">
        <v>3703</v>
      </c>
      <c r="F550" s="1282"/>
      <c r="G550" s="1281"/>
      <c r="H550" s="1281"/>
    </row>
    <row r="551" spans="1:8" x14ac:dyDescent="0.2">
      <c r="A551" s="1280" t="s">
        <v>3704</v>
      </c>
      <c r="B551" s="1281"/>
      <c r="C551" s="1281">
        <v>0</v>
      </c>
      <c r="D551" s="1281" t="s">
        <v>2686</v>
      </c>
      <c r="E551" s="1280" t="s">
        <v>3705</v>
      </c>
      <c r="F551" s="1282"/>
      <c r="G551" s="1281"/>
      <c r="H551" s="1281"/>
    </row>
    <row r="552" spans="1:8" x14ac:dyDescent="0.2">
      <c r="A552" s="1280" t="s">
        <v>3706</v>
      </c>
      <c r="B552" s="1281" t="s">
        <v>2623</v>
      </c>
      <c r="C552" s="1281">
        <v>8</v>
      </c>
      <c r="D552" s="1281" t="s">
        <v>2653</v>
      </c>
      <c r="E552" s="1280" t="s">
        <v>3707</v>
      </c>
      <c r="F552" s="1282"/>
      <c r="G552" s="1281"/>
      <c r="H552" s="1281"/>
    </row>
    <row r="553" spans="1:8" x14ac:dyDescent="0.2">
      <c r="A553" s="1280" t="s">
        <v>3708</v>
      </c>
      <c r="B553" s="1281"/>
      <c r="C553" s="1281">
        <v>0</v>
      </c>
      <c r="D553" s="1281" t="s">
        <v>2653</v>
      </c>
      <c r="E553" s="1280" t="s">
        <v>3709</v>
      </c>
      <c r="F553" s="1282" t="s">
        <v>2659</v>
      </c>
      <c r="G553" s="1281"/>
      <c r="H553" s="1281"/>
    </row>
    <row r="554" spans="1:8" x14ac:dyDescent="0.2">
      <c r="A554" s="1280" t="s">
        <v>3710</v>
      </c>
      <c r="B554" s="1281" t="s">
        <v>2623</v>
      </c>
      <c r="C554" s="1281">
        <v>16</v>
      </c>
      <c r="D554" s="1281" t="s">
        <v>2686</v>
      </c>
      <c r="E554" s="1280" t="s">
        <v>3711</v>
      </c>
      <c r="F554" s="1282"/>
      <c r="G554" s="1281"/>
      <c r="H554" s="1281"/>
    </row>
    <row r="555" spans="1:8" x14ac:dyDescent="0.2">
      <c r="A555" s="1280" t="s">
        <v>3712</v>
      </c>
      <c r="B555" s="1281" t="s">
        <v>2623</v>
      </c>
      <c r="C555" s="1281">
        <v>4</v>
      </c>
      <c r="D555" s="1281" t="s">
        <v>2653</v>
      </c>
      <c r="E555" s="1280" t="s">
        <v>3713</v>
      </c>
      <c r="F555" s="1282"/>
      <c r="G555" s="1281"/>
      <c r="H555" s="1281"/>
    </row>
    <row r="556" spans="1:8" x14ac:dyDescent="0.2">
      <c r="A556" s="1280" t="s">
        <v>3714</v>
      </c>
      <c r="B556" s="1281"/>
      <c r="C556" s="1281">
        <v>0</v>
      </c>
      <c r="D556" s="1281" t="s">
        <v>2650</v>
      </c>
      <c r="E556" s="1280" t="s">
        <v>3715</v>
      </c>
      <c r="F556" s="1282" t="s">
        <v>2659</v>
      </c>
      <c r="G556" s="1281"/>
      <c r="H556" s="1281"/>
    </row>
    <row r="557" spans="1:8" x14ac:dyDescent="0.2">
      <c r="A557" s="1280" t="s">
        <v>3716</v>
      </c>
      <c r="B557" s="1281" t="s">
        <v>2623</v>
      </c>
      <c r="C557" s="1281">
        <v>0</v>
      </c>
      <c r="D557" s="1281" t="s">
        <v>2653</v>
      </c>
      <c r="E557" s="1280" t="s">
        <v>3717</v>
      </c>
      <c r="F557" s="1282"/>
      <c r="G557" s="1281"/>
      <c r="H557" s="1281"/>
    </row>
    <row r="558" spans="1:8" x14ac:dyDescent="0.2">
      <c r="A558" s="1280" t="s">
        <v>3718</v>
      </c>
      <c r="B558" s="1281" t="s">
        <v>2623</v>
      </c>
      <c r="C558" s="1281">
        <v>1</v>
      </c>
      <c r="D558" s="1281" t="s">
        <v>2645</v>
      </c>
      <c r="E558" s="1280" t="s">
        <v>3719</v>
      </c>
      <c r="F558" s="1282" t="s">
        <v>2659</v>
      </c>
      <c r="G558" s="1281"/>
      <c r="H558" s="1281"/>
    </row>
    <row r="559" spans="1:8" x14ac:dyDescent="0.2">
      <c r="A559" s="1283" t="s">
        <v>3720</v>
      </c>
      <c r="B559" s="1281" t="s">
        <v>2623</v>
      </c>
      <c r="C559" s="1281">
        <v>0</v>
      </c>
      <c r="D559" s="1281"/>
      <c r="E559" s="1280"/>
      <c r="F559" s="1282"/>
      <c r="G559" s="1281"/>
      <c r="H559" s="1281"/>
    </row>
    <row r="560" spans="1:8" x14ac:dyDescent="0.2">
      <c r="A560" s="1280" t="s">
        <v>3721</v>
      </c>
      <c r="B560" s="1281" t="s">
        <v>2623</v>
      </c>
      <c r="C560" s="1281">
        <v>4</v>
      </c>
      <c r="D560" s="1281"/>
      <c r="E560" s="1280" t="s">
        <v>3722</v>
      </c>
      <c r="F560" s="1282"/>
      <c r="G560" s="1281"/>
      <c r="H560" s="1281"/>
    </row>
    <row r="561" spans="1:8" x14ac:dyDescent="0.2">
      <c r="A561" s="1280" t="s">
        <v>3723</v>
      </c>
      <c r="B561" s="1281" t="s">
        <v>2623</v>
      </c>
      <c r="C561" s="1281">
        <v>8</v>
      </c>
      <c r="D561" s="1281" t="s">
        <v>2645</v>
      </c>
      <c r="E561" s="1280" t="s">
        <v>3724</v>
      </c>
      <c r="F561" s="1282"/>
      <c r="G561" s="1281"/>
      <c r="H561" s="1281"/>
    </row>
    <row r="562" spans="1:8" x14ac:dyDescent="0.2">
      <c r="A562" s="1280" t="s">
        <v>3725</v>
      </c>
      <c r="B562" s="1281" t="s">
        <v>2623</v>
      </c>
      <c r="C562" s="1281">
        <v>4</v>
      </c>
      <c r="D562" s="1281"/>
      <c r="E562" s="1280"/>
      <c r="F562" s="1282"/>
      <c r="G562" s="1281"/>
      <c r="H562" s="1281"/>
    </row>
    <row r="563" spans="1:8" x14ac:dyDescent="0.2">
      <c r="A563" s="1280" t="s">
        <v>3726</v>
      </c>
      <c r="B563" s="1281" t="s">
        <v>2623</v>
      </c>
      <c r="C563" s="1281">
        <v>6</v>
      </c>
      <c r="D563" s="1281" t="s">
        <v>2667</v>
      </c>
      <c r="E563" s="1280" t="s">
        <v>3727</v>
      </c>
      <c r="F563" s="1282"/>
      <c r="G563" s="1281"/>
      <c r="H563" s="1281"/>
    </row>
    <row r="564" spans="1:8" x14ac:dyDescent="0.2">
      <c r="A564" s="1280" t="s">
        <v>3728</v>
      </c>
      <c r="B564" s="1281" t="s">
        <v>2623</v>
      </c>
      <c r="C564" s="1281">
        <v>1</v>
      </c>
      <c r="D564" s="1281" t="s">
        <v>2667</v>
      </c>
      <c r="E564" s="1280" t="s">
        <v>3729</v>
      </c>
      <c r="F564" s="1282"/>
      <c r="G564" s="1281"/>
      <c r="H564" s="1281"/>
    </row>
    <row r="565" spans="1:8" x14ac:dyDescent="0.2">
      <c r="A565" s="1280" t="s">
        <v>3730</v>
      </c>
      <c r="B565" s="1281" t="s">
        <v>2623</v>
      </c>
      <c r="C565" s="1281">
        <v>7</v>
      </c>
      <c r="D565" s="1281" t="s">
        <v>2667</v>
      </c>
      <c r="E565" s="1280" t="s">
        <v>3731</v>
      </c>
      <c r="F565" s="1282"/>
      <c r="G565" s="1281"/>
      <c r="H565" s="1281"/>
    </row>
    <row r="566" spans="1:8" x14ac:dyDescent="0.2">
      <c r="A566" s="1280" t="s">
        <v>3732</v>
      </c>
      <c r="B566" s="1281" t="s">
        <v>2623</v>
      </c>
      <c r="C566" s="1281">
        <v>2</v>
      </c>
      <c r="D566" s="1281" t="s">
        <v>2650</v>
      </c>
      <c r="E566" s="1280" t="s">
        <v>3733</v>
      </c>
      <c r="F566" s="1282" t="s">
        <v>2659</v>
      </c>
      <c r="G566" s="1281"/>
      <c r="H566" s="1281"/>
    </row>
    <row r="567" spans="1:8" x14ac:dyDescent="0.2">
      <c r="A567" s="1280" t="s">
        <v>3734</v>
      </c>
      <c r="B567" s="1281" t="s">
        <v>2623</v>
      </c>
      <c r="C567" s="1281">
        <v>16</v>
      </c>
      <c r="D567" s="1281" t="s">
        <v>2667</v>
      </c>
      <c r="E567" s="1280" t="s">
        <v>3735</v>
      </c>
      <c r="F567" s="1282"/>
      <c r="G567" s="1281"/>
      <c r="H567" s="1281"/>
    </row>
    <row r="568" spans="1:8" x14ac:dyDescent="0.2">
      <c r="A568" s="1280" t="s">
        <v>3736</v>
      </c>
      <c r="B568" s="1281" t="s">
        <v>2623</v>
      </c>
      <c r="C568" s="1281">
        <v>8</v>
      </c>
      <c r="D568" s="1281" t="s">
        <v>2686</v>
      </c>
      <c r="E568" s="1280" t="s">
        <v>3737</v>
      </c>
      <c r="F568" s="1282"/>
      <c r="G568" s="1281"/>
      <c r="H568" s="1281"/>
    </row>
    <row r="569" spans="1:8" x14ac:dyDescent="0.2">
      <c r="A569" s="1280" t="s">
        <v>3738</v>
      </c>
      <c r="B569" s="1281" t="s">
        <v>2623</v>
      </c>
      <c r="C569" s="1281">
        <v>3</v>
      </c>
      <c r="D569" s="1281" t="s">
        <v>2653</v>
      </c>
      <c r="E569" s="1280" t="s">
        <v>3739</v>
      </c>
      <c r="F569" s="1282" t="s">
        <v>2659</v>
      </c>
      <c r="G569" s="1281"/>
      <c r="H569" s="1281"/>
    </row>
    <row r="570" spans="1:8" x14ac:dyDescent="0.2">
      <c r="A570" s="1283" t="s">
        <v>3740</v>
      </c>
      <c r="B570" s="1281" t="s">
        <v>2623</v>
      </c>
      <c r="C570" s="1281">
        <v>0</v>
      </c>
      <c r="D570" s="1281"/>
      <c r="E570" s="1280"/>
      <c r="F570" s="1282"/>
      <c r="G570" s="1281"/>
      <c r="H570" s="1281"/>
    </row>
    <row r="571" spans="1:8" x14ac:dyDescent="0.2">
      <c r="A571" s="1280" t="s">
        <v>3741</v>
      </c>
      <c r="B571" s="1281" t="s">
        <v>2623</v>
      </c>
      <c r="C571" s="1281">
        <v>1</v>
      </c>
      <c r="D571" s="1281" t="s">
        <v>2653</v>
      </c>
      <c r="E571" s="1280" t="s">
        <v>3742</v>
      </c>
      <c r="F571" s="1282"/>
      <c r="G571" s="1281"/>
      <c r="H571" s="1281"/>
    </row>
    <row r="572" spans="1:8" x14ac:dyDescent="0.2">
      <c r="A572" s="1280" t="s">
        <v>3743</v>
      </c>
      <c r="B572" s="1281" t="s">
        <v>2623</v>
      </c>
      <c r="C572" s="1281">
        <v>1</v>
      </c>
      <c r="D572" s="1281" t="s">
        <v>2650</v>
      </c>
      <c r="E572" s="1280" t="s">
        <v>3744</v>
      </c>
      <c r="F572" s="1282"/>
      <c r="G572" s="1281"/>
      <c r="H572" s="1281">
        <v>1</v>
      </c>
    </row>
    <row r="573" spans="1:8" x14ac:dyDescent="0.2">
      <c r="A573" s="1280" t="s">
        <v>3745</v>
      </c>
      <c r="B573" s="1281" t="s">
        <v>2623</v>
      </c>
      <c r="C573" s="1281">
        <v>0</v>
      </c>
      <c r="D573" s="1281" t="s">
        <v>2653</v>
      </c>
      <c r="E573" s="1280" t="s">
        <v>3746</v>
      </c>
      <c r="F573" s="1282" t="s">
        <v>2659</v>
      </c>
      <c r="G573" s="1281"/>
      <c r="H573" s="1281"/>
    </row>
    <row r="574" spans="1:8" x14ac:dyDescent="0.2">
      <c r="A574" s="1280" t="s">
        <v>3747</v>
      </c>
      <c r="B574" s="1281" t="s">
        <v>2623</v>
      </c>
      <c r="C574" s="1281">
        <v>0</v>
      </c>
      <c r="D574" s="1281" t="s">
        <v>2645</v>
      </c>
      <c r="E574" s="1280" t="s">
        <v>3748</v>
      </c>
      <c r="F574" s="1282" t="s">
        <v>2659</v>
      </c>
      <c r="G574" s="1281"/>
      <c r="H574" s="1281"/>
    </row>
    <row r="575" spans="1:8" x14ac:dyDescent="0.2">
      <c r="A575" s="1280" t="s">
        <v>3749</v>
      </c>
      <c r="B575" s="1281" t="s">
        <v>2623</v>
      </c>
      <c r="C575" s="1281">
        <v>0</v>
      </c>
      <c r="D575" s="1281"/>
      <c r="E575" s="1280" t="s">
        <v>3750</v>
      </c>
      <c r="F575" s="1282" t="s">
        <v>2659</v>
      </c>
      <c r="G575" s="1281"/>
      <c r="H575" s="1281"/>
    </row>
    <row r="576" spans="1:8" x14ac:dyDescent="0.2">
      <c r="A576" s="1280" t="s">
        <v>3751</v>
      </c>
      <c r="B576" s="1281" t="s">
        <v>2623</v>
      </c>
      <c r="C576" s="1281">
        <v>9</v>
      </c>
      <c r="D576" s="1281" t="s">
        <v>2686</v>
      </c>
      <c r="E576" s="1280" t="s">
        <v>3752</v>
      </c>
      <c r="F576" s="1282"/>
      <c r="G576" s="1281"/>
      <c r="H576" s="1281"/>
    </row>
    <row r="577" spans="1:8" x14ac:dyDescent="0.2">
      <c r="A577" s="1280" t="s">
        <v>3753</v>
      </c>
      <c r="B577" s="1281" t="s">
        <v>2623</v>
      </c>
      <c r="C577" s="1281">
        <v>6</v>
      </c>
      <c r="D577" s="1281" t="s">
        <v>2650</v>
      </c>
      <c r="E577" s="1280" t="s">
        <v>3754</v>
      </c>
      <c r="F577" s="1282"/>
      <c r="G577" s="1281"/>
      <c r="H577" s="1281"/>
    </row>
    <row r="578" spans="1:8" x14ac:dyDescent="0.2">
      <c r="A578" s="1280" t="s">
        <v>3755</v>
      </c>
      <c r="B578" s="1281" t="s">
        <v>2623</v>
      </c>
      <c r="C578" s="1281">
        <v>2</v>
      </c>
      <c r="D578" s="1281" t="s">
        <v>2667</v>
      </c>
      <c r="E578" s="1280" t="s">
        <v>3756</v>
      </c>
      <c r="F578" s="1282"/>
      <c r="G578" s="1281"/>
      <c r="H578" s="1281"/>
    </row>
    <row r="579" spans="1:8" x14ac:dyDescent="0.2">
      <c r="A579" s="1280" t="s">
        <v>3757</v>
      </c>
      <c r="B579" s="1281" t="s">
        <v>2623</v>
      </c>
      <c r="C579" s="1281">
        <v>1</v>
      </c>
      <c r="D579" s="1281" t="s">
        <v>2667</v>
      </c>
      <c r="E579" s="1280" t="s">
        <v>3758</v>
      </c>
      <c r="F579" s="1282"/>
      <c r="G579" s="1281"/>
      <c r="H579" s="1281"/>
    </row>
    <row r="580" spans="1:8" x14ac:dyDescent="0.2">
      <c r="A580" s="1280" t="s">
        <v>3759</v>
      </c>
      <c r="B580" s="1281" t="s">
        <v>2623</v>
      </c>
      <c r="C580" s="1281">
        <v>1</v>
      </c>
      <c r="D580" s="1281" t="s">
        <v>2667</v>
      </c>
      <c r="E580" s="1280" t="s">
        <v>3760</v>
      </c>
      <c r="F580" s="1282"/>
      <c r="G580" s="1281"/>
      <c r="H580" s="1281"/>
    </row>
    <row r="581" spans="1:8" x14ac:dyDescent="0.2">
      <c r="A581" s="1280" t="s">
        <v>3761</v>
      </c>
      <c r="B581" s="1281" t="s">
        <v>2623</v>
      </c>
      <c r="C581" s="1281">
        <v>3</v>
      </c>
      <c r="D581" s="1281" t="s">
        <v>2667</v>
      </c>
      <c r="E581" s="1280" t="s">
        <v>3762</v>
      </c>
      <c r="F581" s="1282"/>
      <c r="G581" s="1281"/>
      <c r="H581" s="1281">
        <v>1</v>
      </c>
    </row>
    <row r="582" spans="1:8" x14ac:dyDescent="0.2">
      <c r="A582" s="1280" t="s">
        <v>3763</v>
      </c>
      <c r="B582" s="1281"/>
      <c r="C582" s="1281">
        <v>0</v>
      </c>
      <c r="D582" s="1281" t="s">
        <v>2667</v>
      </c>
      <c r="E582" s="1280" t="s">
        <v>3764</v>
      </c>
      <c r="F582" s="1282"/>
      <c r="G582" s="1281"/>
      <c r="H582" s="1281"/>
    </row>
    <row r="583" spans="1:8" x14ac:dyDescent="0.2">
      <c r="A583" s="1280" t="s">
        <v>3765</v>
      </c>
      <c r="B583" s="1281"/>
      <c r="C583" s="1281">
        <v>0</v>
      </c>
      <c r="D583" s="1281" t="s">
        <v>2667</v>
      </c>
      <c r="E583" s="1280"/>
      <c r="F583" s="1282"/>
      <c r="G583" s="1281"/>
      <c r="H583" s="1281"/>
    </row>
    <row r="584" spans="1:8" x14ac:dyDescent="0.2">
      <c r="A584" s="1280" t="s">
        <v>3766</v>
      </c>
      <c r="B584" s="1281"/>
      <c r="C584" s="1281">
        <v>0</v>
      </c>
      <c r="D584" s="1281" t="s">
        <v>2667</v>
      </c>
      <c r="E584" s="1280"/>
      <c r="F584" s="1282"/>
      <c r="G584" s="1281"/>
      <c r="H584" s="1281"/>
    </row>
    <row r="585" spans="1:8" x14ac:dyDescent="0.2">
      <c r="A585" s="1280" t="s">
        <v>3767</v>
      </c>
      <c r="B585" s="1281"/>
      <c r="C585" s="1281">
        <v>0</v>
      </c>
      <c r="D585" s="1281" t="s">
        <v>2667</v>
      </c>
      <c r="E585" s="1280" t="s">
        <v>3768</v>
      </c>
      <c r="F585" s="1282"/>
      <c r="G585" s="1281"/>
      <c r="H585" s="1281">
        <v>1</v>
      </c>
    </row>
    <row r="586" spans="1:8" x14ac:dyDescent="0.2">
      <c r="A586" s="1280" t="s">
        <v>3769</v>
      </c>
      <c r="B586" s="1281"/>
      <c r="C586" s="1281">
        <v>0</v>
      </c>
      <c r="D586" s="1281" t="s">
        <v>2686</v>
      </c>
      <c r="E586" s="1280" t="s">
        <v>3770</v>
      </c>
      <c r="F586" s="1282"/>
      <c r="G586" s="1281"/>
      <c r="H586" s="1281"/>
    </row>
    <row r="587" spans="1:8" x14ac:dyDescent="0.2">
      <c r="A587" s="1280" t="s">
        <v>3771</v>
      </c>
      <c r="B587" s="1281" t="s">
        <v>2623</v>
      </c>
      <c r="C587" s="1281">
        <v>1</v>
      </c>
      <c r="D587" s="1281" t="s">
        <v>2667</v>
      </c>
      <c r="E587" s="1280" t="s">
        <v>3772</v>
      </c>
      <c r="F587" s="1282"/>
      <c r="G587" s="1281"/>
      <c r="H587" s="1281"/>
    </row>
    <row r="588" spans="1:8" x14ac:dyDescent="0.2">
      <c r="A588" s="1280" t="s">
        <v>3773</v>
      </c>
      <c r="B588" s="1281" t="s">
        <v>2623</v>
      </c>
      <c r="C588" s="1281">
        <v>8</v>
      </c>
      <c r="D588" s="1281" t="s">
        <v>2667</v>
      </c>
      <c r="E588" s="1280" t="s">
        <v>3774</v>
      </c>
      <c r="F588" s="1282"/>
      <c r="G588" s="1281"/>
      <c r="H588" s="1281"/>
    </row>
    <row r="589" spans="1:8" x14ac:dyDescent="0.2">
      <c r="A589" s="1280" t="s">
        <v>3775</v>
      </c>
      <c r="B589" s="1281" t="s">
        <v>2623</v>
      </c>
      <c r="C589" s="1281">
        <v>1</v>
      </c>
      <c r="D589" s="1281" t="s">
        <v>2667</v>
      </c>
      <c r="E589" s="1280" t="s">
        <v>3776</v>
      </c>
      <c r="F589" s="1282"/>
      <c r="G589" s="1281"/>
      <c r="H589" s="1281">
        <v>1</v>
      </c>
    </row>
    <row r="590" spans="1:8" x14ac:dyDescent="0.2">
      <c r="A590" s="1280" t="s">
        <v>3777</v>
      </c>
      <c r="B590" s="1281"/>
      <c r="C590" s="1281">
        <v>0</v>
      </c>
      <c r="D590" s="1281" t="s">
        <v>2667</v>
      </c>
      <c r="E590" s="1280"/>
      <c r="F590" s="1282"/>
      <c r="G590" s="1281"/>
      <c r="H590" s="1281"/>
    </row>
    <row r="591" spans="1:8" x14ac:dyDescent="0.2">
      <c r="A591" s="1280" t="s">
        <v>3778</v>
      </c>
      <c r="B591" s="1281" t="s">
        <v>2623</v>
      </c>
      <c r="C591" s="1281">
        <v>1</v>
      </c>
      <c r="D591" s="1281" t="s">
        <v>2667</v>
      </c>
      <c r="E591" s="1280" t="s">
        <v>3779</v>
      </c>
      <c r="F591" s="1282"/>
      <c r="G591" s="1281"/>
      <c r="H591" s="1281"/>
    </row>
    <row r="592" spans="1:8" x14ac:dyDescent="0.2">
      <c r="A592" s="1280" t="s">
        <v>3780</v>
      </c>
      <c r="B592" s="1281" t="s">
        <v>2623</v>
      </c>
      <c r="C592" s="1281">
        <v>3</v>
      </c>
      <c r="D592" s="1281" t="s">
        <v>2667</v>
      </c>
      <c r="E592" s="1280" t="s">
        <v>3781</v>
      </c>
      <c r="F592" s="1282"/>
      <c r="G592" s="1281"/>
      <c r="H592" s="1281"/>
    </row>
    <row r="593" spans="1:8" x14ac:dyDescent="0.2">
      <c r="A593" s="1280" t="s">
        <v>3782</v>
      </c>
      <c r="B593" s="1281" t="s">
        <v>2623</v>
      </c>
      <c r="C593" s="1281">
        <v>4</v>
      </c>
      <c r="D593" s="1281" t="s">
        <v>2686</v>
      </c>
      <c r="E593" s="1280" t="s">
        <v>3783</v>
      </c>
      <c r="F593" s="1282"/>
      <c r="G593" s="1281"/>
      <c r="H593" s="1281"/>
    </row>
    <row r="594" spans="1:8" x14ac:dyDescent="0.2">
      <c r="A594" s="1280" t="s">
        <v>3784</v>
      </c>
      <c r="B594" s="1281" t="s">
        <v>2623</v>
      </c>
      <c r="C594" s="1281">
        <v>5</v>
      </c>
      <c r="D594" s="1281" t="s">
        <v>2686</v>
      </c>
      <c r="E594" s="1280" t="s">
        <v>3785</v>
      </c>
      <c r="F594" s="1282"/>
      <c r="G594" s="1281"/>
      <c r="H594" s="1281"/>
    </row>
    <row r="595" spans="1:8" x14ac:dyDescent="0.2">
      <c r="A595" s="1280" t="s">
        <v>3786</v>
      </c>
      <c r="B595" s="1281" t="s">
        <v>2623</v>
      </c>
      <c r="C595" s="1281">
        <v>8</v>
      </c>
      <c r="D595" s="1281" t="s">
        <v>2667</v>
      </c>
      <c r="E595" s="1280" t="s">
        <v>3787</v>
      </c>
      <c r="F595" s="1282"/>
      <c r="G595" s="1281"/>
      <c r="H595" s="1281"/>
    </row>
    <row r="596" spans="1:8" x14ac:dyDescent="0.2">
      <c r="A596" s="1280" t="s">
        <v>3788</v>
      </c>
      <c r="B596" s="1281" t="s">
        <v>2623</v>
      </c>
      <c r="C596" s="1281">
        <v>6</v>
      </c>
      <c r="D596" s="1281" t="s">
        <v>2686</v>
      </c>
      <c r="E596" s="1280" t="s">
        <v>3789</v>
      </c>
      <c r="F596" s="1282"/>
      <c r="G596" s="1281"/>
      <c r="H596" s="1281"/>
    </row>
    <row r="597" spans="1:8" x14ac:dyDescent="0.2">
      <c r="A597" s="1280" t="s">
        <v>3790</v>
      </c>
      <c r="B597" s="1281" t="s">
        <v>2623</v>
      </c>
      <c r="C597" s="1281">
        <v>5</v>
      </c>
      <c r="D597" s="1281" t="s">
        <v>2686</v>
      </c>
      <c r="E597" s="1280" t="s">
        <v>3791</v>
      </c>
      <c r="F597" s="1282"/>
      <c r="G597" s="1281"/>
      <c r="H597" s="1281"/>
    </row>
    <row r="598" spans="1:8" x14ac:dyDescent="0.2">
      <c r="A598" s="1280" t="s">
        <v>3792</v>
      </c>
      <c r="B598" s="1281" t="s">
        <v>2623</v>
      </c>
      <c r="C598" s="1281">
        <v>2</v>
      </c>
      <c r="D598" s="1281" t="s">
        <v>2686</v>
      </c>
      <c r="E598" s="1280" t="s">
        <v>3793</v>
      </c>
      <c r="F598" s="1282"/>
      <c r="G598" s="1281"/>
      <c r="H598" s="1281"/>
    </row>
    <row r="599" spans="1:8" x14ac:dyDescent="0.2">
      <c r="A599" s="1283" t="s">
        <v>3794</v>
      </c>
      <c r="B599" s="1281" t="s">
        <v>2623</v>
      </c>
      <c r="C599" s="1281">
        <v>0</v>
      </c>
      <c r="D599" s="1281"/>
      <c r="E599" s="1280"/>
      <c r="F599" s="1282"/>
      <c r="G599" s="1281"/>
      <c r="H599" s="1281"/>
    </row>
    <row r="600" spans="1:8" x14ac:dyDescent="0.2">
      <c r="A600" s="1280" t="s">
        <v>3795</v>
      </c>
      <c r="B600" s="1281" t="s">
        <v>2623</v>
      </c>
      <c r="C600" s="1281">
        <v>13</v>
      </c>
      <c r="D600" s="1281" t="s">
        <v>2667</v>
      </c>
      <c r="E600" s="1280" t="s">
        <v>3796</v>
      </c>
      <c r="F600" s="1282"/>
      <c r="G600" s="1281"/>
      <c r="H600" s="1281"/>
    </row>
    <row r="601" spans="1:8" x14ac:dyDescent="0.2">
      <c r="A601" s="1280" t="s">
        <v>3797</v>
      </c>
      <c r="B601" s="1281" t="s">
        <v>2623</v>
      </c>
      <c r="C601" s="1281">
        <v>0</v>
      </c>
      <c r="D601" s="1281" t="s">
        <v>2667</v>
      </c>
      <c r="E601" s="1280" t="s">
        <v>3798</v>
      </c>
      <c r="F601" s="1282"/>
      <c r="G601" s="1281"/>
      <c r="H601" s="1281">
        <v>1</v>
      </c>
    </row>
    <row r="602" spans="1:8" x14ac:dyDescent="0.2">
      <c r="A602" s="1280" t="s">
        <v>3799</v>
      </c>
      <c r="B602" s="1281" t="s">
        <v>2623</v>
      </c>
      <c r="C602" s="1281">
        <v>1</v>
      </c>
      <c r="D602" s="1281" t="s">
        <v>2667</v>
      </c>
      <c r="E602" s="1280" t="s">
        <v>3800</v>
      </c>
      <c r="F602" s="1282"/>
      <c r="G602" s="1281"/>
      <c r="H602" s="1281"/>
    </row>
    <row r="603" spans="1:8" x14ac:dyDescent="0.2">
      <c r="A603" s="1280" t="s">
        <v>3801</v>
      </c>
      <c r="B603" s="1281" t="s">
        <v>2623</v>
      </c>
      <c r="C603" s="1281">
        <v>3</v>
      </c>
      <c r="D603" s="1281" t="s">
        <v>2667</v>
      </c>
      <c r="E603" s="1280" t="s">
        <v>3802</v>
      </c>
      <c r="F603" s="1282"/>
      <c r="G603" s="1281"/>
      <c r="H603" s="1281"/>
    </row>
    <row r="604" spans="1:8" x14ac:dyDescent="0.2">
      <c r="A604" s="1280" t="s">
        <v>3803</v>
      </c>
      <c r="B604" s="1281" t="s">
        <v>2623</v>
      </c>
      <c r="C604" s="1281">
        <v>1</v>
      </c>
      <c r="D604" s="1281" t="s">
        <v>2686</v>
      </c>
      <c r="E604" s="1280" t="s">
        <v>3804</v>
      </c>
      <c r="F604" s="1282"/>
      <c r="G604" s="1281"/>
      <c r="H604" s="1281">
        <v>1</v>
      </c>
    </row>
    <row r="605" spans="1:8" x14ac:dyDescent="0.2">
      <c r="A605" s="1280" t="s">
        <v>3805</v>
      </c>
      <c r="B605" s="1281" t="s">
        <v>2623</v>
      </c>
      <c r="C605" s="1281">
        <v>2</v>
      </c>
      <c r="D605" s="1281" t="s">
        <v>2686</v>
      </c>
      <c r="E605" s="1280" t="s">
        <v>3806</v>
      </c>
      <c r="F605" s="1282"/>
      <c r="G605" s="1281"/>
      <c r="H605" s="1281"/>
    </row>
    <row r="606" spans="1:8" x14ac:dyDescent="0.2">
      <c r="A606" s="1280" t="s">
        <v>3807</v>
      </c>
      <c r="B606" s="1281" t="s">
        <v>2623</v>
      </c>
      <c r="C606" s="1281">
        <v>11</v>
      </c>
      <c r="D606" s="1281" t="s">
        <v>2645</v>
      </c>
      <c r="E606" s="1280" t="s">
        <v>3808</v>
      </c>
      <c r="F606" s="1282"/>
      <c r="G606" s="1281"/>
      <c r="H606" s="1281"/>
    </row>
    <row r="607" spans="1:8" x14ac:dyDescent="0.2">
      <c r="A607" s="1280" t="s">
        <v>3809</v>
      </c>
      <c r="B607" s="1281"/>
      <c r="C607" s="1281">
        <v>0</v>
      </c>
      <c r="D607" s="1281" t="s">
        <v>2645</v>
      </c>
      <c r="E607" s="1280" t="s">
        <v>3810</v>
      </c>
      <c r="F607" s="1282"/>
      <c r="G607" s="1281"/>
      <c r="H607" s="1281">
        <v>1</v>
      </c>
    </row>
    <row r="608" spans="1:8" x14ac:dyDescent="0.2">
      <c r="A608" s="1280" t="s">
        <v>3811</v>
      </c>
      <c r="B608" s="1281" t="s">
        <v>2623</v>
      </c>
      <c r="C608" s="1281">
        <v>0</v>
      </c>
      <c r="D608" s="1281" t="s">
        <v>2667</v>
      </c>
      <c r="E608" s="1280" t="s">
        <v>3812</v>
      </c>
      <c r="F608" s="1282"/>
      <c r="G608" s="1281"/>
      <c r="H608" s="1281"/>
    </row>
    <row r="609" spans="1:8" x14ac:dyDescent="0.2">
      <c r="A609" s="1280" t="s">
        <v>3813</v>
      </c>
      <c r="B609" s="1281" t="s">
        <v>2623</v>
      </c>
      <c r="C609" s="1281">
        <v>13</v>
      </c>
      <c r="D609" s="1281" t="s">
        <v>2686</v>
      </c>
      <c r="E609" s="1280"/>
      <c r="F609" s="1282"/>
      <c r="G609" s="1281"/>
      <c r="H609" s="1281"/>
    </row>
    <row r="610" spans="1:8" x14ac:dyDescent="0.2">
      <c r="A610" s="1283" t="s">
        <v>3814</v>
      </c>
      <c r="B610" s="1281" t="s">
        <v>2623</v>
      </c>
      <c r="C610" s="1281">
        <v>0</v>
      </c>
      <c r="D610" s="1281"/>
      <c r="E610" s="1280"/>
      <c r="F610" s="1282"/>
      <c r="G610" s="1281"/>
      <c r="H610" s="1281"/>
    </row>
    <row r="611" spans="1:8" x14ac:dyDescent="0.2">
      <c r="A611" s="1280" t="s">
        <v>3815</v>
      </c>
      <c r="B611" s="1281" t="s">
        <v>2623</v>
      </c>
      <c r="C611" s="1281">
        <v>0</v>
      </c>
      <c r="D611" s="1281" t="s">
        <v>2653</v>
      </c>
      <c r="E611" s="1280" t="s">
        <v>3816</v>
      </c>
      <c r="F611" s="1282"/>
      <c r="G611" s="1281"/>
      <c r="H611" s="1281"/>
    </row>
    <row r="612" spans="1:8" x14ac:dyDescent="0.2">
      <c r="A612" s="1280" t="s">
        <v>3817</v>
      </c>
      <c r="B612" s="1281"/>
      <c r="C612" s="1281">
        <v>0</v>
      </c>
      <c r="D612" s="1281" t="s">
        <v>2686</v>
      </c>
      <c r="E612" s="1280" t="s">
        <v>3818</v>
      </c>
      <c r="F612" s="1282"/>
      <c r="G612" s="1281"/>
      <c r="H612" s="1281"/>
    </row>
    <row r="613" spans="1:8" x14ac:dyDescent="0.2">
      <c r="A613" s="1280" t="s">
        <v>3819</v>
      </c>
      <c r="B613" s="1281" t="s">
        <v>2623</v>
      </c>
      <c r="C613" s="1281">
        <v>0</v>
      </c>
      <c r="D613" s="1281" t="s">
        <v>2686</v>
      </c>
      <c r="E613" s="1280" t="s">
        <v>3820</v>
      </c>
      <c r="F613" s="1282"/>
      <c r="G613" s="1281"/>
      <c r="H613" s="1281"/>
    </row>
    <row r="614" spans="1:8" x14ac:dyDescent="0.2">
      <c r="A614" s="1280" t="s">
        <v>3821</v>
      </c>
      <c r="B614" s="1281" t="s">
        <v>2623</v>
      </c>
      <c r="C614" s="1281">
        <v>0</v>
      </c>
      <c r="D614" s="1281" t="s">
        <v>2667</v>
      </c>
      <c r="E614" s="1280" t="s">
        <v>3822</v>
      </c>
      <c r="F614" s="1282"/>
      <c r="G614" s="1281"/>
      <c r="H614" s="1281"/>
    </row>
    <row r="615" spans="1:8" x14ac:dyDescent="0.2">
      <c r="A615" s="1280" t="s">
        <v>3823</v>
      </c>
      <c r="B615" s="1281"/>
      <c r="C615" s="1281">
        <v>0</v>
      </c>
      <c r="D615" s="1281" t="s">
        <v>2650</v>
      </c>
      <c r="E615" s="1280" t="s">
        <v>3824</v>
      </c>
      <c r="F615" s="1282"/>
      <c r="G615" s="1281"/>
      <c r="H615" s="1281"/>
    </row>
    <row r="616" spans="1:8" x14ac:dyDescent="0.2">
      <c r="A616" s="1280" t="s">
        <v>3825</v>
      </c>
      <c r="B616" s="1281" t="s">
        <v>2623</v>
      </c>
      <c r="C616" s="1281">
        <v>1</v>
      </c>
      <c r="D616" s="1281" t="s">
        <v>2653</v>
      </c>
      <c r="E616" s="1280" t="s">
        <v>3826</v>
      </c>
      <c r="F616" s="1282"/>
      <c r="G616" s="1281"/>
      <c r="H616" s="1281">
        <v>1</v>
      </c>
    </row>
    <row r="617" spans="1:8" x14ac:dyDescent="0.2">
      <c r="A617" s="1280" t="s">
        <v>3827</v>
      </c>
      <c r="B617" s="1281"/>
      <c r="C617" s="1281">
        <v>0</v>
      </c>
      <c r="D617" s="1281" t="s">
        <v>2650</v>
      </c>
      <c r="E617" s="1280" t="s">
        <v>3828</v>
      </c>
      <c r="F617" s="1282" t="s">
        <v>2659</v>
      </c>
      <c r="G617" s="1281" t="s">
        <v>2659</v>
      </c>
      <c r="H617" s="1281"/>
    </row>
    <row r="618" spans="1:8" x14ac:dyDescent="0.2">
      <c r="A618" s="1280" t="s">
        <v>3829</v>
      </c>
      <c r="B618" s="1281" t="s">
        <v>2623</v>
      </c>
      <c r="C618" s="1281">
        <v>3</v>
      </c>
      <c r="D618" s="1281" t="s">
        <v>2645</v>
      </c>
      <c r="E618" s="1280" t="s">
        <v>3830</v>
      </c>
      <c r="F618" s="1282" t="s">
        <v>2659</v>
      </c>
      <c r="G618" s="1281"/>
      <c r="H618" s="1281"/>
    </row>
    <row r="619" spans="1:8" x14ac:dyDescent="0.2">
      <c r="A619" s="1280" t="s">
        <v>3831</v>
      </c>
      <c r="B619" s="1281"/>
      <c r="C619" s="1281">
        <v>0</v>
      </c>
      <c r="D619" s="1281" t="s">
        <v>2686</v>
      </c>
      <c r="E619" s="1280" t="s">
        <v>3832</v>
      </c>
      <c r="F619" s="1282"/>
      <c r="G619" s="1281"/>
      <c r="H619" s="1281"/>
    </row>
    <row r="620" spans="1:8" x14ac:dyDescent="0.2">
      <c r="A620" s="1280" t="s">
        <v>3833</v>
      </c>
      <c r="B620" s="1281" t="s">
        <v>2623</v>
      </c>
      <c r="C620" s="1281">
        <v>3</v>
      </c>
      <c r="D620" s="1281" t="s">
        <v>2650</v>
      </c>
      <c r="E620" s="1280" t="s">
        <v>3834</v>
      </c>
      <c r="F620" s="1282"/>
      <c r="G620" s="1281"/>
      <c r="H620" s="1281"/>
    </row>
    <row r="621" spans="1:8" x14ac:dyDescent="0.2">
      <c r="A621" s="1280" t="s">
        <v>3835</v>
      </c>
      <c r="B621" s="1281" t="s">
        <v>2623</v>
      </c>
      <c r="C621" s="1281">
        <v>1</v>
      </c>
      <c r="D621" s="1281" t="s">
        <v>2667</v>
      </c>
      <c r="E621" s="1280" t="s">
        <v>3836</v>
      </c>
      <c r="F621" s="1282"/>
      <c r="G621" s="1281"/>
      <c r="H621" s="1281"/>
    </row>
    <row r="622" spans="1:8" x14ac:dyDescent="0.2">
      <c r="A622" s="1280" t="s">
        <v>3837</v>
      </c>
      <c r="B622" s="1281"/>
      <c r="C622" s="1281">
        <v>0</v>
      </c>
      <c r="D622" s="1281" t="s">
        <v>2645</v>
      </c>
      <c r="E622" s="1280" t="s">
        <v>3838</v>
      </c>
      <c r="F622" s="1282" t="s">
        <v>2659</v>
      </c>
      <c r="G622" s="1281"/>
      <c r="H622" s="1281"/>
    </row>
    <row r="623" spans="1:8" x14ac:dyDescent="0.2">
      <c r="A623" s="1280" t="s">
        <v>3839</v>
      </c>
      <c r="B623" s="1281"/>
      <c r="C623" s="1281">
        <v>0</v>
      </c>
      <c r="D623" s="1281" t="s">
        <v>2653</v>
      </c>
      <c r="E623" s="1280" t="s">
        <v>3840</v>
      </c>
      <c r="F623" s="1282"/>
      <c r="G623" s="1281"/>
      <c r="H623" s="1281">
        <v>2</v>
      </c>
    </row>
    <row r="624" spans="1:8" x14ac:dyDescent="0.2">
      <c r="A624" s="1280" t="s">
        <v>3841</v>
      </c>
      <c r="B624" s="1281"/>
      <c r="C624" s="1281">
        <v>0</v>
      </c>
      <c r="D624" s="1281" t="s">
        <v>2686</v>
      </c>
      <c r="E624" s="1280" t="s">
        <v>3842</v>
      </c>
      <c r="F624" s="1282"/>
      <c r="G624" s="1281"/>
      <c r="H624" s="1281"/>
    </row>
    <row r="625" spans="1:8" x14ac:dyDescent="0.2">
      <c r="A625" s="1280" t="s">
        <v>3843</v>
      </c>
      <c r="B625" s="1281" t="s">
        <v>2623</v>
      </c>
      <c r="C625" s="1281">
        <v>8</v>
      </c>
      <c r="D625" s="1281" t="s">
        <v>2650</v>
      </c>
      <c r="E625" s="1280" t="s">
        <v>3844</v>
      </c>
      <c r="F625" s="1282"/>
      <c r="G625" s="1281"/>
      <c r="H625" s="1281"/>
    </row>
    <row r="626" spans="1:8" x14ac:dyDescent="0.2">
      <c r="A626" s="1280" t="s">
        <v>3845</v>
      </c>
      <c r="B626" s="1281"/>
      <c r="C626" s="1281">
        <v>0</v>
      </c>
      <c r="D626" s="1281" t="s">
        <v>2686</v>
      </c>
      <c r="E626" s="1280"/>
      <c r="F626" s="1282"/>
      <c r="G626" s="1281"/>
      <c r="H626" s="1281"/>
    </row>
    <row r="627" spans="1:8" x14ac:dyDescent="0.2">
      <c r="A627" s="1280" t="s">
        <v>3846</v>
      </c>
      <c r="B627" s="1281"/>
      <c r="C627" s="1281">
        <v>0</v>
      </c>
      <c r="D627" s="1281" t="s">
        <v>2667</v>
      </c>
      <c r="E627" s="1280" t="s">
        <v>3847</v>
      </c>
      <c r="F627" s="1282"/>
      <c r="G627" s="1281"/>
      <c r="H627" s="1281"/>
    </row>
    <row r="628" spans="1:8" x14ac:dyDescent="0.2">
      <c r="A628" s="1280" t="s">
        <v>3848</v>
      </c>
      <c r="B628" s="1281"/>
      <c r="C628" s="1281">
        <v>0</v>
      </c>
      <c r="D628" s="1281" t="s">
        <v>2667</v>
      </c>
      <c r="E628" s="1280" t="s">
        <v>3849</v>
      </c>
      <c r="F628" s="1282"/>
      <c r="G628" s="1281"/>
      <c r="H628" s="1281"/>
    </row>
    <row r="629" spans="1:8" x14ac:dyDescent="0.2">
      <c r="A629" s="1280" t="s">
        <v>3850</v>
      </c>
      <c r="B629" s="1281"/>
      <c r="C629" s="1281">
        <v>0</v>
      </c>
      <c r="D629" s="1281" t="s">
        <v>2667</v>
      </c>
      <c r="E629" s="1280" t="s">
        <v>3851</v>
      </c>
      <c r="F629" s="1282"/>
      <c r="G629" s="1281"/>
      <c r="H629" s="1281"/>
    </row>
    <row r="630" spans="1:8" x14ac:dyDescent="0.2">
      <c r="A630" s="1280" t="s">
        <v>3852</v>
      </c>
      <c r="B630" s="1281"/>
      <c r="C630" s="1281">
        <v>0</v>
      </c>
      <c r="D630" s="1281" t="s">
        <v>2645</v>
      </c>
      <c r="E630" s="1280" t="s">
        <v>3853</v>
      </c>
      <c r="F630" s="1282" t="s">
        <v>2659</v>
      </c>
      <c r="G630" s="1281"/>
      <c r="H630" s="1281"/>
    </row>
    <row r="631" spans="1:8" x14ac:dyDescent="0.2">
      <c r="A631" s="1280" t="s">
        <v>3854</v>
      </c>
      <c r="B631" s="1281" t="s">
        <v>2623</v>
      </c>
      <c r="C631" s="1281">
        <v>0</v>
      </c>
      <c r="D631" s="1281" t="s">
        <v>2650</v>
      </c>
      <c r="E631" s="1280" t="s">
        <v>3855</v>
      </c>
      <c r="F631" s="1282" t="s">
        <v>2659</v>
      </c>
      <c r="G631" s="1281"/>
      <c r="H631" s="1281"/>
    </row>
    <row r="632" spans="1:8" x14ac:dyDescent="0.2">
      <c r="A632" s="1280" t="s">
        <v>3856</v>
      </c>
      <c r="B632" s="1281"/>
      <c r="C632" s="1281">
        <v>0</v>
      </c>
      <c r="D632" s="1281" t="s">
        <v>2645</v>
      </c>
      <c r="E632" s="1280" t="s">
        <v>3857</v>
      </c>
      <c r="F632" s="1282"/>
      <c r="G632" s="1281"/>
      <c r="H632" s="1281"/>
    </row>
    <row r="633" spans="1:8" x14ac:dyDescent="0.2">
      <c r="A633" s="1280" t="s">
        <v>3858</v>
      </c>
      <c r="B633" s="1281" t="s">
        <v>2623</v>
      </c>
      <c r="C633" s="1281">
        <v>0</v>
      </c>
      <c r="D633" s="1281" t="s">
        <v>2645</v>
      </c>
      <c r="E633" s="1280" t="s">
        <v>3859</v>
      </c>
      <c r="F633" s="1282" t="s">
        <v>2659</v>
      </c>
      <c r="G633" s="1281"/>
      <c r="H633" s="1281"/>
    </row>
    <row r="634" spans="1:8" x14ac:dyDescent="0.2">
      <c r="A634" s="1280" t="s">
        <v>3860</v>
      </c>
      <c r="B634" s="1281" t="s">
        <v>2623</v>
      </c>
      <c r="C634" s="1281">
        <v>7</v>
      </c>
      <c r="D634" s="1281" t="s">
        <v>2686</v>
      </c>
      <c r="E634" s="1280" t="s">
        <v>3861</v>
      </c>
      <c r="F634" s="1282"/>
      <c r="G634" s="1281"/>
      <c r="H634" s="1281"/>
    </row>
    <row r="635" spans="1:8" x14ac:dyDescent="0.2">
      <c r="A635" s="1280" t="s">
        <v>3862</v>
      </c>
      <c r="B635" s="1281" t="s">
        <v>2623</v>
      </c>
      <c r="C635" s="1281">
        <v>1</v>
      </c>
      <c r="D635" s="1281" t="s">
        <v>2645</v>
      </c>
      <c r="E635" s="1280" t="s">
        <v>3863</v>
      </c>
      <c r="F635" s="1282" t="s">
        <v>2659</v>
      </c>
      <c r="G635" s="1281" t="s">
        <v>2659</v>
      </c>
      <c r="H635" s="1281"/>
    </row>
    <row r="636" spans="1:8" x14ac:dyDescent="0.2">
      <c r="A636" s="1280" t="s">
        <v>3864</v>
      </c>
      <c r="B636" s="1281"/>
      <c r="C636" s="1281">
        <v>0</v>
      </c>
      <c r="D636" s="1281" t="s">
        <v>2645</v>
      </c>
      <c r="E636" s="1280" t="s">
        <v>3865</v>
      </c>
      <c r="F636" s="1282"/>
      <c r="G636" s="1281"/>
      <c r="H636" s="1281"/>
    </row>
    <row r="637" spans="1:8" x14ac:dyDescent="0.2">
      <c r="A637" s="1280" t="s">
        <v>3866</v>
      </c>
      <c r="B637" s="1281" t="s">
        <v>2623</v>
      </c>
      <c r="C637" s="1281">
        <v>7</v>
      </c>
      <c r="D637" s="1281" t="s">
        <v>2650</v>
      </c>
      <c r="E637" s="1280" t="s">
        <v>3867</v>
      </c>
      <c r="F637" s="1282"/>
      <c r="G637" s="1281"/>
      <c r="H637" s="1281"/>
    </row>
    <row r="638" spans="1:8" x14ac:dyDescent="0.2">
      <c r="A638" s="1283" t="s">
        <v>3868</v>
      </c>
      <c r="B638" s="1281" t="s">
        <v>2623</v>
      </c>
      <c r="C638" s="1281">
        <v>0</v>
      </c>
      <c r="D638" s="1281"/>
      <c r="E638" s="1280"/>
      <c r="F638" s="1282"/>
      <c r="G638" s="1281"/>
      <c r="H638" s="1281">
        <v>1</v>
      </c>
    </row>
    <row r="639" spans="1:8" x14ac:dyDescent="0.2">
      <c r="A639" s="1280" t="s">
        <v>3869</v>
      </c>
      <c r="B639" s="1281" t="s">
        <v>2623</v>
      </c>
      <c r="C639" s="1281">
        <v>16</v>
      </c>
      <c r="D639" s="1281" t="s">
        <v>2650</v>
      </c>
      <c r="E639" s="1280" t="s">
        <v>3870</v>
      </c>
      <c r="F639" s="1282"/>
      <c r="G639" s="1281"/>
      <c r="H639" s="1281"/>
    </row>
    <row r="640" spans="1:8" x14ac:dyDescent="0.2">
      <c r="A640" s="1280" t="s">
        <v>3871</v>
      </c>
      <c r="B640" s="1281"/>
      <c r="C640" s="1281">
        <v>0</v>
      </c>
      <c r="D640" s="1281" t="s">
        <v>2667</v>
      </c>
      <c r="E640" s="1280" t="s">
        <v>3872</v>
      </c>
      <c r="F640" s="1282"/>
      <c r="G640" s="1281"/>
      <c r="H640" s="1281"/>
    </row>
    <row r="641" spans="1:8" x14ac:dyDescent="0.2">
      <c r="A641" s="1280" t="s">
        <v>3873</v>
      </c>
      <c r="B641" s="1281"/>
      <c r="C641" s="1281">
        <v>0</v>
      </c>
      <c r="D641" s="1281" t="s">
        <v>2667</v>
      </c>
      <c r="E641" s="1280" t="s">
        <v>3874</v>
      </c>
      <c r="F641" s="1282"/>
      <c r="G641" s="1281"/>
      <c r="H641" s="1281">
        <v>1</v>
      </c>
    </row>
    <row r="642" spans="1:8" x14ac:dyDescent="0.2">
      <c r="A642" s="1283" t="s">
        <v>3875</v>
      </c>
      <c r="B642" s="1281" t="s">
        <v>2623</v>
      </c>
      <c r="C642" s="1281">
        <v>0</v>
      </c>
      <c r="D642" s="1281"/>
      <c r="E642" s="1280"/>
      <c r="F642" s="1282"/>
      <c r="G642" s="1281"/>
      <c r="H642" s="1281"/>
    </row>
    <row r="643" spans="1:8" x14ac:dyDescent="0.2">
      <c r="A643" s="1280" t="s">
        <v>3876</v>
      </c>
      <c r="B643" s="1281" t="s">
        <v>2623</v>
      </c>
      <c r="C643" s="1281">
        <v>10</v>
      </c>
      <c r="D643" s="1281" t="s">
        <v>2653</v>
      </c>
      <c r="E643" s="1280" t="s">
        <v>3877</v>
      </c>
      <c r="F643" s="1282"/>
      <c r="G643" s="1281"/>
      <c r="H643" s="1281"/>
    </row>
    <row r="644" spans="1:8" x14ac:dyDescent="0.2">
      <c r="A644" s="1280" t="s">
        <v>3878</v>
      </c>
      <c r="B644" s="1281"/>
      <c r="C644" s="1281">
        <v>0</v>
      </c>
      <c r="D644" s="1281" t="s">
        <v>2653</v>
      </c>
      <c r="E644" s="1280" t="s">
        <v>3879</v>
      </c>
      <c r="F644" s="1282"/>
      <c r="G644" s="1281"/>
      <c r="H644" s="1281"/>
    </row>
    <row r="645" spans="1:8" x14ac:dyDescent="0.2">
      <c r="A645" s="1280" t="s">
        <v>3880</v>
      </c>
      <c r="B645" s="1281" t="s">
        <v>2623</v>
      </c>
      <c r="C645" s="1281">
        <v>0</v>
      </c>
      <c r="D645" s="1281" t="s">
        <v>2653</v>
      </c>
      <c r="E645" s="1280" t="s">
        <v>3881</v>
      </c>
      <c r="F645" s="1282"/>
      <c r="G645" s="1281"/>
      <c r="H645" s="1281"/>
    </row>
    <row r="646" spans="1:8" x14ac:dyDescent="0.2">
      <c r="A646" s="1280" t="s">
        <v>3882</v>
      </c>
      <c r="B646" s="1281" t="s">
        <v>2623</v>
      </c>
      <c r="C646" s="1281">
        <v>7</v>
      </c>
      <c r="D646" s="1281"/>
      <c r="E646" s="1280" t="s">
        <v>3879</v>
      </c>
      <c r="F646" s="1282"/>
      <c r="G646" s="1281"/>
      <c r="H646" s="1281"/>
    </row>
    <row r="647" spans="1:8" x14ac:dyDescent="0.2">
      <c r="A647" s="1280" t="s">
        <v>3883</v>
      </c>
      <c r="B647" s="1281"/>
      <c r="C647" s="1281">
        <v>0</v>
      </c>
      <c r="D647" s="1281" t="s">
        <v>2653</v>
      </c>
      <c r="E647" s="1280" t="s">
        <v>3884</v>
      </c>
      <c r="F647" s="1282"/>
      <c r="G647" s="1281"/>
      <c r="H647" s="1281">
        <v>1</v>
      </c>
    </row>
    <row r="648" spans="1:8" x14ac:dyDescent="0.2">
      <c r="A648" s="1280" t="s">
        <v>3885</v>
      </c>
      <c r="B648" s="1281" t="s">
        <v>2623</v>
      </c>
      <c r="C648" s="1281">
        <v>8</v>
      </c>
      <c r="D648" s="1281" t="s">
        <v>2653</v>
      </c>
      <c r="E648" s="1280" t="s">
        <v>3886</v>
      </c>
      <c r="F648" s="1282"/>
      <c r="G648" s="1281"/>
      <c r="H648" s="1281"/>
    </row>
    <row r="649" spans="1:8" x14ac:dyDescent="0.2">
      <c r="A649" s="1280" t="s">
        <v>3887</v>
      </c>
      <c r="B649" s="1281" t="s">
        <v>2623</v>
      </c>
      <c r="C649" s="1281">
        <v>4</v>
      </c>
      <c r="D649" s="1281" t="s">
        <v>2653</v>
      </c>
      <c r="E649" s="1280" t="s">
        <v>3888</v>
      </c>
      <c r="F649" s="1282"/>
      <c r="G649" s="1281"/>
      <c r="H649" s="1281"/>
    </row>
    <row r="650" spans="1:8" x14ac:dyDescent="0.2">
      <c r="A650" s="1280" t="s">
        <v>3889</v>
      </c>
      <c r="B650" s="1281"/>
      <c r="C650" s="1281"/>
      <c r="D650" s="1281"/>
      <c r="E650" s="1280"/>
      <c r="F650" s="1281"/>
      <c r="G650" s="1281"/>
      <c r="H650" s="1281"/>
    </row>
    <row r="651" spans="1:8" x14ac:dyDescent="0.2">
      <c r="A651" s="1280" t="s">
        <v>3890</v>
      </c>
      <c r="B651" s="1281" t="s">
        <v>2623</v>
      </c>
      <c r="C651" s="1281">
        <v>0</v>
      </c>
      <c r="D651" s="1281" t="s">
        <v>2667</v>
      </c>
      <c r="E651" s="1280" t="s">
        <v>3891</v>
      </c>
      <c r="F651" s="1282"/>
      <c r="G651" s="1281"/>
      <c r="H651" s="1281">
        <v>1</v>
      </c>
    </row>
    <row r="652" spans="1:8" x14ac:dyDescent="0.2">
      <c r="A652" s="1280" t="s">
        <v>3892</v>
      </c>
      <c r="B652" s="1281" t="s">
        <v>2623</v>
      </c>
      <c r="C652" s="1281">
        <v>11</v>
      </c>
      <c r="D652" s="1281" t="s">
        <v>2653</v>
      </c>
      <c r="E652" s="1280" t="s">
        <v>3893</v>
      </c>
      <c r="F652" s="1282"/>
      <c r="G652" s="1281"/>
      <c r="H652" s="1281"/>
    </row>
    <row r="653" spans="1:8" x14ac:dyDescent="0.2">
      <c r="A653" s="1280" t="s">
        <v>3894</v>
      </c>
      <c r="B653" s="1281" t="s">
        <v>2623</v>
      </c>
      <c r="C653" s="1281">
        <v>0</v>
      </c>
      <c r="D653" s="1281" t="s">
        <v>2653</v>
      </c>
      <c r="E653" s="1280" t="s">
        <v>3895</v>
      </c>
      <c r="F653" s="1282" t="s">
        <v>2659</v>
      </c>
      <c r="G653" s="1281"/>
      <c r="H653" s="1281"/>
    </row>
    <row r="654" spans="1:8" x14ac:dyDescent="0.2">
      <c r="A654" s="1280" t="s">
        <v>3896</v>
      </c>
      <c r="B654" s="1281"/>
      <c r="C654" s="1281">
        <v>0</v>
      </c>
      <c r="D654" s="1281" t="s">
        <v>2645</v>
      </c>
      <c r="E654" s="1280" t="s">
        <v>3897</v>
      </c>
      <c r="F654" s="1282"/>
      <c r="G654" s="1281"/>
      <c r="H654" s="1281"/>
    </row>
    <row r="655" spans="1:8" x14ac:dyDescent="0.2">
      <c r="A655" s="1280" t="s">
        <v>3898</v>
      </c>
      <c r="B655" s="1281" t="s">
        <v>2623</v>
      </c>
      <c r="C655" s="1281">
        <v>3</v>
      </c>
      <c r="D655" s="1281" t="s">
        <v>2667</v>
      </c>
      <c r="E655" s="1280" t="s">
        <v>3899</v>
      </c>
      <c r="F655" s="1282"/>
      <c r="G655" s="1281"/>
      <c r="H655" s="1281"/>
    </row>
    <row r="656" spans="1:8" x14ac:dyDescent="0.2">
      <c r="A656" s="1280" t="s">
        <v>3900</v>
      </c>
      <c r="B656" s="1281" t="s">
        <v>2623</v>
      </c>
      <c r="C656" s="1281">
        <v>3</v>
      </c>
      <c r="D656" s="1281" t="s">
        <v>2653</v>
      </c>
      <c r="E656" s="1280" t="s">
        <v>3901</v>
      </c>
      <c r="F656" s="1282"/>
      <c r="G656" s="1281"/>
      <c r="H656" s="1281">
        <v>1</v>
      </c>
    </row>
    <row r="657" spans="1:8" x14ac:dyDescent="0.2">
      <c r="A657" s="1280" t="s">
        <v>3902</v>
      </c>
      <c r="B657" s="1281"/>
      <c r="C657" s="1281">
        <v>0</v>
      </c>
      <c r="D657" s="1281" t="s">
        <v>2645</v>
      </c>
      <c r="E657" s="1280" t="s">
        <v>3903</v>
      </c>
      <c r="F657" s="1282" t="s">
        <v>2659</v>
      </c>
      <c r="G657" s="1281"/>
      <c r="H657" s="1281"/>
    </row>
    <row r="658" spans="1:8" x14ac:dyDescent="0.2">
      <c r="A658" s="1280" t="s">
        <v>3904</v>
      </c>
      <c r="B658" s="1281" t="s">
        <v>2623</v>
      </c>
      <c r="C658" s="1281">
        <v>1</v>
      </c>
      <c r="D658" s="1281"/>
      <c r="E658" s="1280" t="s">
        <v>3905</v>
      </c>
      <c r="F658" s="1282" t="s">
        <v>2659</v>
      </c>
      <c r="G658" s="1281"/>
      <c r="H658" s="1281"/>
    </row>
    <row r="659" spans="1:8" x14ac:dyDescent="0.2">
      <c r="A659" s="1280" t="s">
        <v>3906</v>
      </c>
      <c r="B659" s="1281" t="s">
        <v>2623</v>
      </c>
      <c r="C659" s="1281">
        <v>16</v>
      </c>
      <c r="D659" s="1281" t="s">
        <v>2645</v>
      </c>
      <c r="E659" s="1280" t="s">
        <v>3907</v>
      </c>
      <c r="F659" s="1282"/>
      <c r="G659" s="1281"/>
      <c r="H659" s="1281"/>
    </row>
    <row r="660" spans="1:8" x14ac:dyDescent="0.2">
      <c r="A660" s="1280" t="s">
        <v>3908</v>
      </c>
      <c r="B660" s="1281" t="s">
        <v>2623</v>
      </c>
      <c r="C660" s="1281">
        <v>0</v>
      </c>
      <c r="D660" s="1281" t="s">
        <v>2653</v>
      </c>
      <c r="E660" s="1280" t="s">
        <v>3909</v>
      </c>
      <c r="F660" s="1282"/>
      <c r="G660" s="1281"/>
      <c r="H660" s="1281"/>
    </row>
    <row r="661" spans="1:8" x14ac:dyDescent="0.2">
      <c r="A661" s="1280" t="s">
        <v>3910</v>
      </c>
      <c r="B661" s="1281" t="s">
        <v>2623</v>
      </c>
      <c r="C661" s="1281">
        <v>11</v>
      </c>
      <c r="D661" s="1281" t="s">
        <v>2653</v>
      </c>
      <c r="E661" s="1280" t="s">
        <v>3911</v>
      </c>
      <c r="F661" s="1282"/>
      <c r="G661" s="1281"/>
      <c r="H661" s="1281"/>
    </row>
    <row r="662" spans="1:8" x14ac:dyDescent="0.2">
      <c r="A662" s="1280" t="s">
        <v>3912</v>
      </c>
      <c r="B662" s="1281" t="s">
        <v>2623</v>
      </c>
      <c r="C662" s="1281">
        <v>1</v>
      </c>
      <c r="D662" s="1281" t="s">
        <v>2650</v>
      </c>
      <c r="E662" s="1280" t="s">
        <v>3913</v>
      </c>
      <c r="F662" s="1282" t="s">
        <v>2659</v>
      </c>
      <c r="G662" s="1281"/>
      <c r="H662" s="1281"/>
    </row>
    <row r="663" spans="1:8" x14ac:dyDescent="0.2">
      <c r="A663" s="1280" t="s">
        <v>3914</v>
      </c>
      <c r="B663" s="1281" t="s">
        <v>2623</v>
      </c>
      <c r="C663" s="1281">
        <v>0</v>
      </c>
      <c r="D663" s="1281"/>
      <c r="E663" s="1280" t="s">
        <v>3915</v>
      </c>
      <c r="F663" s="1282"/>
      <c r="G663" s="1281"/>
      <c r="H663" s="1281"/>
    </row>
    <row r="664" spans="1:8" x14ac:dyDescent="0.2">
      <c r="A664" s="1280" t="s">
        <v>3916</v>
      </c>
      <c r="B664" s="1281" t="s">
        <v>2623</v>
      </c>
      <c r="C664" s="1281">
        <v>8</v>
      </c>
      <c r="D664" s="1281" t="s">
        <v>2653</v>
      </c>
      <c r="E664" s="1280" t="s">
        <v>3917</v>
      </c>
      <c r="F664" s="1282"/>
      <c r="G664" s="1281"/>
      <c r="H664" s="1281"/>
    </row>
    <row r="665" spans="1:8" x14ac:dyDescent="0.2">
      <c r="A665" s="1280" t="s">
        <v>3918</v>
      </c>
      <c r="B665" s="1281" t="s">
        <v>2623</v>
      </c>
      <c r="C665" s="1281">
        <v>2</v>
      </c>
      <c r="D665" s="1281" t="s">
        <v>2650</v>
      </c>
      <c r="E665" s="1280" t="s">
        <v>3919</v>
      </c>
      <c r="F665" s="1282"/>
      <c r="G665" s="1281"/>
      <c r="H665" s="1281">
        <v>1</v>
      </c>
    </row>
    <row r="666" spans="1:8" x14ac:dyDescent="0.2">
      <c r="A666" s="1280" t="s">
        <v>3920</v>
      </c>
      <c r="B666" s="1281" t="s">
        <v>2623</v>
      </c>
      <c r="C666" s="1281">
        <v>0</v>
      </c>
      <c r="D666" s="1281" t="s">
        <v>2650</v>
      </c>
      <c r="E666" s="1280" t="s">
        <v>3921</v>
      </c>
      <c r="F666" s="1282"/>
      <c r="G666" s="1281"/>
      <c r="H666" s="1281"/>
    </row>
    <row r="667" spans="1:8" x14ac:dyDescent="0.2">
      <c r="A667" s="1280" t="s">
        <v>3922</v>
      </c>
      <c r="B667" s="1281"/>
      <c r="C667" s="1281">
        <v>0</v>
      </c>
      <c r="D667" s="1281" t="s">
        <v>2686</v>
      </c>
      <c r="E667" s="1280" t="s">
        <v>3923</v>
      </c>
      <c r="F667" s="1282"/>
      <c r="G667" s="1281"/>
      <c r="H667" s="1281"/>
    </row>
    <row r="668" spans="1:8" x14ac:dyDescent="0.2">
      <c r="A668" s="1280" t="s">
        <v>3924</v>
      </c>
      <c r="B668" s="1281"/>
      <c r="C668" s="1281">
        <v>0</v>
      </c>
      <c r="D668" s="1281" t="s">
        <v>2645</v>
      </c>
      <c r="E668" s="1280" t="s">
        <v>3925</v>
      </c>
      <c r="F668" s="1282"/>
      <c r="G668" s="1281"/>
      <c r="H668" s="1281"/>
    </row>
    <row r="669" spans="1:8" x14ac:dyDescent="0.2">
      <c r="A669" s="1280" t="s">
        <v>3926</v>
      </c>
      <c r="B669" s="1281" t="s">
        <v>2623</v>
      </c>
      <c r="C669" s="1281">
        <v>12</v>
      </c>
      <c r="D669" s="1281" t="s">
        <v>2653</v>
      </c>
      <c r="E669" s="1280" t="s">
        <v>3927</v>
      </c>
      <c r="F669" s="1282"/>
      <c r="G669" s="1281"/>
      <c r="H669" s="1281"/>
    </row>
    <row r="670" spans="1:8" x14ac:dyDescent="0.2">
      <c r="A670" s="1280" t="s">
        <v>3928</v>
      </c>
      <c r="B670" s="1281" t="s">
        <v>2623</v>
      </c>
      <c r="C670" s="1281">
        <v>22</v>
      </c>
      <c r="D670" s="1281" t="s">
        <v>2650</v>
      </c>
      <c r="E670" s="1280" t="s">
        <v>3929</v>
      </c>
      <c r="F670" s="1282"/>
      <c r="G670" s="1281"/>
      <c r="H670" s="1281"/>
    </row>
    <row r="671" spans="1:8" x14ac:dyDescent="0.2">
      <c r="A671" s="1280" t="s">
        <v>3930</v>
      </c>
      <c r="B671" s="1281" t="s">
        <v>2623</v>
      </c>
      <c r="C671" s="1281">
        <v>2</v>
      </c>
      <c r="D671" s="1281" t="s">
        <v>2686</v>
      </c>
      <c r="E671" s="1280" t="s">
        <v>3931</v>
      </c>
      <c r="F671" s="1282"/>
      <c r="G671" s="1281"/>
      <c r="H671" s="1281"/>
    </row>
    <row r="672" spans="1:8" x14ac:dyDescent="0.2">
      <c r="A672" s="1280" t="s">
        <v>3932</v>
      </c>
      <c r="B672" s="1281" t="s">
        <v>2623</v>
      </c>
      <c r="C672" s="1281">
        <v>4</v>
      </c>
      <c r="D672" s="1281" t="s">
        <v>2653</v>
      </c>
      <c r="E672" s="1280" t="s">
        <v>3933</v>
      </c>
      <c r="F672" s="1282"/>
      <c r="G672" s="1281"/>
      <c r="H672" s="1281"/>
    </row>
    <row r="673" spans="1:8" x14ac:dyDescent="0.2">
      <c r="A673" s="1280" t="s">
        <v>3934</v>
      </c>
      <c r="B673" s="1281" t="s">
        <v>2623</v>
      </c>
      <c r="C673" s="1281">
        <v>3</v>
      </c>
      <c r="D673" s="1281" t="s">
        <v>2667</v>
      </c>
      <c r="E673" s="1280" t="s">
        <v>3935</v>
      </c>
      <c r="F673" s="1282"/>
      <c r="G673" s="1281"/>
      <c r="H673" s="1281"/>
    </row>
    <row r="674" spans="1:8" x14ac:dyDescent="0.2">
      <c r="A674" s="1280" t="s">
        <v>3936</v>
      </c>
      <c r="B674" s="1281" t="s">
        <v>2623</v>
      </c>
      <c r="C674" s="1281">
        <v>0</v>
      </c>
      <c r="D674" s="1281" t="s">
        <v>2667</v>
      </c>
      <c r="E674" s="1280" t="s">
        <v>3937</v>
      </c>
      <c r="F674" s="1282"/>
      <c r="G674" s="1281"/>
      <c r="H674" s="1281"/>
    </row>
    <row r="675" spans="1:8" x14ac:dyDescent="0.2">
      <c r="A675" s="1280" t="s">
        <v>3938</v>
      </c>
      <c r="B675" s="1281" t="s">
        <v>2623</v>
      </c>
      <c r="C675" s="1281">
        <v>13</v>
      </c>
      <c r="D675" s="1281"/>
      <c r="E675" s="1280"/>
      <c r="F675" s="1282"/>
      <c r="G675" s="1281"/>
      <c r="H675" s="1281"/>
    </row>
    <row r="676" spans="1:8" x14ac:dyDescent="0.2">
      <c r="A676" s="1280" t="s">
        <v>3939</v>
      </c>
      <c r="B676" s="1281" t="s">
        <v>2623</v>
      </c>
      <c r="C676" s="1281">
        <v>24</v>
      </c>
      <c r="D676" s="1281"/>
      <c r="E676" s="1280" t="s">
        <v>3940</v>
      </c>
      <c r="F676" s="1282"/>
      <c r="G676" s="1281"/>
      <c r="H676" s="1281"/>
    </row>
    <row r="677" spans="1:8" x14ac:dyDescent="0.2">
      <c r="A677" s="1280" t="s">
        <v>3941</v>
      </c>
      <c r="B677" s="1281" t="s">
        <v>2623</v>
      </c>
      <c r="C677" s="1281">
        <v>14</v>
      </c>
      <c r="D677" s="1281" t="s">
        <v>2653</v>
      </c>
      <c r="E677" s="1280" t="s">
        <v>3942</v>
      </c>
      <c r="F677" s="1282"/>
      <c r="G677" s="1281"/>
      <c r="H677" s="1281"/>
    </row>
    <row r="678" spans="1:8" x14ac:dyDescent="0.2">
      <c r="A678" s="1280" t="s">
        <v>3943</v>
      </c>
      <c r="B678" s="1281" t="s">
        <v>2623</v>
      </c>
      <c r="C678" s="1281">
        <v>1</v>
      </c>
      <c r="D678" s="1281"/>
      <c r="E678" s="1280"/>
      <c r="F678" s="1282"/>
      <c r="G678" s="1281"/>
      <c r="H678" s="1281"/>
    </row>
    <row r="679" spans="1:8" x14ac:dyDescent="0.2">
      <c r="A679" s="1280" t="s">
        <v>3944</v>
      </c>
      <c r="B679" s="1281" t="s">
        <v>2623</v>
      </c>
      <c r="C679" s="1281">
        <v>7</v>
      </c>
      <c r="D679" s="1281"/>
      <c r="E679" s="1280" t="s">
        <v>3945</v>
      </c>
      <c r="F679" s="1282"/>
      <c r="G679" s="1281"/>
      <c r="H679" s="1281"/>
    </row>
    <row r="680" spans="1:8" x14ac:dyDescent="0.2">
      <c r="A680" s="1280" t="s">
        <v>3946</v>
      </c>
      <c r="B680" s="1281" t="s">
        <v>2623</v>
      </c>
      <c r="C680" s="1281">
        <v>0</v>
      </c>
      <c r="D680" s="1281" t="s">
        <v>2653</v>
      </c>
      <c r="E680" s="1280" t="s">
        <v>3947</v>
      </c>
      <c r="F680" s="1282"/>
      <c r="G680" s="1281"/>
      <c r="H680" s="1281"/>
    </row>
    <row r="681" spans="1:8" x14ac:dyDescent="0.2">
      <c r="A681" s="1280" t="s">
        <v>3948</v>
      </c>
      <c r="B681" s="1281"/>
      <c r="C681" s="1281">
        <v>0</v>
      </c>
      <c r="D681" s="1281" t="s">
        <v>2667</v>
      </c>
      <c r="E681" s="1280" t="s">
        <v>3949</v>
      </c>
      <c r="F681" s="1282" t="s">
        <v>2659</v>
      </c>
      <c r="G681" s="1281"/>
      <c r="H681" s="1281"/>
    </row>
    <row r="682" spans="1:8" x14ac:dyDescent="0.2">
      <c r="A682" s="1280" t="s">
        <v>3950</v>
      </c>
      <c r="B682" s="1281" t="s">
        <v>2623</v>
      </c>
      <c r="C682" s="1281">
        <v>4</v>
      </c>
      <c r="D682" s="1281" t="s">
        <v>2667</v>
      </c>
      <c r="E682" s="1280" t="s">
        <v>3951</v>
      </c>
      <c r="F682" s="1282"/>
      <c r="G682" s="1281"/>
      <c r="H682" s="1281">
        <v>1</v>
      </c>
    </row>
    <row r="683" spans="1:8" x14ac:dyDescent="0.2">
      <c r="A683" s="1280" t="s">
        <v>3952</v>
      </c>
      <c r="B683" s="1281" t="s">
        <v>2623</v>
      </c>
      <c r="C683" s="1281">
        <v>8</v>
      </c>
      <c r="D683" s="1281" t="s">
        <v>2667</v>
      </c>
      <c r="E683" s="1280" t="s">
        <v>3953</v>
      </c>
      <c r="F683" s="1282"/>
      <c r="G683" s="1281"/>
      <c r="H683" s="1281"/>
    </row>
    <row r="684" spans="1:8" x14ac:dyDescent="0.2">
      <c r="A684" s="1280" t="s">
        <v>3954</v>
      </c>
      <c r="B684" s="1281"/>
      <c r="C684" s="1281">
        <v>0</v>
      </c>
      <c r="D684" s="1281" t="s">
        <v>2686</v>
      </c>
      <c r="E684" s="1280" t="s">
        <v>3955</v>
      </c>
      <c r="F684" s="1282"/>
      <c r="G684" s="1281"/>
      <c r="H684" s="1281"/>
    </row>
    <row r="685" spans="1:8" x14ac:dyDescent="0.2">
      <c r="A685" s="1280" t="s">
        <v>3956</v>
      </c>
      <c r="B685" s="1281"/>
      <c r="C685" s="1281">
        <v>0</v>
      </c>
      <c r="D685" s="1281" t="s">
        <v>2667</v>
      </c>
      <c r="E685" s="1280" t="s">
        <v>3957</v>
      </c>
      <c r="F685" s="1282"/>
      <c r="G685" s="1281"/>
      <c r="H685" s="1281"/>
    </row>
    <row r="686" spans="1:8" x14ac:dyDescent="0.2">
      <c r="A686" s="1280" t="s">
        <v>3958</v>
      </c>
      <c r="B686" s="1281" t="s">
        <v>2623</v>
      </c>
      <c r="C686" s="1281">
        <v>4</v>
      </c>
      <c r="D686" s="1281" t="s">
        <v>2667</v>
      </c>
      <c r="E686" s="1280" t="s">
        <v>3959</v>
      </c>
      <c r="F686" s="1282"/>
      <c r="G686" s="1281"/>
      <c r="H686" s="1281"/>
    </row>
    <row r="687" spans="1:8" x14ac:dyDescent="0.2">
      <c r="A687" s="1280" t="s">
        <v>3960</v>
      </c>
      <c r="B687" s="1281" t="s">
        <v>2623</v>
      </c>
      <c r="C687" s="1281">
        <v>2</v>
      </c>
      <c r="D687" s="1281" t="s">
        <v>2645</v>
      </c>
      <c r="E687" s="1280" t="s">
        <v>3961</v>
      </c>
      <c r="F687" s="1282" t="s">
        <v>2659</v>
      </c>
      <c r="G687" s="1281"/>
      <c r="H687" s="1281"/>
    </row>
    <row r="688" spans="1:8" x14ac:dyDescent="0.2">
      <c r="A688" s="1280" t="s">
        <v>3962</v>
      </c>
      <c r="B688" s="1281" t="s">
        <v>2623</v>
      </c>
      <c r="C688" s="1281">
        <v>17</v>
      </c>
      <c r="D688" s="1281" t="s">
        <v>2650</v>
      </c>
      <c r="E688" s="1280" t="s">
        <v>3963</v>
      </c>
      <c r="F688" s="1282"/>
      <c r="G688" s="1281"/>
      <c r="H688" s="1281"/>
    </row>
    <row r="689" spans="1:8" x14ac:dyDescent="0.2">
      <c r="A689" s="1280" t="s">
        <v>3964</v>
      </c>
      <c r="B689" s="1281" t="s">
        <v>2623</v>
      </c>
      <c r="C689" s="1281">
        <v>0</v>
      </c>
      <c r="D689" s="1281" t="s">
        <v>2650</v>
      </c>
      <c r="E689" s="1280" t="s">
        <v>3965</v>
      </c>
      <c r="F689" s="1282"/>
      <c r="G689" s="1281"/>
      <c r="H689" s="1281">
        <v>1</v>
      </c>
    </row>
    <row r="690" spans="1:8" x14ac:dyDescent="0.2">
      <c r="A690" s="1280" t="s">
        <v>3966</v>
      </c>
      <c r="B690" s="1281" t="s">
        <v>2623</v>
      </c>
      <c r="C690" s="1281">
        <v>2</v>
      </c>
      <c r="D690" s="1281" t="s">
        <v>2650</v>
      </c>
      <c r="E690" s="1280" t="s">
        <v>3967</v>
      </c>
      <c r="F690" s="1282"/>
      <c r="G690" s="1281"/>
      <c r="H690" s="1281">
        <v>1</v>
      </c>
    </row>
    <row r="691" spans="1:8" x14ac:dyDescent="0.2">
      <c r="A691" s="1280" t="s">
        <v>3968</v>
      </c>
      <c r="B691" s="1281" t="s">
        <v>2623</v>
      </c>
      <c r="C691" s="1281">
        <v>8</v>
      </c>
      <c r="D691" s="1281" t="s">
        <v>2686</v>
      </c>
      <c r="E691" s="1280" t="s">
        <v>3969</v>
      </c>
      <c r="F691" s="1282"/>
      <c r="G691" s="1281"/>
      <c r="H691" s="1281"/>
    </row>
    <row r="692" spans="1:8" x14ac:dyDescent="0.2">
      <c r="A692" s="1280" t="s">
        <v>3970</v>
      </c>
      <c r="B692" s="1281" t="s">
        <v>2623</v>
      </c>
      <c r="C692" s="1281">
        <v>3</v>
      </c>
      <c r="D692" s="1281" t="s">
        <v>2667</v>
      </c>
      <c r="E692" s="1280" t="s">
        <v>3971</v>
      </c>
      <c r="F692" s="1282"/>
      <c r="G692" s="1281"/>
      <c r="H692" s="1281">
        <v>1</v>
      </c>
    </row>
    <row r="693" spans="1:8" x14ac:dyDescent="0.2">
      <c r="A693" s="1280" t="s">
        <v>3972</v>
      </c>
      <c r="B693" s="1281" t="s">
        <v>2623</v>
      </c>
      <c r="C693" s="1281">
        <v>18</v>
      </c>
      <c r="D693" s="1281" t="s">
        <v>2686</v>
      </c>
      <c r="E693" s="1280" t="s">
        <v>3973</v>
      </c>
      <c r="F693" s="1282"/>
      <c r="G693" s="1281"/>
      <c r="H693" s="1281"/>
    </row>
    <row r="694" spans="1:8" x14ac:dyDescent="0.2">
      <c r="A694" s="1280" t="s">
        <v>3974</v>
      </c>
      <c r="B694" s="1281" t="s">
        <v>2623</v>
      </c>
      <c r="C694" s="1281">
        <v>0</v>
      </c>
      <c r="D694" s="1281" t="s">
        <v>2650</v>
      </c>
      <c r="E694" s="1280" t="s">
        <v>3975</v>
      </c>
      <c r="F694" s="1282" t="s">
        <v>2659</v>
      </c>
      <c r="G694" s="1281"/>
      <c r="H694" s="1281"/>
    </row>
    <row r="695" spans="1:8" x14ac:dyDescent="0.2">
      <c r="A695" s="1280" t="s">
        <v>3976</v>
      </c>
      <c r="B695" s="1281" t="s">
        <v>2623</v>
      </c>
      <c r="C695" s="1281">
        <v>0</v>
      </c>
      <c r="D695" s="1281" t="s">
        <v>2653</v>
      </c>
      <c r="E695" s="1280" t="s">
        <v>3977</v>
      </c>
      <c r="F695" s="1282" t="s">
        <v>2659</v>
      </c>
      <c r="G695" s="1281" t="s">
        <v>2659</v>
      </c>
      <c r="H695" s="1281"/>
    </row>
    <row r="696" spans="1:8" x14ac:dyDescent="0.2">
      <c r="A696" s="1280" t="s">
        <v>3978</v>
      </c>
      <c r="B696" s="1281"/>
      <c r="C696" s="1281">
        <v>0</v>
      </c>
      <c r="D696" s="1281" t="s">
        <v>2686</v>
      </c>
      <c r="E696" s="1280" t="s">
        <v>3979</v>
      </c>
      <c r="F696" s="1282"/>
      <c r="G696" s="1281"/>
      <c r="H696" s="1281"/>
    </row>
    <row r="697" spans="1:8" x14ac:dyDescent="0.2">
      <c r="A697" s="1280" t="s">
        <v>3980</v>
      </c>
      <c r="B697" s="1281" t="s">
        <v>2623</v>
      </c>
      <c r="C697" s="1281">
        <v>1</v>
      </c>
      <c r="D697" s="1281" t="s">
        <v>2650</v>
      </c>
      <c r="E697" s="1280" t="s">
        <v>3981</v>
      </c>
      <c r="F697" s="1282" t="s">
        <v>2659</v>
      </c>
      <c r="G697" s="1281"/>
      <c r="H697" s="1281"/>
    </row>
    <row r="698" spans="1:8" x14ac:dyDescent="0.2">
      <c r="A698" s="1280" t="s">
        <v>3982</v>
      </c>
      <c r="B698" s="1281" t="s">
        <v>2623</v>
      </c>
      <c r="C698" s="1281">
        <v>0</v>
      </c>
      <c r="D698" s="1281" t="s">
        <v>2653</v>
      </c>
      <c r="E698" s="1280" t="s">
        <v>3983</v>
      </c>
      <c r="F698" s="1282" t="s">
        <v>2659</v>
      </c>
      <c r="G698" s="1281"/>
      <c r="H698" s="1281"/>
    </row>
    <row r="699" spans="1:8" x14ac:dyDescent="0.2">
      <c r="A699" s="1280" t="s">
        <v>3984</v>
      </c>
      <c r="B699" s="1281" t="s">
        <v>2623</v>
      </c>
      <c r="C699" s="1281">
        <v>0</v>
      </c>
      <c r="D699" s="1281" t="s">
        <v>2645</v>
      </c>
      <c r="E699" s="1280" t="s">
        <v>3985</v>
      </c>
      <c r="F699" s="1282" t="s">
        <v>2659</v>
      </c>
      <c r="G699" s="1281"/>
      <c r="H699" s="1281"/>
    </row>
    <row r="700" spans="1:8" x14ac:dyDescent="0.2">
      <c r="A700" s="1280" t="s">
        <v>3986</v>
      </c>
      <c r="B700" s="1281" t="s">
        <v>2623</v>
      </c>
      <c r="C700" s="1281">
        <v>0</v>
      </c>
      <c r="D700" s="1281" t="s">
        <v>2653</v>
      </c>
      <c r="E700" s="1280" t="s">
        <v>3987</v>
      </c>
      <c r="F700" s="1282" t="s">
        <v>2659</v>
      </c>
      <c r="G700" s="1281"/>
      <c r="H700" s="1281"/>
    </row>
    <row r="701" spans="1:8" x14ac:dyDescent="0.2">
      <c r="A701" s="1280" t="s">
        <v>3988</v>
      </c>
      <c r="B701" s="1281" t="s">
        <v>2623</v>
      </c>
      <c r="C701" s="1281">
        <v>4</v>
      </c>
      <c r="D701" s="1281" t="s">
        <v>2686</v>
      </c>
      <c r="E701" s="1280" t="s">
        <v>3989</v>
      </c>
      <c r="F701" s="1282"/>
      <c r="G701" s="1281"/>
      <c r="H701" s="1281"/>
    </row>
    <row r="702" spans="1:8" x14ac:dyDescent="0.2">
      <c r="A702" s="1280" t="s">
        <v>3990</v>
      </c>
      <c r="B702" s="1281" t="s">
        <v>2623</v>
      </c>
      <c r="C702" s="1281">
        <v>2</v>
      </c>
      <c r="D702" s="1281" t="s">
        <v>2686</v>
      </c>
      <c r="E702" s="1280" t="s">
        <v>3991</v>
      </c>
      <c r="F702" s="1282" t="s">
        <v>2659</v>
      </c>
      <c r="G702" s="1281"/>
      <c r="H702" s="1281"/>
    </row>
    <row r="703" spans="1:8" x14ac:dyDescent="0.2">
      <c r="A703" s="1280" t="s">
        <v>3992</v>
      </c>
      <c r="B703" s="1281"/>
      <c r="C703" s="1281">
        <v>0</v>
      </c>
      <c r="D703" s="1281" t="s">
        <v>2686</v>
      </c>
      <c r="E703" s="1280"/>
      <c r="F703" s="1282" t="s">
        <v>2659</v>
      </c>
      <c r="G703" s="1281"/>
      <c r="H703" s="1281"/>
    </row>
    <row r="704" spans="1:8" x14ac:dyDescent="0.2">
      <c r="A704" s="1280" t="s">
        <v>3993</v>
      </c>
      <c r="B704" s="1281" t="s">
        <v>2623</v>
      </c>
      <c r="C704" s="1281">
        <v>10</v>
      </c>
      <c r="D704" s="1281" t="s">
        <v>2667</v>
      </c>
      <c r="E704" s="1280" t="s">
        <v>3994</v>
      </c>
      <c r="F704" s="1282"/>
      <c r="G704" s="1281"/>
      <c r="H704" s="1281"/>
    </row>
    <row r="705" spans="1:8" x14ac:dyDescent="0.2">
      <c r="A705" s="1280" t="s">
        <v>3995</v>
      </c>
      <c r="B705" s="1281" t="s">
        <v>2623</v>
      </c>
      <c r="C705" s="1281">
        <v>26</v>
      </c>
      <c r="D705" s="1281" t="s">
        <v>2653</v>
      </c>
      <c r="E705" s="1280" t="s">
        <v>3996</v>
      </c>
      <c r="F705" s="1282"/>
      <c r="G705" s="1281"/>
      <c r="H705" s="1281"/>
    </row>
    <row r="706" spans="1:8" x14ac:dyDescent="0.2">
      <c r="A706" s="1280" t="s">
        <v>3997</v>
      </c>
      <c r="B706" s="1281" t="s">
        <v>2623</v>
      </c>
      <c r="C706" s="1281">
        <v>9</v>
      </c>
      <c r="D706" s="1281" t="s">
        <v>2650</v>
      </c>
      <c r="E706" s="1280" t="s">
        <v>3998</v>
      </c>
      <c r="F706" s="1282"/>
      <c r="G706" s="1281"/>
      <c r="H706" s="1281"/>
    </row>
    <row r="707" spans="1:8" x14ac:dyDescent="0.2">
      <c r="A707" s="1280" t="s">
        <v>3999</v>
      </c>
      <c r="B707" s="1281" t="s">
        <v>2623</v>
      </c>
      <c r="C707" s="1281">
        <v>0</v>
      </c>
      <c r="D707" s="1281" t="s">
        <v>2653</v>
      </c>
      <c r="E707" s="1280" t="s">
        <v>4000</v>
      </c>
      <c r="F707" s="1282"/>
      <c r="G707" s="1281"/>
      <c r="H707" s="1281">
        <v>2</v>
      </c>
    </row>
    <row r="708" spans="1:8" x14ac:dyDescent="0.2">
      <c r="A708" s="1283" t="s">
        <v>4001</v>
      </c>
      <c r="B708" s="1281" t="s">
        <v>2623</v>
      </c>
      <c r="C708" s="1281">
        <v>0</v>
      </c>
      <c r="D708" s="1281"/>
      <c r="E708" s="1280"/>
      <c r="F708" s="1282"/>
      <c r="G708" s="1281"/>
      <c r="H708" s="1281"/>
    </row>
    <row r="709" spans="1:8" x14ac:dyDescent="0.2">
      <c r="A709" s="1283" t="s">
        <v>4002</v>
      </c>
      <c r="B709" s="1281" t="s">
        <v>2623</v>
      </c>
      <c r="C709" s="1281">
        <v>0</v>
      </c>
      <c r="D709" s="1281"/>
      <c r="E709" s="1280"/>
      <c r="F709" s="1282"/>
      <c r="G709" s="1281"/>
      <c r="H709" s="1281"/>
    </row>
    <row r="710" spans="1:8" x14ac:dyDescent="0.2">
      <c r="A710" s="1280" t="s">
        <v>4003</v>
      </c>
      <c r="B710" s="1281" t="s">
        <v>2623</v>
      </c>
      <c r="C710" s="1281">
        <v>6</v>
      </c>
      <c r="D710" s="1281" t="s">
        <v>2667</v>
      </c>
      <c r="E710" s="1280" t="s">
        <v>4004</v>
      </c>
      <c r="F710" s="1282"/>
      <c r="G710" s="1281"/>
      <c r="H710" s="1281"/>
    </row>
    <row r="711" spans="1:8" x14ac:dyDescent="0.2">
      <c r="A711" s="1280" t="s">
        <v>4005</v>
      </c>
      <c r="B711" s="1281" t="s">
        <v>2623</v>
      </c>
      <c r="C711" s="1281">
        <v>0</v>
      </c>
      <c r="D711" s="1281" t="s">
        <v>2645</v>
      </c>
      <c r="E711" s="1280" t="s">
        <v>4006</v>
      </c>
      <c r="F711" s="1282" t="s">
        <v>2659</v>
      </c>
      <c r="G711" s="1281"/>
      <c r="H711" s="1281"/>
    </row>
    <row r="712" spans="1:8" x14ac:dyDescent="0.2">
      <c r="A712" s="1280" t="s">
        <v>4007</v>
      </c>
      <c r="B712" s="1281" t="s">
        <v>2623</v>
      </c>
      <c r="C712" s="1281">
        <v>13</v>
      </c>
      <c r="D712" s="1281" t="s">
        <v>2667</v>
      </c>
      <c r="E712" s="1280" t="s">
        <v>4008</v>
      </c>
      <c r="F712" s="1282"/>
      <c r="G712" s="1281"/>
      <c r="H712" s="1281"/>
    </row>
    <row r="713" spans="1:8" x14ac:dyDescent="0.2">
      <c r="A713" s="1280" t="s">
        <v>4009</v>
      </c>
      <c r="B713" s="1281" t="s">
        <v>2623</v>
      </c>
      <c r="C713" s="1281">
        <v>1</v>
      </c>
      <c r="D713" s="1281" t="s">
        <v>2686</v>
      </c>
      <c r="E713" s="1280" t="s">
        <v>4010</v>
      </c>
      <c r="F713" s="1282"/>
      <c r="G713" s="1281"/>
      <c r="H713" s="1281">
        <v>1</v>
      </c>
    </row>
    <row r="714" spans="1:8" x14ac:dyDescent="0.2">
      <c r="A714" s="1280" t="s">
        <v>4011</v>
      </c>
      <c r="B714" s="1281"/>
      <c r="C714" s="1281">
        <v>0</v>
      </c>
      <c r="D714" s="1281" t="s">
        <v>2667</v>
      </c>
      <c r="E714" s="1280" t="s">
        <v>4012</v>
      </c>
      <c r="F714" s="1282"/>
      <c r="G714" s="1281"/>
      <c r="H714" s="1281">
        <v>1</v>
      </c>
    </row>
    <row r="715" spans="1:8" x14ac:dyDescent="0.2">
      <c r="A715" s="1280" t="s">
        <v>4013</v>
      </c>
      <c r="B715" s="1281"/>
      <c r="C715" s="1281">
        <v>0</v>
      </c>
      <c r="D715" s="1281" t="s">
        <v>2645</v>
      </c>
      <c r="E715" s="1280" t="s">
        <v>4014</v>
      </c>
      <c r="F715" s="1282"/>
      <c r="G715" s="1281"/>
      <c r="H715" s="1281"/>
    </row>
    <row r="716" spans="1:8" x14ac:dyDescent="0.2">
      <c r="A716" s="1280" t="s">
        <v>4015</v>
      </c>
      <c r="B716" s="1281" t="s">
        <v>2623</v>
      </c>
      <c r="C716" s="1281">
        <v>0</v>
      </c>
      <c r="D716" s="1281" t="s">
        <v>2653</v>
      </c>
      <c r="E716" s="1280" t="s">
        <v>4016</v>
      </c>
      <c r="F716" s="1282"/>
      <c r="G716" s="1281"/>
      <c r="H716" s="1281"/>
    </row>
    <row r="717" spans="1:8" x14ac:dyDescent="0.2">
      <c r="A717" s="1280" t="s">
        <v>4017</v>
      </c>
      <c r="B717" s="1281" t="s">
        <v>2623</v>
      </c>
      <c r="C717" s="1281">
        <v>1</v>
      </c>
      <c r="D717" s="1281" t="s">
        <v>2650</v>
      </c>
      <c r="E717" s="1280" t="s">
        <v>4018</v>
      </c>
      <c r="F717" s="1282"/>
      <c r="G717" s="1281"/>
      <c r="H717" s="1281"/>
    </row>
    <row r="718" spans="1:8" x14ac:dyDescent="0.2">
      <c r="A718" s="1280" t="s">
        <v>4019</v>
      </c>
      <c r="B718" s="1281"/>
      <c r="C718" s="1281">
        <v>0</v>
      </c>
      <c r="D718" s="1281" t="s">
        <v>2650</v>
      </c>
      <c r="E718" s="1280" t="s">
        <v>4020</v>
      </c>
      <c r="F718" s="1282"/>
      <c r="G718" s="1281"/>
      <c r="H718" s="1281"/>
    </row>
    <row r="719" spans="1:8" x14ac:dyDescent="0.2">
      <c r="A719" s="1280" t="s">
        <v>4021</v>
      </c>
      <c r="B719" s="1281" t="s">
        <v>2623</v>
      </c>
      <c r="C719" s="1281">
        <v>0</v>
      </c>
      <c r="D719" s="1281" t="s">
        <v>2650</v>
      </c>
      <c r="E719" s="1280" t="s">
        <v>4022</v>
      </c>
      <c r="F719" s="1282"/>
      <c r="G719" s="1281"/>
      <c r="H719" s="1281">
        <v>1</v>
      </c>
    </row>
    <row r="720" spans="1:8" x14ac:dyDescent="0.2">
      <c r="A720" s="1280" t="s">
        <v>4023</v>
      </c>
      <c r="B720" s="1281" t="s">
        <v>2623</v>
      </c>
      <c r="C720" s="1281">
        <v>10</v>
      </c>
      <c r="D720" s="1281" t="s">
        <v>2686</v>
      </c>
      <c r="E720" s="1280" t="s">
        <v>4024</v>
      </c>
      <c r="F720" s="1282"/>
      <c r="G720" s="1281"/>
      <c r="H720" s="1281"/>
    </row>
    <row r="721" spans="1:8" x14ac:dyDescent="0.2">
      <c r="A721" s="1280" t="s">
        <v>4025</v>
      </c>
      <c r="B721" s="1281" t="s">
        <v>2623</v>
      </c>
      <c r="C721" s="1281">
        <v>1</v>
      </c>
      <c r="D721" s="1281" t="s">
        <v>2650</v>
      </c>
      <c r="E721" s="1280" t="s">
        <v>4026</v>
      </c>
      <c r="F721" s="1282"/>
      <c r="G721" s="1281"/>
      <c r="H721" s="1281">
        <v>1</v>
      </c>
    </row>
    <row r="722" spans="1:8" x14ac:dyDescent="0.2">
      <c r="A722" s="1280" t="s">
        <v>4027</v>
      </c>
      <c r="B722" s="1281" t="s">
        <v>2623</v>
      </c>
      <c r="C722" s="1281">
        <v>6</v>
      </c>
      <c r="D722" s="1281" t="s">
        <v>2653</v>
      </c>
      <c r="E722" s="1280" t="s">
        <v>4028</v>
      </c>
      <c r="F722" s="1282"/>
      <c r="G722" s="1281"/>
      <c r="H722" s="1281"/>
    </row>
    <row r="723" spans="1:8" x14ac:dyDescent="0.2">
      <c r="A723" s="1280" t="s">
        <v>4029</v>
      </c>
      <c r="B723" s="1281" t="s">
        <v>2623</v>
      </c>
      <c r="C723" s="1281">
        <v>14</v>
      </c>
      <c r="D723" s="1281" t="s">
        <v>2653</v>
      </c>
      <c r="E723" s="1280" t="s">
        <v>4030</v>
      </c>
      <c r="F723" s="1282"/>
      <c r="G723" s="1281"/>
      <c r="H723" s="1281"/>
    </row>
    <row r="724" spans="1:8" x14ac:dyDescent="0.2">
      <c r="A724" s="1280" t="s">
        <v>4031</v>
      </c>
      <c r="B724" s="1281"/>
      <c r="C724" s="1281">
        <v>0</v>
      </c>
      <c r="D724" s="1281" t="s">
        <v>2650</v>
      </c>
      <c r="E724" s="1280" t="s">
        <v>4032</v>
      </c>
      <c r="F724" s="1282"/>
      <c r="G724" s="1281"/>
      <c r="H724" s="1281"/>
    </row>
    <row r="725" spans="1:8" x14ac:dyDescent="0.2">
      <c r="A725" s="1280" t="s">
        <v>4033</v>
      </c>
      <c r="B725" s="1281" t="s">
        <v>2623</v>
      </c>
      <c r="C725" s="1281">
        <v>0</v>
      </c>
      <c r="D725" s="1281" t="s">
        <v>2645</v>
      </c>
      <c r="E725" s="1280" t="s">
        <v>4034</v>
      </c>
      <c r="F725" s="1282"/>
      <c r="G725" s="1281"/>
      <c r="H725" s="1281">
        <v>1</v>
      </c>
    </row>
    <row r="726" spans="1:8" x14ac:dyDescent="0.2">
      <c r="A726" s="1280" t="s">
        <v>4035</v>
      </c>
      <c r="B726" s="1281" t="s">
        <v>2623</v>
      </c>
      <c r="C726" s="1281">
        <v>0</v>
      </c>
      <c r="D726" s="1281" t="s">
        <v>2686</v>
      </c>
      <c r="E726" s="1280" t="s">
        <v>4036</v>
      </c>
      <c r="F726" s="1282"/>
      <c r="G726" s="1281"/>
      <c r="H726" s="1281">
        <v>1</v>
      </c>
    </row>
    <row r="727" spans="1:8" x14ac:dyDescent="0.2">
      <c r="A727" s="1280" t="s">
        <v>4037</v>
      </c>
      <c r="B727" s="1281" t="s">
        <v>2623</v>
      </c>
      <c r="C727" s="1281">
        <v>0</v>
      </c>
      <c r="D727" s="1281" t="s">
        <v>2667</v>
      </c>
      <c r="E727" s="1280" t="s">
        <v>4038</v>
      </c>
      <c r="F727" s="1282"/>
      <c r="G727" s="1281"/>
      <c r="H727" s="1281"/>
    </row>
    <row r="728" spans="1:8" x14ac:dyDescent="0.2">
      <c r="A728" s="1280" t="s">
        <v>4039</v>
      </c>
      <c r="B728" s="1281" t="s">
        <v>2623</v>
      </c>
      <c r="C728" s="1281">
        <v>1</v>
      </c>
      <c r="D728" s="1281" t="s">
        <v>2667</v>
      </c>
      <c r="E728" s="1280" t="s">
        <v>4040</v>
      </c>
      <c r="F728" s="1282"/>
      <c r="G728" s="1281"/>
      <c r="H728" s="1281"/>
    </row>
    <row r="729" spans="1:8" x14ac:dyDescent="0.2">
      <c r="A729" s="1280" t="s">
        <v>4041</v>
      </c>
      <c r="B729" s="1281" t="s">
        <v>2623</v>
      </c>
      <c r="C729" s="1281">
        <v>2</v>
      </c>
      <c r="D729" s="1281" t="s">
        <v>2686</v>
      </c>
      <c r="E729" s="1280" t="s">
        <v>4042</v>
      </c>
      <c r="F729" s="1282"/>
      <c r="G729" s="1281"/>
      <c r="H729" s="1281"/>
    </row>
    <row r="730" spans="1:8" x14ac:dyDescent="0.2">
      <c r="A730" s="1280" t="s">
        <v>4043</v>
      </c>
      <c r="B730" s="1281" t="s">
        <v>2623</v>
      </c>
      <c r="C730" s="1281">
        <v>1</v>
      </c>
      <c r="D730" s="1281" t="s">
        <v>2650</v>
      </c>
      <c r="E730" s="1280" t="s">
        <v>4044</v>
      </c>
      <c r="F730" s="1282" t="s">
        <v>2659</v>
      </c>
      <c r="G730" s="1281"/>
      <c r="H730" s="1281"/>
    </row>
    <row r="731" spans="1:8" x14ac:dyDescent="0.2">
      <c r="A731" s="1280" t="s">
        <v>4045</v>
      </c>
      <c r="B731" s="1281" t="s">
        <v>2623</v>
      </c>
      <c r="C731" s="1281">
        <v>0</v>
      </c>
      <c r="D731" s="1281"/>
      <c r="E731" s="1280" t="s">
        <v>4046</v>
      </c>
      <c r="F731" s="1282"/>
      <c r="G731" s="1281"/>
      <c r="H731" s="1281"/>
    </row>
    <row r="732" spans="1:8" x14ac:dyDescent="0.2">
      <c r="A732" s="1280" t="s">
        <v>4047</v>
      </c>
      <c r="B732" s="1281" t="s">
        <v>2623</v>
      </c>
      <c r="C732" s="1281">
        <v>3</v>
      </c>
      <c r="D732" s="1281" t="s">
        <v>2650</v>
      </c>
      <c r="E732" s="1280" t="s">
        <v>4048</v>
      </c>
      <c r="F732" s="1282" t="s">
        <v>2659</v>
      </c>
      <c r="G732" s="1281"/>
      <c r="H732" s="1281"/>
    </row>
    <row r="733" spans="1:8" x14ac:dyDescent="0.2">
      <c r="A733" s="1280" t="s">
        <v>4049</v>
      </c>
      <c r="B733" s="1281" t="s">
        <v>2623</v>
      </c>
      <c r="C733" s="1281">
        <v>0</v>
      </c>
      <c r="D733" s="1281"/>
      <c r="E733" s="1280" t="s">
        <v>4050</v>
      </c>
      <c r="F733" s="1282" t="s">
        <v>2659</v>
      </c>
      <c r="G733" s="1281"/>
      <c r="H733" s="1281"/>
    </row>
    <row r="734" spans="1:8" x14ac:dyDescent="0.2">
      <c r="A734" s="1280" t="s">
        <v>4051</v>
      </c>
      <c r="B734" s="1281" t="s">
        <v>2623</v>
      </c>
      <c r="C734" s="1281">
        <v>18</v>
      </c>
      <c r="D734" s="1281" t="s">
        <v>2667</v>
      </c>
      <c r="E734" s="1280" t="s">
        <v>4052</v>
      </c>
      <c r="F734" s="1282"/>
      <c r="G734" s="1281"/>
      <c r="H734" s="1281"/>
    </row>
    <row r="735" spans="1:8" x14ac:dyDescent="0.2">
      <c r="A735" s="1280" t="s">
        <v>4053</v>
      </c>
      <c r="B735" s="1281"/>
      <c r="C735" s="1281">
        <v>0</v>
      </c>
      <c r="D735" s="1281" t="s">
        <v>2667</v>
      </c>
      <c r="E735" s="1280" t="s">
        <v>4054</v>
      </c>
      <c r="F735" s="1282"/>
      <c r="G735" s="1281"/>
      <c r="H735" s="1281">
        <v>1</v>
      </c>
    </row>
    <row r="736" spans="1:8" x14ac:dyDescent="0.2">
      <c r="A736" s="1280" t="s">
        <v>4055</v>
      </c>
      <c r="B736" s="1281" t="s">
        <v>2623</v>
      </c>
      <c r="C736" s="1281">
        <v>2</v>
      </c>
      <c r="D736" s="1281" t="s">
        <v>2667</v>
      </c>
      <c r="E736" s="1280" t="s">
        <v>4056</v>
      </c>
      <c r="F736" s="1282"/>
      <c r="G736" s="1281"/>
      <c r="H736" s="1281"/>
    </row>
    <row r="737" spans="1:8" x14ac:dyDescent="0.2">
      <c r="A737" s="1280" t="s">
        <v>4057</v>
      </c>
      <c r="B737" s="1281"/>
      <c r="C737" s="1281">
        <v>0</v>
      </c>
      <c r="D737" s="1281" t="s">
        <v>2667</v>
      </c>
      <c r="E737" s="1280" t="s">
        <v>4058</v>
      </c>
      <c r="F737" s="1282" t="s">
        <v>2659</v>
      </c>
      <c r="G737" s="1281"/>
      <c r="H737" s="1281"/>
    </row>
    <row r="738" spans="1:8" x14ac:dyDescent="0.2">
      <c r="A738" s="1280" t="s">
        <v>4059</v>
      </c>
      <c r="B738" s="1281" t="s">
        <v>2623</v>
      </c>
      <c r="C738" s="1281">
        <v>0</v>
      </c>
      <c r="D738" s="1281" t="s">
        <v>2667</v>
      </c>
      <c r="E738" s="1280" t="s">
        <v>4060</v>
      </c>
      <c r="F738" s="1282"/>
      <c r="G738" s="1281"/>
      <c r="H738" s="1281">
        <v>1</v>
      </c>
    </row>
    <row r="739" spans="1:8" x14ac:dyDescent="0.2">
      <c r="A739" s="1280" t="s">
        <v>4061</v>
      </c>
      <c r="B739" s="1281"/>
      <c r="C739" s="1281">
        <v>0</v>
      </c>
      <c r="D739" s="1281" t="s">
        <v>2667</v>
      </c>
      <c r="E739" s="1280" t="s">
        <v>4062</v>
      </c>
      <c r="F739" s="1282"/>
      <c r="G739" s="1281"/>
      <c r="H739" s="1281">
        <v>1</v>
      </c>
    </row>
    <row r="740" spans="1:8" x14ac:dyDescent="0.2">
      <c r="A740" s="1280" t="s">
        <v>4063</v>
      </c>
      <c r="B740" s="1281"/>
      <c r="C740" s="1281">
        <v>0</v>
      </c>
      <c r="D740" s="1281" t="s">
        <v>2667</v>
      </c>
      <c r="E740" s="1280" t="s">
        <v>4064</v>
      </c>
      <c r="F740" s="1282"/>
      <c r="G740" s="1281"/>
      <c r="H740" s="1281"/>
    </row>
    <row r="741" spans="1:8" x14ac:dyDescent="0.2">
      <c r="A741" s="1280" t="s">
        <v>4065</v>
      </c>
      <c r="B741" s="1281"/>
      <c r="C741" s="1281">
        <v>0</v>
      </c>
      <c r="D741" s="1281" t="s">
        <v>2667</v>
      </c>
      <c r="E741" s="1280" t="s">
        <v>4066</v>
      </c>
      <c r="F741" s="1282" t="s">
        <v>2659</v>
      </c>
      <c r="G741" s="1281"/>
      <c r="H741" s="1281"/>
    </row>
    <row r="742" spans="1:8" x14ac:dyDescent="0.2">
      <c r="A742" s="1280" t="s">
        <v>4067</v>
      </c>
      <c r="B742" s="1281"/>
      <c r="C742" s="1281">
        <v>0</v>
      </c>
      <c r="D742" s="1281" t="s">
        <v>2650</v>
      </c>
      <c r="E742" s="1280" t="s">
        <v>4068</v>
      </c>
      <c r="F742" s="1282"/>
      <c r="G742" s="1281"/>
      <c r="H742" s="1281"/>
    </row>
    <row r="743" spans="1:8" x14ac:dyDescent="0.2">
      <c r="A743" s="1280" t="s">
        <v>4069</v>
      </c>
      <c r="B743" s="1281" t="s">
        <v>2623</v>
      </c>
      <c r="C743" s="1281">
        <v>0</v>
      </c>
      <c r="D743" s="1281" t="s">
        <v>2650</v>
      </c>
      <c r="E743" s="1280" t="s">
        <v>4070</v>
      </c>
      <c r="F743" s="1282" t="s">
        <v>2659</v>
      </c>
      <c r="G743" s="1281"/>
      <c r="H743" s="1281"/>
    </row>
    <row r="744" spans="1:8" x14ac:dyDescent="0.2">
      <c r="A744" s="1280" t="s">
        <v>4071</v>
      </c>
      <c r="B744" s="1281" t="s">
        <v>2623</v>
      </c>
      <c r="C744" s="1281">
        <v>8</v>
      </c>
      <c r="D744" s="1281" t="s">
        <v>2667</v>
      </c>
      <c r="E744" s="1280" t="s">
        <v>4072</v>
      </c>
      <c r="F744" s="1282"/>
      <c r="G744" s="1281"/>
      <c r="H744" s="1281"/>
    </row>
    <row r="745" spans="1:8" x14ac:dyDescent="0.2">
      <c r="A745" s="1280" t="s">
        <v>4073</v>
      </c>
      <c r="B745" s="1281"/>
      <c r="C745" s="1281">
        <v>0</v>
      </c>
      <c r="D745" s="1281" t="s">
        <v>2667</v>
      </c>
      <c r="E745" s="1280" t="s">
        <v>4074</v>
      </c>
      <c r="F745" s="1282"/>
      <c r="G745" s="1281"/>
      <c r="H745" s="1281"/>
    </row>
    <row r="746" spans="1:8" x14ac:dyDescent="0.2">
      <c r="A746" s="1280" t="s">
        <v>4075</v>
      </c>
      <c r="B746" s="1281" t="s">
        <v>2623</v>
      </c>
      <c r="C746" s="1281">
        <v>1</v>
      </c>
      <c r="D746" s="1281" t="s">
        <v>2667</v>
      </c>
      <c r="E746" s="1280" t="s">
        <v>4076</v>
      </c>
      <c r="F746" s="1282" t="s">
        <v>2659</v>
      </c>
      <c r="G746" s="1281"/>
      <c r="H746" s="1281"/>
    </row>
    <row r="747" spans="1:8" x14ac:dyDescent="0.2">
      <c r="A747" s="1280" t="s">
        <v>4077</v>
      </c>
      <c r="B747" s="1281" t="s">
        <v>2623</v>
      </c>
      <c r="C747" s="1281">
        <v>0</v>
      </c>
      <c r="D747" s="1281" t="s">
        <v>2667</v>
      </c>
      <c r="E747" s="1280" t="s">
        <v>4078</v>
      </c>
      <c r="F747" s="1282"/>
      <c r="G747" s="1281"/>
      <c r="H747" s="1281"/>
    </row>
    <row r="748" spans="1:8" x14ac:dyDescent="0.2">
      <c r="A748" s="1280" t="s">
        <v>4079</v>
      </c>
      <c r="B748" s="1281" t="s">
        <v>2623</v>
      </c>
      <c r="C748" s="1281">
        <v>6</v>
      </c>
      <c r="D748" s="1281" t="s">
        <v>2667</v>
      </c>
      <c r="E748" s="1280" t="s">
        <v>4080</v>
      </c>
      <c r="F748" s="1282"/>
      <c r="G748" s="1281"/>
      <c r="H748" s="1281"/>
    </row>
    <row r="749" spans="1:8" x14ac:dyDescent="0.2">
      <c r="A749" s="1280" t="s">
        <v>4081</v>
      </c>
      <c r="B749" s="1281"/>
      <c r="C749" s="1281">
        <v>0</v>
      </c>
      <c r="D749" s="1281" t="s">
        <v>2686</v>
      </c>
      <c r="E749" s="1280" t="s">
        <v>4082</v>
      </c>
      <c r="F749" s="1282"/>
      <c r="G749" s="1281"/>
      <c r="H749" s="1281">
        <v>1</v>
      </c>
    </row>
    <row r="750" spans="1:8" x14ac:dyDescent="0.2">
      <c r="A750" s="1280" t="s">
        <v>4083</v>
      </c>
      <c r="B750" s="1281" t="s">
        <v>2623</v>
      </c>
      <c r="C750" s="1281">
        <v>6</v>
      </c>
      <c r="D750" s="1281" t="s">
        <v>2653</v>
      </c>
      <c r="E750" s="1280" t="s">
        <v>4084</v>
      </c>
      <c r="F750" s="1282"/>
      <c r="G750" s="1281"/>
      <c r="H750" s="1281"/>
    </row>
    <row r="751" spans="1:8" x14ac:dyDescent="0.2">
      <c r="A751" s="1280" t="s">
        <v>4085</v>
      </c>
      <c r="B751" s="1281"/>
      <c r="C751" s="1281">
        <v>0</v>
      </c>
      <c r="D751" s="1281" t="s">
        <v>2645</v>
      </c>
      <c r="E751" s="1280" t="s">
        <v>4086</v>
      </c>
      <c r="F751" s="1282"/>
      <c r="G751" s="1281"/>
      <c r="H751" s="1281">
        <v>1</v>
      </c>
    </row>
    <row r="752" spans="1:8" x14ac:dyDescent="0.2">
      <c r="A752" s="1280" t="s">
        <v>4087</v>
      </c>
      <c r="B752" s="1281" t="s">
        <v>2623</v>
      </c>
      <c r="C752" s="1281">
        <v>8</v>
      </c>
      <c r="D752" s="1281" t="s">
        <v>2653</v>
      </c>
      <c r="E752" s="1280" t="s">
        <v>4088</v>
      </c>
      <c r="F752" s="1282"/>
      <c r="G752" s="1281"/>
      <c r="H752" s="1281"/>
    </row>
    <row r="753" spans="1:8" x14ac:dyDescent="0.2">
      <c r="A753" s="1280" t="s">
        <v>4089</v>
      </c>
      <c r="B753" s="1281" t="s">
        <v>2623</v>
      </c>
      <c r="C753" s="1281">
        <v>0</v>
      </c>
      <c r="D753" s="1281" t="s">
        <v>2653</v>
      </c>
      <c r="E753" s="1280" t="s">
        <v>4090</v>
      </c>
      <c r="F753" s="1282"/>
      <c r="G753" s="1281"/>
      <c r="H753" s="1281"/>
    </row>
    <row r="754" spans="1:8" x14ac:dyDescent="0.2">
      <c r="A754" s="1280" t="s">
        <v>4091</v>
      </c>
      <c r="B754" s="1281" t="s">
        <v>2623</v>
      </c>
      <c r="C754" s="1281">
        <v>6</v>
      </c>
      <c r="D754" s="1281" t="s">
        <v>2653</v>
      </c>
      <c r="E754" s="1280" t="s">
        <v>4092</v>
      </c>
      <c r="F754" s="1282"/>
      <c r="G754" s="1281"/>
      <c r="H754" s="1281"/>
    </row>
    <row r="755" spans="1:8" x14ac:dyDescent="0.2">
      <c r="A755" s="1280" t="s">
        <v>4093</v>
      </c>
      <c r="B755" s="1281" t="s">
        <v>2623</v>
      </c>
      <c r="C755" s="1281">
        <v>6</v>
      </c>
      <c r="D755" s="1281" t="s">
        <v>2653</v>
      </c>
      <c r="E755" s="1280" t="s">
        <v>4094</v>
      </c>
      <c r="F755" s="1282"/>
      <c r="G755" s="1281"/>
      <c r="H755" s="1281"/>
    </row>
    <row r="756" spans="1:8" x14ac:dyDescent="0.2">
      <c r="A756" s="1280" t="s">
        <v>4095</v>
      </c>
      <c r="B756" s="1281" t="s">
        <v>2623</v>
      </c>
      <c r="C756" s="1281">
        <v>0</v>
      </c>
      <c r="D756" s="1281"/>
      <c r="E756" s="1280"/>
      <c r="F756" s="1282"/>
      <c r="G756" s="1281"/>
      <c r="H756" s="1281"/>
    </row>
    <row r="757" spans="1:8" x14ac:dyDescent="0.2">
      <c r="A757" s="1280" t="s">
        <v>4096</v>
      </c>
      <c r="B757" s="1281" t="s">
        <v>2623</v>
      </c>
      <c r="C757" s="1281">
        <v>0</v>
      </c>
      <c r="D757" s="1281" t="s">
        <v>2653</v>
      </c>
      <c r="E757" s="1280" t="s">
        <v>4097</v>
      </c>
      <c r="F757" s="1282"/>
      <c r="G757" s="1281"/>
      <c r="H757" s="1281"/>
    </row>
    <row r="758" spans="1:8" x14ac:dyDescent="0.2">
      <c r="A758" s="1280" t="s">
        <v>4098</v>
      </c>
      <c r="B758" s="1281" t="s">
        <v>2623</v>
      </c>
      <c r="C758" s="1281">
        <v>0</v>
      </c>
      <c r="D758" s="1281" t="s">
        <v>2645</v>
      </c>
      <c r="E758" s="1280" t="s">
        <v>4099</v>
      </c>
      <c r="F758" s="1282"/>
      <c r="G758" s="1281"/>
      <c r="H758" s="1281"/>
    </row>
    <row r="759" spans="1:8" x14ac:dyDescent="0.2">
      <c r="A759" s="1280" t="s">
        <v>4100</v>
      </c>
      <c r="B759" s="1281" t="s">
        <v>2623</v>
      </c>
      <c r="C759" s="1281">
        <v>0</v>
      </c>
      <c r="D759" s="1281" t="s">
        <v>2645</v>
      </c>
      <c r="E759" s="1280" t="s">
        <v>4101</v>
      </c>
      <c r="F759" s="1282"/>
      <c r="G759" s="1281"/>
      <c r="H759" s="1281"/>
    </row>
    <row r="760" spans="1:8" x14ac:dyDescent="0.2">
      <c r="A760" s="1280" t="s">
        <v>4102</v>
      </c>
      <c r="B760" s="1281" t="s">
        <v>2623</v>
      </c>
      <c r="C760" s="1281">
        <v>1</v>
      </c>
      <c r="D760" s="1281" t="s">
        <v>2645</v>
      </c>
      <c r="E760" s="1280" t="s">
        <v>4103</v>
      </c>
      <c r="F760" s="1282"/>
      <c r="G760" s="1281"/>
      <c r="H760" s="1281"/>
    </row>
    <row r="761" spans="1:8" x14ac:dyDescent="0.2">
      <c r="A761" s="1280" t="s">
        <v>4104</v>
      </c>
      <c r="B761" s="1281" t="s">
        <v>2623</v>
      </c>
      <c r="C761" s="1281">
        <v>3</v>
      </c>
      <c r="D761" s="1281" t="s">
        <v>2653</v>
      </c>
      <c r="E761" s="1280" t="s">
        <v>4105</v>
      </c>
      <c r="F761" s="1282"/>
      <c r="G761" s="1281"/>
      <c r="H761" s="1281"/>
    </row>
    <row r="762" spans="1:8" x14ac:dyDescent="0.2">
      <c r="A762" s="1280" t="s">
        <v>4106</v>
      </c>
      <c r="B762" s="1281" t="s">
        <v>2623</v>
      </c>
      <c r="C762" s="1281">
        <v>1</v>
      </c>
      <c r="D762" s="1281" t="s">
        <v>2650</v>
      </c>
      <c r="E762" s="1280" t="s">
        <v>4107</v>
      </c>
      <c r="F762" s="1282"/>
      <c r="G762" s="1281"/>
      <c r="H762" s="1281"/>
    </row>
    <row r="763" spans="1:8" x14ac:dyDescent="0.2">
      <c r="A763" s="1280" t="s">
        <v>4108</v>
      </c>
      <c r="B763" s="1281" t="s">
        <v>2623</v>
      </c>
      <c r="C763" s="1281">
        <v>0</v>
      </c>
      <c r="D763" s="1281" t="s">
        <v>2650</v>
      </c>
      <c r="E763" s="1280" t="s">
        <v>4109</v>
      </c>
      <c r="F763" s="1282"/>
      <c r="G763" s="1281"/>
      <c r="H763" s="1281"/>
    </row>
    <row r="764" spans="1:8" x14ac:dyDescent="0.2">
      <c r="A764" s="1280" t="s">
        <v>4110</v>
      </c>
      <c r="B764" s="1281" t="s">
        <v>2623</v>
      </c>
      <c r="C764" s="1281">
        <v>0</v>
      </c>
      <c r="D764" s="1281" t="s">
        <v>2645</v>
      </c>
      <c r="E764" s="1280" t="s">
        <v>4111</v>
      </c>
      <c r="F764" s="1282"/>
      <c r="G764" s="1281"/>
      <c r="H764" s="1281"/>
    </row>
    <row r="765" spans="1:8" x14ac:dyDescent="0.2">
      <c r="A765" s="1280" t="s">
        <v>4112</v>
      </c>
      <c r="B765" s="1281" t="s">
        <v>2623</v>
      </c>
      <c r="C765" s="1281">
        <v>4</v>
      </c>
      <c r="D765" s="1281" t="s">
        <v>2650</v>
      </c>
      <c r="E765" s="1280" t="s">
        <v>4113</v>
      </c>
      <c r="F765" s="1282"/>
      <c r="G765" s="1281"/>
      <c r="H765" s="1281"/>
    </row>
    <row r="766" spans="1:8" x14ac:dyDescent="0.2">
      <c r="A766" s="1280" t="s">
        <v>4114</v>
      </c>
      <c r="B766" s="1281" t="s">
        <v>2623</v>
      </c>
      <c r="C766" s="1281">
        <v>0</v>
      </c>
      <c r="D766" s="1281" t="s">
        <v>2645</v>
      </c>
      <c r="E766" s="1280" t="s">
        <v>4115</v>
      </c>
      <c r="F766" s="1282"/>
      <c r="G766" s="1281"/>
      <c r="H766" s="1281"/>
    </row>
    <row r="767" spans="1:8" x14ac:dyDescent="0.2">
      <c r="A767" s="1280" t="s">
        <v>4116</v>
      </c>
      <c r="B767" s="1281" t="s">
        <v>2623</v>
      </c>
      <c r="C767" s="1281">
        <v>0</v>
      </c>
      <c r="D767" s="1281" t="s">
        <v>2653</v>
      </c>
      <c r="E767" s="1280" t="s">
        <v>4117</v>
      </c>
      <c r="F767" s="1282"/>
      <c r="G767" s="1281"/>
      <c r="H767" s="1281"/>
    </row>
    <row r="768" spans="1:8" x14ac:dyDescent="0.2">
      <c r="A768" s="1280" t="s">
        <v>4118</v>
      </c>
      <c r="B768" s="1281"/>
      <c r="C768" s="1281">
        <v>0</v>
      </c>
      <c r="D768" s="1281" t="s">
        <v>2653</v>
      </c>
      <c r="E768" s="1280" t="s">
        <v>4119</v>
      </c>
      <c r="F768" s="1282"/>
      <c r="G768" s="1281"/>
      <c r="H768" s="1281">
        <v>1</v>
      </c>
    </row>
    <row r="769" spans="1:8" x14ac:dyDescent="0.2">
      <c r="A769" s="1280" t="s">
        <v>4120</v>
      </c>
      <c r="B769" s="1281" t="s">
        <v>2623</v>
      </c>
      <c r="C769" s="1281">
        <v>9</v>
      </c>
      <c r="D769" s="1281" t="s">
        <v>2686</v>
      </c>
      <c r="E769" s="1280" t="s">
        <v>4121</v>
      </c>
      <c r="F769" s="1282"/>
      <c r="G769" s="1281"/>
      <c r="H769" s="1281"/>
    </row>
    <row r="770" spans="1:8" x14ac:dyDescent="0.2">
      <c r="A770" s="1280" t="s">
        <v>4122</v>
      </c>
      <c r="B770" s="1281" t="s">
        <v>2623</v>
      </c>
      <c r="C770" s="1281">
        <v>6</v>
      </c>
      <c r="D770" s="1281" t="s">
        <v>2686</v>
      </c>
      <c r="E770" s="1280" t="s">
        <v>4123</v>
      </c>
      <c r="F770" s="1282"/>
      <c r="G770" s="1281"/>
      <c r="H770" s="1281"/>
    </row>
    <row r="771" spans="1:8" x14ac:dyDescent="0.2">
      <c r="A771" s="1280" t="s">
        <v>4124</v>
      </c>
      <c r="B771" s="1281" t="s">
        <v>2623</v>
      </c>
      <c r="C771" s="1281">
        <v>8</v>
      </c>
      <c r="D771" s="1281" t="s">
        <v>2686</v>
      </c>
      <c r="E771" s="1280" t="s">
        <v>4125</v>
      </c>
      <c r="F771" s="1282"/>
      <c r="G771" s="1281"/>
      <c r="H771" s="1281"/>
    </row>
    <row r="772" spans="1:8" x14ac:dyDescent="0.2">
      <c r="A772" s="1280" t="s">
        <v>4126</v>
      </c>
      <c r="B772" s="1281"/>
      <c r="C772" s="1281">
        <v>0</v>
      </c>
      <c r="D772" s="1281" t="s">
        <v>2645</v>
      </c>
      <c r="E772" s="1280" t="s">
        <v>4127</v>
      </c>
      <c r="F772" s="1282" t="s">
        <v>2659</v>
      </c>
      <c r="G772" s="1281"/>
      <c r="H772" s="1281"/>
    </row>
    <row r="773" spans="1:8" x14ac:dyDescent="0.2">
      <c r="A773" s="1280" t="s">
        <v>4128</v>
      </c>
      <c r="B773" s="1281" t="s">
        <v>2623</v>
      </c>
      <c r="C773" s="1281">
        <v>1</v>
      </c>
      <c r="D773" s="1281" t="s">
        <v>2653</v>
      </c>
      <c r="E773" s="1280" t="s">
        <v>4129</v>
      </c>
      <c r="F773" s="1282"/>
      <c r="G773" s="1281"/>
      <c r="H773" s="1281"/>
    </row>
    <row r="774" spans="1:8" x14ac:dyDescent="0.2">
      <c r="A774" s="1280" t="s">
        <v>4130</v>
      </c>
      <c r="B774" s="1281"/>
      <c r="C774" s="1281">
        <v>0</v>
      </c>
      <c r="D774" s="1281" t="s">
        <v>2667</v>
      </c>
      <c r="E774" s="1280" t="s">
        <v>4131</v>
      </c>
      <c r="F774" s="1282"/>
      <c r="G774" s="1281"/>
      <c r="H774" s="1281"/>
    </row>
    <row r="775" spans="1:8" x14ac:dyDescent="0.2">
      <c r="A775" s="1280" t="s">
        <v>4132</v>
      </c>
      <c r="B775" s="1281"/>
      <c r="C775" s="1281">
        <v>0</v>
      </c>
      <c r="D775" s="1281"/>
      <c r="E775" s="1280" t="s">
        <v>4133</v>
      </c>
      <c r="F775" s="1282"/>
      <c r="G775" s="1281"/>
      <c r="H775" s="1281">
        <v>1</v>
      </c>
    </row>
    <row r="776" spans="1:8" x14ac:dyDescent="0.2">
      <c r="A776" s="1280" t="s">
        <v>4134</v>
      </c>
      <c r="B776" s="1281" t="s">
        <v>2623</v>
      </c>
      <c r="C776" s="1281">
        <v>0</v>
      </c>
      <c r="D776" s="1281" t="s">
        <v>2686</v>
      </c>
      <c r="E776" s="1280" t="s">
        <v>4135</v>
      </c>
      <c r="F776" s="1282"/>
      <c r="G776" s="1281"/>
      <c r="H776" s="1281"/>
    </row>
    <row r="777" spans="1:8" x14ac:dyDescent="0.2">
      <c r="A777" s="1280" t="s">
        <v>4136</v>
      </c>
      <c r="B777" s="1281" t="s">
        <v>2623</v>
      </c>
      <c r="C777" s="1281">
        <v>2</v>
      </c>
      <c r="D777" s="1281" t="s">
        <v>2650</v>
      </c>
      <c r="E777" s="1280" t="s">
        <v>4137</v>
      </c>
      <c r="F777" s="1282"/>
      <c r="G777" s="1281"/>
      <c r="H777" s="1281"/>
    </row>
    <row r="778" spans="1:8" x14ac:dyDescent="0.2">
      <c r="A778" s="1280" t="s">
        <v>4138</v>
      </c>
      <c r="B778" s="1281" t="s">
        <v>2623</v>
      </c>
      <c r="C778" s="1281">
        <v>0</v>
      </c>
      <c r="D778" s="1281" t="s">
        <v>2686</v>
      </c>
      <c r="E778" s="1280" t="s">
        <v>4139</v>
      </c>
      <c r="F778" s="1282"/>
      <c r="G778" s="1281"/>
      <c r="H778" s="1281"/>
    </row>
    <row r="779" spans="1:8" x14ac:dyDescent="0.2">
      <c r="A779" s="1280" t="s">
        <v>4140</v>
      </c>
      <c r="B779" s="1281"/>
      <c r="C779" s="1281">
        <v>0</v>
      </c>
      <c r="D779" s="1281" t="s">
        <v>2650</v>
      </c>
      <c r="E779" s="1280" t="s">
        <v>4141</v>
      </c>
      <c r="F779" s="1282"/>
      <c r="G779" s="1281"/>
      <c r="H779" s="1281"/>
    </row>
    <row r="780" spans="1:8" x14ac:dyDescent="0.2">
      <c r="A780" s="1280" t="s">
        <v>4142</v>
      </c>
      <c r="B780" s="1281" t="s">
        <v>2623</v>
      </c>
      <c r="C780" s="1281">
        <v>0</v>
      </c>
      <c r="D780" s="1281"/>
      <c r="E780" s="1280" t="s">
        <v>4143</v>
      </c>
      <c r="F780" s="1282"/>
      <c r="G780" s="1281"/>
      <c r="H780" s="1281">
        <v>1</v>
      </c>
    </row>
    <row r="781" spans="1:8" x14ac:dyDescent="0.2">
      <c r="A781" s="1283" t="s">
        <v>4144</v>
      </c>
      <c r="B781" s="1281" t="s">
        <v>2623</v>
      </c>
      <c r="C781" s="1281">
        <v>0</v>
      </c>
      <c r="D781" s="1281"/>
      <c r="E781" s="1280"/>
      <c r="F781" s="1282"/>
      <c r="G781" s="1281"/>
      <c r="H781" s="1281"/>
    </row>
    <row r="782" spans="1:8" x14ac:dyDescent="0.2">
      <c r="A782" s="1280" t="s">
        <v>4145</v>
      </c>
      <c r="B782" s="1281" t="s">
        <v>2623</v>
      </c>
      <c r="C782" s="1281">
        <v>9</v>
      </c>
      <c r="D782" s="1281" t="s">
        <v>2686</v>
      </c>
      <c r="E782" s="1280" t="s">
        <v>4146</v>
      </c>
      <c r="F782" s="1282"/>
      <c r="G782" s="1281"/>
      <c r="H782" s="1281"/>
    </row>
    <row r="783" spans="1:8" x14ac:dyDescent="0.2">
      <c r="A783" s="1280" t="s">
        <v>4147</v>
      </c>
      <c r="B783" s="1281" t="s">
        <v>2623</v>
      </c>
      <c r="C783" s="1281">
        <v>4</v>
      </c>
      <c r="D783" s="1281" t="s">
        <v>2686</v>
      </c>
      <c r="E783" s="1280" t="s">
        <v>4148</v>
      </c>
      <c r="F783" s="1282"/>
      <c r="G783" s="1281"/>
      <c r="H783" s="1281"/>
    </row>
    <row r="784" spans="1:8" x14ac:dyDescent="0.2">
      <c r="A784" s="1280" t="s">
        <v>4149</v>
      </c>
      <c r="B784" s="1281" t="s">
        <v>2623</v>
      </c>
      <c r="C784" s="1281">
        <v>7</v>
      </c>
      <c r="D784" s="1281" t="s">
        <v>2650</v>
      </c>
      <c r="E784" s="1280" t="s">
        <v>4150</v>
      </c>
      <c r="F784" s="1282"/>
      <c r="G784" s="1281"/>
      <c r="H784" s="1281"/>
    </row>
    <row r="785" spans="1:8" x14ac:dyDescent="0.2">
      <c r="A785" s="1280" t="s">
        <v>4151</v>
      </c>
      <c r="B785" s="1281" t="s">
        <v>2623</v>
      </c>
      <c r="C785" s="1281">
        <v>2</v>
      </c>
      <c r="D785" s="1281" t="s">
        <v>2645</v>
      </c>
      <c r="E785" s="1280" t="s">
        <v>4152</v>
      </c>
      <c r="F785" s="1282"/>
      <c r="G785" s="1281"/>
      <c r="H785" s="1281"/>
    </row>
    <row r="786" spans="1:8" x14ac:dyDescent="0.2">
      <c r="A786" s="1280" t="s">
        <v>4153</v>
      </c>
      <c r="B786" s="1281" t="s">
        <v>2623</v>
      </c>
      <c r="C786" s="1281">
        <v>0</v>
      </c>
      <c r="D786" s="1281" t="s">
        <v>2686</v>
      </c>
      <c r="E786" s="1280" t="s">
        <v>4154</v>
      </c>
      <c r="F786" s="1282"/>
      <c r="G786" s="1281"/>
      <c r="H786" s="1281">
        <v>1</v>
      </c>
    </row>
    <row r="787" spans="1:8" x14ac:dyDescent="0.2">
      <c r="A787" s="1280" t="s">
        <v>4155</v>
      </c>
      <c r="B787" s="1281" t="s">
        <v>2623</v>
      </c>
      <c r="C787" s="1281">
        <v>0</v>
      </c>
      <c r="D787" s="1281" t="s">
        <v>2667</v>
      </c>
      <c r="E787" s="1280" t="s">
        <v>4156</v>
      </c>
      <c r="F787" s="1282"/>
      <c r="G787" s="1281"/>
      <c r="H787" s="1281"/>
    </row>
    <row r="788" spans="1:8" x14ac:dyDescent="0.2">
      <c r="A788" s="1280" t="s">
        <v>4157</v>
      </c>
      <c r="B788" s="1281" t="s">
        <v>2623</v>
      </c>
      <c r="C788" s="1281">
        <v>0</v>
      </c>
      <c r="D788" s="1281" t="s">
        <v>2686</v>
      </c>
      <c r="E788" s="1280" t="s">
        <v>4158</v>
      </c>
      <c r="F788" s="1282"/>
      <c r="G788" s="1281"/>
      <c r="H788" s="1281"/>
    </row>
    <row r="789" spans="1:8" x14ac:dyDescent="0.2">
      <c r="A789" s="1280" t="s">
        <v>4159</v>
      </c>
      <c r="B789" s="1281"/>
      <c r="C789" s="1281">
        <v>0</v>
      </c>
      <c r="D789" s="1281" t="s">
        <v>2667</v>
      </c>
      <c r="E789" s="1280" t="s">
        <v>4160</v>
      </c>
      <c r="F789" s="1282"/>
      <c r="G789" s="1281"/>
      <c r="H789" s="1281"/>
    </row>
    <row r="790" spans="1:8" x14ac:dyDescent="0.2">
      <c r="A790" s="1280" t="s">
        <v>4161</v>
      </c>
      <c r="B790" s="1281"/>
      <c r="C790" s="1281">
        <v>0</v>
      </c>
      <c r="D790" s="1281" t="s">
        <v>2650</v>
      </c>
      <c r="E790" s="1280" t="s">
        <v>4162</v>
      </c>
      <c r="F790" s="1282" t="s">
        <v>2659</v>
      </c>
      <c r="G790" s="1281"/>
      <c r="H790" s="1281"/>
    </row>
    <row r="791" spans="1:8" x14ac:dyDescent="0.2">
      <c r="A791" s="1280" t="s">
        <v>4163</v>
      </c>
      <c r="B791" s="1281" t="s">
        <v>2623</v>
      </c>
      <c r="C791" s="1281">
        <v>0</v>
      </c>
      <c r="D791" s="1281" t="s">
        <v>2650</v>
      </c>
      <c r="E791" s="1280" t="s">
        <v>4164</v>
      </c>
      <c r="F791" s="1282" t="s">
        <v>2659</v>
      </c>
      <c r="G791" s="1281"/>
      <c r="H791" s="1281"/>
    </row>
    <row r="792" spans="1:8" x14ac:dyDescent="0.2">
      <c r="A792" s="1280" t="s">
        <v>4165</v>
      </c>
      <c r="B792" s="1281"/>
      <c r="C792" s="1281">
        <v>0</v>
      </c>
      <c r="D792" s="1281" t="s">
        <v>2686</v>
      </c>
      <c r="E792" s="1280" t="s">
        <v>4166</v>
      </c>
      <c r="F792" s="1282"/>
      <c r="G792" s="1281"/>
      <c r="H792" s="1281"/>
    </row>
    <row r="793" spans="1:8" x14ac:dyDescent="0.2">
      <c r="A793" s="1280" t="s">
        <v>4167</v>
      </c>
      <c r="B793" s="1281" t="s">
        <v>2623</v>
      </c>
      <c r="C793" s="1281">
        <v>7</v>
      </c>
      <c r="D793" s="1281" t="s">
        <v>2686</v>
      </c>
      <c r="E793" s="1280" t="s">
        <v>4168</v>
      </c>
      <c r="F793" s="1282"/>
      <c r="G793" s="1281"/>
      <c r="H793" s="1281"/>
    </row>
    <row r="794" spans="1:8" x14ac:dyDescent="0.2">
      <c r="A794" s="1280" t="s">
        <v>4169</v>
      </c>
      <c r="B794" s="1281" t="s">
        <v>2623</v>
      </c>
      <c r="C794" s="1281">
        <v>6</v>
      </c>
      <c r="D794" s="1281" t="s">
        <v>2667</v>
      </c>
      <c r="E794" s="1280" t="s">
        <v>4170</v>
      </c>
      <c r="F794" s="1282" t="s">
        <v>2659</v>
      </c>
      <c r="G794" s="1281" t="s">
        <v>2659</v>
      </c>
      <c r="H794" s="1281"/>
    </row>
    <row r="795" spans="1:8" x14ac:dyDescent="0.2">
      <c r="A795" s="1280" t="s">
        <v>4171</v>
      </c>
      <c r="B795" s="1281" t="s">
        <v>2623</v>
      </c>
      <c r="C795" s="1281">
        <v>1</v>
      </c>
      <c r="D795" s="1281" t="s">
        <v>2645</v>
      </c>
      <c r="E795" s="1280" t="s">
        <v>4172</v>
      </c>
      <c r="F795" s="1282" t="s">
        <v>2659</v>
      </c>
      <c r="G795" s="1281"/>
      <c r="H795" s="1281"/>
    </row>
    <row r="796" spans="1:8" x14ac:dyDescent="0.2">
      <c r="A796" s="1280" t="s">
        <v>4173</v>
      </c>
      <c r="B796" s="1281" t="s">
        <v>2623</v>
      </c>
      <c r="C796" s="1281">
        <v>9</v>
      </c>
      <c r="D796" s="1281" t="s">
        <v>2653</v>
      </c>
      <c r="E796" s="1280" t="s">
        <v>4174</v>
      </c>
      <c r="F796" s="1282"/>
      <c r="G796" s="1281"/>
      <c r="H796" s="1281"/>
    </row>
    <row r="797" spans="1:8" x14ac:dyDescent="0.2">
      <c r="A797" s="1280" t="s">
        <v>4175</v>
      </c>
      <c r="B797" s="1281" t="s">
        <v>2623</v>
      </c>
      <c r="C797" s="1281">
        <v>0</v>
      </c>
      <c r="D797" s="1281" t="s">
        <v>2667</v>
      </c>
      <c r="E797" s="1280" t="s">
        <v>4176</v>
      </c>
      <c r="F797" s="1282"/>
      <c r="G797" s="1281"/>
      <c r="H797" s="1281"/>
    </row>
    <row r="798" spans="1:8" x14ac:dyDescent="0.2">
      <c r="A798" s="1280" t="s">
        <v>4177</v>
      </c>
      <c r="B798" s="1281" t="s">
        <v>2623</v>
      </c>
      <c r="C798" s="1281">
        <v>4</v>
      </c>
      <c r="D798" s="1281" t="s">
        <v>2653</v>
      </c>
      <c r="E798" s="1280" t="s">
        <v>4178</v>
      </c>
      <c r="F798" s="1282"/>
      <c r="G798" s="1281"/>
      <c r="H798" s="1281"/>
    </row>
    <row r="799" spans="1:8" x14ac:dyDescent="0.2">
      <c r="A799" s="1280" t="s">
        <v>4179</v>
      </c>
      <c r="B799" s="1281" t="s">
        <v>2623</v>
      </c>
      <c r="C799" s="1281">
        <v>4</v>
      </c>
      <c r="D799" s="1281" t="s">
        <v>2653</v>
      </c>
      <c r="E799" s="1280" t="s">
        <v>4180</v>
      </c>
      <c r="F799" s="1282" t="s">
        <v>2659</v>
      </c>
      <c r="G799" s="1281" t="s">
        <v>2659</v>
      </c>
      <c r="H799" s="1281"/>
    </row>
    <row r="800" spans="1:8" x14ac:dyDescent="0.2">
      <c r="A800" s="1280" t="s">
        <v>4181</v>
      </c>
      <c r="B800" s="1281" t="s">
        <v>2623</v>
      </c>
      <c r="C800" s="1281">
        <v>11</v>
      </c>
      <c r="D800" s="1281" t="s">
        <v>2653</v>
      </c>
      <c r="E800" s="1280" t="s">
        <v>4182</v>
      </c>
      <c r="F800" s="1282"/>
      <c r="G800" s="1281"/>
      <c r="H800" s="1281"/>
    </row>
    <row r="801" spans="1:8" x14ac:dyDescent="0.2">
      <c r="A801" s="1280" t="s">
        <v>4183</v>
      </c>
      <c r="B801" s="1281" t="s">
        <v>2623</v>
      </c>
      <c r="C801" s="1281">
        <v>0</v>
      </c>
      <c r="D801" s="1281" t="s">
        <v>2653</v>
      </c>
      <c r="E801" s="1280" t="s">
        <v>4184</v>
      </c>
      <c r="F801" s="1282"/>
      <c r="G801" s="1281"/>
      <c r="H801" s="1281">
        <v>1</v>
      </c>
    </row>
    <row r="802" spans="1:8" x14ac:dyDescent="0.2">
      <c r="A802" s="1280" t="s">
        <v>4185</v>
      </c>
      <c r="B802" s="1281" t="s">
        <v>2623</v>
      </c>
      <c r="C802" s="1281">
        <v>4</v>
      </c>
      <c r="D802" s="1281" t="s">
        <v>2645</v>
      </c>
      <c r="E802" s="1280" t="s">
        <v>4186</v>
      </c>
      <c r="F802" s="1282"/>
      <c r="G802" s="1281"/>
      <c r="H802" s="1281"/>
    </row>
    <row r="803" spans="1:8" x14ac:dyDescent="0.2">
      <c r="A803" s="1280" t="s">
        <v>4187</v>
      </c>
      <c r="B803" s="1281" t="s">
        <v>2623</v>
      </c>
      <c r="C803" s="1281">
        <v>0</v>
      </c>
      <c r="D803" s="1281" t="s">
        <v>2667</v>
      </c>
      <c r="E803" s="1280" t="s">
        <v>4188</v>
      </c>
      <c r="F803" s="1282"/>
      <c r="G803" s="1281"/>
      <c r="H803" s="1281"/>
    </row>
    <row r="804" spans="1:8" x14ac:dyDescent="0.2">
      <c r="A804" s="1280" t="s">
        <v>4189</v>
      </c>
      <c r="B804" s="1281" t="s">
        <v>2623</v>
      </c>
      <c r="C804" s="1281">
        <v>2</v>
      </c>
      <c r="D804" s="1281" t="s">
        <v>2650</v>
      </c>
      <c r="E804" s="1280" t="s">
        <v>4190</v>
      </c>
      <c r="F804" s="1282"/>
      <c r="G804" s="1281"/>
      <c r="H804" s="1281">
        <v>1</v>
      </c>
    </row>
    <row r="805" spans="1:8" x14ac:dyDescent="0.2">
      <c r="A805" s="1280" t="s">
        <v>4191</v>
      </c>
      <c r="B805" s="1281" t="s">
        <v>2623</v>
      </c>
      <c r="C805" s="1281">
        <v>0</v>
      </c>
      <c r="D805" s="1281" t="s">
        <v>2653</v>
      </c>
      <c r="E805" s="1280" t="s">
        <v>4192</v>
      </c>
      <c r="F805" s="1282"/>
      <c r="G805" s="1281"/>
      <c r="H805" s="1281"/>
    </row>
    <row r="806" spans="1:8" x14ac:dyDescent="0.2">
      <c r="A806" s="1280" t="s">
        <v>4193</v>
      </c>
      <c r="B806" s="1281"/>
      <c r="C806" s="1281">
        <v>0</v>
      </c>
      <c r="D806" s="1281" t="s">
        <v>2686</v>
      </c>
      <c r="E806" s="1280" t="s">
        <v>4194</v>
      </c>
      <c r="F806" s="1282"/>
      <c r="G806" s="1281"/>
      <c r="H806" s="1281"/>
    </row>
    <row r="807" spans="1:8" x14ac:dyDescent="0.2">
      <c r="A807" s="1280" t="s">
        <v>4195</v>
      </c>
      <c r="B807" s="1281" t="s">
        <v>2623</v>
      </c>
      <c r="C807" s="1281">
        <v>16</v>
      </c>
      <c r="D807" s="1281" t="s">
        <v>2653</v>
      </c>
      <c r="E807" s="1280" t="s">
        <v>4196</v>
      </c>
      <c r="F807" s="1282"/>
      <c r="G807" s="1281"/>
      <c r="H807" s="1281"/>
    </row>
    <row r="808" spans="1:8" x14ac:dyDescent="0.2">
      <c r="A808" s="1280" t="s">
        <v>4197</v>
      </c>
      <c r="B808" s="1281"/>
      <c r="C808" s="1281">
        <v>0</v>
      </c>
      <c r="D808" s="1281" t="s">
        <v>2653</v>
      </c>
      <c r="E808" s="1280"/>
      <c r="F808" s="1282"/>
      <c r="G808" s="1281"/>
      <c r="H808" s="1281"/>
    </row>
    <row r="809" spans="1:8" x14ac:dyDescent="0.2">
      <c r="A809" s="1280" t="s">
        <v>4198</v>
      </c>
      <c r="B809" s="1281"/>
      <c r="C809" s="1281">
        <v>0</v>
      </c>
      <c r="D809" s="1281" t="s">
        <v>2667</v>
      </c>
      <c r="E809" s="1280" t="s">
        <v>4199</v>
      </c>
      <c r="F809" s="1282"/>
      <c r="G809" s="1281"/>
      <c r="H809" s="1281"/>
    </row>
    <row r="810" spans="1:8" x14ac:dyDescent="0.2">
      <c r="A810" s="1280" t="s">
        <v>4200</v>
      </c>
      <c r="B810" s="1281" t="s">
        <v>2623</v>
      </c>
      <c r="C810" s="1281">
        <v>1</v>
      </c>
      <c r="D810" s="1281" t="s">
        <v>2667</v>
      </c>
      <c r="E810" s="1280" t="s">
        <v>4201</v>
      </c>
      <c r="F810" s="1282"/>
      <c r="G810" s="1281"/>
      <c r="H810" s="1281"/>
    </row>
    <row r="811" spans="1:8" x14ac:dyDescent="0.2">
      <c r="A811" s="1280" t="s">
        <v>4202</v>
      </c>
      <c r="B811" s="1281" t="s">
        <v>2623</v>
      </c>
      <c r="C811" s="1281">
        <v>12</v>
      </c>
      <c r="D811" s="1281" t="s">
        <v>2667</v>
      </c>
      <c r="E811" s="1280" t="s">
        <v>4203</v>
      </c>
      <c r="F811" s="1282"/>
      <c r="G811" s="1281"/>
      <c r="H811" s="1281"/>
    </row>
    <row r="812" spans="1:8" x14ac:dyDescent="0.2">
      <c r="A812" s="1280" t="s">
        <v>4204</v>
      </c>
      <c r="B812" s="1281" t="s">
        <v>2623</v>
      </c>
      <c r="C812" s="1281">
        <v>19</v>
      </c>
      <c r="D812" s="1281" t="s">
        <v>2650</v>
      </c>
      <c r="E812" s="1280" t="s">
        <v>4205</v>
      </c>
      <c r="F812" s="1282"/>
      <c r="G812" s="1281"/>
      <c r="H812" s="1281">
        <v>2</v>
      </c>
    </row>
    <row r="813" spans="1:8" x14ac:dyDescent="0.2">
      <c r="A813" s="1280" t="s">
        <v>4206</v>
      </c>
      <c r="B813" s="1281" t="s">
        <v>2623</v>
      </c>
      <c r="C813" s="1281">
        <v>2</v>
      </c>
      <c r="D813" s="1281" t="s">
        <v>2650</v>
      </c>
      <c r="E813" s="1280" t="s">
        <v>4207</v>
      </c>
      <c r="F813" s="1282"/>
      <c r="G813" s="1281"/>
      <c r="H813" s="1281">
        <v>1</v>
      </c>
    </row>
    <row r="814" spans="1:8" x14ac:dyDescent="0.2">
      <c r="A814" s="1280" t="s">
        <v>4208</v>
      </c>
      <c r="B814" s="1281" t="s">
        <v>2623</v>
      </c>
      <c r="C814" s="1281">
        <v>0</v>
      </c>
      <c r="D814" s="1281" t="s">
        <v>2686</v>
      </c>
      <c r="E814" s="1280" t="s">
        <v>4209</v>
      </c>
      <c r="F814" s="1282" t="s">
        <v>2659</v>
      </c>
      <c r="G814" s="1281"/>
      <c r="H814" s="1281"/>
    </row>
    <row r="815" spans="1:8" x14ac:dyDescent="0.2">
      <c r="A815" s="1283" t="s">
        <v>4210</v>
      </c>
      <c r="B815" s="1281" t="s">
        <v>2623</v>
      </c>
      <c r="C815" s="1281">
        <v>0</v>
      </c>
      <c r="D815" s="1281"/>
      <c r="E815" s="1280"/>
      <c r="F815" s="1282"/>
      <c r="G815" s="1281"/>
      <c r="H815" s="1281"/>
    </row>
    <row r="816" spans="1:8" x14ac:dyDescent="0.2">
      <c r="A816" s="1280" t="s">
        <v>4211</v>
      </c>
      <c r="B816" s="1281"/>
      <c r="C816" s="1281">
        <v>0</v>
      </c>
      <c r="D816" s="1281" t="s">
        <v>2686</v>
      </c>
      <c r="E816" s="1280" t="s">
        <v>4212</v>
      </c>
      <c r="F816" s="1282"/>
      <c r="G816" s="1281"/>
      <c r="H816" s="1281">
        <v>1</v>
      </c>
    </row>
    <row r="817" spans="1:8" x14ac:dyDescent="0.2">
      <c r="A817" s="1280" t="s">
        <v>4213</v>
      </c>
      <c r="B817" s="1281" t="s">
        <v>2623</v>
      </c>
      <c r="C817" s="1281">
        <v>0</v>
      </c>
      <c r="D817" s="1281" t="s">
        <v>2686</v>
      </c>
      <c r="E817" s="1280" t="s">
        <v>4214</v>
      </c>
      <c r="F817" s="1282"/>
      <c r="G817" s="1281"/>
      <c r="H817" s="1281"/>
    </row>
    <row r="818" spans="1:8" x14ac:dyDescent="0.2">
      <c r="A818" s="1280" t="s">
        <v>4215</v>
      </c>
      <c r="B818" s="1281" t="s">
        <v>2623</v>
      </c>
      <c r="C818" s="1281">
        <v>0</v>
      </c>
      <c r="D818" s="1281" t="s">
        <v>2653</v>
      </c>
      <c r="E818" s="1280" t="s">
        <v>4216</v>
      </c>
      <c r="F818" s="1282"/>
      <c r="G818" s="1281"/>
      <c r="H818" s="1281"/>
    </row>
    <row r="819" spans="1:8" x14ac:dyDescent="0.2">
      <c r="A819" s="1280" t="s">
        <v>4217</v>
      </c>
      <c r="B819" s="1281" t="s">
        <v>2623</v>
      </c>
      <c r="C819" s="1281">
        <v>0</v>
      </c>
      <c r="D819" s="1281" t="s">
        <v>2653</v>
      </c>
      <c r="E819" s="1280" t="s">
        <v>4218</v>
      </c>
      <c r="F819" s="1282" t="s">
        <v>2659</v>
      </c>
      <c r="G819" s="1281"/>
      <c r="H819" s="1281"/>
    </row>
    <row r="820" spans="1:8" x14ac:dyDescent="0.2">
      <c r="A820" s="1280" t="s">
        <v>4219</v>
      </c>
      <c r="B820" s="1281" t="s">
        <v>2623</v>
      </c>
      <c r="C820" s="1281">
        <v>18</v>
      </c>
      <c r="D820" s="1281" t="s">
        <v>2686</v>
      </c>
      <c r="E820" s="1280" t="s">
        <v>4220</v>
      </c>
      <c r="F820" s="1282"/>
      <c r="G820" s="1281"/>
      <c r="H820" s="1281"/>
    </row>
    <row r="821" spans="1:8" x14ac:dyDescent="0.2">
      <c r="A821" s="1280" t="s">
        <v>4221</v>
      </c>
      <c r="B821" s="1281" t="s">
        <v>2623</v>
      </c>
      <c r="C821" s="1281">
        <v>5</v>
      </c>
      <c r="D821" s="1281" t="s">
        <v>2650</v>
      </c>
      <c r="E821" s="1280" t="s">
        <v>4222</v>
      </c>
      <c r="F821" s="1282" t="s">
        <v>2659</v>
      </c>
      <c r="G821" s="1281"/>
      <c r="H821" s="1281">
        <v>2</v>
      </c>
    </row>
    <row r="822" spans="1:8" x14ac:dyDescent="0.2">
      <c r="A822" s="1280" t="s">
        <v>4223</v>
      </c>
      <c r="B822" s="1281" t="s">
        <v>2623</v>
      </c>
      <c r="C822" s="1281">
        <v>17</v>
      </c>
      <c r="D822" s="1281" t="s">
        <v>2686</v>
      </c>
      <c r="E822" s="1280" t="s">
        <v>4224</v>
      </c>
      <c r="F822" s="1282"/>
      <c r="G822" s="1281"/>
      <c r="H822" s="1281"/>
    </row>
    <row r="823" spans="1:8" x14ac:dyDescent="0.2">
      <c r="A823" s="1280" t="s">
        <v>4225</v>
      </c>
      <c r="B823" s="1281" t="s">
        <v>2623</v>
      </c>
      <c r="C823" s="1281">
        <v>0</v>
      </c>
      <c r="D823" s="1281" t="s">
        <v>2667</v>
      </c>
      <c r="E823" s="1280" t="s">
        <v>4226</v>
      </c>
      <c r="F823" s="1282"/>
      <c r="G823" s="1281"/>
      <c r="H823" s="1281">
        <v>1</v>
      </c>
    </row>
    <row r="824" spans="1:8" x14ac:dyDescent="0.2">
      <c r="A824" s="1280" t="s">
        <v>4227</v>
      </c>
      <c r="B824" s="1281"/>
      <c r="C824" s="1281">
        <v>0</v>
      </c>
      <c r="D824" s="1281" t="s">
        <v>2667</v>
      </c>
      <c r="E824" s="1280"/>
      <c r="F824" s="1282"/>
      <c r="G824" s="1281"/>
      <c r="H824" s="1281"/>
    </row>
    <row r="825" spans="1:8" x14ac:dyDescent="0.2">
      <c r="A825" s="1280" t="s">
        <v>4228</v>
      </c>
      <c r="B825" s="1281" t="s">
        <v>2623</v>
      </c>
      <c r="C825" s="1281">
        <v>13</v>
      </c>
      <c r="D825" s="1281" t="s">
        <v>2686</v>
      </c>
      <c r="E825" s="1280" t="s">
        <v>4229</v>
      </c>
      <c r="F825" s="1282"/>
      <c r="G825" s="1281"/>
      <c r="H825" s="1281"/>
    </row>
    <row r="826" spans="1:8" x14ac:dyDescent="0.2">
      <c r="A826" s="1280" t="s">
        <v>4230</v>
      </c>
      <c r="B826" s="1281" t="s">
        <v>2623</v>
      </c>
      <c r="C826" s="1281">
        <v>1</v>
      </c>
      <c r="D826" s="1281" t="s">
        <v>2667</v>
      </c>
      <c r="E826" s="1280" t="s">
        <v>4231</v>
      </c>
      <c r="F826" s="1282"/>
      <c r="G826" s="1281"/>
      <c r="H826" s="1281"/>
    </row>
    <row r="827" spans="1:8" x14ac:dyDescent="0.2">
      <c r="A827" s="1280" t="s">
        <v>4232</v>
      </c>
      <c r="B827" s="1281" t="s">
        <v>2623</v>
      </c>
      <c r="C827" s="1281">
        <v>1</v>
      </c>
      <c r="D827" s="1281" t="s">
        <v>2686</v>
      </c>
      <c r="E827" s="1280"/>
      <c r="F827" s="1282"/>
      <c r="G827" s="1281"/>
      <c r="H827" s="1281"/>
    </row>
    <row r="828" spans="1:8" x14ac:dyDescent="0.2">
      <c r="A828" s="1280" t="s">
        <v>4233</v>
      </c>
      <c r="B828" s="1281" t="s">
        <v>2623</v>
      </c>
      <c r="C828" s="1281">
        <v>0</v>
      </c>
      <c r="D828" s="1281" t="s">
        <v>2686</v>
      </c>
      <c r="E828" s="1280" t="s">
        <v>4234</v>
      </c>
      <c r="F828" s="1282"/>
      <c r="G828" s="1281"/>
      <c r="H828" s="1281"/>
    </row>
    <row r="829" spans="1:8" x14ac:dyDescent="0.2">
      <c r="A829" s="1280" t="s">
        <v>4235</v>
      </c>
      <c r="B829" s="1281" t="s">
        <v>2623</v>
      </c>
      <c r="C829" s="1281">
        <v>2</v>
      </c>
      <c r="D829" s="1281" t="s">
        <v>2650</v>
      </c>
      <c r="E829" s="1280" t="s">
        <v>4236</v>
      </c>
      <c r="F829" s="1282"/>
      <c r="G829" s="1281"/>
      <c r="H829" s="1281">
        <v>1</v>
      </c>
    </row>
    <row r="830" spans="1:8" x14ac:dyDescent="0.2">
      <c r="A830" s="1280" t="s">
        <v>4237</v>
      </c>
      <c r="B830" s="1281" t="s">
        <v>2623</v>
      </c>
      <c r="C830" s="1281">
        <v>16</v>
      </c>
      <c r="D830" s="1281" t="s">
        <v>2686</v>
      </c>
      <c r="E830" s="1280" t="s">
        <v>4238</v>
      </c>
      <c r="F830" s="1282"/>
      <c r="G830" s="1281"/>
      <c r="H830" s="1281"/>
    </row>
    <row r="831" spans="1:8" x14ac:dyDescent="0.2">
      <c r="A831" s="1280" t="s">
        <v>4239</v>
      </c>
      <c r="B831" s="1281"/>
      <c r="C831" s="1281">
        <v>0</v>
      </c>
      <c r="D831" s="1281" t="s">
        <v>2686</v>
      </c>
      <c r="E831" s="1280" t="s">
        <v>4240</v>
      </c>
      <c r="F831" s="1282"/>
      <c r="G831" s="1281"/>
      <c r="H831" s="1281">
        <v>2</v>
      </c>
    </row>
    <row r="832" spans="1:8" x14ac:dyDescent="0.2">
      <c r="A832" s="1280" t="s">
        <v>4241</v>
      </c>
      <c r="B832" s="1281"/>
      <c r="C832" s="1281">
        <v>0</v>
      </c>
      <c r="D832" s="1281" t="s">
        <v>2645</v>
      </c>
      <c r="E832" s="1280" t="s">
        <v>4242</v>
      </c>
      <c r="F832" s="1282"/>
      <c r="G832" s="1281"/>
      <c r="H832" s="1281">
        <v>1</v>
      </c>
    </row>
    <row r="833" spans="1:8" x14ac:dyDescent="0.2">
      <c r="A833" s="1280" t="s">
        <v>4243</v>
      </c>
      <c r="B833" s="1281"/>
      <c r="C833" s="1281">
        <v>0</v>
      </c>
      <c r="D833" s="1281" t="s">
        <v>2653</v>
      </c>
      <c r="E833" s="1280" t="s">
        <v>4244</v>
      </c>
      <c r="F833" s="1282"/>
      <c r="G833" s="1281"/>
      <c r="H833" s="1281"/>
    </row>
    <row r="834" spans="1:8" x14ac:dyDescent="0.2">
      <c r="A834" s="1280" t="s">
        <v>4245</v>
      </c>
      <c r="B834" s="1281" t="s">
        <v>2623</v>
      </c>
      <c r="C834" s="1281">
        <v>14</v>
      </c>
      <c r="D834" s="1281" t="s">
        <v>2653</v>
      </c>
      <c r="E834" s="1280" t="s">
        <v>4246</v>
      </c>
      <c r="F834" s="1282"/>
      <c r="G834" s="1281"/>
      <c r="H834" s="1281"/>
    </row>
    <row r="835" spans="1:8" x14ac:dyDescent="0.2">
      <c r="A835" s="1280" t="s">
        <v>4247</v>
      </c>
      <c r="B835" s="1281" t="s">
        <v>2623</v>
      </c>
      <c r="C835" s="1281">
        <v>5</v>
      </c>
      <c r="D835" s="1281" t="s">
        <v>2650</v>
      </c>
      <c r="E835" s="1280" t="s">
        <v>4248</v>
      </c>
      <c r="F835" s="1282" t="s">
        <v>2659</v>
      </c>
      <c r="G835" s="1281" t="s">
        <v>2659</v>
      </c>
      <c r="H835" s="1281"/>
    </row>
    <row r="836" spans="1:8" x14ac:dyDescent="0.2">
      <c r="A836" s="1280" t="s">
        <v>4249</v>
      </c>
      <c r="B836" s="1281" t="s">
        <v>2623</v>
      </c>
      <c r="C836" s="1281">
        <v>3</v>
      </c>
      <c r="D836" s="1281" t="s">
        <v>2650</v>
      </c>
      <c r="E836" s="1280" t="s">
        <v>4250</v>
      </c>
      <c r="F836" s="1282"/>
      <c r="G836" s="1281"/>
      <c r="H836" s="1281"/>
    </row>
    <row r="837" spans="1:8" x14ac:dyDescent="0.2">
      <c r="A837" s="1280" t="s">
        <v>4251</v>
      </c>
      <c r="B837" s="1281" t="s">
        <v>2623</v>
      </c>
      <c r="C837" s="1281">
        <v>7</v>
      </c>
      <c r="D837" s="1281" t="s">
        <v>2650</v>
      </c>
      <c r="E837" s="1280" t="s">
        <v>4252</v>
      </c>
      <c r="F837" s="1282" t="s">
        <v>2659</v>
      </c>
      <c r="G837" s="1281"/>
      <c r="H837" s="1281"/>
    </row>
    <row r="838" spans="1:8" x14ac:dyDescent="0.2">
      <c r="A838" s="1280" t="s">
        <v>4253</v>
      </c>
      <c r="B838" s="1281" t="s">
        <v>2623</v>
      </c>
      <c r="C838" s="1281">
        <v>12</v>
      </c>
      <c r="D838" s="1281" t="s">
        <v>2650</v>
      </c>
      <c r="E838" s="1280" t="s">
        <v>4254</v>
      </c>
      <c r="F838" s="1282"/>
      <c r="G838" s="1281"/>
      <c r="H838" s="1281"/>
    </row>
    <row r="839" spans="1:8" x14ac:dyDescent="0.2">
      <c r="A839" s="1280" t="s">
        <v>4255</v>
      </c>
      <c r="B839" s="1281"/>
      <c r="C839" s="1281">
        <v>0</v>
      </c>
      <c r="D839" s="1281" t="s">
        <v>2650</v>
      </c>
      <c r="E839" s="1280"/>
      <c r="F839" s="1282"/>
      <c r="G839" s="1281"/>
      <c r="H839" s="1281"/>
    </row>
    <row r="840" spans="1:8" x14ac:dyDescent="0.2">
      <c r="A840" s="1280" t="s">
        <v>4256</v>
      </c>
      <c r="B840" s="1281" t="s">
        <v>2623</v>
      </c>
      <c r="C840" s="1281">
        <v>2</v>
      </c>
      <c r="D840" s="1281" t="s">
        <v>2650</v>
      </c>
      <c r="E840" s="1280" t="s">
        <v>4257</v>
      </c>
      <c r="F840" s="1282"/>
      <c r="G840" s="1281"/>
      <c r="H840" s="1281">
        <v>1</v>
      </c>
    </row>
    <row r="841" spans="1:8" x14ac:dyDescent="0.2">
      <c r="A841" s="1280" t="s">
        <v>4258</v>
      </c>
      <c r="B841" s="1281" t="s">
        <v>2623</v>
      </c>
      <c r="C841" s="1281">
        <v>1</v>
      </c>
      <c r="D841" s="1281" t="s">
        <v>2645</v>
      </c>
      <c r="E841" s="1280" t="s">
        <v>4259</v>
      </c>
      <c r="F841" s="1282"/>
      <c r="G841" s="1281"/>
      <c r="H841" s="1281">
        <v>1</v>
      </c>
    </row>
    <row r="842" spans="1:8" x14ac:dyDescent="0.2">
      <c r="A842" s="1280" t="s">
        <v>4260</v>
      </c>
      <c r="B842" s="1281" t="s">
        <v>2623</v>
      </c>
      <c r="C842" s="1281">
        <v>1</v>
      </c>
      <c r="D842" s="1281" t="s">
        <v>2650</v>
      </c>
      <c r="E842" s="1280" t="s">
        <v>4261</v>
      </c>
      <c r="F842" s="1282"/>
      <c r="G842" s="1281"/>
      <c r="H842" s="1281"/>
    </row>
    <row r="843" spans="1:8" x14ac:dyDescent="0.2">
      <c r="A843" s="1280" t="s">
        <v>4262</v>
      </c>
      <c r="B843" s="1281" t="s">
        <v>2623</v>
      </c>
      <c r="C843" s="1281">
        <v>1</v>
      </c>
      <c r="D843" s="1281" t="s">
        <v>2650</v>
      </c>
      <c r="E843" s="1280" t="s">
        <v>4263</v>
      </c>
      <c r="F843" s="1282"/>
      <c r="G843" s="1281"/>
      <c r="H843" s="1281"/>
    </row>
    <row r="844" spans="1:8" x14ac:dyDescent="0.2">
      <c r="A844" s="1280" t="s">
        <v>4264</v>
      </c>
      <c r="B844" s="1281" t="s">
        <v>2623</v>
      </c>
      <c r="C844" s="1281">
        <v>22</v>
      </c>
      <c r="D844" s="1281" t="s">
        <v>2650</v>
      </c>
      <c r="E844" s="1280" t="s">
        <v>4265</v>
      </c>
      <c r="F844" s="1282"/>
      <c r="G844" s="1281"/>
      <c r="H844" s="1281"/>
    </row>
    <row r="845" spans="1:8" x14ac:dyDescent="0.2">
      <c r="A845" s="1280" t="s">
        <v>4266</v>
      </c>
      <c r="B845" s="1281" t="s">
        <v>2623</v>
      </c>
      <c r="C845" s="1281">
        <v>4</v>
      </c>
      <c r="D845" s="1281" t="s">
        <v>2645</v>
      </c>
      <c r="E845" s="1280" t="s">
        <v>4267</v>
      </c>
      <c r="F845" s="1282"/>
      <c r="G845" s="1281"/>
      <c r="H845" s="1281"/>
    </row>
    <row r="846" spans="1:8" x14ac:dyDescent="0.2">
      <c r="A846" s="1280" t="s">
        <v>4268</v>
      </c>
      <c r="B846" s="1281" t="s">
        <v>2623</v>
      </c>
      <c r="C846" s="1281">
        <v>9</v>
      </c>
      <c r="D846" s="1281" t="s">
        <v>2653</v>
      </c>
      <c r="E846" s="1280" t="s">
        <v>4269</v>
      </c>
      <c r="F846" s="1282" t="s">
        <v>2659</v>
      </c>
      <c r="G846" s="1281"/>
      <c r="H846" s="1281"/>
    </row>
    <row r="847" spans="1:8" x14ac:dyDescent="0.2">
      <c r="A847" s="1280" t="s">
        <v>4270</v>
      </c>
      <c r="B847" s="1281" t="s">
        <v>2623</v>
      </c>
      <c r="C847" s="1281">
        <v>0</v>
      </c>
      <c r="D847" s="1281" t="s">
        <v>2650</v>
      </c>
      <c r="E847" s="1280" t="s">
        <v>4271</v>
      </c>
      <c r="F847" s="1282"/>
      <c r="G847" s="1281"/>
      <c r="H847" s="1281"/>
    </row>
    <row r="848" spans="1:8" x14ac:dyDescent="0.2">
      <c r="A848" s="1280" t="s">
        <v>4272</v>
      </c>
      <c r="B848" s="1281" t="s">
        <v>2623</v>
      </c>
      <c r="C848" s="1281">
        <v>0</v>
      </c>
      <c r="D848" s="1281" t="s">
        <v>2653</v>
      </c>
      <c r="E848" s="1280" t="s">
        <v>4273</v>
      </c>
      <c r="F848" s="1282"/>
      <c r="G848" s="1281"/>
      <c r="H848" s="1281">
        <v>2</v>
      </c>
    </row>
    <row r="849" spans="1:8" x14ac:dyDescent="0.2">
      <c r="A849" s="1280" t="s">
        <v>4274</v>
      </c>
      <c r="B849" s="1281" t="s">
        <v>2623</v>
      </c>
      <c r="C849" s="1281">
        <v>9</v>
      </c>
      <c r="D849" s="1281" t="s">
        <v>2650</v>
      </c>
      <c r="E849" s="1280" t="s">
        <v>4275</v>
      </c>
      <c r="F849" s="1282"/>
      <c r="G849" s="1281"/>
      <c r="H849" s="1281"/>
    </row>
    <row r="850" spans="1:8" x14ac:dyDescent="0.2">
      <c r="A850" s="1280" t="s">
        <v>4276</v>
      </c>
      <c r="B850" s="1281" t="s">
        <v>2623</v>
      </c>
      <c r="C850" s="1281">
        <v>2</v>
      </c>
      <c r="D850" s="1281" t="s">
        <v>2650</v>
      </c>
      <c r="E850" s="1280" t="s">
        <v>4277</v>
      </c>
      <c r="F850" s="1282" t="s">
        <v>2659</v>
      </c>
      <c r="G850" s="1281"/>
      <c r="H850" s="1281"/>
    </row>
    <row r="851" spans="1:8" x14ac:dyDescent="0.2">
      <c r="A851" s="1280" t="s">
        <v>4278</v>
      </c>
      <c r="B851" s="1281" t="s">
        <v>2623</v>
      </c>
      <c r="C851" s="1281">
        <v>4</v>
      </c>
      <c r="D851" s="1281" t="s">
        <v>2667</v>
      </c>
      <c r="E851" s="1280" t="s">
        <v>4279</v>
      </c>
      <c r="F851" s="1282"/>
      <c r="G851" s="1281"/>
      <c r="H851" s="1281"/>
    </row>
    <row r="852" spans="1:8" x14ac:dyDescent="0.2">
      <c r="A852" s="1280" t="s">
        <v>4280</v>
      </c>
      <c r="B852" s="1281" t="s">
        <v>2623</v>
      </c>
      <c r="C852" s="1281">
        <v>0</v>
      </c>
      <c r="D852" s="1281" t="s">
        <v>2686</v>
      </c>
      <c r="E852" s="1280" t="s">
        <v>4281</v>
      </c>
      <c r="F852" s="1282"/>
      <c r="G852" s="1281"/>
      <c r="H852" s="1281"/>
    </row>
    <row r="853" spans="1:8" x14ac:dyDescent="0.2">
      <c r="A853" s="1280" t="s">
        <v>4282</v>
      </c>
      <c r="B853" s="1281" t="s">
        <v>2623</v>
      </c>
      <c r="C853" s="1281">
        <v>4</v>
      </c>
      <c r="D853" s="1281" t="s">
        <v>2650</v>
      </c>
      <c r="E853" s="1280" t="s">
        <v>4283</v>
      </c>
      <c r="F853" s="1282"/>
      <c r="G853" s="1281"/>
      <c r="H853" s="1281"/>
    </row>
    <row r="854" spans="1:8" x14ac:dyDescent="0.2">
      <c r="A854" s="1280" t="s">
        <v>4284</v>
      </c>
      <c r="B854" s="1281" t="s">
        <v>2623</v>
      </c>
      <c r="C854" s="1281">
        <v>0</v>
      </c>
      <c r="D854" s="1281" t="s">
        <v>2650</v>
      </c>
      <c r="E854" s="1280" t="s">
        <v>4285</v>
      </c>
      <c r="F854" s="1282"/>
      <c r="G854" s="1281"/>
      <c r="H854" s="1281"/>
    </row>
    <row r="855" spans="1:8" x14ac:dyDescent="0.2">
      <c r="A855" s="1280" t="s">
        <v>4286</v>
      </c>
      <c r="B855" s="1281" t="s">
        <v>2623</v>
      </c>
      <c r="C855" s="1281">
        <v>2</v>
      </c>
      <c r="D855" s="1281" t="s">
        <v>2667</v>
      </c>
      <c r="E855" s="1280"/>
      <c r="F855" s="1282"/>
      <c r="G855" s="1281"/>
      <c r="H855" s="1281"/>
    </row>
    <row r="856" spans="1:8" x14ac:dyDescent="0.2">
      <c r="A856" s="1280" t="s">
        <v>4287</v>
      </c>
      <c r="B856" s="1281" t="s">
        <v>2623</v>
      </c>
      <c r="C856" s="1281">
        <v>0</v>
      </c>
      <c r="D856" s="1281"/>
      <c r="E856" s="1280" t="s">
        <v>4288</v>
      </c>
      <c r="F856" s="1282"/>
      <c r="G856" s="1281"/>
      <c r="H856" s="1281"/>
    </row>
    <row r="857" spans="1:8" x14ac:dyDescent="0.2">
      <c r="A857" s="1280" t="s">
        <v>4289</v>
      </c>
      <c r="B857" s="1281" t="s">
        <v>2623</v>
      </c>
      <c r="C857" s="1281">
        <v>2</v>
      </c>
      <c r="D857" s="1281" t="s">
        <v>2650</v>
      </c>
      <c r="E857" s="1280" t="s">
        <v>4290</v>
      </c>
      <c r="F857" s="1282" t="s">
        <v>2659</v>
      </c>
      <c r="G857" s="1281"/>
      <c r="H857" s="1281"/>
    </row>
    <row r="858" spans="1:8" x14ac:dyDescent="0.2">
      <c r="A858" s="1280" t="s">
        <v>4291</v>
      </c>
      <c r="B858" s="1281" t="s">
        <v>2623</v>
      </c>
      <c r="C858" s="1281">
        <v>3</v>
      </c>
      <c r="D858" s="1281"/>
      <c r="E858" s="1280"/>
      <c r="F858" s="1282"/>
      <c r="G858" s="1281"/>
      <c r="H858" s="1281"/>
    </row>
    <row r="859" spans="1:8" x14ac:dyDescent="0.2">
      <c r="A859" s="1280" t="s">
        <v>4292</v>
      </c>
      <c r="B859" s="1281" t="s">
        <v>2623</v>
      </c>
      <c r="C859" s="1281">
        <v>2</v>
      </c>
      <c r="D859" s="1281" t="s">
        <v>2650</v>
      </c>
      <c r="E859" s="1280" t="s">
        <v>4293</v>
      </c>
      <c r="F859" s="1282"/>
      <c r="G859" s="1281"/>
      <c r="H859" s="1281"/>
    </row>
    <row r="860" spans="1:8" x14ac:dyDescent="0.2">
      <c r="A860" s="1280" t="s">
        <v>4294</v>
      </c>
      <c r="B860" s="1281" t="s">
        <v>2623</v>
      </c>
      <c r="C860" s="1281">
        <v>1</v>
      </c>
      <c r="D860" s="1281"/>
      <c r="E860" s="1280" t="s">
        <v>4295</v>
      </c>
      <c r="F860" s="1282"/>
      <c r="G860" s="1281"/>
      <c r="H860" s="1281"/>
    </row>
    <row r="861" spans="1:8" x14ac:dyDescent="0.2">
      <c r="A861" s="1280" t="s">
        <v>4296</v>
      </c>
      <c r="B861" s="1281" t="s">
        <v>2623</v>
      </c>
      <c r="C861" s="1281">
        <v>0</v>
      </c>
      <c r="D861" s="1281" t="s">
        <v>2653</v>
      </c>
      <c r="E861" s="1280" t="s">
        <v>4297</v>
      </c>
      <c r="F861" s="1282"/>
      <c r="G861" s="1281"/>
      <c r="H861" s="1281">
        <v>1</v>
      </c>
    </row>
    <row r="862" spans="1:8" x14ac:dyDescent="0.2">
      <c r="A862" s="1280" t="s">
        <v>4298</v>
      </c>
      <c r="B862" s="1281" t="s">
        <v>2623</v>
      </c>
      <c r="C862" s="1281">
        <v>2</v>
      </c>
      <c r="D862" s="1281"/>
      <c r="E862" s="1280"/>
      <c r="F862" s="1282" t="s">
        <v>2659</v>
      </c>
      <c r="G862" s="1281"/>
      <c r="H862" s="1281"/>
    </row>
    <row r="863" spans="1:8" x14ac:dyDescent="0.2">
      <c r="A863" s="1280" t="s">
        <v>4299</v>
      </c>
      <c r="B863" s="1281" t="s">
        <v>2623</v>
      </c>
      <c r="C863" s="1281">
        <v>0</v>
      </c>
      <c r="D863" s="1281" t="s">
        <v>2653</v>
      </c>
      <c r="E863" s="1280" t="s">
        <v>4300</v>
      </c>
      <c r="F863" s="1282" t="s">
        <v>2659</v>
      </c>
      <c r="G863" s="1281"/>
      <c r="H863" s="1281"/>
    </row>
    <row r="864" spans="1:8" x14ac:dyDescent="0.2">
      <c r="A864" s="1280" t="s">
        <v>4301</v>
      </c>
      <c r="B864" s="1281" t="s">
        <v>2623</v>
      </c>
      <c r="C864" s="1281">
        <v>7</v>
      </c>
      <c r="D864" s="1281"/>
      <c r="E864" s="1280"/>
      <c r="F864" s="1282"/>
      <c r="G864" s="1281"/>
      <c r="H864" s="1281"/>
    </row>
    <row r="865" spans="1:8" x14ac:dyDescent="0.2">
      <c r="A865" s="1280" t="s">
        <v>4302</v>
      </c>
      <c r="B865" s="1281" t="s">
        <v>2623</v>
      </c>
      <c r="C865" s="1281">
        <v>1</v>
      </c>
      <c r="D865" s="1281" t="s">
        <v>2686</v>
      </c>
      <c r="E865" s="1280" t="s">
        <v>4303</v>
      </c>
      <c r="F865" s="1282" t="s">
        <v>2659</v>
      </c>
      <c r="G865" s="1281"/>
      <c r="H865" s="1281"/>
    </row>
    <row r="866" spans="1:8" x14ac:dyDescent="0.2">
      <c r="A866" s="1283" t="s">
        <v>4304</v>
      </c>
      <c r="B866" s="1281" t="s">
        <v>2623</v>
      </c>
      <c r="C866" s="1281">
        <v>0</v>
      </c>
      <c r="D866" s="1281"/>
      <c r="E866" s="1280"/>
      <c r="F866" s="1282"/>
      <c r="G866" s="1281"/>
      <c r="H866" s="1281"/>
    </row>
    <row r="867" spans="1:8" x14ac:dyDescent="0.2">
      <c r="A867" s="1283" t="s">
        <v>4305</v>
      </c>
      <c r="B867" s="1281" t="s">
        <v>2623</v>
      </c>
      <c r="C867" s="1281">
        <v>0</v>
      </c>
      <c r="D867" s="1281"/>
      <c r="E867" s="1280"/>
      <c r="F867" s="1282"/>
      <c r="G867" s="1281"/>
      <c r="H867" s="1281">
        <v>1</v>
      </c>
    </row>
    <row r="868" spans="1:8" x14ac:dyDescent="0.2">
      <c r="A868" s="1280" t="s">
        <v>4306</v>
      </c>
      <c r="B868" s="1281" t="s">
        <v>2623</v>
      </c>
      <c r="C868" s="1281">
        <v>10</v>
      </c>
      <c r="D868" s="1281" t="s">
        <v>2645</v>
      </c>
      <c r="E868" s="1280" t="s">
        <v>4307</v>
      </c>
      <c r="F868" s="1282"/>
      <c r="G868" s="1281"/>
      <c r="H868" s="1281"/>
    </row>
    <row r="869" spans="1:8" x14ac:dyDescent="0.2">
      <c r="A869" s="1280" t="s">
        <v>4308</v>
      </c>
      <c r="B869" s="1281" t="s">
        <v>2623</v>
      </c>
      <c r="C869" s="1281">
        <v>12</v>
      </c>
      <c r="D869" s="1281" t="s">
        <v>2653</v>
      </c>
      <c r="E869" s="1280" t="s">
        <v>4309</v>
      </c>
      <c r="F869" s="1282"/>
      <c r="G869" s="1281"/>
      <c r="H869" s="1281"/>
    </row>
    <row r="870" spans="1:8" x14ac:dyDescent="0.2">
      <c r="A870" s="1283" t="s">
        <v>4310</v>
      </c>
      <c r="B870" s="1281" t="s">
        <v>2623</v>
      </c>
      <c r="C870" s="1281">
        <v>0</v>
      </c>
      <c r="D870" s="1281"/>
      <c r="E870" s="1280"/>
      <c r="F870" s="1282"/>
      <c r="G870" s="1281"/>
      <c r="H870" s="1281">
        <v>1</v>
      </c>
    </row>
    <row r="871" spans="1:8" x14ac:dyDescent="0.2">
      <c r="A871" s="1280" t="s">
        <v>4311</v>
      </c>
      <c r="B871" s="1281" t="s">
        <v>2623</v>
      </c>
      <c r="C871" s="1281">
        <v>8</v>
      </c>
      <c r="D871" s="1281" t="s">
        <v>2653</v>
      </c>
      <c r="E871" s="1280" t="s">
        <v>4312</v>
      </c>
      <c r="F871" s="1282"/>
      <c r="G871" s="1281"/>
      <c r="H871" s="1281"/>
    </row>
    <row r="872" spans="1:8" x14ac:dyDescent="0.2">
      <c r="A872" s="1280" t="s">
        <v>4313</v>
      </c>
      <c r="B872" s="1281" t="s">
        <v>2623</v>
      </c>
      <c r="C872" s="1281">
        <v>2</v>
      </c>
      <c r="D872" s="1281" t="s">
        <v>2653</v>
      </c>
      <c r="E872" s="1280" t="s">
        <v>4314</v>
      </c>
      <c r="F872" s="1282"/>
      <c r="G872" s="1281"/>
      <c r="H872" s="1281"/>
    </row>
    <row r="873" spans="1:8" x14ac:dyDescent="0.2">
      <c r="A873" s="1280" t="s">
        <v>4315</v>
      </c>
      <c r="B873" s="1281" t="s">
        <v>2623</v>
      </c>
      <c r="C873" s="1281">
        <v>6</v>
      </c>
      <c r="D873" s="1281" t="s">
        <v>2667</v>
      </c>
      <c r="E873" s="1280" t="s">
        <v>4316</v>
      </c>
      <c r="F873" s="1282"/>
      <c r="G873" s="1281"/>
      <c r="H873" s="1281"/>
    </row>
    <row r="874" spans="1:8" x14ac:dyDescent="0.2">
      <c r="A874" s="1280" t="s">
        <v>4317</v>
      </c>
      <c r="B874" s="1281" t="s">
        <v>2623</v>
      </c>
      <c r="C874" s="1281">
        <v>0</v>
      </c>
      <c r="D874" s="1281" t="s">
        <v>2667</v>
      </c>
      <c r="E874" s="1280" t="s">
        <v>4318</v>
      </c>
      <c r="F874" s="1282"/>
      <c r="G874" s="1281"/>
      <c r="H874" s="1281"/>
    </row>
    <row r="875" spans="1:8" x14ac:dyDescent="0.2">
      <c r="A875" s="1280" t="s">
        <v>4319</v>
      </c>
      <c r="B875" s="1281" t="s">
        <v>2623</v>
      </c>
      <c r="C875" s="1281">
        <v>0</v>
      </c>
      <c r="D875" s="1281" t="s">
        <v>2667</v>
      </c>
      <c r="E875" s="1280" t="s">
        <v>4320</v>
      </c>
      <c r="F875" s="1282"/>
      <c r="G875" s="1281"/>
      <c r="H875" s="1281"/>
    </row>
    <row r="876" spans="1:8" x14ac:dyDescent="0.2">
      <c r="A876" s="1280" t="s">
        <v>4321</v>
      </c>
      <c r="B876" s="1281" t="s">
        <v>2623</v>
      </c>
      <c r="C876" s="1281">
        <v>0</v>
      </c>
      <c r="D876" s="1281" t="s">
        <v>2667</v>
      </c>
      <c r="E876" s="1280" t="s">
        <v>4322</v>
      </c>
      <c r="F876" s="1282"/>
      <c r="G876" s="1281"/>
      <c r="H876" s="1281"/>
    </row>
    <row r="877" spans="1:8" x14ac:dyDescent="0.2">
      <c r="A877" s="1280" t="s">
        <v>4323</v>
      </c>
      <c r="B877" s="1281" t="s">
        <v>2623</v>
      </c>
      <c r="C877" s="1281">
        <v>0</v>
      </c>
      <c r="D877" s="1281" t="s">
        <v>2667</v>
      </c>
      <c r="E877" s="1280" t="s">
        <v>4324</v>
      </c>
      <c r="F877" s="1282"/>
      <c r="G877" s="1281"/>
      <c r="H877" s="1281"/>
    </row>
    <row r="878" spans="1:8" x14ac:dyDescent="0.2">
      <c r="A878" s="1280" t="s">
        <v>4325</v>
      </c>
      <c r="B878" s="1281" t="s">
        <v>2623</v>
      </c>
      <c r="C878" s="1281">
        <v>1</v>
      </c>
      <c r="D878" s="1281" t="s">
        <v>2667</v>
      </c>
      <c r="E878" s="1280" t="s">
        <v>4326</v>
      </c>
      <c r="F878" s="1282"/>
      <c r="G878" s="1281"/>
      <c r="H878" s="1281"/>
    </row>
    <row r="879" spans="1:8" x14ac:dyDescent="0.2">
      <c r="A879" s="1280" t="s">
        <v>4327</v>
      </c>
      <c r="B879" s="1281"/>
      <c r="C879" s="1281">
        <v>0</v>
      </c>
      <c r="D879" s="1281" t="s">
        <v>2667</v>
      </c>
      <c r="E879" s="1280" t="s">
        <v>4328</v>
      </c>
      <c r="F879" s="1282"/>
      <c r="G879" s="1281"/>
      <c r="H879" s="1281">
        <v>1</v>
      </c>
    </row>
    <row r="880" spans="1:8" x14ac:dyDescent="0.2">
      <c r="A880" s="1280" t="s">
        <v>4329</v>
      </c>
      <c r="B880" s="1281" t="s">
        <v>2623</v>
      </c>
      <c r="C880" s="1281">
        <v>0</v>
      </c>
      <c r="D880" s="1281"/>
      <c r="E880" s="1280" t="s">
        <v>4330</v>
      </c>
      <c r="F880" s="1282"/>
      <c r="G880" s="1281"/>
      <c r="H880" s="1281"/>
    </row>
    <row r="881" spans="1:8" x14ac:dyDescent="0.2">
      <c r="A881" s="1280" t="s">
        <v>4331</v>
      </c>
      <c r="B881" s="1281" t="s">
        <v>2623</v>
      </c>
      <c r="C881" s="1281">
        <v>0</v>
      </c>
      <c r="D881" s="1281" t="s">
        <v>2667</v>
      </c>
      <c r="E881" s="1280" t="s">
        <v>4332</v>
      </c>
      <c r="F881" s="1282"/>
      <c r="G881" s="1281"/>
      <c r="H881" s="1281"/>
    </row>
    <row r="882" spans="1:8" x14ac:dyDescent="0.2">
      <c r="A882" s="1280" t="s">
        <v>4333</v>
      </c>
      <c r="B882" s="1281" t="s">
        <v>2623</v>
      </c>
      <c r="C882" s="1281">
        <v>0</v>
      </c>
      <c r="D882" s="1281" t="s">
        <v>2667</v>
      </c>
      <c r="E882" s="1280" t="s">
        <v>4334</v>
      </c>
      <c r="F882" s="1282"/>
      <c r="G882" s="1281"/>
      <c r="H882" s="1281"/>
    </row>
    <row r="883" spans="1:8" x14ac:dyDescent="0.2">
      <c r="A883" s="1280" t="s">
        <v>4335</v>
      </c>
      <c r="B883" s="1281" t="s">
        <v>2623</v>
      </c>
      <c r="C883" s="1281">
        <v>0</v>
      </c>
      <c r="D883" s="1281" t="s">
        <v>2667</v>
      </c>
      <c r="E883" s="1280" t="s">
        <v>4336</v>
      </c>
      <c r="F883" s="1282"/>
      <c r="G883" s="1281"/>
      <c r="H883" s="1281"/>
    </row>
    <row r="884" spans="1:8" x14ac:dyDescent="0.2">
      <c r="A884" s="1280" t="s">
        <v>4337</v>
      </c>
      <c r="B884" s="1281"/>
      <c r="C884" s="1281">
        <v>0</v>
      </c>
      <c r="D884" s="1281" t="s">
        <v>2667</v>
      </c>
      <c r="E884" s="1280" t="s">
        <v>4338</v>
      </c>
      <c r="F884" s="1282"/>
      <c r="G884" s="1281"/>
      <c r="H884" s="1281">
        <v>1</v>
      </c>
    </row>
    <row r="885" spans="1:8" x14ac:dyDescent="0.2">
      <c r="A885" s="1280" t="s">
        <v>4339</v>
      </c>
      <c r="B885" s="1281"/>
      <c r="C885" s="1281">
        <v>0</v>
      </c>
      <c r="D885" s="1281" t="s">
        <v>2667</v>
      </c>
      <c r="E885" s="1280" t="s">
        <v>4340</v>
      </c>
      <c r="F885" s="1282"/>
      <c r="G885" s="1281"/>
      <c r="H885" s="1281">
        <v>1</v>
      </c>
    </row>
    <row r="886" spans="1:8" x14ac:dyDescent="0.2">
      <c r="A886" s="1280" t="s">
        <v>4341</v>
      </c>
      <c r="B886" s="1281" t="s">
        <v>2623</v>
      </c>
      <c r="C886" s="1281">
        <v>0</v>
      </c>
      <c r="D886" s="1281" t="s">
        <v>2667</v>
      </c>
      <c r="E886" s="1280" t="s">
        <v>4342</v>
      </c>
      <c r="F886" s="1282"/>
      <c r="G886" s="1281"/>
      <c r="H886" s="1281"/>
    </row>
    <row r="887" spans="1:8" x14ac:dyDescent="0.2">
      <c r="A887" s="1280" t="s">
        <v>4343</v>
      </c>
      <c r="B887" s="1281" t="s">
        <v>2623</v>
      </c>
      <c r="C887" s="1281">
        <v>0</v>
      </c>
      <c r="D887" s="1281"/>
      <c r="E887" s="1280"/>
      <c r="F887" s="1282"/>
      <c r="G887" s="1281"/>
      <c r="H887" s="1281"/>
    </row>
    <row r="888" spans="1:8" x14ac:dyDescent="0.2">
      <c r="A888" s="1280" t="s">
        <v>4344</v>
      </c>
      <c r="B888" s="1281" t="s">
        <v>2623</v>
      </c>
      <c r="C888" s="1281">
        <v>2</v>
      </c>
      <c r="D888" s="1281"/>
      <c r="E888" s="1280" t="s">
        <v>4345</v>
      </c>
      <c r="F888" s="1282"/>
      <c r="G888" s="1281"/>
      <c r="H888" s="1281"/>
    </row>
    <row r="889" spans="1:8" x14ac:dyDescent="0.2">
      <c r="A889" s="1280" t="s">
        <v>4346</v>
      </c>
      <c r="B889" s="1281" t="s">
        <v>2623</v>
      </c>
      <c r="C889" s="1281">
        <v>1</v>
      </c>
      <c r="D889" s="1281" t="s">
        <v>2686</v>
      </c>
      <c r="E889" s="1280" t="s">
        <v>4347</v>
      </c>
      <c r="F889" s="1282"/>
      <c r="G889" s="1281"/>
      <c r="H889" s="1281"/>
    </row>
    <row r="890" spans="1:8" x14ac:dyDescent="0.2">
      <c r="A890" s="1280" t="s">
        <v>4348</v>
      </c>
      <c r="B890" s="1281"/>
      <c r="C890" s="1281">
        <v>0</v>
      </c>
      <c r="D890" s="1281" t="s">
        <v>2645</v>
      </c>
      <c r="E890" s="1280" t="s">
        <v>4349</v>
      </c>
      <c r="F890" s="1282"/>
      <c r="G890" s="1281"/>
      <c r="H890" s="1281">
        <v>1</v>
      </c>
    </row>
    <row r="891" spans="1:8" x14ac:dyDescent="0.2">
      <c r="A891" s="1280" t="s">
        <v>4350</v>
      </c>
      <c r="B891" s="1281" t="s">
        <v>2623</v>
      </c>
      <c r="C891" s="1281">
        <v>3</v>
      </c>
      <c r="D891" s="1281" t="s">
        <v>2650</v>
      </c>
      <c r="E891" s="1280" t="s">
        <v>4351</v>
      </c>
      <c r="F891" s="1282"/>
      <c r="G891" s="1281"/>
      <c r="H891" s="1281"/>
    </row>
    <row r="892" spans="1:8" x14ac:dyDescent="0.2">
      <c r="A892" s="1280" t="s">
        <v>4352</v>
      </c>
      <c r="B892" s="1281" t="s">
        <v>2623</v>
      </c>
      <c r="C892" s="1281">
        <v>0</v>
      </c>
      <c r="D892" s="1281" t="s">
        <v>2650</v>
      </c>
      <c r="E892" s="1280" t="s">
        <v>4353</v>
      </c>
      <c r="F892" s="1282"/>
      <c r="G892" s="1281"/>
      <c r="H892" s="1281"/>
    </row>
    <row r="893" spans="1:8" x14ac:dyDescent="0.2">
      <c r="A893" s="1280" t="s">
        <v>4354</v>
      </c>
      <c r="B893" s="1281" t="s">
        <v>2623</v>
      </c>
      <c r="C893" s="1281">
        <v>2</v>
      </c>
      <c r="D893" s="1281" t="s">
        <v>2650</v>
      </c>
      <c r="E893" s="1280" t="s">
        <v>4355</v>
      </c>
      <c r="F893" s="1282"/>
      <c r="G893" s="1281"/>
      <c r="H893" s="1281"/>
    </row>
    <row r="894" spans="1:8" x14ac:dyDescent="0.2">
      <c r="A894" s="1280" t="s">
        <v>4356</v>
      </c>
      <c r="B894" s="1281" t="s">
        <v>2623</v>
      </c>
      <c r="C894" s="1281">
        <v>1</v>
      </c>
      <c r="D894" s="1281" t="s">
        <v>2653</v>
      </c>
      <c r="E894" s="1280" t="s">
        <v>4357</v>
      </c>
      <c r="F894" s="1282"/>
      <c r="G894" s="1281"/>
      <c r="H894" s="1281"/>
    </row>
    <row r="895" spans="1:8" x14ac:dyDescent="0.2">
      <c r="A895" s="1280" t="s">
        <v>4358</v>
      </c>
      <c r="B895" s="1281" t="s">
        <v>2623</v>
      </c>
      <c r="C895" s="1281">
        <v>0</v>
      </c>
      <c r="D895" s="1281" t="s">
        <v>2653</v>
      </c>
      <c r="E895" s="1280" t="s">
        <v>4359</v>
      </c>
      <c r="F895" s="1282"/>
      <c r="G895" s="1281"/>
      <c r="H895" s="1281">
        <v>1</v>
      </c>
    </row>
    <row r="896" spans="1:8" x14ac:dyDescent="0.2">
      <c r="A896" s="1280" t="s">
        <v>4360</v>
      </c>
      <c r="B896" s="1281" t="s">
        <v>2623</v>
      </c>
      <c r="C896" s="1281">
        <v>6</v>
      </c>
      <c r="D896" s="1281" t="s">
        <v>2667</v>
      </c>
      <c r="E896" s="1280" t="s">
        <v>4361</v>
      </c>
      <c r="F896" s="1282"/>
      <c r="G896" s="1281"/>
      <c r="H896" s="1281">
        <v>2</v>
      </c>
    </row>
    <row r="897" spans="1:8" x14ac:dyDescent="0.2">
      <c r="A897" s="1280" t="s">
        <v>4362</v>
      </c>
      <c r="B897" s="1281" t="s">
        <v>2623</v>
      </c>
      <c r="C897" s="1281">
        <v>7</v>
      </c>
      <c r="D897" s="1281" t="s">
        <v>2686</v>
      </c>
      <c r="E897" s="1280" t="s">
        <v>4363</v>
      </c>
      <c r="F897" s="1282"/>
      <c r="G897" s="1281"/>
      <c r="H897" s="1281"/>
    </row>
    <row r="898" spans="1:8" x14ac:dyDescent="0.2">
      <c r="A898" s="1280" t="s">
        <v>4364</v>
      </c>
      <c r="B898" s="1281" t="s">
        <v>2623</v>
      </c>
      <c r="C898" s="1281">
        <v>0</v>
      </c>
      <c r="D898" s="1281" t="s">
        <v>2686</v>
      </c>
      <c r="E898" s="1280" t="s">
        <v>4365</v>
      </c>
      <c r="F898" s="1282"/>
      <c r="G898" s="1281"/>
      <c r="H898" s="1281"/>
    </row>
    <row r="899" spans="1:8" x14ac:dyDescent="0.2">
      <c r="A899" s="1280" t="s">
        <v>4366</v>
      </c>
      <c r="B899" s="1281"/>
      <c r="C899" s="1281">
        <v>0</v>
      </c>
      <c r="D899" s="1281" t="s">
        <v>2686</v>
      </c>
      <c r="E899" s="1280" t="s">
        <v>4367</v>
      </c>
      <c r="F899" s="1282"/>
      <c r="G899" s="1281"/>
      <c r="H899" s="1281"/>
    </row>
    <row r="900" spans="1:8" x14ac:dyDescent="0.2">
      <c r="A900" s="1280" t="s">
        <v>4368</v>
      </c>
      <c r="B900" s="1281"/>
      <c r="C900" s="1281">
        <v>0</v>
      </c>
      <c r="D900" s="1281" t="s">
        <v>2686</v>
      </c>
      <c r="E900" s="1280" t="s">
        <v>4369</v>
      </c>
      <c r="F900" s="1282"/>
      <c r="G900" s="1281"/>
      <c r="H900" s="1281"/>
    </row>
    <row r="901" spans="1:8" x14ac:dyDescent="0.2">
      <c r="A901" s="1280" t="s">
        <v>4370</v>
      </c>
      <c r="B901" s="1281" t="s">
        <v>2623</v>
      </c>
      <c r="C901" s="1281">
        <v>1</v>
      </c>
      <c r="D901" s="1281" t="s">
        <v>2686</v>
      </c>
      <c r="E901" s="1280" t="s">
        <v>4371</v>
      </c>
      <c r="F901" s="1282"/>
      <c r="G901" s="1281"/>
      <c r="H901" s="1281">
        <v>1</v>
      </c>
    </row>
    <row r="902" spans="1:8" x14ac:dyDescent="0.2">
      <c r="A902" s="1280" t="s">
        <v>4372</v>
      </c>
      <c r="B902" s="1281" t="s">
        <v>2623</v>
      </c>
      <c r="C902" s="1281">
        <v>6</v>
      </c>
      <c r="D902" s="1281" t="s">
        <v>2650</v>
      </c>
      <c r="E902" s="1280" t="s">
        <v>4373</v>
      </c>
      <c r="F902" s="1282"/>
      <c r="G902" s="1281"/>
      <c r="H902" s="1281"/>
    </row>
    <row r="903" spans="1:8" x14ac:dyDescent="0.2">
      <c r="A903" s="1280" t="s">
        <v>4374</v>
      </c>
      <c r="B903" s="1281" t="s">
        <v>2623</v>
      </c>
      <c r="C903" s="1281">
        <v>1</v>
      </c>
      <c r="D903" s="1281" t="s">
        <v>2653</v>
      </c>
      <c r="E903" s="1280" t="s">
        <v>4375</v>
      </c>
      <c r="F903" s="1282" t="s">
        <v>2659</v>
      </c>
      <c r="G903" s="1281"/>
      <c r="H903" s="1281"/>
    </row>
    <row r="904" spans="1:8" x14ac:dyDescent="0.2">
      <c r="A904" s="1280" t="s">
        <v>4376</v>
      </c>
      <c r="B904" s="1281"/>
      <c r="C904" s="1281">
        <v>0</v>
      </c>
      <c r="D904" s="1281" t="s">
        <v>2650</v>
      </c>
      <c r="E904" s="1280" t="s">
        <v>4377</v>
      </c>
      <c r="F904" s="1282" t="s">
        <v>2659</v>
      </c>
      <c r="G904" s="1281"/>
      <c r="H904" s="1281"/>
    </row>
    <row r="905" spans="1:8" x14ac:dyDescent="0.2">
      <c r="A905" s="1280" t="s">
        <v>4378</v>
      </c>
      <c r="B905" s="1281"/>
      <c r="C905" s="1281">
        <v>0</v>
      </c>
      <c r="D905" s="1281" t="s">
        <v>2645</v>
      </c>
      <c r="E905" s="1280" t="s">
        <v>4379</v>
      </c>
      <c r="F905" s="1282" t="s">
        <v>2659</v>
      </c>
      <c r="G905" s="1281"/>
      <c r="H905" s="1281"/>
    </row>
    <row r="906" spans="1:8" x14ac:dyDescent="0.2">
      <c r="A906" s="1280" t="s">
        <v>4380</v>
      </c>
      <c r="B906" s="1281" t="s">
        <v>2623</v>
      </c>
      <c r="C906" s="1281">
        <v>0</v>
      </c>
      <c r="D906" s="1281" t="s">
        <v>2645</v>
      </c>
      <c r="E906" s="1280" t="s">
        <v>4381</v>
      </c>
      <c r="F906" s="1282"/>
      <c r="G906" s="1281"/>
      <c r="H906" s="1281"/>
    </row>
    <row r="907" spans="1:8" x14ac:dyDescent="0.2">
      <c r="A907" s="1280" t="s">
        <v>4382</v>
      </c>
      <c r="B907" s="1281" t="s">
        <v>2623</v>
      </c>
      <c r="C907" s="1281">
        <v>1</v>
      </c>
      <c r="D907" s="1281" t="s">
        <v>2653</v>
      </c>
      <c r="E907" s="1280" t="s">
        <v>4383</v>
      </c>
      <c r="F907" s="1282"/>
      <c r="G907" s="1281"/>
      <c r="H907" s="1281"/>
    </row>
    <row r="908" spans="1:8" x14ac:dyDescent="0.2">
      <c r="A908" s="1280" t="s">
        <v>4384</v>
      </c>
      <c r="B908" s="1281"/>
      <c r="C908" s="1281">
        <v>0</v>
      </c>
      <c r="D908" s="1281" t="s">
        <v>2667</v>
      </c>
      <c r="E908" s="1280" t="s">
        <v>4385</v>
      </c>
      <c r="F908" s="1282"/>
      <c r="G908" s="1281"/>
      <c r="H908" s="1281"/>
    </row>
    <row r="909" spans="1:8" x14ac:dyDescent="0.2">
      <c r="A909" s="1280" t="s">
        <v>4386</v>
      </c>
      <c r="B909" s="1281"/>
      <c r="C909" s="1281">
        <v>0</v>
      </c>
      <c r="D909" s="1281" t="s">
        <v>2686</v>
      </c>
      <c r="E909" s="1280" t="s">
        <v>4387</v>
      </c>
      <c r="F909" s="1282"/>
      <c r="G909" s="1281"/>
      <c r="H909" s="1281">
        <v>1</v>
      </c>
    </row>
    <row r="910" spans="1:8" x14ac:dyDescent="0.2">
      <c r="A910" s="1280" t="s">
        <v>4388</v>
      </c>
      <c r="B910" s="1281"/>
      <c r="C910" s="1281">
        <v>0</v>
      </c>
      <c r="D910" s="1281" t="s">
        <v>2650</v>
      </c>
      <c r="E910" s="1280" t="s">
        <v>4389</v>
      </c>
      <c r="F910" s="1282"/>
      <c r="G910" s="1281"/>
      <c r="H910" s="1281">
        <v>1</v>
      </c>
    </row>
    <row r="911" spans="1:8" x14ac:dyDescent="0.2">
      <c r="A911" s="1280" t="s">
        <v>4390</v>
      </c>
      <c r="B911" s="1281" t="s">
        <v>2623</v>
      </c>
      <c r="C911" s="1281">
        <v>0</v>
      </c>
      <c r="D911" s="1281" t="s">
        <v>2686</v>
      </c>
      <c r="E911" s="1280" t="s">
        <v>4391</v>
      </c>
      <c r="F911" s="1282" t="s">
        <v>2659</v>
      </c>
      <c r="G911" s="1281"/>
      <c r="H911" s="1281"/>
    </row>
    <row r="912" spans="1:8" x14ac:dyDescent="0.2">
      <c r="A912" s="1280" t="s">
        <v>4392</v>
      </c>
      <c r="B912" s="1281"/>
      <c r="C912" s="1281">
        <v>0</v>
      </c>
      <c r="D912" s="1281" t="s">
        <v>2667</v>
      </c>
      <c r="E912" s="1280" t="s">
        <v>4393</v>
      </c>
      <c r="F912" s="1282"/>
      <c r="G912" s="1281"/>
      <c r="H912" s="1281"/>
    </row>
    <row r="913" spans="1:8" x14ac:dyDescent="0.2">
      <c r="A913" s="1280" t="s">
        <v>4394</v>
      </c>
      <c r="B913" s="1281"/>
      <c r="C913" s="1281">
        <v>0</v>
      </c>
      <c r="D913" s="1281" t="s">
        <v>2667</v>
      </c>
      <c r="E913" s="1280" t="s">
        <v>4395</v>
      </c>
      <c r="F913" s="1282"/>
      <c r="G913" s="1281"/>
      <c r="H913" s="1281"/>
    </row>
    <row r="914" spans="1:8" x14ac:dyDescent="0.2">
      <c r="A914" s="1280" t="s">
        <v>4396</v>
      </c>
      <c r="B914" s="1281" t="s">
        <v>2623</v>
      </c>
      <c r="C914" s="1281">
        <v>10</v>
      </c>
      <c r="D914" s="1281" t="s">
        <v>2667</v>
      </c>
      <c r="E914" s="1280" t="s">
        <v>4397</v>
      </c>
      <c r="F914" s="1282"/>
      <c r="G914" s="1281"/>
      <c r="H914" s="1281"/>
    </row>
    <row r="915" spans="1:8" x14ac:dyDescent="0.2">
      <c r="A915" s="1280" t="s">
        <v>4398</v>
      </c>
      <c r="B915" s="1281" t="s">
        <v>2623</v>
      </c>
      <c r="C915" s="1281">
        <v>0</v>
      </c>
      <c r="D915" s="1281" t="s">
        <v>2686</v>
      </c>
      <c r="E915" s="1280" t="s">
        <v>4399</v>
      </c>
      <c r="F915" s="1282"/>
      <c r="G915" s="1281"/>
      <c r="H915" s="1281"/>
    </row>
    <row r="916" spans="1:8" x14ac:dyDescent="0.2">
      <c r="A916" s="1280" t="s">
        <v>4400</v>
      </c>
      <c r="B916" s="1281" t="s">
        <v>2623</v>
      </c>
      <c r="C916" s="1281">
        <v>0</v>
      </c>
      <c r="D916" s="1281" t="s">
        <v>2667</v>
      </c>
      <c r="E916" s="1280" t="s">
        <v>4401</v>
      </c>
      <c r="F916" s="1282"/>
      <c r="G916" s="1281"/>
      <c r="H916" s="1281"/>
    </row>
    <row r="917" spans="1:8" x14ac:dyDescent="0.2">
      <c r="A917" s="1280" t="s">
        <v>4402</v>
      </c>
      <c r="B917" s="1281" t="s">
        <v>2623</v>
      </c>
      <c r="C917" s="1281">
        <v>0</v>
      </c>
      <c r="D917" s="1281" t="s">
        <v>2686</v>
      </c>
      <c r="E917" s="1280" t="s">
        <v>4403</v>
      </c>
      <c r="F917" s="1282"/>
      <c r="G917" s="1281"/>
      <c r="H917" s="1281"/>
    </row>
    <row r="918" spans="1:8" x14ac:dyDescent="0.2">
      <c r="A918" s="1280" t="s">
        <v>4404</v>
      </c>
      <c r="B918" s="1281"/>
      <c r="C918" s="1281">
        <v>0</v>
      </c>
      <c r="D918" s="1281" t="s">
        <v>2667</v>
      </c>
      <c r="E918" s="1280" t="s">
        <v>4405</v>
      </c>
      <c r="F918" s="1282"/>
      <c r="G918" s="1281"/>
      <c r="H918" s="1281"/>
    </row>
    <row r="919" spans="1:8" x14ac:dyDescent="0.2">
      <c r="A919" s="1280" t="s">
        <v>4406</v>
      </c>
      <c r="B919" s="1281"/>
      <c r="C919" s="1281">
        <v>0</v>
      </c>
      <c r="D919" s="1281" t="s">
        <v>2686</v>
      </c>
      <c r="E919" s="1280" t="s">
        <v>4407</v>
      </c>
      <c r="F919" s="1282"/>
      <c r="G919" s="1281"/>
      <c r="H919" s="1281">
        <v>1</v>
      </c>
    </row>
    <row r="920" spans="1:8" x14ac:dyDescent="0.2">
      <c r="A920" s="1280" t="s">
        <v>4408</v>
      </c>
      <c r="B920" s="1281"/>
      <c r="C920" s="1281">
        <v>0</v>
      </c>
      <c r="D920" s="1281" t="s">
        <v>2667</v>
      </c>
      <c r="E920" s="1280" t="s">
        <v>4409</v>
      </c>
      <c r="F920" s="1282"/>
      <c r="G920" s="1281"/>
      <c r="H920" s="1281">
        <v>1</v>
      </c>
    </row>
    <row r="921" spans="1:8" x14ac:dyDescent="0.2">
      <c r="A921" s="1280" t="s">
        <v>4410</v>
      </c>
      <c r="B921" s="1281" t="s">
        <v>2623</v>
      </c>
      <c r="C921" s="1281">
        <v>10</v>
      </c>
      <c r="D921" s="1281" t="s">
        <v>2653</v>
      </c>
      <c r="E921" s="1280" t="s">
        <v>4411</v>
      </c>
      <c r="F921" s="1282"/>
      <c r="G921" s="1281"/>
      <c r="H921" s="1281"/>
    </row>
    <row r="922" spans="1:8" x14ac:dyDescent="0.2">
      <c r="A922" s="1280" t="s">
        <v>4412</v>
      </c>
      <c r="B922" s="1281" t="s">
        <v>2623</v>
      </c>
      <c r="C922" s="1281">
        <v>1</v>
      </c>
      <c r="D922" s="1281" t="s">
        <v>2653</v>
      </c>
      <c r="E922" s="1280" t="s">
        <v>4413</v>
      </c>
      <c r="F922" s="1282"/>
      <c r="G922" s="1281"/>
      <c r="H922" s="1281"/>
    </row>
    <row r="923" spans="1:8" x14ac:dyDescent="0.2">
      <c r="A923" s="1280" t="s">
        <v>4414</v>
      </c>
      <c r="B923" s="1281" t="s">
        <v>2623</v>
      </c>
      <c r="C923" s="1281">
        <v>1</v>
      </c>
      <c r="D923" s="1281" t="s">
        <v>2650</v>
      </c>
      <c r="E923" s="1280" t="s">
        <v>4415</v>
      </c>
      <c r="F923" s="1282"/>
      <c r="G923" s="1281"/>
      <c r="H923" s="1281"/>
    </row>
    <row r="924" spans="1:8" x14ac:dyDescent="0.2">
      <c r="A924" s="1280" t="s">
        <v>4416</v>
      </c>
      <c r="B924" s="1281" t="s">
        <v>2623</v>
      </c>
      <c r="C924" s="1281">
        <v>7</v>
      </c>
      <c r="D924" s="1281" t="s">
        <v>2650</v>
      </c>
      <c r="E924" s="1280" t="s">
        <v>4417</v>
      </c>
      <c r="F924" s="1282"/>
      <c r="G924" s="1281"/>
      <c r="H924" s="1281"/>
    </row>
    <row r="925" spans="1:8" x14ac:dyDescent="0.2">
      <c r="A925" s="1280" t="s">
        <v>4418</v>
      </c>
      <c r="B925" s="1281" t="s">
        <v>2623</v>
      </c>
      <c r="C925" s="1281">
        <v>1</v>
      </c>
      <c r="D925" s="1281" t="s">
        <v>2650</v>
      </c>
      <c r="E925" s="1280" t="s">
        <v>4419</v>
      </c>
      <c r="F925" s="1282"/>
      <c r="G925" s="1281"/>
      <c r="H925" s="1281"/>
    </row>
    <row r="926" spans="1:8" x14ac:dyDescent="0.2">
      <c r="A926" s="1280" t="s">
        <v>4420</v>
      </c>
      <c r="B926" s="1281" t="s">
        <v>2623</v>
      </c>
      <c r="C926" s="1281">
        <v>1</v>
      </c>
      <c r="D926" s="1281" t="s">
        <v>2686</v>
      </c>
      <c r="E926" s="1280" t="s">
        <v>4421</v>
      </c>
      <c r="F926" s="1282" t="s">
        <v>2659</v>
      </c>
      <c r="G926" s="1281"/>
      <c r="H926" s="1281"/>
    </row>
    <row r="927" spans="1:8" x14ac:dyDescent="0.2">
      <c r="A927" s="1280" t="s">
        <v>4422</v>
      </c>
      <c r="B927" s="1281" t="s">
        <v>2623</v>
      </c>
      <c r="C927" s="1281">
        <v>1</v>
      </c>
      <c r="D927" s="1281" t="s">
        <v>2667</v>
      </c>
      <c r="E927" s="1280" t="s">
        <v>4423</v>
      </c>
      <c r="F927" s="1282"/>
      <c r="G927" s="1281"/>
      <c r="H927" s="1281"/>
    </row>
    <row r="928" spans="1:8" x14ac:dyDescent="0.2">
      <c r="A928" s="1280" t="s">
        <v>4424</v>
      </c>
      <c r="B928" s="1281" t="s">
        <v>2623</v>
      </c>
      <c r="C928" s="1281">
        <v>7</v>
      </c>
      <c r="D928" s="1281" t="s">
        <v>2667</v>
      </c>
      <c r="E928" s="1280" t="s">
        <v>4425</v>
      </c>
      <c r="F928" s="1282"/>
      <c r="G928" s="1281"/>
      <c r="H928" s="1281"/>
    </row>
    <row r="929" spans="1:8" x14ac:dyDescent="0.2">
      <c r="A929" s="1280" t="s">
        <v>4426</v>
      </c>
      <c r="B929" s="1281" t="s">
        <v>2623</v>
      </c>
      <c r="C929" s="1281">
        <v>5</v>
      </c>
      <c r="D929" s="1281" t="s">
        <v>2686</v>
      </c>
      <c r="E929" s="1280" t="s">
        <v>4427</v>
      </c>
      <c r="F929" s="1282"/>
      <c r="G929" s="1281"/>
      <c r="H929" s="1281"/>
    </row>
    <row r="930" spans="1:8" x14ac:dyDescent="0.2">
      <c r="A930" s="1280" t="s">
        <v>4428</v>
      </c>
      <c r="B930" s="1281" t="s">
        <v>2623</v>
      </c>
      <c r="C930" s="1281">
        <v>1</v>
      </c>
      <c r="D930" s="1281" t="s">
        <v>2686</v>
      </c>
      <c r="E930" s="1280" t="s">
        <v>4429</v>
      </c>
      <c r="F930" s="1282"/>
      <c r="G930" s="1281"/>
      <c r="H930" s="1281"/>
    </row>
    <row r="931" spans="1:8" x14ac:dyDescent="0.2">
      <c r="A931" s="1280" t="s">
        <v>4430</v>
      </c>
      <c r="B931" s="1281" t="s">
        <v>2623</v>
      </c>
      <c r="C931" s="1281">
        <v>0</v>
      </c>
      <c r="D931" s="1281" t="s">
        <v>2686</v>
      </c>
      <c r="E931" s="1280" t="s">
        <v>4431</v>
      </c>
      <c r="F931" s="1282"/>
      <c r="G931" s="1281"/>
      <c r="H931" s="1281">
        <v>2</v>
      </c>
    </row>
    <row r="932" spans="1:8" x14ac:dyDescent="0.2">
      <c r="A932" s="1280" t="s">
        <v>4432</v>
      </c>
      <c r="B932" s="1281"/>
      <c r="C932" s="1281">
        <v>0</v>
      </c>
      <c r="D932" s="1281" t="s">
        <v>2686</v>
      </c>
      <c r="E932" s="1280" t="s">
        <v>4433</v>
      </c>
      <c r="F932" s="1282"/>
      <c r="G932" s="1281"/>
      <c r="H932" s="1281">
        <v>2</v>
      </c>
    </row>
    <row r="933" spans="1:8" x14ac:dyDescent="0.2">
      <c r="A933" s="1280" t="s">
        <v>4434</v>
      </c>
      <c r="B933" s="1281" t="s">
        <v>2623</v>
      </c>
      <c r="C933" s="1281">
        <v>0</v>
      </c>
      <c r="D933" s="1281" t="s">
        <v>2686</v>
      </c>
      <c r="E933" s="1280" t="s">
        <v>4435</v>
      </c>
      <c r="F933" s="1282"/>
      <c r="G933" s="1281"/>
      <c r="H933" s="1281"/>
    </row>
    <row r="934" spans="1:8" x14ac:dyDescent="0.2">
      <c r="A934" s="1280" t="s">
        <v>4436</v>
      </c>
      <c r="B934" s="1281" t="s">
        <v>2623</v>
      </c>
      <c r="C934" s="1281">
        <v>0</v>
      </c>
      <c r="D934" s="1281" t="s">
        <v>2667</v>
      </c>
      <c r="E934" s="1280" t="s">
        <v>4437</v>
      </c>
      <c r="F934" s="1282"/>
      <c r="G934" s="1281"/>
      <c r="H934" s="1281"/>
    </row>
    <row r="935" spans="1:8" x14ac:dyDescent="0.2">
      <c r="A935" s="1280" t="s">
        <v>4438</v>
      </c>
      <c r="B935" s="1281"/>
      <c r="C935" s="1281">
        <v>0</v>
      </c>
      <c r="D935" s="1281" t="s">
        <v>2686</v>
      </c>
      <c r="E935" s="1280" t="s">
        <v>4439</v>
      </c>
      <c r="F935" s="1282"/>
      <c r="G935" s="1281"/>
      <c r="H935" s="1281">
        <v>1</v>
      </c>
    </row>
    <row r="936" spans="1:8" x14ac:dyDescent="0.2">
      <c r="A936" s="1280" t="s">
        <v>4440</v>
      </c>
      <c r="B936" s="1281" t="s">
        <v>2623</v>
      </c>
      <c r="C936" s="1281">
        <v>0</v>
      </c>
      <c r="D936" s="1281" t="s">
        <v>2667</v>
      </c>
      <c r="E936" s="1280" t="s">
        <v>4441</v>
      </c>
      <c r="F936" s="1282"/>
      <c r="G936" s="1281"/>
      <c r="H936" s="1281"/>
    </row>
    <row r="937" spans="1:8" x14ac:dyDescent="0.2">
      <c r="A937" s="1280" t="s">
        <v>4442</v>
      </c>
      <c r="B937" s="1281" t="s">
        <v>2623</v>
      </c>
      <c r="C937" s="1281">
        <v>1</v>
      </c>
      <c r="D937" s="1281" t="s">
        <v>2686</v>
      </c>
      <c r="E937" s="1280" t="s">
        <v>4443</v>
      </c>
      <c r="F937" s="1282"/>
      <c r="G937" s="1281"/>
      <c r="H937" s="1281"/>
    </row>
    <row r="938" spans="1:8" x14ac:dyDescent="0.2">
      <c r="A938" s="1280" t="s">
        <v>4444</v>
      </c>
      <c r="B938" s="1281" t="s">
        <v>2623</v>
      </c>
      <c r="C938" s="1281">
        <v>1</v>
      </c>
      <c r="D938" s="1281" t="s">
        <v>2686</v>
      </c>
      <c r="E938" s="1280" t="s">
        <v>4445</v>
      </c>
      <c r="F938" s="1282"/>
      <c r="G938" s="1281"/>
      <c r="H938" s="1281"/>
    </row>
    <row r="939" spans="1:8" x14ac:dyDescent="0.2">
      <c r="A939" s="1280" t="s">
        <v>4446</v>
      </c>
      <c r="B939" s="1281" t="s">
        <v>2623</v>
      </c>
      <c r="C939" s="1281">
        <v>12</v>
      </c>
      <c r="D939" s="1281" t="s">
        <v>2686</v>
      </c>
      <c r="E939" s="1280" t="s">
        <v>4447</v>
      </c>
      <c r="F939" s="1282"/>
      <c r="G939" s="1281"/>
      <c r="H939" s="1281"/>
    </row>
    <row r="940" spans="1:8" x14ac:dyDescent="0.2">
      <c r="A940" s="1280" t="s">
        <v>4448</v>
      </c>
      <c r="B940" s="1281" t="s">
        <v>2623</v>
      </c>
      <c r="C940" s="1281">
        <v>2</v>
      </c>
      <c r="D940" s="1281" t="s">
        <v>2686</v>
      </c>
      <c r="E940" s="1280" t="s">
        <v>4449</v>
      </c>
      <c r="F940" s="1282"/>
      <c r="G940" s="1281"/>
      <c r="H940" s="1281"/>
    </row>
    <row r="941" spans="1:8" x14ac:dyDescent="0.2">
      <c r="A941" s="1283" t="s">
        <v>4450</v>
      </c>
      <c r="B941" s="1281" t="s">
        <v>2623</v>
      </c>
      <c r="C941" s="1281">
        <v>0</v>
      </c>
      <c r="D941" s="1281"/>
      <c r="E941" s="1280"/>
      <c r="F941" s="1282"/>
      <c r="G941" s="1281"/>
      <c r="H941" s="1281">
        <v>1</v>
      </c>
    </row>
    <row r="942" spans="1:8" x14ac:dyDescent="0.2">
      <c r="A942" s="1280" t="s">
        <v>4451</v>
      </c>
      <c r="B942" s="1281" t="s">
        <v>2623</v>
      </c>
      <c r="C942" s="1281">
        <v>1</v>
      </c>
      <c r="D942" s="1281" t="s">
        <v>2667</v>
      </c>
      <c r="E942" s="1280" t="s">
        <v>4452</v>
      </c>
      <c r="F942" s="1282"/>
      <c r="G942" s="1281"/>
      <c r="H942" s="1281"/>
    </row>
    <row r="943" spans="1:8" x14ac:dyDescent="0.2">
      <c r="A943" s="1280" t="s">
        <v>4453</v>
      </c>
      <c r="B943" s="1281" t="s">
        <v>2623</v>
      </c>
      <c r="C943" s="1281">
        <v>0</v>
      </c>
      <c r="D943" s="1281" t="s">
        <v>2650</v>
      </c>
      <c r="E943" s="1280" t="s">
        <v>4454</v>
      </c>
      <c r="F943" s="1282"/>
      <c r="G943" s="1281"/>
      <c r="H943" s="1281"/>
    </row>
    <row r="944" spans="1:8" x14ac:dyDescent="0.2">
      <c r="A944" s="1280" t="s">
        <v>4455</v>
      </c>
      <c r="B944" s="1281" t="s">
        <v>2623</v>
      </c>
      <c r="C944" s="1281">
        <v>0</v>
      </c>
      <c r="D944" s="1281" t="s">
        <v>2686</v>
      </c>
      <c r="E944" s="1280" t="s">
        <v>4456</v>
      </c>
      <c r="F944" s="1282"/>
      <c r="G944" s="1281"/>
      <c r="H944" s="1281"/>
    </row>
    <row r="945" spans="1:8" x14ac:dyDescent="0.2">
      <c r="A945" s="1280" t="s">
        <v>4457</v>
      </c>
      <c r="B945" s="1281" t="s">
        <v>2623</v>
      </c>
      <c r="C945" s="1281">
        <v>0</v>
      </c>
      <c r="D945" s="1281" t="s">
        <v>2686</v>
      </c>
      <c r="E945" s="1280" t="s">
        <v>4458</v>
      </c>
      <c r="F945" s="1282"/>
      <c r="G945" s="1281"/>
      <c r="H945" s="1281"/>
    </row>
    <row r="946" spans="1:8" x14ac:dyDescent="0.2">
      <c r="A946" s="1280" t="s">
        <v>4459</v>
      </c>
      <c r="B946" s="1281" t="s">
        <v>2623</v>
      </c>
      <c r="C946" s="1281">
        <v>12</v>
      </c>
      <c r="D946" s="1281" t="s">
        <v>2650</v>
      </c>
      <c r="E946" s="1280" t="s">
        <v>4460</v>
      </c>
      <c r="F946" s="1282" t="s">
        <v>2659</v>
      </c>
      <c r="G946" s="1281" t="s">
        <v>2659</v>
      </c>
      <c r="H946" s="1281"/>
    </row>
    <row r="947" spans="1:8" x14ac:dyDescent="0.2">
      <c r="A947" s="1280" t="s">
        <v>4461</v>
      </c>
      <c r="B947" s="1281"/>
      <c r="C947" s="1281">
        <v>0</v>
      </c>
      <c r="D947" s="1281" t="s">
        <v>2686</v>
      </c>
      <c r="E947" s="1280" t="s">
        <v>4462</v>
      </c>
      <c r="F947" s="1282"/>
      <c r="G947" s="1281"/>
      <c r="H947" s="1281">
        <v>1</v>
      </c>
    </row>
    <row r="948" spans="1:8" x14ac:dyDescent="0.2">
      <c r="A948" s="1280" t="s">
        <v>4463</v>
      </c>
      <c r="B948" s="1281"/>
      <c r="C948" s="1281">
        <v>0</v>
      </c>
      <c r="D948" s="1281" t="s">
        <v>2667</v>
      </c>
      <c r="E948" s="1280" t="s">
        <v>4464</v>
      </c>
      <c r="F948" s="1282"/>
      <c r="G948" s="1281"/>
      <c r="H948" s="1281"/>
    </row>
    <row r="949" spans="1:8" x14ac:dyDescent="0.2">
      <c r="A949" s="1280" t="s">
        <v>4465</v>
      </c>
      <c r="B949" s="1281"/>
      <c r="C949" s="1281">
        <v>0</v>
      </c>
      <c r="D949" s="1281" t="s">
        <v>2686</v>
      </c>
      <c r="E949" s="1280" t="s">
        <v>4466</v>
      </c>
      <c r="F949" s="1282"/>
      <c r="G949" s="1281"/>
      <c r="H949" s="1281"/>
    </row>
    <row r="950" spans="1:8" x14ac:dyDescent="0.2">
      <c r="A950" s="1280" t="s">
        <v>4467</v>
      </c>
      <c r="B950" s="1281" t="s">
        <v>2623</v>
      </c>
      <c r="C950" s="1281">
        <v>2</v>
      </c>
      <c r="D950" s="1281" t="s">
        <v>2667</v>
      </c>
      <c r="E950" s="1280" t="s">
        <v>4468</v>
      </c>
      <c r="F950" s="1282"/>
      <c r="G950" s="1281"/>
      <c r="H950" s="1281"/>
    </row>
    <row r="951" spans="1:8" x14ac:dyDescent="0.2">
      <c r="A951" s="1280" t="s">
        <v>4469</v>
      </c>
      <c r="B951" s="1281" t="s">
        <v>2623</v>
      </c>
      <c r="C951" s="1281">
        <v>0</v>
      </c>
      <c r="D951" s="1281" t="s">
        <v>2650</v>
      </c>
      <c r="E951" s="1280" t="s">
        <v>4470</v>
      </c>
      <c r="F951" s="1282"/>
      <c r="G951" s="1281"/>
      <c r="H951" s="1281"/>
    </row>
    <row r="952" spans="1:8" x14ac:dyDescent="0.2">
      <c r="A952" s="1280" t="s">
        <v>4471</v>
      </c>
      <c r="B952" s="1281" t="s">
        <v>2623</v>
      </c>
      <c r="C952" s="1281">
        <v>0</v>
      </c>
      <c r="D952" s="1281"/>
      <c r="E952" s="1280" t="s">
        <v>4472</v>
      </c>
      <c r="F952" s="1282" t="s">
        <v>2659</v>
      </c>
      <c r="G952" s="1281"/>
      <c r="H952" s="1281"/>
    </row>
    <row r="953" spans="1:8" x14ac:dyDescent="0.2">
      <c r="A953" s="1280" t="s">
        <v>4473</v>
      </c>
      <c r="B953" s="1281" t="s">
        <v>2623</v>
      </c>
      <c r="C953" s="1281">
        <v>6</v>
      </c>
      <c r="D953" s="1281" t="s">
        <v>2653</v>
      </c>
      <c r="E953" s="1280" t="s">
        <v>4474</v>
      </c>
      <c r="F953" s="1282"/>
      <c r="G953" s="1281"/>
      <c r="H953" s="1281"/>
    </row>
    <row r="954" spans="1:8" x14ac:dyDescent="0.2">
      <c r="A954" s="1280" t="s">
        <v>4475</v>
      </c>
      <c r="B954" s="1281" t="s">
        <v>2623</v>
      </c>
      <c r="C954" s="1281">
        <v>9</v>
      </c>
      <c r="D954" s="1281" t="s">
        <v>2650</v>
      </c>
      <c r="E954" s="1280" t="s">
        <v>4476</v>
      </c>
      <c r="F954" s="1282"/>
      <c r="G954" s="1281"/>
      <c r="H954" s="1281"/>
    </row>
    <row r="955" spans="1:8" x14ac:dyDescent="0.2">
      <c r="A955" s="1283" t="s">
        <v>4477</v>
      </c>
      <c r="B955" s="1281" t="s">
        <v>2623</v>
      </c>
      <c r="C955" s="1281">
        <v>0</v>
      </c>
      <c r="D955" s="1281"/>
      <c r="E955" s="1280"/>
      <c r="F955" s="1282"/>
      <c r="G955" s="1281"/>
      <c r="H955" s="1281"/>
    </row>
    <row r="956" spans="1:8" x14ac:dyDescent="0.2">
      <c r="A956" s="1280" t="s">
        <v>4478</v>
      </c>
      <c r="B956" s="1281"/>
      <c r="C956" s="1281">
        <v>0</v>
      </c>
      <c r="D956" s="1281" t="s">
        <v>2650</v>
      </c>
      <c r="E956" s="1280" t="s">
        <v>4479</v>
      </c>
      <c r="F956" s="1282"/>
      <c r="G956" s="1281"/>
      <c r="H956" s="1281"/>
    </row>
    <row r="957" spans="1:8" x14ac:dyDescent="0.2">
      <c r="A957" s="1280" t="s">
        <v>4480</v>
      </c>
      <c r="B957" s="1281" t="s">
        <v>2623</v>
      </c>
      <c r="C957" s="1281">
        <v>8</v>
      </c>
      <c r="D957" s="1281" t="s">
        <v>2667</v>
      </c>
      <c r="E957" s="1280" t="s">
        <v>4481</v>
      </c>
      <c r="F957" s="1282"/>
      <c r="G957" s="1281"/>
      <c r="H957" s="1281"/>
    </row>
    <row r="958" spans="1:8" x14ac:dyDescent="0.2">
      <c r="A958" s="1280" t="s">
        <v>4482</v>
      </c>
      <c r="B958" s="1281" t="s">
        <v>2623</v>
      </c>
      <c r="C958" s="1281">
        <v>17</v>
      </c>
      <c r="D958" s="1281" t="s">
        <v>2650</v>
      </c>
      <c r="E958" s="1280" t="s">
        <v>4483</v>
      </c>
      <c r="F958" s="1282"/>
      <c r="G958" s="1281"/>
      <c r="H958" s="1281"/>
    </row>
    <row r="959" spans="1:8" x14ac:dyDescent="0.2">
      <c r="A959" s="1280" t="s">
        <v>4484</v>
      </c>
      <c r="B959" s="1281" t="s">
        <v>2623</v>
      </c>
      <c r="C959" s="1281">
        <v>0</v>
      </c>
      <c r="D959" s="1281" t="s">
        <v>2653</v>
      </c>
      <c r="E959" s="1280" t="s">
        <v>4485</v>
      </c>
      <c r="F959" s="1282"/>
      <c r="G959" s="1281"/>
      <c r="H959" s="1281"/>
    </row>
    <row r="960" spans="1:8" x14ac:dyDescent="0.2">
      <c r="A960" s="1280" t="s">
        <v>4486</v>
      </c>
      <c r="B960" s="1281" t="s">
        <v>2623</v>
      </c>
      <c r="C960" s="1281">
        <v>1</v>
      </c>
      <c r="D960" s="1281" t="s">
        <v>2650</v>
      </c>
      <c r="E960" s="1280" t="s">
        <v>4487</v>
      </c>
      <c r="F960" s="1282"/>
      <c r="G960" s="1281"/>
      <c r="H960" s="1281"/>
    </row>
    <row r="961" spans="1:8" x14ac:dyDescent="0.2">
      <c r="A961" s="1280" t="s">
        <v>4488</v>
      </c>
      <c r="B961" s="1281" t="s">
        <v>2623</v>
      </c>
      <c r="C961" s="1281">
        <v>7</v>
      </c>
      <c r="D961" s="1281" t="s">
        <v>2650</v>
      </c>
      <c r="E961" s="1280" t="s">
        <v>4489</v>
      </c>
      <c r="F961" s="1282"/>
      <c r="G961" s="1281"/>
      <c r="H961" s="1281"/>
    </row>
    <row r="962" spans="1:8" x14ac:dyDescent="0.2">
      <c r="A962" s="1280" t="s">
        <v>4490</v>
      </c>
      <c r="B962" s="1281" t="s">
        <v>2623</v>
      </c>
      <c r="C962" s="1281">
        <v>15</v>
      </c>
      <c r="D962" s="1281"/>
      <c r="E962" s="1280" t="s">
        <v>4491</v>
      </c>
      <c r="F962" s="1282"/>
      <c r="G962" s="1281"/>
      <c r="H962" s="1281"/>
    </row>
    <row r="963" spans="1:8" x14ac:dyDescent="0.2">
      <c r="A963" s="1280" t="s">
        <v>4492</v>
      </c>
      <c r="B963" s="1281" t="s">
        <v>2623</v>
      </c>
      <c r="C963" s="1281">
        <v>0</v>
      </c>
      <c r="D963" s="1281" t="s">
        <v>2645</v>
      </c>
      <c r="E963" s="1280" t="s">
        <v>4493</v>
      </c>
      <c r="F963" s="1282"/>
      <c r="G963" s="1281"/>
      <c r="H963" s="1281"/>
    </row>
    <row r="964" spans="1:8" x14ac:dyDescent="0.2">
      <c r="A964" s="1280" t="s">
        <v>4494</v>
      </c>
      <c r="B964" s="1281" t="s">
        <v>2623</v>
      </c>
      <c r="C964" s="1281">
        <v>0</v>
      </c>
      <c r="D964" s="1281" t="s">
        <v>2650</v>
      </c>
      <c r="E964" s="1280" t="s">
        <v>4495</v>
      </c>
      <c r="F964" s="1282"/>
      <c r="G964" s="1281"/>
      <c r="H964" s="1281"/>
    </row>
    <row r="965" spans="1:8" x14ac:dyDescent="0.2">
      <c r="A965" s="1280" t="s">
        <v>4496</v>
      </c>
      <c r="B965" s="1281" t="s">
        <v>2623</v>
      </c>
      <c r="C965" s="1281">
        <v>14</v>
      </c>
      <c r="D965" s="1281" t="s">
        <v>2686</v>
      </c>
      <c r="E965" s="1280" t="s">
        <v>4497</v>
      </c>
      <c r="F965" s="1282"/>
      <c r="G965" s="1281"/>
      <c r="H965" s="1281"/>
    </row>
    <row r="966" spans="1:8" x14ac:dyDescent="0.2">
      <c r="A966" s="1280" t="s">
        <v>4498</v>
      </c>
      <c r="B966" s="1281"/>
      <c r="C966" s="1281">
        <v>0</v>
      </c>
      <c r="D966" s="1281" t="s">
        <v>2650</v>
      </c>
      <c r="E966" s="1280" t="s">
        <v>4499</v>
      </c>
      <c r="F966" s="1282"/>
      <c r="G966" s="1281"/>
      <c r="H966" s="1281"/>
    </row>
    <row r="967" spans="1:8" x14ac:dyDescent="0.2">
      <c r="A967" s="1280" t="s">
        <v>4500</v>
      </c>
      <c r="B967" s="1281" t="s">
        <v>2623</v>
      </c>
      <c r="C967" s="1281">
        <v>0</v>
      </c>
      <c r="D967" s="1281" t="s">
        <v>2667</v>
      </c>
      <c r="E967" s="1280" t="s">
        <v>4501</v>
      </c>
      <c r="F967" s="1282"/>
      <c r="G967" s="1281"/>
      <c r="H967" s="1281"/>
    </row>
    <row r="968" spans="1:8" x14ac:dyDescent="0.2">
      <c r="A968" s="1280" t="s">
        <v>4502</v>
      </c>
      <c r="B968" s="1281" t="s">
        <v>2623</v>
      </c>
      <c r="C968" s="1281">
        <v>0</v>
      </c>
      <c r="D968" s="1281" t="s">
        <v>2686</v>
      </c>
      <c r="E968" s="1280" t="s">
        <v>4503</v>
      </c>
      <c r="F968" s="1282"/>
      <c r="G968" s="1281"/>
      <c r="H968" s="1281">
        <v>1</v>
      </c>
    </row>
    <row r="969" spans="1:8" x14ac:dyDescent="0.2">
      <c r="A969" s="1280" t="s">
        <v>4504</v>
      </c>
      <c r="B969" s="1281" t="s">
        <v>2623</v>
      </c>
      <c r="C969" s="1281">
        <v>3</v>
      </c>
      <c r="D969" s="1281" t="s">
        <v>2650</v>
      </c>
      <c r="E969" s="1280" t="s">
        <v>4505</v>
      </c>
      <c r="F969" s="1282"/>
      <c r="G969" s="1281"/>
      <c r="H969" s="1281"/>
    </row>
    <row r="970" spans="1:8" x14ac:dyDescent="0.2">
      <c r="A970" s="1280" t="s">
        <v>4506</v>
      </c>
      <c r="B970" s="1281"/>
      <c r="C970" s="1281">
        <v>0</v>
      </c>
      <c r="D970" s="1281" t="s">
        <v>2650</v>
      </c>
      <c r="E970" s="1280" t="s">
        <v>4507</v>
      </c>
      <c r="F970" s="1282" t="s">
        <v>2659</v>
      </c>
      <c r="G970" s="1281"/>
      <c r="H970" s="1281"/>
    </row>
    <row r="971" spans="1:8" x14ac:dyDescent="0.2">
      <c r="A971" s="1280" t="s">
        <v>4508</v>
      </c>
      <c r="B971" s="1281" t="s">
        <v>2623</v>
      </c>
      <c r="C971" s="1281">
        <v>3</v>
      </c>
      <c r="D971" s="1281" t="s">
        <v>2653</v>
      </c>
      <c r="E971" s="1280" t="s">
        <v>4509</v>
      </c>
      <c r="F971" s="1282"/>
      <c r="G971" s="1281"/>
      <c r="H971" s="1281"/>
    </row>
    <row r="972" spans="1:8" x14ac:dyDescent="0.2">
      <c r="A972" s="1280" t="s">
        <v>4510</v>
      </c>
      <c r="B972" s="1281"/>
      <c r="C972" s="1281">
        <v>0</v>
      </c>
      <c r="D972" s="1281" t="s">
        <v>2645</v>
      </c>
      <c r="E972" s="1280" t="s">
        <v>4511</v>
      </c>
      <c r="F972" s="1282"/>
      <c r="G972" s="1281"/>
      <c r="H972" s="1281"/>
    </row>
    <row r="973" spans="1:8" x14ac:dyDescent="0.2">
      <c r="A973" s="1280" t="s">
        <v>4512</v>
      </c>
      <c r="B973" s="1281" t="s">
        <v>2623</v>
      </c>
      <c r="C973" s="1281">
        <v>12</v>
      </c>
      <c r="D973" s="1281" t="s">
        <v>2653</v>
      </c>
      <c r="E973" s="1280" t="s">
        <v>4513</v>
      </c>
      <c r="F973" s="1282"/>
      <c r="G973" s="1281"/>
      <c r="H973" s="1281"/>
    </row>
    <row r="974" spans="1:8" x14ac:dyDescent="0.2">
      <c r="A974" s="1280" t="s">
        <v>4514</v>
      </c>
      <c r="B974" s="1281" t="s">
        <v>2623</v>
      </c>
      <c r="C974" s="1281">
        <v>5</v>
      </c>
      <c r="D974" s="1281" t="s">
        <v>2645</v>
      </c>
      <c r="E974" s="1280" t="s">
        <v>4515</v>
      </c>
      <c r="F974" s="1282" t="s">
        <v>2659</v>
      </c>
      <c r="G974" s="1281"/>
      <c r="H974" s="1281"/>
    </row>
    <row r="975" spans="1:8" x14ac:dyDescent="0.2">
      <c r="A975" s="1280" t="s">
        <v>4516</v>
      </c>
      <c r="B975" s="1281" t="s">
        <v>2623</v>
      </c>
      <c r="C975" s="1281">
        <v>0</v>
      </c>
      <c r="D975" s="1281" t="s">
        <v>2645</v>
      </c>
      <c r="E975" s="1280" t="s">
        <v>4517</v>
      </c>
      <c r="F975" s="1282"/>
      <c r="G975" s="1281"/>
      <c r="H975" s="1281">
        <v>2</v>
      </c>
    </row>
    <row r="976" spans="1:8" x14ac:dyDescent="0.2">
      <c r="A976" s="1280" t="s">
        <v>4518</v>
      </c>
      <c r="B976" s="1281" t="s">
        <v>2623</v>
      </c>
      <c r="C976" s="1281">
        <v>2</v>
      </c>
      <c r="D976" s="1281" t="s">
        <v>2650</v>
      </c>
      <c r="E976" s="1280" t="s">
        <v>4519</v>
      </c>
      <c r="F976" s="1282"/>
      <c r="G976" s="1281"/>
      <c r="H976" s="1281"/>
    </row>
    <row r="977" spans="1:8" x14ac:dyDescent="0.2">
      <c r="A977" s="1280" t="s">
        <v>4520</v>
      </c>
      <c r="B977" s="1281" t="s">
        <v>2623</v>
      </c>
      <c r="C977" s="1281">
        <v>9</v>
      </c>
      <c r="D977" s="1281" t="s">
        <v>2686</v>
      </c>
      <c r="E977" s="1280" t="s">
        <v>4521</v>
      </c>
      <c r="F977" s="1282"/>
      <c r="G977" s="1281"/>
      <c r="H977" s="1281"/>
    </row>
    <row r="978" spans="1:8" x14ac:dyDescent="0.2">
      <c r="A978" s="1280" t="s">
        <v>4522</v>
      </c>
      <c r="B978" s="1281" t="s">
        <v>2623</v>
      </c>
      <c r="C978" s="1281">
        <v>4</v>
      </c>
      <c r="D978" s="1281" t="s">
        <v>2653</v>
      </c>
      <c r="E978" s="1280" t="s">
        <v>4523</v>
      </c>
      <c r="F978" s="1282" t="s">
        <v>2659</v>
      </c>
      <c r="G978" s="1281"/>
      <c r="H978" s="1281"/>
    </row>
    <row r="979" spans="1:8" x14ac:dyDescent="0.2">
      <c r="A979" s="1280" t="s">
        <v>4524</v>
      </c>
      <c r="B979" s="1281" t="s">
        <v>2623</v>
      </c>
      <c r="C979" s="1281">
        <v>0</v>
      </c>
      <c r="D979" s="1281" t="s">
        <v>2650</v>
      </c>
      <c r="E979" s="1280" t="s">
        <v>4525</v>
      </c>
      <c r="F979" s="1282"/>
      <c r="G979" s="1281"/>
      <c r="H979" s="1281"/>
    </row>
    <row r="980" spans="1:8" x14ac:dyDescent="0.2">
      <c r="A980" s="1280" t="s">
        <v>4526</v>
      </c>
      <c r="B980" s="1281" t="s">
        <v>2623</v>
      </c>
      <c r="C980" s="1281">
        <v>19</v>
      </c>
      <c r="D980" s="1281" t="s">
        <v>2653</v>
      </c>
      <c r="E980" s="1280" t="s">
        <v>4527</v>
      </c>
      <c r="F980" s="1282"/>
      <c r="G980" s="1281"/>
      <c r="H980" s="1281"/>
    </row>
    <row r="981" spans="1:8" x14ac:dyDescent="0.2">
      <c r="A981" s="1280" t="s">
        <v>4528</v>
      </c>
      <c r="B981" s="1281" t="s">
        <v>2623</v>
      </c>
      <c r="C981" s="1281">
        <v>16</v>
      </c>
      <c r="D981" s="1281" t="s">
        <v>2650</v>
      </c>
      <c r="E981" s="1280" t="s">
        <v>4529</v>
      </c>
      <c r="F981" s="1282"/>
      <c r="G981" s="1281"/>
      <c r="H981" s="1281"/>
    </row>
    <row r="982" spans="1:8" x14ac:dyDescent="0.2">
      <c r="A982" s="1280" t="s">
        <v>4530</v>
      </c>
      <c r="B982" s="1281"/>
      <c r="C982" s="1281">
        <v>0</v>
      </c>
      <c r="D982" s="1281" t="s">
        <v>2686</v>
      </c>
      <c r="E982" s="1280" t="s">
        <v>4531</v>
      </c>
      <c r="F982" s="1282"/>
      <c r="G982" s="1281"/>
      <c r="H982" s="1281"/>
    </row>
    <row r="983" spans="1:8" x14ac:dyDescent="0.2">
      <c r="A983" s="1280" t="s">
        <v>4532</v>
      </c>
      <c r="B983" s="1281" t="s">
        <v>2623</v>
      </c>
      <c r="C983" s="1281">
        <v>20</v>
      </c>
      <c r="D983" s="1281" t="s">
        <v>2653</v>
      </c>
      <c r="E983" s="1280" t="s">
        <v>4533</v>
      </c>
      <c r="F983" s="1282"/>
      <c r="G983" s="1281"/>
      <c r="H983" s="1281"/>
    </row>
    <row r="984" spans="1:8" x14ac:dyDescent="0.2">
      <c r="A984" s="1280" t="s">
        <v>4534</v>
      </c>
      <c r="B984" s="1281"/>
      <c r="C984" s="1281">
        <v>0</v>
      </c>
      <c r="D984" s="1281" t="s">
        <v>2653</v>
      </c>
      <c r="E984" s="1280" t="s">
        <v>4535</v>
      </c>
      <c r="F984" s="1282" t="s">
        <v>2659</v>
      </c>
      <c r="G984" s="1281"/>
      <c r="H984" s="1281"/>
    </row>
    <row r="985" spans="1:8" x14ac:dyDescent="0.2">
      <c r="A985" s="1280" t="s">
        <v>4536</v>
      </c>
      <c r="B985" s="1281"/>
      <c r="C985" s="1281">
        <v>0</v>
      </c>
      <c r="D985" s="1281" t="s">
        <v>2650</v>
      </c>
      <c r="E985" s="1280" t="s">
        <v>4537</v>
      </c>
      <c r="F985" s="1282" t="s">
        <v>2659</v>
      </c>
      <c r="G985" s="1281"/>
      <c r="H985" s="1281"/>
    </row>
    <row r="986" spans="1:8" x14ac:dyDescent="0.2">
      <c r="A986" s="1280" t="s">
        <v>4538</v>
      </c>
      <c r="B986" s="1281" t="s">
        <v>2623</v>
      </c>
      <c r="C986" s="1281">
        <v>9</v>
      </c>
      <c r="D986" s="1281" t="s">
        <v>2650</v>
      </c>
      <c r="E986" s="1280" t="s">
        <v>4539</v>
      </c>
      <c r="F986" s="1282" t="s">
        <v>2659</v>
      </c>
      <c r="G986" s="1281"/>
      <c r="H986" s="1281"/>
    </row>
    <row r="987" spans="1:8" x14ac:dyDescent="0.2">
      <c r="A987" s="1280" t="s">
        <v>4540</v>
      </c>
      <c r="B987" s="1281" t="s">
        <v>2623</v>
      </c>
      <c r="C987" s="1281">
        <v>0</v>
      </c>
      <c r="D987" s="1281" t="s">
        <v>2650</v>
      </c>
      <c r="E987" s="1280" t="s">
        <v>4541</v>
      </c>
      <c r="F987" s="1282"/>
      <c r="G987" s="1281"/>
      <c r="H987" s="1281"/>
    </row>
    <row r="988" spans="1:8" x14ac:dyDescent="0.2">
      <c r="A988" s="1280" t="s">
        <v>4542</v>
      </c>
      <c r="B988" s="1281" t="s">
        <v>2623</v>
      </c>
      <c r="C988" s="1281">
        <v>2</v>
      </c>
      <c r="D988" s="1281" t="s">
        <v>2650</v>
      </c>
      <c r="E988" s="1280" t="s">
        <v>4543</v>
      </c>
      <c r="F988" s="1282" t="s">
        <v>2659</v>
      </c>
      <c r="G988" s="1281"/>
      <c r="H988" s="1281"/>
    </row>
    <row r="989" spans="1:8" x14ac:dyDescent="0.2">
      <c r="A989" s="1280" t="s">
        <v>4544</v>
      </c>
      <c r="B989" s="1281"/>
      <c r="C989" s="1281">
        <v>0</v>
      </c>
      <c r="D989" s="1281" t="s">
        <v>2686</v>
      </c>
      <c r="E989" s="1280" t="s">
        <v>4545</v>
      </c>
      <c r="F989" s="1282"/>
      <c r="G989" s="1281"/>
      <c r="H989" s="1281"/>
    </row>
    <row r="990" spans="1:8" x14ac:dyDescent="0.2">
      <c r="A990" s="1280" t="s">
        <v>4546</v>
      </c>
      <c r="B990" s="1281"/>
      <c r="C990" s="1281">
        <v>0</v>
      </c>
      <c r="D990" s="1281" t="s">
        <v>2645</v>
      </c>
      <c r="E990" s="1280" t="s">
        <v>4547</v>
      </c>
      <c r="F990" s="1282"/>
      <c r="G990" s="1281"/>
      <c r="H990" s="1281"/>
    </row>
    <row r="991" spans="1:8" x14ac:dyDescent="0.2">
      <c r="A991" s="1280" t="s">
        <v>4548</v>
      </c>
      <c r="B991" s="1281" t="s">
        <v>2623</v>
      </c>
      <c r="C991" s="1281">
        <v>1</v>
      </c>
      <c r="D991" s="1281" t="s">
        <v>2650</v>
      </c>
      <c r="E991" s="1280" t="s">
        <v>4549</v>
      </c>
      <c r="F991" s="1282" t="s">
        <v>2659</v>
      </c>
      <c r="G991" s="1281"/>
      <c r="H991" s="1281"/>
    </row>
    <row r="992" spans="1:8" x14ac:dyDescent="0.2">
      <c r="A992" s="1280" t="s">
        <v>4550</v>
      </c>
      <c r="B992" s="1281"/>
      <c r="C992" s="1281">
        <v>0</v>
      </c>
      <c r="D992" s="1281" t="s">
        <v>2686</v>
      </c>
      <c r="E992" s="1280" t="s">
        <v>4551</v>
      </c>
      <c r="F992" s="1282" t="s">
        <v>2659</v>
      </c>
      <c r="G992" s="1281"/>
      <c r="H992" s="1281"/>
    </row>
    <row r="993" spans="1:8" x14ac:dyDescent="0.2">
      <c r="A993" s="1280" t="s">
        <v>4552</v>
      </c>
      <c r="B993" s="1281" t="s">
        <v>2623</v>
      </c>
      <c r="C993" s="1281">
        <v>1</v>
      </c>
      <c r="D993" s="1281" t="s">
        <v>2686</v>
      </c>
      <c r="E993" s="1280" t="s">
        <v>4553</v>
      </c>
      <c r="F993" s="1282" t="s">
        <v>2659</v>
      </c>
      <c r="G993" s="1281"/>
      <c r="H993" s="1281"/>
    </row>
    <row r="994" spans="1:8" x14ac:dyDescent="0.2">
      <c r="A994" s="1280" t="s">
        <v>4554</v>
      </c>
      <c r="B994" s="1281" t="s">
        <v>2623</v>
      </c>
      <c r="C994" s="1281">
        <v>0</v>
      </c>
      <c r="D994" s="1281" t="s">
        <v>2667</v>
      </c>
      <c r="E994" s="1280" t="s">
        <v>4555</v>
      </c>
      <c r="F994" s="1282"/>
      <c r="G994" s="1281"/>
      <c r="H994" s="1281"/>
    </row>
    <row r="995" spans="1:8" x14ac:dyDescent="0.2">
      <c r="A995" s="1280" t="s">
        <v>4556</v>
      </c>
      <c r="B995" s="1281"/>
      <c r="C995" s="1281">
        <v>0</v>
      </c>
      <c r="D995" s="1281" t="s">
        <v>2650</v>
      </c>
      <c r="E995" s="1280"/>
      <c r="F995" s="1282"/>
      <c r="G995" s="1281"/>
      <c r="H995" s="1281"/>
    </row>
    <row r="996" spans="1:8" x14ac:dyDescent="0.2">
      <c r="A996" s="1280" t="s">
        <v>4557</v>
      </c>
      <c r="B996" s="1281" t="s">
        <v>2623</v>
      </c>
      <c r="C996" s="1281">
        <v>2</v>
      </c>
      <c r="D996" s="1281"/>
      <c r="E996" s="1280"/>
      <c r="F996" s="1282"/>
      <c r="G996" s="1281"/>
      <c r="H996" s="1281"/>
    </row>
    <row r="997" spans="1:8" x14ac:dyDescent="0.2">
      <c r="A997" s="1280" t="s">
        <v>4558</v>
      </c>
      <c r="B997" s="1281" t="s">
        <v>2623</v>
      </c>
      <c r="C997" s="1281">
        <v>5</v>
      </c>
      <c r="D997" s="1281" t="s">
        <v>2686</v>
      </c>
      <c r="E997" s="1280" t="s">
        <v>4559</v>
      </c>
      <c r="F997" s="1282"/>
      <c r="G997" s="1281"/>
      <c r="H997" s="1281"/>
    </row>
    <row r="998" spans="1:8" x14ac:dyDescent="0.2">
      <c r="A998" s="1280" t="s">
        <v>4560</v>
      </c>
      <c r="B998" s="1281" t="s">
        <v>2623</v>
      </c>
      <c r="C998" s="1281">
        <v>1</v>
      </c>
      <c r="D998" s="1281" t="s">
        <v>2667</v>
      </c>
      <c r="E998" s="1280" t="s">
        <v>4561</v>
      </c>
      <c r="F998" s="1282"/>
      <c r="G998" s="1281"/>
      <c r="H998" s="1281"/>
    </row>
    <row r="999" spans="1:8" x14ac:dyDescent="0.2">
      <c r="A999" s="1280" t="s">
        <v>4562</v>
      </c>
      <c r="B999" s="1281" t="s">
        <v>2623</v>
      </c>
      <c r="C999" s="1281">
        <v>1</v>
      </c>
      <c r="D999" s="1281" t="s">
        <v>2667</v>
      </c>
      <c r="E999" s="1280" t="s">
        <v>4563</v>
      </c>
      <c r="F999" s="1282"/>
      <c r="G999" s="1281"/>
      <c r="H999" s="1281"/>
    </row>
    <row r="1000" spans="1:8" x14ac:dyDescent="0.2">
      <c r="A1000" s="1280" t="s">
        <v>4564</v>
      </c>
      <c r="B1000" s="1281"/>
      <c r="C1000" s="1281">
        <v>0</v>
      </c>
      <c r="D1000" s="1281" t="s">
        <v>2653</v>
      </c>
      <c r="E1000" s="1280" t="s">
        <v>4565</v>
      </c>
      <c r="F1000" s="1282"/>
      <c r="G1000" s="1281"/>
      <c r="H1000" s="1281"/>
    </row>
    <row r="1001" spans="1:8" x14ac:dyDescent="0.2">
      <c r="A1001" s="1280" t="s">
        <v>4566</v>
      </c>
      <c r="B1001" s="1281" t="s">
        <v>2623</v>
      </c>
      <c r="C1001" s="1281">
        <v>9</v>
      </c>
      <c r="D1001" s="1281" t="s">
        <v>2686</v>
      </c>
      <c r="E1001" s="1280" t="s">
        <v>4567</v>
      </c>
      <c r="F1001" s="1282"/>
      <c r="G1001" s="1281"/>
      <c r="H1001" s="1281"/>
    </row>
    <row r="1002" spans="1:8" x14ac:dyDescent="0.2">
      <c r="A1002" s="1280" t="s">
        <v>4568</v>
      </c>
      <c r="B1002" s="1281" t="s">
        <v>2623</v>
      </c>
      <c r="C1002" s="1281">
        <v>2</v>
      </c>
      <c r="D1002" s="1281" t="s">
        <v>2650</v>
      </c>
      <c r="E1002" s="1280" t="s">
        <v>4569</v>
      </c>
      <c r="F1002" s="1282"/>
      <c r="G1002" s="1281"/>
      <c r="H1002" s="1281"/>
    </row>
    <row r="1003" spans="1:8" x14ac:dyDescent="0.2">
      <c r="A1003" s="1280" t="s">
        <v>4570</v>
      </c>
      <c r="B1003" s="1281" t="s">
        <v>2623</v>
      </c>
      <c r="C1003" s="1281">
        <v>2</v>
      </c>
      <c r="D1003" s="1281" t="s">
        <v>2650</v>
      </c>
      <c r="E1003" s="1280" t="s">
        <v>4571</v>
      </c>
      <c r="F1003" s="1282" t="s">
        <v>2659</v>
      </c>
      <c r="G1003" s="1281"/>
      <c r="H1003" s="1281"/>
    </row>
    <row r="1004" spans="1:8" x14ac:dyDescent="0.2">
      <c r="A1004" s="1280" t="s">
        <v>4572</v>
      </c>
      <c r="B1004" s="1281" t="s">
        <v>2623</v>
      </c>
      <c r="C1004" s="1281">
        <v>0</v>
      </c>
      <c r="D1004" s="1281" t="s">
        <v>2650</v>
      </c>
      <c r="E1004" s="1280" t="s">
        <v>4573</v>
      </c>
      <c r="F1004" s="1282"/>
      <c r="G1004" s="1281"/>
      <c r="H1004" s="1281"/>
    </row>
    <row r="1005" spans="1:8" x14ac:dyDescent="0.2">
      <c r="A1005" s="1280" t="s">
        <v>4574</v>
      </c>
      <c r="B1005" s="1281"/>
      <c r="C1005" s="1281">
        <v>0</v>
      </c>
      <c r="D1005" s="1281" t="s">
        <v>2667</v>
      </c>
      <c r="E1005" s="1280" t="s">
        <v>4575</v>
      </c>
      <c r="F1005" s="1282"/>
      <c r="G1005" s="1281"/>
      <c r="H1005" s="1281"/>
    </row>
    <row r="1006" spans="1:8" x14ac:dyDescent="0.2">
      <c r="A1006" s="1280" t="s">
        <v>4576</v>
      </c>
      <c r="B1006" s="1281"/>
      <c r="C1006" s="1281">
        <v>0</v>
      </c>
      <c r="D1006" s="1281" t="s">
        <v>2667</v>
      </c>
      <c r="E1006" s="1280" t="s">
        <v>4577</v>
      </c>
      <c r="F1006" s="1282"/>
      <c r="G1006" s="1281"/>
      <c r="H1006" s="1281"/>
    </row>
    <row r="1007" spans="1:8" x14ac:dyDescent="0.2">
      <c r="A1007" s="1280" t="s">
        <v>4578</v>
      </c>
      <c r="B1007" s="1281" t="s">
        <v>2623</v>
      </c>
      <c r="C1007" s="1281">
        <v>5</v>
      </c>
      <c r="D1007" s="1281"/>
      <c r="E1007" s="1280"/>
      <c r="F1007" s="1282"/>
      <c r="G1007" s="1281"/>
      <c r="H1007" s="1281"/>
    </row>
    <row r="1008" spans="1:8" x14ac:dyDescent="0.2">
      <c r="A1008" s="1280" t="s">
        <v>4579</v>
      </c>
      <c r="B1008" s="1281" t="s">
        <v>2623</v>
      </c>
      <c r="C1008" s="1281">
        <v>13</v>
      </c>
      <c r="D1008" s="1281" t="s">
        <v>2650</v>
      </c>
      <c r="E1008" s="1280" t="s">
        <v>4580</v>
      </c>
      <c r="F1008" s="1282"/>
      <c r="G1008" s="1281"/>
      <c r="H1008" s="1281"/>
    </row>
    <row r="1009" spans="1:8" x14ac:dyDescent="0.2">
      <c r="A1009" s="1280" t="s">
        <v>4581</v>
      </c>
      <c r="B1009" s="1281" t="s">
        <v>2623</v>
      </c>
      <c r="C1009" s="1281">
        <v>0</v>
      </c>
      <c r="D1009" s="1281" t="s">
        <v>2686</v>
      </c>
      <c r="E1009" s="1280" t="s">
        <v>4582</v>
      </c>
      <c r="F1009" s="1282"/>
      <c r="G1009" s="1281"/>
      <c r="H1009" s="1281"/>
    </row>
    <row r="1010" spans="1:8" x14ac:dyDescent="0.2">
      <c r="A1010" s="1280" t="s">
        <v>4583</v>
      </c>
      <c r="B1010" s="1281" t="s">
        <v>2623</v>
      </c>
      <c r="C1010" s="1281">
        <v>14</v>
      </c>
      <c r="D1010" s="1281" t="s">
        <v>2653</v>
      </c>
      <c r="E1010" s="1280" t="s">
        <v>4584</v>
      </c>
      <c r="F1010" s="1282"/>
      <c r="G1010" s="1281"/>
      <c r="H1010" s="1281"/>
    </row>
    <row r="1011" spans="1:8" x14ac:dyDescent="0.2">
      <c r="A1011" s="1280" t="s">
        <v>4585</v>
      </c>
      <c r="B1011" s="1281"/>
      <c r="C1011" s="1281">
        <v>0</v>
      </c>
      <c r="D1011" s="1281" t="s">
        <v>2667</v>
      </c>
      <c r="E1011" s="1280" t="s">
        <v>4586</v>
      </c>
      <c r="F1011" s="1282"/>
      <c r="G1011" s="1281"/>
      <c r="H1011" s="1281"/>
    </row>
    <row r="1012" spans="1:8" x14ac:dyDescent="0.2">
      <c r="A1012" s="1280" t="s">
        <v>4587</v>
      </c>
      <c r="B1012" s="1281"/>
      <c r="C1012" s="1281">
        <v>0</v>
      </c>
      <c r="D1012" s="1281" t="s">
        <v>2667</v>
      </c>
      <c r="E1012" s="1280" t="s">
        <v>4588</v>
      </c>
      <c r="F1012" s="1282"/>
      <c r="G1012" s="1281"/>
      <c r="H1012" s="1281">
        <v>1</v>
      </c>
    </row>
    <row r="1013" spans="1:8" x14ac:dyDescent="0.2">
      <c r="A1013" s="1280" t="s">
        <v>4589</v>
      </c>
      <c r="B1013" s="1281" t="s">
        <v>2623</v>
      </c>
      <c r="C1013" s="1281">
        <v>24</v>
      </c>
      <c r="D1013" s="1281" t="s">
        <v>2650</v>
      </c>
      <c r="E1013" s="1280" t="s">
        <v>4590</v>
      </c>
      <c r="F1013" s="1282"/>
      <c r="G1013" s="1281"/>
      <c r="H1013" s="1281"/>
    </row>
    <row r="1014" spans="1:8" x14ac:dyDescent="0.2">
      <c r="A1014" s="1280" t="s">
        <v>4591</v>
      </c>
      <c r="B1014" s="1281" t="s">
        <v>2623</v>
      </c>
      <c r="C1014" s="1281">
        <v>0</v>
      </c>
      <c r="D1014" s="1281" t="s">
        <v>2686</v>
      </c>
      <c r="E1014" s="1280" t="s">
        <v>4592</v>
      </c>
      <c r="F1014" s="1282"/>
      <c r="G1014" s="1281"/>
      <c r="H1014" s="1281"/>
    </row>
    <row r="1015" spans="1:8" x14ac:dyDescent="0.2">
      <c r="A1015" s="1280" t="s">
        <v>4593</v>
      </c>
      <c r="B1015" s="1281" t="s">
        <v>2623</v>
      </c>
      <c r="C1015" s="1281">
        <v>0</v>
      </c>
      <c r="D1015" s="1281" t="s">
        <v>2650</v>
      </c>
      <c r="E1015" s="1280" t="s">
        <v>4594</v>
      </c>
      <c r="F1015" s="1282"/>
      <c r="G1015" s="1281"/>
      <c r="H1015" s="1281"/>
    </row>
    <row r="1016" spans="1:8" x14ac:dyDescent="0.2">
      <c r="A1016" s="1280" t="s">
        <v>4595</v>
      </c>
      <c r="B1016" s="1281" t="s">
        <v>2623</v>
      </c>
      <c r="C1016" s="1281">
        <v>0</v>
      </c>
      <c r="D1016" s="1281" t="s">
        <v>2667</v>
      </c>
      <c r="E1016" s="1280" t="s">
        <v>4596</v>
      </c>
      <c r="F1016" s="1282"/>
      <c r="G1016" s="1281"/>
      <c r="H1016" s="1281"/>
    </row>
    <row r="1017" spans="1:8" x14ac:dyDescent="0.2">
      <c r="A1017" s="1280" t="s">
        <v>4597</v>
      </c>
      <c r="B1017" s="1281" t="s">
        <v>2623</v>
      </c>
      <c r="C1017" s="1281">
        <v>0</v>
      </c>
      <c r="D1017" s="1281"/>
      <c r="E1017" s="1280" t="s">
        <v>4598</v>
      </c>
      <c r="F1017" s="1282"/>
      <c r="G1017" s="1281"/>
      <c r="H1017" s="1281"/>
    </row>
    <row r="1018" spans="1:8" x14ac:dyDescent="0.2">
      <c r="A1018" s="1280" t="s">
        <v>4599</v>
      </c>
      <c r="B1018" s="1281" t="s">
        <v>2623</v>
      </c>
      <c r="C1018" s="1281">
        <v>0</v>
      </c>
      <c r="D1018" s="1281" t="s">
        <v>2667</v>
      </c>
      <c r="E1018" s="1280" t="s">
        <v>4600</v>
      </c>
      <c r="F1018" s="1282"/>
      <c r="G1018" s="1281"/>
      <c r="H1018" s="1281">
        <v>1</v>
      </c>
    </row>
    <row r="1019" spans="1:8" x14ac:dyDescent="0.2">
      <c r="A1019" s="1280" t="s">
        <v>4601</v>
      </c>
      <c r="B1019" s="1281"/>
      <c r="C1019" s="1281">
        <v>0</v>
      </c>
      <c r="D1019" s="1281" t="s">
        <v>2686</v>
      </c>
      <c r="E1019" s="1280" t="s">
        <v>4602</v>
      </c>
      <c r="F1019" s="1282"/>
      <c r="G1019" s="1281"/>
      <c r="H1019" s="1281"/>
    </row>
    <row r="1020" spans="1:8" x14ac:dyDescent="0.2">
      <c r="A1020" s="1280" t="s">
        <v>4603</v>
      </c>
      <c r="B1020" s="1281" t="s">
        <v>2623</v>
      </c>
      <c r="C1020" s="1281">
        <v>10</v>
      </c>
      <c r="D1020" s="1281" t="s">
        <v>2650</v>
      </c>
      <c r="E1020" s="1280" t="s">
        <v>4604</v>
      </c>
      <c r="F1020" s="1282"/>
      <c r="G1020" s="1281"/>
      <c r="H1020" s="1281"/>
    </row>
    <row r="1021" spans="1:8" x14ac:dyDescent="0.2">
      <c r="A1021" s="1280" t="s">
        <v>4605</v>
      </c>
      <c r="B1021" s="1281" t="s">
        <v>2623</v>
      </c>
      <c r="C1021" s="1281">
        <v>1</v>
      </c>
      <c r="D1021" s="1281" t="s">
        <v>2686</v>
      </c>
      <c r="E1021" s="1280"/>
      <c r="F1021" s="1282"/>
      <c r="G1021" s="1281"/>
      <c r="H1021" s="1281"/>
    </row>
    <row r="1022" spans="1:8" x14ac:dyDescent="0.2">
      <c r="A1022" s="1280" t="s">
        <v>4606</v>
      </c>
      <c r="B1022" s="1281" t="s">
        <v>2623</v>
      </c>
      <c r="C1022" s="1281">
        <v>0</v>
      </c>
      <c r="D1022" s="1281"/>
      <c r="E1022" s="1280" t="s">
        <v>4607</v>
      </c>
      <c r="F1022" s="1282"/>
      <c r="G1022" s="1281"/>
      <c r="H1022" s="1281"/>
    </row>
    <row r="1023" spans="1:8" x14ac:dyDescent="0.2">
      <c r="A1023" s="1280" t="s">
        <v>4608</v>
      </c>
      <c r="B1023" s="1281" t="s">
        <v>2623</v>
      </c>
      <c r="C1023" s="1281">
        <v>0</v>
      </c>
      <c r="D1023" s="1281" t="s">
        <v>2686</v>
      </c>
      <c r="E1023" s="1280" t="s">
        <v>4609</v>
      </c>
      <c r="F1023" s="1282"/>
      <c r="G1023" s="1281"/>
      <c r="H1023" s="1281"/>
    </row>
    <row r="1024" spans="1:8" x14ac:dyDescent="0.2">
      <c r="A1024" s="1280" t="s">
        <v>4610</v>
      </c>
      <c r="B1024" s="1281" t="s">
        <v>2623</v>
      </c>
      <c r="C1024" s="1281">
        <v>1</v>
      </c>
      <c r="D1024" s="1281" t="s">
        <v>2650</v>
      </c>
      <c r="E1024" s="1280" t="s">
        <v>4611</v>
      </c>
      <c r="F1024" s="1282"/>
      <c r="G1024" s="1281"/>
      <c r="H1024" s="1281"/>
    </row>
    <row r="1025" spans="1:8" x14ac:dyDescent="0.2">
      <c r="A1025" s="1280" t="s">
        <v>4612</v>
      </c>
      <c r="B1025" s="1281"/>
      <c r="C1025" s="1281">
        <v>0</v>
      </c>
      <c r="D1025" s="1281" t="s">
        <v>2650</v>
      </c>
      <c r="E1025" s="1280" t="s">
        <v>4613</v>
      </c>
      <c r="F1025" s="1282"/>
      <c r="G1025" s="1281"/>
      <c r="H1025" s="1281"/>
    </row>
    <row r="1026" spans="1:8" x14ac:dyDescent="0.2">
      <c r="A1026" s="1280" t="s">
        <v>4614</v>
      </c>
      <c r="B1026" s="1281" t="s">
        <v>2623</v>
      </c>
      <c r="C1026" s="1281">
        <v>5</v>
      </c>
      <c r="D1026" s="1281" t="s">
        <v>2686</v>
      </c>
      <c r="E1026" s="1280" t="s">
        <v>4615</v>
      </c>
      <c r="F1026" s="1282"/>
      <c r="G1026" s="1281"/>
      <c r="H1026" s="1281">
        <v>1</v>
      </c>
    </row>
    <row r="1027" spans="1:8" x14ac:dyDescent="0.2">
      <c r="A1027" s="1280" t="s">
        <v>4616</v>
      </c>
      <c r="B1027" s="1281" t="s">
        <v>2623</v>
      </c>
      <c r="C1027" s="1281">
        <v>0</v>
      </c>
      <c r="D1027" s="1281" t="s">
        <v>2686</v>
      </c>
      <c r="E1027" s="1280" t="s">
        <v>4617</v>
      </c>
      <c r="F1027" s="1282"/>
      <c r="G1027" s="1281"/>
      <c r="H1027" s="1281"/>
    </row>
    <row r="1028" spans="1:8" x14ac:dyDescent="0.2">
      <c r="A1028" s="1280" t="s">
        <v>4618</v>
      </c>
      <c r="B1028" s="1281" t="s">
        <v>2623</v>
      </c>
      <c r="C1028" s="1281">
        <v>0</v>
      </c>
      <c r="D1028" s="1281" t="s">
        <v>2686</v>
      </c>
      <c r="E1028" s="1280" t="s">
        <v>4619</v>
      </c>
      <c r="F1028" s="1282"/>
      <c r="G1028" s="1281"/>
      <c r="H1028" s="1281"/>
    </row>
    <row r="1029" spans="1:8" x14ac:dyDescent="0.2">
      <c r="A1029" s="1280" t="s">
        <v>4620</v>
      </c>
      <c r="B1029" s="1281" t="s">
        <v>2623</v>
      </c>
      <c r="C1029" s="1281">
        <v>3</v>
      </c>
      <c r="D1029" s="1281" t="s">
        <v>2686</v>
      </c>
      <c r="E1029" s="1280"/>
      <c r="F1029" s="1282"/>
      <c r="G1029" s="1281"/>
      <c r="H1029" s="1281"/>
    </row>
    <row r="1030" spans="1:8" x14ac:dyDescent="0.2">
      <c r="A1030" s="1280" t="s">
        <v>4621</v>
      </c>
      <c r="B1030" s="1281" t="s">
        <v>2623</v>
      </c>
      <c r="C1030" s="1281">
        <v>0</v>
      </c>
      <c r="D1030" s="1281" t="s">
        <v>2686</v>
      </c>
      <c r="E1030" s="1280" t="s">
        <v>4622</v>
      </c>
      <c r="F1030" s="1282"/>
      <c r="G1030" s="1281"/>
      <c r="H1030" s="1281"/>
    </row>
    <row r="1031" spans="1:8" x14ac:dyDescent="0.2">
      <c r="A1031" s="1280" t="s">
        <v>4623</v>
      </c>
      <c r="B1031" s="1281"/>
      <c r="C1031" s="1281">
        <v>0</v>
      </c>
      <c r="D1031" s="1281" t="s">
        <v>2650</v>
      </c>
      <c r="E1031" s="1280" t="s">
        <v>4624</v>
      </c>
      <c r="F1031" s="1282"/>
      <c r="G1031" s="1281"/>
      <c r="H1031" s="1281"/>
    </row>
    <row r="1032" spans="1:8" x14ac:dyDescent="0.2">
      <c r="A1032" s="1280" t="s">
        <v>4625</v>
      </c>
      <c r="B1032" s="1281"/>
      <c r="C1032" s="1281">
        <v>0</v>
      </c>
      <c r="D1032" s="1281" t="s">
        <v>2653</v>
      </c>
      <c r="E1032" s="1280" t="s">
        <v>4626</v>
      </c>
      <c r="F1032" s="1282"/>
      <c r="G1032" s="1281"/>
      <c r="H1032" s="1281"/>
    </row>
    <row r="1033" spans="1:8" x14ac:dyDescent="0.2">
      <c r="A1033" s="1280" t="s">
        <v>4627</v>
      </c>
      <c r="B1033" s="1281" t="s">
        <v>2623</v>
      </c>
      <c r="C1033" s="1281">
        <v>3</v>
      </c>
      <c r="D1033" s="1281" t="s">
        <v>2686</v>
      </c>
      <c r="E1033" s="1280" t="s">
        <v>4628</v>
      </c>
      <c r="F1033" s="1282"/>
      <c r="G1033" s="1281"/>
      <c r="H1033" s="1281">
        <v>2</v>
      </c>
    </row>
    <row r="1034" spans="1:8" x14ac:dyDescent="0.2">
      <c r="A1034" s="1280" t="s">
        <v>4629</v>
      </c>
      <c r="B1034" s="1281" t="s">
        <v>2623</v>
      </c>
      <c r="C1034" s="1281">
        <v>0</v>
      </c>
      <c r="D1034" s="1281" t="s">
        <v>2686</v>
      </c>
      <c r="E1034" s="1280" t="s">
        <v>4630</v>
      </c>
      <c r="F1034" s="1282"/>
      <c r="G1034" s="1281"/>
      <c r="H1034" s="1281"/>
    </row>
    <row r="1035" spans="1:8" x14ac:dyDescent="0.2">
      <c r="A1035" s="1280" t="s">
        <v>4631</v>
      </c>
      <c r="B1035" s="1281" t="s">
        <v>2623</v>
      </c>
      <c r="C1035" s="1281">
        <v>1</v>
      </c>
      <c r="D1035" s="1281" t="s">
        <v>2686</v>
      </c>
      <c r="E1035" s="1280" t="s">
        <v>4632</v>
      </c>
      <c r="F1035" s="1282"/>
      <c r="G1035" s="1281"/>
      <c r="H1035" s="1281">
        <v>1</v>
      </c>
    </row>
    <row r="1036" spans="1:8" x14ac:dyDescent="0.2">
      <c r="A1036" s="1280" t="s">
        <v>4633</v>
      </c>
      <c r="B1036" s="1281"/>
      <c r="C1036" s="1281">
        <v>0</v>
      </c>
      <c r="D1036" s="1281" t="s">
        <v>2650</v>
      </c>
      <c r="E1036" s="1280" t="s">
        <v>4634</v>
      </c>
      <c r="F1036" s="1282"/>
      <c r="G1036" s="1281"/>
      <c r="H1036" s="1281"/>
    </row>
    <row r="1037" spans="1:8" x14ac:dyDescent="0.2">
      <c r="A1037" s="1280" t="s">
        <v>4635</v>
      </c>
      <c r="B1037" s="1281" t="s">
        <v>2623</v>
      </c>
      <c r="C1037" s="1281">
        <v>0</v>
      </c>
      <c r="D1037" s="1281" t="s">
        <v>2686</v>
      </c>
      <c r="E1037" s="1280" t="s">
        <v>4636</v>
      </c>
      <c r="F1037" s="1282"/>
      <c r="G1037" s="1281"/>
      <c r="H1037" s="1281"/>
    </row>
    <row r="1038" spans="1:8" x14ac:dyDescent="0.2">
      <c r="A1038" s="1280" t="s">
        <v>4637</v>
      </c>
      <c r="B1038" s="1281" t="s">
        <v>2623</v>
      </c>
      <c r="C1038" s="1281">
        <v>5</v>
      </c>
      <c r="D1038" s="1281" t="s">
        <v>2650</v>
      </c>
      <c r="E1038" s="1280" t="s">
        <v>4638</v>
      </c>
      <c r="F1038" s="1282"/>
      <c r="G1038" s="1281"/>
      <c r="H1038" s="1281">
        <v>1</v>
      </c>
    </row>
    <row r="1039" spans="1:8" x14ac:dyDescent="0.2">
      <c r="A1039" s="1280" t="s">
        <v>4639</v>
      </c>
      <c r="B1039" s="1281" t="s">
        <v>2623</v>
      </c>
      <c r="C1039" s="1281">
        <v>0</v>
      </c>
      <c r="D1039" s="1281" t="s">
        <v>2686</v>
      </c>
      <c r="E1039" s="1280" t="s">
        <v>4640</v>
      </c>
      <c r="F1039" s="1282"/>
      <c r="G1039" s="1281"/>
      <c r="H1039" s="1281"/>
    </row>
    <row r="1040" spans="1:8" x14ac:dyDescent="0.2">
      <c r="A1040" s="1280" t="s">
        <v>4641</v>
      </c>
      <c r="B1040" s="1281" t="s">
        <v>2623</v>
      </c>
      <c r="C1040" s="1281">
        <v>0</v>
      </c>
      <c r="D1040" s="1281" t="s">
        <v>2650</v>
      </c>
      <c r="E1040" s="1280" t="s">
        <v>4642</v>
      </c>
      <c r="F1040" s="1282"/>
      <c r="G1040" s="1281"/>
      <c r="H1040" s="1281"/>
    </row>
    <row r="1041" spans="1:8" x14ac:dyDescent="0.2">
      <c r="A1041" s="1280" t="s">
        <v>4643</v>
      </c>
      <c r="B1041" s="1281" t="s">
        <v>2623</v>
      </c>
      <c r="C1041" s="1281">
        <v>6</v>
      </c>
      <c r="D1041" s="1281" t="s">
        <v>2650</v>
      </c>
      <c r="E1041" s="1280" t="s">
        <v>4644</v>
      </c>
      <c r="F1041" s="1282"/>
      <c r="G1041" s="1281"/>
      <c r="H1041" s="1281"/>
    </row>
    <row r="1042" spans="1:8" x14ac:dyDescent="0.2">
      <c r="A1042" s="1280" t="s">
        <v>4645</v>
      </c>
      <c r="B1042" s="1281" t="s">
        <v>2623</v>
      </c>
      <c r="C1042" s="1281">
        <v>3</v>
      </c>
      <c r="D1042" s="1281" t="s">
        <v>2650</v>
      </c>
      <c r="E1042" s="1280" t="s">
        <v>4646</v>
      </c>
      <c r="F1042" s="1282"/>
      <c r="G1042" s="1281"/>
      <c r="H1042" s="1281">
        <v>1</v>
      </c>
    </row>
    <row r="1043" spans="1:8" x14ac:dyDescent="0.2">
      <c r="A1043" s="1280" t="s">
        <v>4647</v>
      </c>
      <c r="B1043" s="1281" t="s">
        <v>2623</v>
      </c>
      <c r="C1043" s="1281">
        <v>23</v>
      </c>
      <c r="D1043" s="1281" t="s">
        <v>2650</v>
      </c>
      <c r="E1043" s="1280" t="s">
        <v>4648</v>
      </c>
      <c r="F1043" s="1282"/>
      <c r="G1043" s="1281"/>
      <c r="H1043" s="1281"/>
    </row>
    <row r="1044" spans="1:8" x14ac:dyDescent="0.2">
      <c r="A1044" s="1280" t="s">
        <v>4649</v>
      </c>
      <c r="B1044" s="1281"/>
      <c r="C1044" s="1281">
        <v>0</v>
      </c>
      <c r="D1044" s="1281" t="s">
        <v>2650</v>
      </c>
      <c r="E1044" s="1280" t="s">
        <v>4650</v>
      </c>
      <c r="F1044" s="1282"/>
      <c r="G1044" s="1281"/>
      <c r="H1044" s="1281"/>
    </row>
    <row r="1045" spans="1:8" x14ac:dyDescent="0.2">
      <c r="A1045" s="1283" t="s">
        <v>4651</v>
      </c>
      <c r="B1045" s="1281" t="s">
        <v>2623</v>
      </c>
      <c r="C1045" s="1281">
        <v>0</v>
      </c>
      <c r="D1045" s="1281"/>
      <c r="E1045" s="1280"/>
      <c r="F1045" s="1282"/>
      <c r="G1045" s="1281"/>
      <c r="H1045" s="1281"/>
    </row>
    <row r="1046" spans="1:8" x14ac:dyDescent="0.2">
      <c r="A1046" s="1280" t="s">
        <v>4652</v>
      </c>
      <c r="B1046" s="1281"/>
      <c r="C1046" s="1281">
        <v>0</v>
      </c>
      <c r="D1046" s="1281" t="s">
        <v>2686</v>
      </c>
      <c r="E1046" s="1280"/>
      <c r="F1046" s="1282"/>
      <c r="G1046" s="1281"/>
      <c r="H1046" s="1281"/>
    </row>
    <row r="1047" spans="1:8" x14ac:dyDescent="0.2">
      <c r="A1047" s="1280" t="s">
        <v>4653</v>
      </c>
      <c r="B1047" s="1281" t="s">
        <v>2623</v>
      </c>
      <c r="C1047" s="1281">
        <v>13</v>
      </c>
      <c r="D1047" s="1281" t="s">
        <v>2653</v>
      </c>
      <c r="E1047" s="1280" t="s">
        <v>4654</v>
      </c>
      <c r="F1047" s="1282"/>
      <c r="G1047" s="1281"/>
      <c r="H1047" s="1281"/>
    </row>
    <row r="1048" spans="1:8" x14ac:dyDescent="0.2">
      <c r="A1048" s="1280" t="s">
        <v>4655</v>
      </c>
      <c r="B1048" s="1281" t="s">
        <v>2623</v>
      </c>
      <c r="C1048" s="1281">
        <v>0</v>
      </c>
      <c r="D1048" s="1281" t="s">
        <v>2686</v>
      </c>
      <c r="E1048" s="1280" t="s">
        <v>4656</v>
      </c>
      <c r="F1048" s="1282"/>
      <c r="G1048" s="1281"/>
      <c r="H1048" s="1281"/>
    </row>
    <row r="1049" spans="1:8" x14ac:dyDescent="0.2">
      <c r="A1049" s="1280" t="s">
        <v>4657</v>
      </c>
      <c r="B1049" s="1281" t="s">
        <v>2623</v>
      </c>
      <c r="C1049" s="1281">
        <v>9</v>
      </c>
      <c r="D1049" s="1281" t="s">
        <v>2650</v>
      </c>
      <c r="E1049" s="1280" t="s">
        <v>4658</v>
      </c>
      <c r="F1049" s="1282"/>
      <c r="G1049" s="1281"/>
      <c r="H1049" s="1281"/>
    </row>
    <row r="1050" spans="1:8" x14ac:dyDescent="0.2">
      <c r="A1050" s="1280" t="s">
        <v>4659</v>
      </c>
      <c r="B1050" s="1281" t="s">
        <v>2623</v>
      </c>
      <c r="C1050" s="1281">
        <v>3</v>
      </c>
      <c r="D1050" s="1281" t="s">
        <v>2686</v>
      </c>
      <c r="E1050" s="1280" t="s">
        <v>4660</v>
      </c>
      <c r="F1050" s="1282"/>
      <c r="G1050" s="1281"/>
      <c r="H1050" s="1281"/>
    </row>
    <row r="1051" spans="1:8" x14ac:dyDescent="0.2">
      <c r="A1051" s="1280" t="s">
        <v>4661</v>
      </c>
      <c r="B1051" s="1281" t="s">
        <v>2623</v>
      </c>
      <c r="C1051" s="1281">
        <v>3</v>
      </c>
      <c r="D1051" s="1281" t="s">
        <v>2686</v>
      </c>
      <c r="E1051" s="1280" t="s">
        <v>4662</v>
      </c>
      <c r="F1051" s="1282"/>
      <c r="G1051" s="1281"/>
      <c r="H1051" s="1281">
        <v>1</v>
      </c>
    </row>
    <row r="1052" spans="1:8" x14ac:dyDescent="0.2">
      <c r="A1052" s="1280" t="s">
        <v>4663</v>
      </c>
      <c r="B1052" s="1281"/>
      <c r="C1052" s="1281">
        <v>0</v>
      </c>
      <c r="D1052" s="1281" t="s">
        <v>2650</v>
      </c>
      <c r="E1052" s="1280" t="s">
        <v>4664</v>
      </c>
      <c r="F1052" s="1282"/>
      <c r="G1052" s="1281"/>
      <c r="H1052" s="1281"/>
    </row>
    <row r="1053" spans="1:8" x14ac:dyDescent="0.2">
      <c r="A1053" s="1280" t="s">
        <v>4665</v>
      </c>
      <c r="B1053" s="1281"/>
      <c r="C1053" s="1281">
        <v>0</v>
      </c>
      <c r="D1053" s="1281" t="s">
        <v>2650</v>
      </c>
      <c r="E1053" s="1280" t="s">
        <v>4666</v>
      </c>
      <c r="F1053" s="1282"/>
      <c r="G1053" s="1281"/>
      <c r="H1053" s="1281"/>
    </row>
    <row r="1054" spans="1:8" x14ac:dyDescent="0.2">
      <c r="A1054" s="1280" t="s">
        <v>4667</v>
      </c>
      <c r="B1054" s="1281" t="s">
        <v>2623</v>
      </c>
      <c r="C1054" s="1281">
        <v>2</v>
      </c>
      <c r="D1054" s="1281" t="s">
        <v>2645</v>
      </c>
      <c r="E1054" s="1280" t="s">
        <v>4668</v>
      </c>
      <c r="F1054" s="1282"/>
      <c r="G1054" s="1281"/>
      <c r="H1054" s="1281">
        <v>2</v>
      </c>
    </row>
    <row r="1055" spans="1:8" x14ac:dyDescent="0.2">
      <c r="A1055" s="1280" t="s">
        <v>4669</v>
      </c>
      <c r="B1055" s="1281"/>
      <c r="C1055" s="1281">
        <v>0</v>
      </c>
      <c r="D1055" s="1281" t="s">
        <v>2686</v>
      </c>
      <c r="E1055" s="1280" t="s">
        <v>4670</v>
      </c>
      <c r="F1055" s="1282"/>
      <c r="G1055" s="1281"/>
      <c r="H1055" s="1281">
        <v>1</v>
      </c>
    </row>
    <row r="1056" spans="1:8" x14ac:dyDescent="0.2">
      <c r="A1056" s="1280" t="s">
        <v>4671</v>
      </c>
      <c r="B1056" s="1281" t="s">
        <v>2623</v>
      </c>
      <c r="C1056" s="1281">
        <v>8</v>
      </c>
      <c r="D1056" s="1281" t="s">
        <v>2653</v>
      </c>
      <c r="E1056" s="1280" t="s">
        <v>4672</v>
      </c>
      <c r="F1056" s="1282"/>
      <c r="G1056" s="1281"/>
      <c r="H1056" s="1281"/>
    </row>
    <row r="1057" spans="1:8" x14ac:dyDescent="0.2">
      <c r="A1057" s="1280" t="s">
        <v>4673</v>
      </c>
      <c r="B1057" s="1281" t="s">
        <v>2623</v>
      </c>
      <c r="C1057" s="1281">
        <v>4</v>
      </c>
      <c r="D1057" s="1281" t="s">
        <v>2650</v>
      </c>
      <c r="E1057" s="1280" t="s">
        <v>4674</v>
      </c>
      <c r="F1057" s="1282"/>
      <c r="G1057" s="1281"/>
      <c r="H1057" s="1281"/>
    </row>
    <row r="1058" spans="1:8" x14ac:dyDescent="0.2">
      <c r="A1058" s="1280" t="s">
        <v>4675</v>
      </c>
      <c r="B1058" s="1281" t="s">
        <v>2623</v>
      </c>
      <c r="C1058" s="1281">
        <v>2</v>
      </c>
      <c r="D1058" s="1281" t="s">
        <v>2686</v>
      </c>
      <c r="E1058" s="1280" t="s">
        <v>4676</v>
      </c>
      <c r="F1058" s="1282"/>
      <c r="G1058" s="1281"/>
      <c r="H1058" s="1281"/>
    </row>
    <row r="1059" spans="1:8" x14ac:dyDescent="0.2">
      <c r="A1059" s="1280" t="s">
        <v>4677</v>
      </c>
      <c r="B1059" s="1281" t="s">
        <v>2623</v>
      </c>
      <c r="C1059" s="1281">
        <v>14</v>
      </c>
      <c r="D1059" s="1281" t="s">
        <v>2650</v>
      </c>
      <c r="E1059" s="1280" t="s">
        <v>4678</v>
      </c>
      <c r="F1059" s="1282"/>
      <c r="G1059" s="1281"/>
      <c r="H1059" s="1281"/>
    </row>
    <row r="1060" spans="1:8" x14ac:dyDescent="0.2">
      <c r="A1060" s="1280" t="s">
        <v>4679</v>
      </c>
      <c r="B1060" s="1281"/>
      <c r="C1060" s="1281">
        <v>0</v>
      </c>
      <c r="D1060" s="1281" t="s">
        <v>2686</v>
      </c>
      <c r="E1060" s="1280" t="s">
        <v>4680</v>
      </c>
      <c r="F1060" s="1282"/>
      <c r="G1060" s="1281"/>
      <c r="H1060" s="1281"/>
    </row>
    <row r="1061" spans="1:8" x14ac:dyDescent="0.2">
      <c r="A1061" s="1280" t="s">
        <v>4681</v>
      </c>
      <c r="B1061" s="1281" t="s">
        <v>2623</v>
      </c>
      <c r="C1061" s="1281">
        <v>1</v>
      </c>
      <c r="D1061" s="1281" t="s">
        <v>2650</v>
      </c>
      <c r="E1061" s="1280" t="s">
        <v>4682</v>
      </c>
      <c r="F1061" s="1282"/>
      <c r="G1061" s="1281"/>
      <c r="H1061" s="1281"/>
    </row>
    <row r="1062" spans="1:8" x14ac:dyDescent="0.2">
      <c r="A1062" s="1280" t="s">
        <v>4683</v>
      </c>
      <c r="B1062" s="1281"/>
      <c r="C1062" s="1281">
        <v>0</v>
      </c>
      <c r="D1062" s="1281" t="s">
        <v>2667</v>
      </c>
      <c r="E1062" s="1280" t="s">
        <v>4684</v>
      </c>
      <c r="F1062" s="1282"/>
      <c r="G1062" s="1281"/>
      <c r="H1062" s="1281"/>
    </row>
    <row r="1063" spans="1:8" x14ac:dyDescent="0.2">
      <c r="A1063" s="1280" t="s">
        <v>4685</v>
      </c>
      <c r="B1063" s="1281" t="s">
        <v>2623</v>
      </c>
      <c r="C1063" s="1281">
        <v>0</v>
      </c>
      <c r="D1063" s="1281" t="s">
        <v>2653</v>
      </c>
      <c r="E1063" s="1280" t="s">
        <v>4686</v>
      </c>
      <c r="F1063" s="1282"/>
      <c r="G1063" s="1281"/>
      <c r="H1063" s="1281"/>
    </row>
    <row r="1064" spans="1:8" x14ac:dyDescent="0.2">
      <c r="A1064" s="1280" t="s">
        <v>4687</v>
      </c>
      <c r="B1064" s="1281" t="s">
        <v>2623</v>
      </c>
      <c r="C1064" s="1281">
        <v>9</v>
      </c>
      <c r="D1064" s="1281" t="s">
        <v>2686</v>
      </c>
      <c r="E1064" s="1280" t="s">
        <v>4688</v>
      </c>
      <c r="F1064" s="1282"/>
      <c r="G1064" s="1281"/>
      <c r="H1064" s="1281"/>
    </row>
    <row r="1065" spans="1:8" x14ac:dyDescent="0.2">
      <c r="A1065" s="1280" t="s">
        <v>4689</v>
      </c>
      <c r="B1065" s="1281" t="s">
        <v>2623</v>
      </c>
      <c r="C1065" s="1281">
        <v>7</v>
      </c>
      <c r="D1065" s="1281" t="s">
        <v>2686</v>
      </c>
      <c r="E1065" s="1280" t="s">
        <v>4690</v>
      </c>
      <c r="F1065" s="1282"/>
      <c r="G1065" s="1281"/>
      <c r="H1065" s="1281"/>
    </row>
    <row r="1066" spans="1:8" x14ac:dyDescent="0.2">
      <c r="A1066" s="1280" t="s">
        <v>4691</v>
      </c>
      <c r="B1066" s="1281" t="s">
        <v>2623</v>
      </c>
      <c r="C1066" s="1281">
        <v>9</v>
      </c>
      <c r="D1066" s="1281" t="s">
        <v>2650</v>
      </c>
      <c r="E1066" s="1280" t="s">
        <v>4692</v>
      </c>
      <c r="F1066" s="1282"/>
      <c r="G1066" s="1281"/>
      <c r="H1066" s="1281"/>
    </row>
    <row r="1067" spans="1:8" x14ac:dyDescent="0.2">
      <c r="A1067" s="1280" t="s">
        <v>4693</v>
      </c>
      <c r="B1067" s="1281"/>
      <c r="C1067" s="1281">
        <v>0</v>
      </c>
      <c r="D1067" s="1281" t="s">
        <v>2686</v>
      </c>
      <c r="E1067" s="1280" t="s">
        <v>4694</v>
      </c>
      <c r="F1067" s="1282"/>
      <c r="G1067" s="1281"/>
      <c r="H1067" s="1281">
        <v>1</v>
      </c>
    </row>
    <row r="1068" spans="1:8" x14ac:dyDescent="0.2">
      <c r="A1068" s="1280" t="s">
        <v>4695</v>
      </c>
      <c r="B1068" s="1281" t="s">
        <v>2623</v>
      </c>
      <c r="C1068" s="1281">
        <v>1</v>
      </c>
      <c r="D1068" s="1281" t="s">
        <v>2645</v>
      </c>
      <c r="E1068" s="1280" t="s">
        <v>4696</v>
      </c>
      <c r="F1068" s="1282"/>
      <c r="G1068" s="1281"/>
      <c r="H1068" s="1281">
        <v>1</v>
      </c>
    </row>
    <row r="1069" spans="1:8" x14ac:dyDescent="0.2">
      <c r="A1069" s="1280" t="s">
        <v>4697</v>
      </c>
      <c r="B1069" s="1281" t="s">
        <v>2623</v>
      </c>
      <c r="C1069" s="1281">
        <v>6</v>
      </c>
      <c r="D1069" s="1281" t="s">
        <v>2650</v>
      </c>
      <c r="E1069" s="1280" t="s">
        <v>4698</v>
      </c>
      <c r="F1069" s="1282"/>
      <c r="G1069" s="1281"/>
      <c r="H1069" s="1281"/>
    </row>
    <row r="1070" spans="1:8" x14ac:dyDescent="0.2">
      <c r="A1070" s="1280" t="s">
        <v>4699</v>
      </c>
      <c r="B1070" s="1281"/>
      <c r="C1070" s="1281">
        <v>0</v>
      </c>
      <c r="D1070" s="1281" t="s">
        <v>2645</v>
      </c>
      <c r="E1070" s="1280" t="s">
        <v>4700</v>
      </c>
      <c r="F1070" s="1282"/>
      <c r="G1070" s="1281"/>
      <c r="H1070" s="1281"/>
    </row>
    <row r="1071" spans="1:8" x14ac:dyDescent="0.2">
      <c r="A1071" s="1280" t="s">
        <v>4701</v>
      </c>
      <c r="B1071" s="1281" t="s">
        <v>2623</v>
      </c>
      <c r="C1071" s="1281">
        <v>0</v>
      </c>
      <c r="D1071" s="1281" t="s">
        <v>2667</v>
      </c>
      <c r="E1071" s="1280" t="s">
        <v>4702</v>
      </c>
      <c r="F1071" s="1282"/>
      <c r="G1071" s="1281"/>
      <c r="H1071" s="1281">
        <v>2</v>
      </c>
    </row>
    <row r="1072" spans="1:8" x14ac:dyDescent="0.2">
      <c r="A1072" s="1280" t="s">
        <v>4703</v>
      </c>
      <c r="B1072" s="1281"/>
      <c r="C1072" s="1281">
        <v>0</v>
      </c>
      <c r="D1072" s="1281" t="s">
        <v>2686</v>
      </c>
      <c r="E1072" s="1280" t="s">
        <v>4704</v>
      </c>
      <c r="F1072" s="1282"/>
      <c r="G1072" s="1281"/>
      <c r="H1072" s="1281"/>
    </row>
    <row r="1073" spans="1:8" x14ac:dyDescent="0.2">
      <c r="A1073" s="1280" t="s">
        <v>4705</v>
      </c>
      <c r="B1073" s="1281" t="s">
        <v>2623</v>
      </c>
      <c r="C1073" s="1281">
        <v>3</v>
      </c>
      <c r="D1073" s="1281" t="s">
        <v>2653</v>
      </c>
      <c r="E1073" s="1280" t="s">
        <v>4706</v>
      </c>
      <c r="F1073" s="1282"/>
      <c r="G1073" s="1281"/>
      <c r="H1073" s="1281"/>
    </row>
    <row r="1074" spans="1:8" x14ac:dyDescent="0.2">
      <c r="A1074" s="1280" t="s">
        <v>4707</v>
      </c>
      <c r="B1074" s="1281" t="s">
        <v>2623</v>
      </c>
      <c r="C1074" s="1281">
        <v>8</v>
      </c>
      <c r="D1074" s="1281" t="s">
        <v>2653</v>
      </c>
      <c r="E1074" s="1280" t="s">
        <v>4708</v>
      </c>
      <c r="F1074" s="1282"/>
      <c r="G1074" s="1281"/>
      <c r="H1074" s="1281"/>
    </row>
    <row r="1075" spans="1:8" x14ac:dyDescent="0.2">
      <c r="A1075" s="1280" t="s">
        <v>4709</v>
      </c>
      <c r="B1075" s="1281"/>
      <c r="C1075" s="1281">
        <v>0</v>
      </c>
      <c r="D1075" s="1281" t="s">
        <v>2650</v>
      </c>
      <c r="E1075" s="1280" t="s">
        <v>4710</v>
      </c>
      <c r="F1075" s="1282"/>
      <c r="G1075" s="1281"/>
      <c r="H1075" s="1281"/>
    </row>
    <row r="1076" spans="1:8" x14ac:dyDescent="0.2">
      <c r="A1076" s="1280" t="s">
        <v>4711</v>
      </c>
      <c r="B1076" s="1281"/>
      <c r="C1076" s="1281">
        <v>0</v>
      </c>
      <c r="D1076" s="1281" t="s">
        <v>2650</v>
      </c>
      <c r="E1076" s="1280" t="s">
        <v>4712</v>
      </c>
      <c r="F1076" s="1282"/>
      <c r="G1076" s="1281"/>
      <c r="H1076" s="1281"/>
    </row>
    <row r="1077" spans="1:8" x14ac:dyDescent="0.2">
      <c r="A1077" s="1280" t="s">
        <v>4713</v>
      </c>
      <c r="B1077" s="1281" t="s">
        <v>2623</v>
      </c>
      <c r="C1077" s="1281">
        <v>3</v>
      </c>
      <c r="D1077" s="1281" t="s">
        <v>2667</v>
      </c>
      <c r="E1077" s="1280" t="s">
        <v>4714</v>
      </c>
      <c r="F1077" s="1282"/>
      <c r="G1077" s="1281"/>
      <c r="H1077" s="1281"/>
    </row>
    <row r="1078" spans="1:8" x14ac:dyDescent="0.2">
      <c r="A1078" s="1280" t="s">
        <v>4715</v>
      </c>
      <c r="B1078" s="1281" t="s">
        <v>2623</v>
      </c>
      <c r="C1078" s="1281">
        <v>0</v>
      </c>
      <c r="D1078" s="1281" t="s">
        <v>2650</v>
      </c>
      <c r="E1078" s="1280" t="s">
        <v>4716</v>
      </c>
      <c r="F1078" s="1282"/>
      <c r="G1078" s="1281"/>
      <c r="H1078" s="1281">
        <v>1</v>
      </c>
    </row>
    <row r="1079" spans="1:8" x14ac:dyDescent="0.2">
      <c r="A1079" s="1280" t="s">
        <v>4717</v>
      </c>
      <c r="B1079" s="1281"/>
      <c r="C1079" s="1281">
        <v>0</v>
      </c>
      <c r="D1079" s="1281" t="s">
        <v>2667</v>
      </c>
      <c r="E1079" s="1280" t="s">
        <v>4718</v>
      </c>
      <c r="F1079" s="1282"/>
      <c r="G1079" s="1281"/>
      <c r="H1079" s="1281"/>
    </row>
    <row r="1080" spans="1:8" x14ac:dyDescent="0.2">
      <c r="A1080" s="1280" t="s">
        <v>4719</v>
      </c>
      <c r="B1080" s="1281"/>
      <c r="C1080" s="1281">
        <v>0</v>
      </c>
      <c r="D1080" s="1281" t="s">
        <v>2667</v>
      </c>
      <c r="E1080" s="1280" t="s">
        <v>4720</v>
      </c>
      <c r="F1080" s="1282"/>
      <c r="G1080" s="1281"/>
      <c r="H1080" s="1281"/>
    </row>
    <row r="1081" spans="1:8" x14ac:dyDescent="0.2">
      <c r="A1081" s="1280" t="s">
        <v>4721</v>
      </c>
      <c r="B1081" s="1281"/>
      <c r="C1081" s="1281">
        <v>0</v>
      </c>
      <c r="D1081" s="1281" t="s">
        <v>2667</v>
      </c>
      <c r="E1081" s="1280" t="s">
        <v>4722</v>
      </c>
      <c r="F1081" s="1282"/>
      <c r="G1081" s="1281"/>
      <c r="H1081" s="1281"/>
    </row>
    <row r="1082" spans="1:8" x14ac:dyDescent="0.2">
      <c r="A1082" s="1280" t="s">
        <v>4723</v>
      </c>
      <c r="B1082" s="1281" t="s">
        <v>2623</v>
      </c>
      <c r="C1082" s="1281">
        <v>0</v>
      </c>
      <c r="D1082" s="1281" t="s">
        <v>2667</v>
      </c>
      <c r="E1082" s="1280" t="s">
        <v>4724</v>
      </c>
      <c r="F1082" s="1282"/>
      <c r="G1082" s="1281"/>
      <c r="H1082" s="1281">
        <v>1</v>
      </c>
    </row>
    <row r="1083" spans="1:8" x14ac:dyDescent="0.2">
      <c r="A1083" s="1280" t="s">
        <v>4725</v>
      </c>
      <c r="B1083" s="1281" t="s">
        <v>2623</v>
      </c>
      <c r="C1083" s="1281">
        <v>0</v>
      </c>
      <c r="D1083" s="1281" t="s">
        <v>2667</v>
      </c>
      <c r="E1083" s="1280" t="s">
        <v>4726</v>
      </c>
      <c r="F1083" s="1282"/>
      <c r="G1083" s="1281"/>
      <c r="H1083" s="1281"/>
    </row>
    <row r="1084" spans="1:8" x14ac:dyDescent="0.2">
      <c r="A1084" s="1280" t="s">
        <v>4727</v>
      </c>
      <c r="B1084" s="1281" t="s">
        <v>2623</v>
      </c>
      <c r="C1084" s="1281">
        <v>8</v>
      </c>
      <c r="D1084" s="1281" t="s">
        <v>2667</v>
      </c>
      <c r="E1084" s="1280" t="s">
        <v>4728</v>
      </c>
      <c r="F1084" s="1282"/>
      <c r="G1084" s="1281"/>
      <c r="H1084" s="1281"/>
    </row>
    <row r="1085" spans="1:8" x14ac:dyDescent="0.2">
      <c r="A1085" s="1280" t="s">
        <v>4729</v>
      </c>
      <c r="B1085" s="1281" t="s">
        <v>2623</v>
      </c>
      <c r="C1085" s="1281">
        <v>1</v>
      </c>
      <c r="D1085" s="1281" t="s">
        <v>2667</v>
      </c>
      <c r="E1085" s="1280"/>
      <c r="F1085" s="1282"/>
      <c r="G1085" s="1281"/>
      <c r="H1085" s="1281"/>
    </row>
    <row r="1086" spans="1:8" x14ac:dyDescent="0.2">
      <c r="A1086" s="1280" t="s">
        <v>4730</v>
      </c>
      <c r="B1086" s="1281"/>
      <c r="C1086" s="1281">
        <v>0</v>
      </c>
      <c r="D1086" s="1281" t="s">
        <v>2667</v>
      </c>
      <c r="E1086" s="1280" t="s">
        <v>4731</v>
      </c>
      <c r="F1086" s="1282"/>
      <c r="G1086" s="1281"/>
      <c r="H1086" s="1281">
        <v>1</v>
      </c>
    </row>
    <row r="1087" spans="1:8" x14ac:dyDescent="0.2">
      <c r="A1087" s="1280" t="s">
        <v>4732</v>
      </c>
      <c r="B1087" s="1281" t="s">
        <v>2623</v>
      </c>
      <c r="C1087" s="1281">
        <v>0</v>
      </c>
      <c r="D1087" s="1281" t="s">
        <v>2667</v>
      </c>
      <c r="E1087" s="1280" t="s">
        <v>4733</v>
      </c>
      <c r="F1087" s="1282"/>
      <c r="G1087" s="1281"/>
      <c r="H1087" s="1281"/>
    </row>
    <row r="1088" spans="1:8" x14ac:dyDescent="0.2">
      <c r="A1088" s="1280" t="s">
        <v>4734</v>
      </c>
      <c r="B1088" s="1281"/>
      <c r="C1088" s="1281">
        <v>0</v>
      </c>
      <c r="D1088" s="1281" t="s">
        <v>2686</v>
      </c>
      <c r="E1088" s="1280" t="s">
        <v>4735</v>
      </c>
      <c r="F1088" s="1282"/>
      <c r="G1088" s="1281"/>
      <c r="H1088" s="1281"/>
    </row>
    <row r="1089" spans="1:8" x14ac:dyDescent="0.2">
      <c r="A1089" s="1280" t="s">
        <v>4736</v>
      </c>
      <c r="B1089" s="1281"/>
      <c r="C1089" s="1281">
        <v>0</v>
      </c>
      <c r="D1089" s="1281"/>
      <c r="E1089" s="1280"/>
      <c r="F1089" s="1282"/>
      <c r="G1089" s="1281"/>
      <c r="H1089" s="1281"/>
    </row>
    <row r="1090" spans="1:8" x14ac:dyDescent="0.2">
      <c r="A1090" s="1280" t="s">
        <v>4737</v>
      </c>
      <c r="B1090" s="1281" t="s">
        <v>2623</v>
      </c>
      <c r="C1090" s="1281">
        <v>3</v>
      </c>
      <c r="D1090" s="1281" t="s">
        <v>2653</v>
      </c>
      <c r="E1090" s="1280" t="s">
        <v>4738</v>
      </c>
      <c r="F1090" s="1282"/>
      <c r="G1090" s="1281"/>
      <c r="H1090" s="1281"/>
    </row>
    <row r="1091" spans="1:8" x14ac:dyDescent="0.2">
      <c r="A1091" s="1280" t="s">
        <v>4739</v>
      </c>
      <c r="B1091" s="1281"/>
      <c r="C1091" s="1281">
        <v>0</v>
      </c>
      <c r="D1091" s="1281" t="s">
        <v>2645</v>
      </c>
      <c r="E1091" s="1280" t="s">
        <v>4740</v>
      </c>
      <c r="F1091" s="1282" t="s">
        <v>2659</v>
      </c>
      <c r="G1091" s="1281"/>
      <c r="H1091" s="1281"/>
    </row>
    <row r="1092" spans="1:8" x14ac:dyDescent="0.2">
      <c r="A1092" s="1280" t="s">
        <v>4741</v>
      </c>
      <c r="B1092" s="1281" t="s">
        <v>2623</v>
      </c>
      <c r="C1092" s="1281">
        <v>0</v>
      </c>
      <c r="D1092" s="1281"/>
      <c r="E1092" s="1280" t="s">
        <v>4742</v>
      </c>
      <c r="F1092" s="1282" t="s">
        <v>2659</v>
      </c>
      <c r="G1092" s="1281"/>
      <c r="H1092" s="1281"/>
    </row>
    <row r="1093" spans="1:8" x14ac:dyDescent="0.2">
      <c r="A1093" s="1280" t="s">
        <v>4743</v>
      </c>
      <c r="B1093" s="1281" t="s">
        <v>2623</v>
      </c>
      <c r="C1093" s="1281">
        <v>2</v>
      </c>
      <c r="D1093" s="1281" t="s">
        <v>2650</v>
      </c>
      <c r="E1093" s="1280" t="s">
        <v>4744</v>
      </c>
      <c r="F1093" s="1282"/>
      <c r="G1093" s="1281"/>
      <c r="H1093" s="1281"/>
    </row>
    <row r="1094" spans="1:8" x14ac:dyDescent="0.2">
      <c r="A1094" s="1280" t="s">
        <v>4745</v>
      </c>
      <c r="B1094" s="1281"/>
      <c r="C1094" s="1281">
        <v>0</v>
      </c>
      <c r="D1094" s="1281"/>
      <c r="E1094" s="1280"/>
      <c r="F1094" s="1282"/>
      <c r="G1094" s="1281"/>
      <c r="H1094" s="1281"/>
    </row>
    <row r="1095" spans="1:8" x14ac:dyDescent="0.2">
      <c r="A1095" s="1280" t="s">
        <v>4746</v>
      </c>
      <c r="B1095" s="1281" t="s">
        <v>2623</v>
      </c>
      <c r="C1095" s="1281">
        <v>6</v>
      </c>
      <c r="D1095" s="1281" t="s">
        <v>2653</v>
      </c>
      <c r="E1095" s="1280" t="s">
        <v>4747</v>
      </c>
      <c r="F1095" s="1282"/>
      <c r="G1095" s="1281"/>
      <c r="H1095" s="1281"/>
    </row>
    <row r="1096" spans="1:8" x14ac:dyDescent="0.2">
      <c r="A1096" s="1280" t="s">
        <v>4748</v>
      </c>
      <c r="B1096" s="1281" t="s">
        <v>2623</v>
      </c>
      <c r="C1096" s="1281">
        <v>12</v>
      </c>
      <c r="D1096" s="1281" t="s">
        <v>2686</v>
      </c>
      <c r="E1096" s="1280" t="s">
        <v>4749</v>
      </c>
      <c r="F1096" s="1282"/>
      <c r="G1096" s="1281"/>
      <c r="H1096" s="1281"/>
    </row>
    <row r="1097" spans="1:8" x14ac:dyDescent="0.2">
      <c r="A1097" s="1280" t="s">
        <v>4750</v>
      </c>
      <c r="B1097" s="1281" t="s">
        <v>2623</v>
      </c>
      <c r="C1097" s="1281">
        <v>5</v>
      </c>
      <c r="D1097" s="1281" t="s">
        <v>2653</v>
      </c>
      <c r="E1097" s="1280" t="s">
        <v>4751</v>
      </c>
      <c r="F1097" s="1282" t="s">
        <v>2659</v>
      </c>
      <c r="G1097" s="1281"/>
      <c r="H1097" s="1281"/>
    </row>
    <row r="1098" spans="1:8" x14ac:dyDescent="0.2">
      <c r="A1098" s="1280" t="s">
        <v>4752</v>
      </c>
      <c r="B1098" s="1281" t="s">
        <v>2623</v>
      </c>
      <c r="C1098" s="1281">
        <v>2</v>
      </c>
      <c r="D1098" s="1281" t="s">
        <v>2653</v>
      </c>
      <c r="E1098" s="1280" t="s">
        <v>4753</v>
      </c>
      <c r="F1098" s="1282"/>
      <c r="G1098" s="1281"/>
      <c r="H1098" s="1281"/>
    </row>
    <row r="1099" spans="1:8" x14ac:dyDescent="0.2">
      <c r="A1099" s="1280" t="s">
        <v>4754</v>
      </c>
      <c r="B1099" s="1281" t="s">
        <v>2623</v>
      </c>
      <c r="C1099" s="1281">
        <v>8</v>
      </c>
      <c r="D1099" s="1281" t="s">
        <v>2653</v>
      </c>
      <c r="E1099" s="1280" t="s">
        <v>4755</v>
      </c>
      <c r="F1099" s="1282"/>
      <c r="G1099" s="1281"/>
      <c r="H1099" s="1281"/>
    </row>
    <row r="1100" spans="1:8" x14ac:dyDescent="0.2">
      <c r="A1100" s="1280" t="s">
        <v>4756</v>
      </c>
      <c r="B1100" s="1281" t="s">
        <v>2623</v>
      </c>
      <c r="C1100" s="1281">
        <v>1</v>
      </c>
      <c r="D1100" s="1281" t="s">
        <v>2645</v>
      </c>
      <c r="E1100" s="1280" t="s">
        <v>4757</v>
      </c>
      <c r="F1100" s="1282"/>
      <c r="G1100" s="1281"/>
      <c r="H1100" s="1281">
        <v>1</v>
      </c>
    </row>
    <row r="1101" spans="1:8" x14ac:dyDescent="0.2">
      <c r="A1101" s="1280" t="s">
        <v>4758</v>
      </c>
      <c r="B1101" s="1281" t="s">
        <v>2623</v>
      </c>
      <c r="C1101" s="1281">
        <v>12</v>
      </c>
      <c r="D1101" s="1281" t="s">
        <v>2645</v>
      </c>
      <c r="E1101" s="1280" t="s">
        <v>4759</v>
      </c>
      <c r="F1101" s="1282"/>
      <c r="G1101" s="1281"/>
      <c r="H1101" s="1281"/>
    </row>
    <row r="1102" spans="1:8" x14ac:dyDescent="0.2">
      <c r="A1102" s="1280" t="s">
        <v>4760</v>
      </c>
      <c r="B1102" s="1281" t="s">
        <v>2623</v>
      </c>
      <c r="C1102" s="1281">
        <v>0</v>
      </c>
      <c r="D1102" s="1281" t="s">
        <v>2650</v>
      </c>
      <c r="E1102" s="1280" t="s">
        <v>4761</v>
      </c>
      <c r="F1102" s="1282"/>
      <c r="G1102" s="1281"/>
      <c r="H1102" s="1281"/>
    </row>
    <row r="1103" spans="1:8" x14ac:dyDescent="0.2">
      <c r="A1103" s="1280" t="s">
        <v>4762</v>
      </c>
      <c r="B1103" s="1281" t="s">
        <v>2623</v>
      </c>
      <c r="C1103" s="1281">
        <v>1</v>
      </c>
      <c r="D1103" s="1281" t="s">
        <v>2645</v>
      </c>
      <c r="E1103" s="1280" t="s">
        <v>4763</v>
      </c>
      <c r="F1103" s="1282"/>
      <c r="G1103" s="1281"/>
      <c r="H1103" s="1281">
        <v>2</v>
      </c>
    </row>
    <row r="1104" spans="1:8" x14ac:dyDescent="0.2">
      <c r="A1104" s="1280" t="s">
        <v>4764</v>
      </c>
      <c r="B1104" s="1281" t="s">
        <v>2623</v>
      </c>
      <c r="C1104" s="1281">
        <v>0</v>
      </c>
      <c r="D1104" s="1281" t="s">
        <v>2653</v>
      </c>
      <c r="E1104" s="1280" t="s">
        <v>4765</v>
      </c>
      <c r="F1104" s="1282" t="s">
        <v>2659</v>
      </c>
      <c r="G1104" s="1281"/>
      <c r="H1104" s="1281"/>
    </row>
    <row r="1105" spans="1:8" x14ac:dyDescent="0.2">
      <c r="A1105" s="1280" t="s">
        <v>4766</v>
      </c>
      <c r="B1105" s="1281" t="s">
        <v>2623</v>
      </c>
      <c r="C1105" s="1281">
        <v>10</v>
      </c>
      <c r="D1105" s="1281" t="s">
        <v>2686</v>
      </c>
      <c r="E1105" s="1280" t="s">
        <v>4767</v>
      </c>
      <c r="F1105" s="1282"/>
      <c r="G1105" s="1281"/>
      <c r="H1105" s="1281"/>
    </row>
    <row r="1106" spans="1:8" x14ac:dyDescent="0.2">
      <c r="A1106" s="1280" t="s">
        <v>4768</v>
      </c>
      <c r="B1106" s="1281"/>
      <c r="C1106" s="1281">
        <v>0</v>
      </c>
      <c r="D1106" s="1281" t="s">
        <v>2686</v>
      </c>
      <c r="E1106" s="1280" t="s">
        <v>4769</v>
      </c>
      <c r="F1106" s="1282"/>
      <c r="G1106" s="1281"/>
      <c r="H1106" s="1281">
        <v>1</v>
      </c>
    </row>
    <row r="1107" spans="1:8" x14ac:dyDescent="0.2">
      <c r="A1107" s="1280" t="s">
        <v>4770</v>
      </c>
      <c r="B1107" s="1281" t="s">
        <v>2623</v>
      </c>
      <c r="C1107" s="1281">
        <v>0</v>
      </c>
      <c r="D1107" s="1281" t="s">
        <v>2667</v>
      </c>
      <c r="E1107" s="1280" t="s">
        <v>4771</v>
      </c>
      <c r="F1107" s="1282"/>
      <c r="G1107" s="1281"/>
      <c r="H1107" s="1281"/>
    </row>
    <row r="1108" spans="1:8" x14ac:dyDescent="0.2">
      <c r="A1108" s="1280" t="s">
        <v>4772</v>
      </c>
      <c r="B1108" s="1281" t="s">
        <v>2623</v>
      </c>
      <c r="C1108" s="1281">
        <v>1</v>
      </c>
      <c r="D1108" s="1281" t="s">
        <v>2653</v>
      </c>
      <c r="E1108" s="1280" t="s">
        <v>4773</v>
      </c>
      <c r="F1108" s="1282" t="s">
        <v>2659</v>
      </c>
      <c r="G1108" s="1281"/>
      <c r="H1108" s="1281"/>
    </row>
    <row r="1109" spans="1:8" x14ac:dyDescent="0.2">
      <c r="A1109" s="1280" t="s">
        <v>4774</v>
      </c>
      <c r="B1109" s="1281" t="s">
        <v>2623</v>
      </c>
      <c r="C1109" s="1281">
        <v>2</v>
      </c>
      <c r="D1109" s="1281"/>
      <c r="E1109" s="1280"/>
      <c r="F1109" s="1282"/>
      <c r="G1109" s="1281"/>
      <c r="H1109" s="1281"/>
    </row>
    <row r="1110" spans="1:8" x14ac:dyDescent="0.2">
      <c r="A1110" s="1280" t="s">
        <v>4775</v>
      </c>
      <c r="B1110" s="1281" t="s">
        <v>2623</v>
      </c>
      <c r="C1110" s="1281">
        <v>11</v>
      </c>
      <c r="D1110" s="1281" t="s">
        <v>2653</v>
      </c>
      <c r="E1110" s="1280" t="s">
        <v>4776</v>
      </c>
      <c r="F1110" s="1282"/>
      <c r="G1110" s="1281"/>
      <c r="H1110" s="1281"/>
    </row>
    <row r="1111" spans="1:8" x14ac:dyDescent="0.2">
      <c r="A1111" s="1280" t="s">
        <v>4777</v>
      </c>
      <c r="B1111" s="1281" t="s">
        <v>2623</v>
      </c>
      <c r="C1111" s="1281">
        <v>9</v>
      </c>
      <c r="D1111" s="1281" t="s">
        <v>2653</v>
      </c>
      <c r="E1111" s="1280" t="s">
        <v>4778</v>
      </c>
      <c r="F1111" s="1282"/>
      <c r="G1111" s="1281"/>
      <c r="H1111" s="1281"/>
    </row>
    <row r="1112" spans="1:8" x14ac:dyDescent="0.2">
      <c r="A1112" s="1280" t="s">
        <v>4779</v>
      </c>
      <c r="B1112" s="1281" t="s">
        <v>2623</v>
      </c>
      <c r="C1112" s="1281">
        <v>0</v>
      </c>
      <c r="D1112" s="1281" t="s">
        <v>2645</v>
      </c>
      <c r="E1112" s="1280" t="s">
        <v>4780</v>
      </c>
      <c r="F1112" s="1282"/>
      <c r="G1112" s="1281"/>
      <c r="H1112" s="1281"/>
    </row>
    <row r="1113" spans="1:8" x14ac:dyDescent="0.2">
      <c r="A1113" s="1280" t="s">
        <v>4781</v>
      </c>
      <c r="B1113" s="1281" t="s">
        <v>2623</v>
      </c>
      <c r="C1113" s="1281">
        <v>2</v>
      </c>
      <c r="D1113" s="1281" t="s">
        <v>2653</v>
      </c>
      <c r="E1113" s="1280" t="s">
        <v>4782</v>
      </c>
      <c r="F1113" s="1282" t="s">
        <v>2659</v>
      </c>
      <c r="G1113" s="1281" t="s">
        <v>2659</v>
      </c>
      <c r="H1113" s="1281"/>
    </row>
    <row r="1114" spans="1:8" x14ac:dyDescent="0.2">
      <c r="A1114" s="1280" t="s">
        <v>4783</v>
      </c>
      <c r="B1114" s="1281" t="s">
        <v>2623</v>
      </c>
      <c r="C1114" s="1281">
        <v>1</v>
      </c>
      <c r="D1114" s="1281" t="s">
        <v>2653</v>
      </c>
      <c r="E1114" s="1280" t="s">
        <v>4784</v>
      </c>
      <c r="F1114" s="1282" t="s">
        <v>2659</v>
      </c>
      <c r="G1114" s="1281"/>
      <c r="H1114" s="1281"/>
    </row>
    <row r="1115" spans="1:8" x14ac:dyDescent="0.2">
      <c r="A1115" s="1280" t="s">
        <v>4785</v>
      </c>
      <c r="B1115" s="1281" t="s">
        <v>2623</v>
      </c>
      <c r="C1115" s="1281">
        <v>0</v>
      </c>
      <c r="D1115" s="1281" t="s">
        <v>2645</v>
      </c>
      <c r="E1115" s="1280" t="s">
        <v>4786</v>
      </c>
      <c r="F1115" s="1282" t="s">
        <v>2659</v>
      </c>
      <c r="G1115" s="1281"/>
      <c r="H1115" s="1281"/>
    </row>
    <row r="1116" spans="1:8" x14ac:dyDescent="0.2">
      <c r="A1116" s="1283" t="s">
        <v>4787</v>
      </c>
      <c r="B1116" s="1281" t="s">
        <v>2623</v>
      </c>
      <c r="C1116" s="1281">
        <v>0</v>
      </c>
      <c r="D1116" s="1281"/>
      <c r="E1116" s="1280"/>
      <c r="F1116" s="1282" t="s">
        <v>2659</v>
      </c>
      <c r="G1116" s="1281"/>
      <c r="H1116" s="1281"/>
    </row>
    <row r="1117" spans="1:8" x14ac:dyDescent="0.2">
      <c r="A1117" s="1280" t="s">
        <v>4788</v>
      </c>
      <c r="B1117" s="1281" t="s">
        <v>2623</v>
      </c>
      <c r="C1117" s="1281">
        <v>4</v>
      </c>
      <c r="D1117" s="1281" t="s">
        <v>2653</v>
      </c>
      <c r="E1117" s="1280" t="s">
        <v>4789</v>
      </c>
      <c r="F1117" s="1282"/>
      <c r="G1117" s="1281"/>
      <c r="H1117" s="1281"/>
    </row>
    <row r="1118" spans="1:8" x14ac:dyDescent="0.2">
      <c r="A1118" s="1280" t="s">
        <v>4790</v>
      </c>
      <c r="B1118" s="1281" t="s">
        <v>2623</v>
      </c>
      <c r="C1118" s="1281">
        <v>9</v>
      </c>
      <c r="D1118" s="1281" t="s">
        <v>2653</v>
      </c>
      <c r="E1118" s="1280" t="s">
        <v>4791</v>
      </c>
      <c r="F1118" s="1282"/>
      <c r="G1118" s="1281"/>
      <c r="H1118" s="1281"/>
    </row>
    <row r="1119" spans="1:8" x14ac:dyDescent="0.2">
      <c r="A1119" s="1280" t="s">
        <v>4792</v>
      </c>
      <c r="B1119" s="1281" t="s">
        <v>2623</v>
      </c>
      <c r="C1119" s="1281">
        <v>3</v>
      </c>
      <c r="D1119" s="1281" t="s">
        <v>2667</v>
      </c>
      <c r="E1119" s="1280" t="s">
        <v>4793</v>
      </c>
      <c r="F1119" s="1282"/>
      <c r="G1119" s="1281"/>
      <c r="H1119" s="1281"/>
    </row>
    <row r="1120" spans="1:8" x14ac:dyDescent="0.2">
      <c r="A1120" s="1280" t="s">
        <v>4794</v>
      </c>
      <c r="B1120" s="1281"/>
      <c r="C1120" s="1281">
        <v>0</v>
      </c>
      <c r="D1120" s="1281" t="s">
        <v>2667</v>
      </c>
      <c r="E1120" s="1280" t="s">
        <v>4795</v>
      </c>
      <c r="F1120" s="1282"/>
      <c r="G1120" s="1281"/>
      <c r="H1120" s="1281"/>
    </row>
    <row r="1121" spans="1:8" x14ac:dyDescent="0.2">
      <c r="A1121" s="1280" t="s">
        <v>4796</v>
      </c>
      <c r="B1121" s="1281" t="s">
        <v>2623</v>
      </c>
      <c r="C1121" s="1281">
        <v>7</v>
      </c>
      <c r="D1121" s="1281" t="s">
        <v>2667</v>
      </c>
      <c r="E1121" s="1280" t="s">
        <v>4797</v>
      </c>
      <c r="F1121" s="1282"/>
      <c r="G1121" s="1281"/>
      <c r="H1121" s="1281"/>
    </row>
    <row r="1122" spans="1:8" x14ac:dyDescent="0.2">
      <c r="A1122" s="1280" t="s">
        <v>4798</v>
      </c>
      <c r="B1122" s="1281" t="s">
        <v>2623</v>
      </c>
      <c r="C1122" s="1281">
        <v>0</v>
      </c>
      <c r="D1122" s="1281" t="s">
        <v>2667</v>
      </c>
      <c r="E1122" s="1280" t="s">
        <v>4799</v>
      </c>
      <c r="F1122" s="1282"/>
      <c r="G1122" s="1281"/>
      <c r="H1122" s="1281"/>
    </row>
    <row r="1123" spans="1:8" x14ac:dyDescent="0.2">
      <c r="A1123" s="1280" t="s">
        <v>4800</v>
      </c>
      <c r="B1123" s="1281" t="s">
        <v>2623</v>
      </c>
      <c r="C1123" s="1281">
        <v>12</v>
      </c>
      <c r="D1123" s="1281" t="s">
        <v>2686</v>
      </c>
      <c r="E1123" s="1280" t="s">
        <v>4801</v>
      </c>
      <c r="F1123" s="1282"/>
      <c r="G1123" s="1281"/>
      <c r="H1123" s="1281"/>
    </row>
    <row r="1124" spans="1:8" x14ac:dyDescent="0.2">
      <c r="A1124" s="1280" t="s">
        <v>4802</v>
      </c>
      <c r="B1124" s="1281" t="s">
        <v>2623</v>
      </c>
      <c r="C1124" s="1281">
        <v>1</v>
      </c>
      <c r="D1124" s="1281" t="s">
        <v>2650</v>
      </c>
      <c r="E1124" s="1280" t="s">
        <v>4803</v>
      </c>
      <c r="F1124" s="1282" t="s">
        <v>2659</v>
      </c>
      <c r="G1124" s="1281"/>
      <c r="H1124" s="1281"/>
    </row>
    <row r="1125" spans="1:8" x14ac:dyDescent="0.2">
      <c r="A1125" s="1280" t="s">
        <v>4804</v>
      </c>
      <c r="B1125" s="1281"/>
      <c r="C1125" s="1281">
        <v>0</v>
      </c>
      <c r="D1125" s="1281" t="s">
        <v>2653</v>
      </c>
      <c r="E1125" s="1280"/>
      <c r="F1125" s="1282"/>
      <c r="G1125" s="1281"/>
      <c r="H1125" s="1281"/>
    </row>
    <row r="1126" spans="1:8" x14ac:dyDescent="0.2">
      <c r="A1126" s="1280" t="s">
        <v>4805</v>
      </c>
      <c r="B1126" s="1281" t="s">
        <v>2623</v>
      </c>
      <c r="C1126" s="1281">
        <v>5</v>
      </c>
      <c r="D1126" s="1281" t="s">
        <v>2686</v>
      </c>
      <c r="E1126" s="1280" t="s">
        <v>4806</v>
      </c>
      <c r="F1126" s="1282"/>
      <c r="G1126" s="1281"/>
      <c r="H1126" s="1281">
        <v>1</v>
      </c>
    </row>
    <row r="1127" spans="1:8" x14ac:dyDescent="0.2">
      <c r="A1127" s="1280" t="s">
        <v>4807</v>
      </c>
      <c r="B1127" s="1281" t="s">
        <v>2623</v>
      </c>
      <c r="C1127" s="1281">
        <v>1</v>
      </c>
      <c r="D1127" s="1281" t="s">
        <v>2653</v>
      </c>
      <c r="E1127" s="1280" t="s">
        <v>4808</v>
      </c>
      <c r="F1127" s="1282"/>
      <c r="G1127" s="1281"/>
      <c r="H1127" s="1281"/>
    </row>
    <row r="1128" spans="1:8" x14ac:dyDescent="0.2">
      <c r="A1128" s="1280" t="s">
        <v>4809</v>
      </c>
      <c r="B1128" s="1281" t="s">
        <v>2623</v>
      </c>
      <c r="C1128" s="1281">
        <v>5</v>
      </c>
      <c r="D1128" s="1281" t="s">
        <v>2667</v>
      </c>
      <c r="E1128" s="1280" t="s">
        <v>4810</v>
      </c>
      <c r="F1128" s="1282"/>
      <c r="G1128" s="1281"/>
      <c r="H1128" s="1281"/>
    </row>
    <row r="1129" spans="1:8" x14ac:dyDescent="0.2">
      <c r="A1129" s="1280" t="s">
        <v>4811</v>
      </c>
      <c r="B1129" s="1281"/>
      <c r="C1129" s="1281">
        <v>0</v>
      </c>
      <c r="D1129" s="1281" t="s">
        <v>2686</v>
      </c>
      <c r="E1129" s="1280" t="s">
        <v>4812</v>
      </c>
      <c r="F1129" s="1282"/>
      <c r="G1129" s="1281"/>
      <c r="H1129" s="1281"/>
    </row>
    <row r="1130" spans="1:8" x14ac:dyDescent="0.2">
      <c r="A1130" s="1280" t="s">
        <v>4813</v>
      </c>
      <c r="B1130" s="1281" t="s">
        <v>2623</v>
      </c>
      <c r="C1130" s="1281">
        <v>0</v>
      </c>
      <c r="D1130" s="1281" t="s">
        <v>2645</v>
      </c>
      <c r="E1130" s="1280" t="s">
        <v>4814</v>
      </c>
      <c r="F1130" s="1282"/>
      <c r="G1130" s="1281"/>
      <c r="H1130" s="1281"/>
    </row>
    <row r="1131" spans="1:8" x14ac:dyDescent="0.2">
      <c r="A1131" s="1280" t="s">
        <v>4815</v>
      </c>
      <c r="B1131" s="1281"/>
      <c r="C1131" s="1281">
        <v>0</v>
      </c>
      <c r="D1131" s="1281" t="s">
        <v>2686</v>
      </c>
      <c r="E1131" s="1280" t="s">
        <v>4816</v>
      </c>
      <c r="F1131" s="1282"/>
      <c r="G1131" s="1281"/>
      <c r="H1131" s="1281"/>
    </row>
    <row r="1132" spans="1:8" x14ac:dyDescent="0.2">
      <c r="A1132" s="1280" t="s">
        <v>4817</v>
      </c>
      <c r="B1132" s="1281" t="s">
        <v>2623</v>
      </c>
      <c r="C1132" s="1281">
        <v>0</v>
      </c>
      <c r="D1132" s="1281" t="s">
        <v>2686</v>
      </c>
      <c r="E1132" s="1280" t="s">
        <v>4818</v>
      </c>
      <c r="F1132" s="1282"/>
      <c r="G1132" s="1281"/>
      <c r="H1132" s="1281"/>
    </row>
    <row r="1133" spans="1:8" x14ac:dyDescent="0.2">
      <c r="A1133" s="1280" t="s">
        <v>4819</v>
      </c>
      <c r="B1133" s="1281" t="s">
        <v>2623</v>
      </c>
      <c r="C1133" s="1281">
        <v>15</v>
      </c>
      <c r="D1133" s="1281" t="s">
        <v>2686</v>
      </c>
      <c r="E1133" s="1280" t="s">
        <v>4820</v>
      </c>
      <c r="F1133" s="1282"/>
      <c r="G1133" s="1281"/>
      <c r="H1133" s="1281"/>
    </row>
    <row r="1134" spans="1:8" x14ac:dyDescent="0.2">
      <c r="A1134" s="1280" t="s">
        <v>4821</v>
      </c>
      <c r="B1134" s="1281" t="s">
        <v>2623</v>
      </c>
      <c r="C1134" s="1281">
        <v>2</v>
      </c>
      <c r="D1134" s="1281" t="s">
        <v>2686</v>
      </c>
      <c r="E1134" s="1280" t="s">
        <v>4822</v>
      </c>
      <c r="F1134" s="1282"/>
      <c r="G1134" s="1281"/>
      <c r="H1134" s="1281"/>
    </row>
    <row r="1135" spans="1:8" x14ac:dyDescent="0.2">
      <c r="A1135" s="1280" t="s">
        <v>4823</v>
      </c>
      <c r="B1135" s="1281" t="s">
        <v>2623</v>
      </c>
      <c r="C1135" s="1281">
        <v>2</v>
      </c>
      <c r="D1135" s="1281" t="s">
        <v>2686</v>
      </c>
      <c r="E1135" s="1280" t="s">
        <v>4824</v>
      </c>
      <c r="F1135" s="1282"/>
      <c r="G1135" s="1281"/>
      <c r="H1135" s="1281"/>
    </row>
    <row r="1136" spans="1:8" x14ac:dyDescent="0.2">
      <c r="A1136" s="1280" t="s">
        <v>4825</v>
      </c>
      <c r="B1136" s="1281" t="s">
        <v>2623</v>
      </c>
      <c r="C1136" s="1281">
        <v>11</v>
      </c>
      <c r="D1136" s="1281" t="s">
        <v>2650</v>
      </c>
      <c r="E1136" s="1280" t="s">
        <v>4826</v>
      </c>
      <c r="F1136" s="1282"/>
      <c r="G1136" s="1281"/>
      <c r="H1136" s="1281"/>
    </row>
    <row r="1137" spans="1:8" x14ac:dyDescent="0.2">
      <c r="A1137" s="1280" t="s">
        <v>4827</v>
      </c>
      <c r="B1137" s="1281" t="s">
        <v>2623</v>
      </c>
      <c r="C1137" s="1281">
        <v>8</v>
      </c>
      <c r="D1137" s="1281" t="s">
        <v>2667</v>
      </c>
      <c r="E1137" s="1280" t="s">
        <v>4828</v>
      </c>
      <c r="F1137" s="1282"/>
      <c r="G1137" s="1281"/>
      <c r="H1137" s="1281"/>
    </row>
    <row r="1138" spans="1:8" x14ac:dyDescent="0.2">
      <c r="A1138" s="1280" t="s">
        <v>4829</v>
      </c>
      <c r="B1138" s="1281" t="s">
        <v>2623</v>
      </c>
      <c r="C1138" s="1281">
        <v>1</v>
      </c>
      <c r="D1138" s="1281" t="s">
        <v>2650</v>
      </c>
      <c r="E1138" s="1280" t="s">
        <v>4830</v>
      </c>
      <c r="F1138" s="1282"/>
      <c r="G1138" s="1281"/>
      <c r="H1138" s="1281"/>
    </row>
    <row r="1139" spans="1:8" x14ac:dyDescent="0.2">
      <c r="A1139" s="1280" t="s">
        <v>4831</v>
      </c>
      <c r="B1139" s="1281" t="s">
        <v>2623</v>
      </c>
      <c r="C1139" s="1281">
        <v>1</v>
      </c>
      <c r="D1139" s="1281" t="s">
        <v>2650</v>
      </c>
      <c r="E1139" s="1280" t="s">
        <v>4832</v>
      </c>
      <c r="F1139" s="1282"/>
      <c r="G1139" s="1281"/>
      <c r="H1139" s="1281"/>
    </row>
    <row r="1140" spans="1:8" x14ac:dyDescent="0.2">
      <c r="A1140" s="1280" t="s">
        <v>4833</v>
      </c>
      <c r="B1140" s="1281" t="s">
        <v>2623</v>
      </c>
      <c r="C1140" s="1281">
        <v>3</v>
      </c>
      <c r="D1140" s="1281" t="s">
        <v>2645</v>
      </c>
      <c r="E1140" s="1280" t="s">
        <v>4834</v>
      </c>
      <c r="F1140" s="1282" t="s">
        <v>2659</v>
      </c>
      <c r="G1140" s="1281"/>
      <c r="H1140" s="1281"/>
    </row>
    <row r="1141" spans="1:8" x14ac:dyDescent="0.2">
      <c r="A1141" s="1280" t="s">
        <v>4835</v>
      </c>
      <c r="B1141" s="1281"/>
      <c r="C1141" s="1281">
        <v>0</v>
      </c>
      <c r="D1141" s="1281" t="s">
        <v>2686</v>
      </c>
      <c r="E1141" s="1280" t="s">
        <v>4836</v>
      </c>
      <c r="F1141" s="1282"/>
      <c r="G1141" s="1281"/>
      <c r="H1141" s="1281">
        <v>1</v>
      </c>
    </row>
    <row r="1142" spans="1:8" x14ac:dyDescent="0.2">
      <c r="A1142" s="1280" t="s">
        <v>4837</v>
      </c>
      <c r="B1142" s="1281" t="s">
        <v>2623</v>
      </c>
      <c r="C1142" s="1281">
        <v>8</v>
      </c>
      <c r="D1142" s="1281" t="s">
        <v>2653</v>
      </c>
      <c r="E1142" s="1280" t="s">
        <v>4838</v>
      </c>
      <c r="F1142" s="1282"/>
      <c r="G1142" s="1281"/>
      <c r="H1142" s="1281"/>
    </row>
    <row r="1143" spans="1:8" x14ac:dyDescent="0.2">
      <c r="A1143" s="1280" t="s">
        <v>4839</v>
      </c>
      <c r="B1143" s="1281" t="s">
        <v>2623</v>
      </c>
      <c r="C1143" s="1281">
        <v>0</v>
      </c>
      <c r="D1143" s="1281" t="s">
        <v>2653</v>
      </c>
      <c r="E1143" s="1280" t="s">
        <v>4840</v>
      </c>
      <c r="F1143" s="1282"/>
      <c r="G1143" s="1281"/>
      <c r="H1143" s="1281"/>
    </row>
    <row r="1144" spans="1:8" x14ac:dyDescent="0.2">
      <c r="A1144" s="1280" t="s">
        <v>4841</v>
      </c>
      <c r="B1144" s="1281" t="s">
        <v>2623</v>
      </c>
      <c r="C1144" s="1281">
        <v>12</v>
      </c>
      <c r="D1144" s="1281"/>
      <c r="E1144" s="1280"/>
      <c r="F1144" s="1282"/>
      <c r="G1144" s="1281"/>
      <c r="H1144" s="1281"/>
    </row>
    <row r="1145" spans="1:8" x14ac:dyDescent="0.2">
      <c r="A1145" s="1280" t="s">
        <v>4842</v>
      </c>
      <c r="B1145" s="1281" t="s">
        <v>2623</v>
      </c>
      <c r="C1145" s="1281">
        <v>8</v>
      </c>
      <c r="D1145" s="1281" t="s">
        <v>2650</v>
      </c>
      <c r="E1145" s="1280" t="s">
        <v>4843</v>
      </c>
      <c r="F1145" s="1282"/>
      <c r="G1145" s="1281"/>
      <c r="H1145" s="1281"/>
    </row>
    <row r="1146" spans="1:8" x14ac:dyDescent="0.2">
      <c r="A1146" s="1280" t="s">
        <v>4844</v>
      </c>
      <c r="B1146" s="1281" t="s">
        <v>2623</v>
      </c>
      <c r="C1146" s="1281">
        <v>1</v>
      </c>
      <c r="D1146" s="1281" t="s">
        <v>2667</v>
      </c>
      <c r="E1146" s="1280" t="s">
        <v>4845</v>
      </c>
      <c r="F1146" s="1282"/>
      <c r="G1146" s="1281"/>
      <c r="H1146" s="1281"/>
    </row>
    <row r="1147" spans="1:8" x14ac:dyDescent="0.2">
      <c r="A1147" s="1280" t="s">
        <v>4846</v>
      </c>
      <c r="B1147" s="1281" t="s">
        <v>2623</v>
      </c>
      <c r="C1147" s="1281">
        <v>2</v>
      </c>
      <c r="D1147" s="1281" t="s">
        <v>2667</v>
      </c>
      <c r="E1147" s="1280" t="s">
        <v>4847</v>
      </c>
      <c r="F1147" s="1282"/>
      <c r="G1147" s="1281"/>
      <c r="H1147" s="1281"/>
    </row>
    <row r="1148" spans="1:8" x14ac:dyDescent="0.2">
      <c r="A1148" s="1280" t="s">
        <v>4848</v>
      </c>
      <c r="B1148" s="1281" t="s">
        <v>2623</v>
      </c>
      <c r="C1148" s="1281">
        <v>0</v>
      </c>
      <c r="D1148" s="1281" t="s">
        <v>2667</v>
      </c>
      <c r="E1148" s="1280" t="s">
        <v>4849</v>
      </c>
      <c r="F1148" s="1282"/>
      <c r="G1148" s="1281"/>
      <c r="H1148" s="1281"/>
    </row>
    <row r="1149" spans="1:8" x14ac:dyDescent="0.2">
      <c r="A1149" s="1280" t="s">
        <v>4850</v>
      </c>
      <c r="B1149" s="1281" t="s">
        <v>2623</v>
      </c>
      <c r="C1149" s="1281">
        <v>2</v>
      </c>
      <c r="D1149" s="1281" t="s">
        <v>2686</v>
      </c>
      <c r="E1149" s="1280" t="s">
        <v>4851</v>
      </c>
      <c r="F1149" s="1282"/>
      <c r="G1149" s="1281"/>
      <c r="H1149" s="1281"/>
    </row>
    <row r="1150" spans="1:8" x14ac:dyDescent="0.2">
      <c r="A1150" s="1280" t="s">
        <v>4852</v>
      </c>
      <c r="B1150" s="1281" t="s">
        <v>2623</v>
      </c>
      <c r="C1150" s="1281">
        <v>1</v>
      </c>
      <c r="D1150" s="1281" t="s">
        <v>2650</v>
      </c>
      <c r="E1150" s="1280" t="s">
        <v>4853</v>
      </c>
      <c r="F1150" s="1282"/>
      <c r="G1150" s="1281"/>
      <c r="H1150" s="1281"/>
    </row>
    <row r="1151" spans="1:8" x14ac:dyDescent="0.2">
      <c r="A1151" s="1280" t="s">
        <v>4854</v>
      </c>
      <c r="B1151" s="1281" t="s">
        <v>2623</v>
      </c>
      <c r="C1151" s="1281">
        <v>0</v>
      </c>
      <c r="D1151" s="1281" t="s">
        <v>2667</v>
      </c>
      <c r="E1151" s="1280" t="s">
        <v>4855</v>
      </c>
      <c r="F1151" s="1282"/>
      <c r="G1151" s="1281"/>
      <c r="H1151" s="1281"/>
    </row>
    <row r="1152" spans="1:8" x14ac:dyDescent="0.2">
      <c r="A1152" s="1280" t="s">
        <v>4856</v>
      </c>
      <c r="B1152" s="1281" t="s">
        <v>2623</v>
      </c>
      <c r="C1152" s="1281">
        <v>7</v>
      </c>
      <c r="D1152" s="1281" t="s">
        <v>2686</v>
      </c>
      <c r="E1152" s="1280" t="s">
        <v>4857</v>
      </c>
      <c r="F1152" s="1282"/>
      <c r="G1152" s="1281"/>
      <c r="H1152" s="1281"/>
    </row>
    <row r="1153" spans="1:8" x14ac:dyDescent="0.2">
      <c r="A1153" s="1280" t="s">
        <v>4858</v>
      </c>
      <c r="B1153" s="1281" t="s">
        <v>2623</v>
      </c>
      <c r="C1153" s="1281">
        <v>2</v>
      </c>
      <c r="D1153" s="1281" t="s">
        <v>2653</v>
      </c>
      <c r="E1153" s="1280" t="s">
        <v>4859</v>
      </c>
      <c r="F1153" s="1282"/>
      <c r="G1153" s="1281"/>
      <c r="H1153" s="1281">
        <v>2</v>
      </c>
    </row>
    <row r="1154" spans="1:8" x14ac:dyDescent="0.2">
      <c r="A1154" s="1280" t="s">
        <v>4860</v>
      </c>
      <c r="B1154" s="1281" t="s">
        <v>2623</v>
      </c>
      <c r="C1154" s="1281">
        <v>0</v>
      </c>
      <c r="D1154" s="1281" t="s">
        <v>2667</v>
      </c>
      <c r="E1154" s="1280" t="s">
        <v>4861</v>
      </c>
      <c r="F1154" s="1282"/>
      <c r="G1154" s="1281"/>
      <c r="H1154" s="1281"/>
    </row>
    <row r="1155" spans="1:8" x14ac:dyDescent="0.2">
      <c r="A1155" s="1280" t="s">
        <v>4862</v>
      </c>
      <c r="B1155" s="1281"/>
      <c r="C1155" s="1281">
        <v>0</v>
      </c>
      <c r="D1155" s="1281" t="s">
        <v>2653</v>
      </c>
      <c r="E1155" s="1280" t="s">
        <v>4863</v>
      </c>
      <c r="F1155" s="1282"/>
      <c r="G1155" s="1281"/>
      <c r="H1155" s="1281"/>
    </row>
    <row r="1156" spans="1:8" x14ac:dyDescent="0.2">
      <c r="A1156" s="1280" t="s">
        <v>4864</v>
      </c>
      <c r="B1156" s="1281"/>
      <c r="C1156" s="1281">
        <v>0</v>
      </c>
      <c r="D1156" s="1281" t="s">
        <v>2653</v>
      </c>
      <c r="E1156" s="1280" t="s">
        <v>4865</v>
      </c>
      <c r="F1156" s="1282"/>
      <c r="G1156" s="1281"/>
      <c r="H1156" s="1281">
        <v>2</v>
      </c>
    </row>
    <row r="1157" spans="1:8" x14ac:dyDescent="0.2">
      <c r="A1157" s="1280" t="s">
        <v>4866</v>
      </c>
      <c r="B1157" s="1281" t="s">
        <v>2623</v>
      </c>
      <c r="C1157" s="1281">
        <v>0</v>
      </c>
      <c r="D1157" s="1281" t="s">
        <v>2645</v>
      </c>
      <c r="E1157" s="1280" t="s">
        <v>4867</v>
      </c>
      <c r="F1157" s="1282"/>
      <c r="G1157" s="1281"/>
      <c r="H1157" s="1281"/>
    </row>
    <row r="1158" spans="1:8" x14ac:dyDescent="0.2">
      <c r="A1158" s="1280" t="s">
        <v>4868</v>
      </c>
      <c r="B1158" s="1281"/>
      <c r="C1158" s="1281">
        <v>0</v>
      </c>
      <c r="D1158" s="1281" t="s">
        <v>2645</v>
      </c>
      <c r="E1158" s="1280" t="s">
        <v>4869</v>
      </c>
      <c r="F1158" s="1282"/>
      <c r="G1158" s="1281"/>
      <c r="H1158" s="1281">
        <v>1</v>
      </c>
    </row>
    <row r="1159" spans="1:8" x14ac:dyDescent="0.2">
      <c r="A1159" s="1280" t="s">
        <v>4870</v>
      </c>
      <c r="B1159" s="1281" t="s">
        <v>2623</v>
      </c>
      <c r="C1159" s="1281">
        <v>0</v>
      </c>
      <c r="D1159" s="1281" t="s">
        <v>2650</v>
      </c>
      <c r="E1159" s="1280" t="s">
        <v>4871</v>
      </c>
      <c r="F1159" s="1282"/>
      <c r="G1159" s="1281"/>
      <c r="H1159" s="1281"/>
    </row>
    <row r="1160" spans="1:8" x14ac:dyDescent="0.2">
      <c r="A1160" s="1280" t="s">
        <v>4872</v>
      </c>
      <c r="B1160" s="1281"/>
      <c r="C1160" s="1281">
        <v>0</v>
      </c>
      <c r="D1160" s="1281" t="s">
        <v>2686</v>
      </c>
      <c r="E1160" s="1280" t="s">
        <v>4873</v>
      </c>
      <c r="F1160" s="1282"/>
      <c r="G1160" s="1281"/>
      <c r="H1160" s="1281">
        <v>1</v>
      </c>
    </row>
    <row r="1161" spans="1:8" x14ac:dyDescent="0.2">
      <c r="A1161" s="1280" t="s">
        <v>4874</v>
      </c>
      <c r="B1161" s="1281" t="s">
        <v>2623</v>
      </c>
      <c r="C1161" s="1281">
        <v>1</v>
      </c>
      <c r="D1161" s="1281" t="s">
        <v>2645</v>
      </c>
      <c r="E1161" s="1280" t="s">
        <v>4875</v>
      </c>
      <c r="F1161" s="1282" t="s">
        <v>2659</v>
      </c>
      <c r="G1161" s="1281"/>
      <c r="H1161" s="1281"/>
    </row>
    <row r="1162" spans="1:8" x14ac:dyDescent="0.2">
      <c r="A1162" s="1283" t="s">
        <v>4876</v>
      </c>
      <c r="B1162" s="1281" t="s">
        <v>2623</v>
      </c>
      <c r="C1162" s="1281">
        <v>0</v>
      </c>
      <c r="D1162" s="1281"/>
      <c r="E1162" s="1280"/>
      <c r="F1162" s="1282"/>
      <c r="G1162" s="1281"/>
      <c r="H1162" s="1281">
        <v>2</v>
      </c>
    </row>
    <row r="1163" spans="1:8" x14ac:dyDescent="0.2">
      <c r="A1163" s="1280" t="s">
        <v>4877</v>
      </c>
      <c r="B1163" s="1281" t="s">
        <v>2623</v>
      </c>
      <c r="C1163" s="1281">
        <v>3</v>
      </c>
      <c r="D1163" s="1281" t="s">
        <v>2645</v>
      </c>
      <c r="E1163" s="1280" t="s">
        <v>4878</v>
      </c>
      <c r="F1163" s="1282" t="s">
        <v>2659</v>
      </c>
      <c r="G1163" s="1281"/>
      <c r="H1163" s="1281"/>
    </row>
    <row r="1164" spans="1:8" x14ac:dyDescent="0.2">
      <c r="A1164" s="1280" t="s">
        <v>4879</v>
      </c>
      <c r="B1164" s="1281" t="s">
        <v>2623</v>
      </c>
      <c r="C1164" s="1281">
        <v>2</v>
      </c>
      <c r="D1164" s="1281" t="s">
        <v>2645</v>
      </c>
      <c r="E1164" s="1280" t="s">
        <v>4880</v>
      </c>
      <c r="F1164" s="1282"/>
      <c r="G1164" s="1281"/>
      <c r="H1164" s="1281"/>
    </row>
    <row r="1165" spans="1:8" x14ac:dyDescent="0.2">
      <c r="A1165" s="1280" t="s">
        <v>4881</v>
      </c>
      <c r="B1165" s="1281" t="s">
        <v>2623</v>
      </c>
      <c r="C1165" s="1281">
        <v>3</v>
      </c>
      <c r="D1165" s="1281" t="s">
        <v>2653</v>
      </c>
      <c r="E1165" s="1280" t="s">
        <v>4882</v>
      </c>
      <c r="F1165" s="1282" t="s">
        <v>2659</v>
      </c>
      <c r="G1165" s="1281"/>
      <c r="H1165" s="1281"/>
    </row>
    <row r="1166" spans="1:8" x14ac:dyDescent="0.2">
      <c r="A1166" s="1280" t="s">
        <v>4883</v>
      </c>
      <c r="B1166" s="1281" t="s">
        <v>2623</v>
      </c>
      <c r="C1166" s="1281">
        <v>4</v>
      </c>
      <c r="D1166" s="1281" t="s">
        <v>2653</v>
      </c>
      <c r="E1166" s="1280" t="s">
        <v>4884</v>
      </c>
      <c r="F1166" s="1282"/>
      <c r="G1166" s="1281"/>
      <c r="H1166" s="1281">
        <v>1</v>
      </c>
    </row>
    <row r="1167" spans="1:8" x14ac:dyDescent="0.2">
      <c r="A1167" s="1280" t="s">
        <v>4885</v>
      </c>
      <c r="B1167" s="1281" t="s">
        <v>2623</v>
      </c>
      <c r="C1167" s="1281">
        <v>11</v>
      </c>
      <c r="D1167" s="1281" t="s">
        <v>2653</v>
      </c>
      <c r="E1167" s="1280" t="s">
        <v>4886</v>
      </c>
      <c r="F1167" s="1282"/>
      <c r="G1167" s="1281"/>
      <c r="H1167" s="1281"/>
    </row>
    <row r="1168" spans="1:8" x14ac:dyDescent="0.2">
      <c r="A1168" s="1280" t="s">
        <v>4887</v>
      </c>
      <c r="B1168" s="1281"/>
      <c r="C1168" s="1281">
        <v>0</v>
      </c>
      <c r="D1168" s="1281" t="s">
        <v>2650</v>
      </c>
      <c r="E1168" s="1280" t="s">
        <v>4888</v>
      </c>
      <c r="F1168" s="1282"/>
      <c r="G1168" s="1281"/>
      <c r="H1168" s="1281"/>
    </row>
    <row r="1169" spans="1:8" x14ac:dyDescent="0.2">
      <c r="A1169" s="1280" t="s">
        <v>4889</v>
      </c>
      <c r="B1169" s="1281" t="s">
        <v>2623</v>
      </c>
      <c r="C1169" s="1281">
        <v>0</v>
      </c>
      <c r="D1169" s="1281" t="s">
        <v>2650</v>
      </c>
      <c r="E1169" s="1280" t="s">
        <v>4890</v>
      </c>
      <c r="F1169" s="1282"/>
      <c r="G1169" s="1281"/>
      <c r="H1169" s="1281"/>
    </row>
    <row r="1170" spans="1:8" x14ac:dyDescent="0.2">
      <c r="A1170" s="1280" t="s">
        <v>4891</v>
      </c>
      <c r="B1170" s="1281" t="s">
        <v>2623</v>
      </c>
      <c r="C1170" s="1281">
        <v>0</v>
      </c>
      <c r="D1170" s="1281" t="s">
        <v>2686</v>
      </c>
      <c r="E1170" s="1280" t="s">
        <v>4892</v>
      </c>
      <c r="F1170" s="1282"/>
      <c r="G1170" s="1281"/>
      <c r="H1170" s="1281"/>
    </row>
    <row r="1171" spans="1:8" x14ac:dyDescent="0.2">
      <c r="A1171" s="1280" t="s">
        <v>4893</v>
      </c>
      <c r="B1171" s="1281" t="s">
        <v>2623</v>
      </c>
      <c r="C1171" s="1281">
        <v>2</v>
      </c>
      <c r="D1171" s="1281" t="s">
        <v>2650</v>
      </c>
      <c r="E1171" s="1280" t="s">
        <v>4894</v>
      </c>
      <c r="F1171" s="1282"/>
      <c r="G1171" s="1281"/>
      <c r="H1171" s="1281"/>
    </row>
    <row r="1172" spans="1:8" x14ac:dyDescent="0.2">
      <c r="A1172" s="1280" t="s">
        <v>4895</v>
      </c>
      <c r="B1172" s="1281" t="s">
        <v>2623</v>
      </c>
      <c r="C1172" s="1281">
        <v>3</v>
      </c>
      <c r="D1172" s="1281" t="s">
        <v>2653</v>
      </c>
      <c r="E1172" s="1280" t="s">
        <v>4896</v>
      </c>
      <c r="F1172" s="1282"/>
      <c r="G1172" s="1281"/>
      <c r="H1172" s="1281">
        <v>1</v>
      </c>
    </row>
    <row r="1173" spans="1:8" x14ac:dyDescent="0.2">
      <c r="A1173" s="1280" t="s">
        <v>4897</v>
      </c>
      <c r="B1173" s="1281" t="s">
        <v>2623</v>
      </c>
      <c r="C1173" s="1281">
        <v>5</v>
      </c>
      <c r="D1173" s="1281" t="s">
        <v>2653</v>
      </c>
      <c r="E1173" s="1280" t="s">
        <v>4898</v>
      </c>
      <c r="F1173" s="1282"/>
      <c r="G1173" s="1281"/>
      <c r="H1173" s="1281"/>
    </row>
    <row r="1174" spans="1:8" x14ac:dyDescent="0.2">
      <c r="A1174" s="1283" t="s">
        <v>4899</v>
      </c>
      <c r="B1174" s="1281" t="s">
        <v>2623</v>
      </c>
      <c r="C1174" s="1281">
        <v>0</v>
      </c>
      <c r="D1174" s="1281"/>
      <c r="E1174" s="1280"/>
      <c r="F1174" s="1282"/>
      <c r="G1174" s="1281"/>
      <c r="H1174" s="1281"/>
    </row>
    <row r="1175" spans="1:8" x14ac:dyDescent="0.2">
      <c r="A1175" s="1280" t="s">
        <v>4900</v>
      </c>
      <c r="B1175" s="1281" t="s">
        <v>2623</v>
      </c>
      <c r="C1175" s="1281">
        <v>2</v>
      </c>
      <c r="D1175" s="1281" t="s">
        <v>2645</v>
      </c>
      <c r="E1175" s="1280" t="s">
        <v>4901</v>
      </c>
      <c r="F1175" s="1282" t="s">
        <v>2659</v>
      </c>
      <c r="G1175" s="1281"/>
      <c r="H1175" s="1281"/>
    </row>
    <row r="1176" spans="1:8" x14ac:dyDescent="0.2">
      <c r="A1176" s="1280" t="s">
        <v>4902</v>
      </c>
      <c r="B1176" s="1281" t="s">
        <v>2623</v>
      </c>
      <c r="C1176" s="1281">
        <v>4</v>
      </c>
      <c r="D1176" s="1281" t="s">
        <v>2650</v>
      </c>
      <c r="E1176" s="1280" t="s">
        <v>4903</v>
      </c>
      <c r="F1176" s="1282"/>
      <c r="G1176" s="1281"/>
      <c r="H1176" s="1281">
        <v>1</v>
      </c>
    </row>
    <row r="1177" spans="1:8" x14ac:dyDescent="0.2">
      <c r="A1177" s="1280" t="s">
        <v>4904</v>
      </c>
      <c r="B1177" s="1281" t="s">
        <v>2623</v>
      </c>
      <c r="C1177" s="1281">
        <v>20</v>
      </c>
      <c r="D1177" s="1281" t="s">
        <v>2650</v>
      </c>
      <c r="E1177" s="1280" t="s">
        <v>4905</v>
      </c>
      <c r="F1177" s="1282"/>
      <c r="G1177" s="1281"/>
      <c r="H1177" s="1281">
        <v>2</v>
      </c>
    </row>
    <row r="1178" spans="1:8" x14ac:dyDescent="0.2">
      <c r="A1178" s="1280" t="s">
        <v>4906</v>
      </c>
      <c r="B1178" s="1281" t="s">
        <v>2623</v>
      </c>
      <c r="C1178" s="1281">
        <v>3</v>
      </c>
      <c r="D1178" s="1281" t="s">
        <v>2650</v>
      </c>
      <c r="E1178" s="1280" t="s">
        <v>4907</v>
      </c>
      <c r="F1178" s="1282"/>
      <c r="G1178" s="1281"/>
      <c r="H1178" s="1281"/>
    </row>
    <row r="1179" spans="1:8" x14ac:dyDescent="0.2">
      <c r="A1179" s="1280" t="s">
        <v>4908</v>
      </c>
      <c r="B1179" s="1281" t="s">
        <v>2623</v>
      </c>
      <c r="C1179" s="1281">
        <v>4</v>
      </c>
      <c r="D1179" s="1281" t="s">
        <v>2686</v>
      </c>
      <c r="E1179" s="1280"/>
      <c r="F1179" s="1282"/>
      <c r="G1179" s="1281"/>
      <c r="H1179" s="1281"/>
    </row>
    <row r="1180" spans="1:8" x14ac:dyDescent="0.2">
      <c r="A1180" s="1280" t="s">
        <v>4909</v>
      </c>
      <c r="B1180" s="1281" t="s">
        <v>2623</v>
      </c>
      <c r="C1180" s="1281">
        <v>0</v>
      </c>
      <c r="D1180" s="1281" t="s">
        <v>2650</v>
      </c>
      <c r="E1180" s="1280" t="s">
        <v>4910</v>
      </c>
      <c r="F1180" s="1282"/>
      <c r="G1180" s="1281"/>
      <c r="H1180" s="1281"/>
    </row>
    <row r="1181" spans="1:8" x14ac:dyDescent="0.2">
      <c r="A1181" s="1280" t="s">
        <v>4911</v>
      </c>
      <c r="B1181" s="1281" t="s">
        <v>2623</v>
      </c>
      <c r="C1181" s="1281">
        <v>4</v>
      </c>
      <c r="D1181" s="1281" t="s">
        <v>2686</v>
      </c>
      <c r="E1181" s="1280" t="s">
        <v>4912</v>
      </c>
      <c r="F1181" s="1282"/>
      <c r="G1181" s="1281"/>
      <c r="H1181" s="1281"/>
    </row>
    <row r="1182" spans="1:8" x14ac:dyDescent="0.2">
      <c r="A1182" s="1280" t="s">
        <v>4913</v>
      </c>
      <c r="B1182" s="1281" t="s">
        <v>2623</v>
      </c>
      <c r="C1182" s="1281">
        <v>4</v>
      </c>
      <c r="D1182" s="1281" t="s">
        <v>2686</v>
      </c>
      <c r="E1182" s="1280" t="s">
        <v>4914</v>
      </c>
      <c r="F1182" s="1282"/>
      <c r="G1182" s="1281"/>
      <c r="H1182" s="1281"/>
    </row>
    <row r="1183" spans="1:8" x14ac:dyDescent="0.2">
      <c r="A1183" s="1280" t="s">
        <v>4915</v>
      </c>
      <c r="B1183" s="1281"/>
      <c r="C1183" s="1281">
        <v>0</v>
      </c>
      <c r="D1183" s="1281" t="s">
        <v>2653</v>
      </c>
      <c r="E1183" s="1280" t="s">
        <v>4916</v>
      </c>
      <c r="F1183" s="1282"/>
      <c r="G1183" s="1281"/>
      <c r="H1183" s="1281"/>
    </row>
    <row r="1184" spans="1:8" x14ac:dyDescent="0.2">
      <c r="A1184" s="1280" t="s">
        <v>4917</v>
      </c>
      <c r="B1184" s="1281" t="s">
        <v>2623</v>
      </c>
      <c r="C1184" s="1281">
        <v>0</v>
      </c>
      <c r="D1184" s="1281" t="s">
        <v>2686</v>
      </c>
      <c r="E1184" s="1280" t="s">
        <v>4918</v>
      </c>
      <c r="F1184" s="1282"/>
      <c r="G1184" s="1281"/>
      <c r="H1184" s="1281"/>
    </row>
    <row r="1185" spans="1:8" x14ac:dyDescent="0.2">
      <c r="A1185" s="1280" t="s">
        <v>4919</v>
      </c>
      <c r="B1185" s="1281" t="s">
        <v>2623</v>
      </c>
      <c r="C1185" s="1281">
        <v>0</v>
      </c>
      <c r="D1185" s="1281" t="s">
        <v>2645</v>
      </c>
      <c r="E1185" s="1280" t="s">
        <v>4920</v>
      </c>
      <c r="F1185" s="1282"/>
      <c r="G1185" s="1281"/>
      <c r="H1185" s="1281"/>
    </row>
    <row r="1186" spans="1:8" x14ac:dyDescent="0.2">
      <c r="A1186" s="1280" t="s">
        <v>4921</v>
      </c>
      <c r="B1186" s="1281" t="s">
        <v>2623</v>
      </c>
      <c r="C1186" s="1281">
        <v>0</v>
      </c>
      <c r="D1186" s="1281" t="s">
        <v>2667</v>
      </c>
      <c r="E1186" s="1280" t="s">
        <v>4922</v>
      </c>
      <c r="F1186" s="1282"/>
      <c r="G1186" s="1281"/>
      <c r="H1186" s="1281"/>
    </row>
    <row r="1187" spans="1:8" x14ac:dyDescent="0.2">
      <c r="A1187" s="1280" t="s">
        <v>4923</v>
      </c>
      <c r="B1187" s="1281"/>
      <c r="C1187" s="1281">
        <v>0</v>
      </c>
      <c r="D1187" s="1281" t="s">
        <v>2667</v>
      </c>
      <c r="E1187" s="1280" t="s">
        <v>4924</v>
      </c>
      <c r="F1187" s="1282"/>
      <c r="G1187" s="1281"/>
      <c r="H1187" s="1281"/>
    </row>
    <row r="1188" spans="1:8" x14ac:dyDescent="0.2">
      <c r="A1188" s="1280" t="s">
        <v>4925</v>
      </c>
      <c r="B1188" s="1281"/>
      <c r="C1188" s="1281">
        <v>0</v>
      </c>
      <c r="D1188" s="1281" t="s">
        <v>2667</v>
      </c>
      <c r="E1188" s="1280" t="s">
        <v>4926</v>
      </c>
      <c r="F1188" s="1282"/>
      <c r="G1188" s="1281"/>
      <c r="H1188" s="1281">
        <v>2</v>
      </c>
    </row>
    <row r="1189" spans="1:8" x14ac:dyDescent="0.2">
      <c r="A1189" s="1283" t="s">
        <v>4927</v>
      </c>
      <c r="B1189" s="1281" t="s">
        <v>2623</v>
      </c>
      <c r="C1189" s="1281">
        <v>0</v>
      </c>
      <c r="D1189" s="1281"/>
      <c r="E1189" s="1280"/>
      <c r="F1189" s="1282"/>
      <c r="G1189" s="1281"/>
      <c r="H1189" s="1281"/>
    </row>
    <row r="1190" spans="1:8" x14ac:dyDescent="0.2">
      <c r="A1190" s="1280" t="s">
        <v>4928</v>
      </c>
      <c r="B1190" s="1281" t="s">
        <v>2623</v>
      </c>
      <c r="C1190" s="1281">
        <v>0</v>
      </c>
      <c r="D1190" s="1281" t="s">
        <v>2650</v>
      </c>
      <c r="E1190" s="1280" t="s">
        <v>4929</v>
      </c>
      <c r="F1190" s="1282"/>
      <c r="G1190" s="1281"/>
      <c r="H1190" s="1281"/>
    </row>
    <row r="1191" spans="1:8" x14ac:dyDescent="0.2">
      <c r="A1191" s="1280" t="s">
        <v>4930</v>
      </c>
      <c r="B1191" s="1281" t="s">
        <v>2623</v>
      </c>
      <c r="C1191" s="1281">
        <v>10</v>
      </c>
      <c r="D1191" s="1281" t="s">
        <v>2653</v>
      </c>
      <c r="E1191" s="1280" t="s">
        <v>4931</v>
      </c>
      <c r="F1191" s="1282"/>
      <c r="G1191" s="1281"/>
      <c r="H1191" s="1281"/>
    </row>
    <row r="1192" spans="1:8" x14ac:dyDescent="0.2">
      <c r="A1192" s="1280" t="s">
        <v>4932</v>
      </c>
      <c r="B1192" s="1281"/>
      <c r="C1192" s="1281">
        <v>0</v>
      </c>
      <c r="D1192" s="1281" t="s">
        <v>2645</v>
      </c>
      <c r="E1192" s="1280" t="s">
        <v>4933</v>
      </c>
      <c r="F1192" s="1282"/>
      <c r="G1192" s="1281"/>
      <c r="H1192" s="1281"/>
    </row>
    <row r="1193" spans="1:8" x14ac:dyDescent="0.2">
      <c r="A1193" s="1280" t="s">
        <v>4934</v>
      </c>
      <c r="B1193" s="1281" t="s">
        <v>2623</v>
      </c>
      <c r="C1193" s="1281">
        <v>0</v>
      </c>
      <c r="D1193" s="1281" t="s">
        <v>2645</v>
      </c>
      <c r="E1193" s="1280" t="s">
        <v>4935</v>
      </c>
      <c r="F1193" s="1282" t="s">
        <v>2659</v>
      </c>
      <c r="G1193" s="1281" t="s">
        <v>2659</v>
      </c>
      <c r="H1193" s="1281"/>
    </row>
    <row r="1194" spans="1:8" x14ac:dyDescent="0.2">
      <c r="A1194" s="1280" t="s">
        <v>4936</v>
      </c>
      <c r="B1194" s="1281" t="s">
        <v>2623</v>
      </c>
      <c r="C1194" s="1281">
        <v>1</v>
      </c>
      <c r="D1194" s="1281" t="s">
        <v>2650</v>
      </c>
      <c r="E1194" s="1280" t="s">
        <v>4937</v>
      </c>
      <c r="F1194" s="1282" t="s">
        <v>2659</v>
      </c>
      <c r="G1194" s="1281" t="s">
        <v>2659</v>
      </c>
      <c r="H1194" s="1281"/>
    </row>
    <row r="1195" spans="1:8" x14ac:dyDescent="0.2">
      <c r="A1195" s="1280" t="s">
        <v>4938</v>
      </c>
      <c r="B1195" s="1281"/>
      <c r="C1195" s="1281">
        <v>0</v>
      </c>
      <c r="D1195" s="1281" t="s">
        <v>2645</v>
      </c>
      <c r="E1195" s="1280" t="s">
        <v>4939</v>
      </c>
      <c r="F1195" s="1282" t="s">
        <v>2659</v>
      </c>
      <c r="G1195" s="1281"/>
      <c r="H1195" s="1281"/>
    </row>
    <row r="1196" spans="1:8" x14ac:dyDescent="0.2">
      <c r="A1196" s="1280" t="s">
        <v>4940</v>
      </c>
      <c r="B1196" s="1281" t="s">
        <v>2623</v>
      </c>
      <c r="C1196" s="1281">
        <v>4</v>
      </c>
      <c r="D1196" s="1281" t="s">
        <v>2653</v>
      </c>
      <c r="E1196" s="1280" t="s">
        <v>4941</v>
      </c>
      <c r="F1196" s="1282" t="s">
        <v>2659</v>
      </c>
      <c r="G1196" s="1281"/>
      <c r="H1196" s="1281"/>
    </row>
    <row r="1197" spans="1:8" x14ac:dyDescent="0.2">
      <c r="A1197" s="1280" t="s">
        <v>4942</v>
      </c>
      <c r="B1197" s="1281" t="s">
        <v>2623</v>
      </c>
      <c r="C1197" s="1281">
        <v>4</v>
      </c>
      <c r="D1197" s="1281" t="s">
        <v>2653</v>
      </c>
      <c r="E1197" s="1280" t="s">
        <v>4943</v>
      </c>
      <c r="F1197" s="1282" t="s">
        <v>2659</v>
      </c>
      <c r="G1197" s="1281" t="s">
        <v>2659</v>
      </c>
      <c r="H1197" s="1281"/>
    </row>
    <row r="1198" spans="1:8" x14ac:dyDescent="0.2">
      <c r="A1198" s="1280" t="s">
        <v>4944</v>
      </c>
      <c r="B1198" s="1281"/>
      <c r="C1198" s="1281">
        <v>0</v>
      </c>
      <c r="D1198" s="1281" t="s">
        <v>2650</v>
      </c>
      <c r="E1198" s="1280" t="s">
        <v>4945</v>
      </c>
      <c r="F1198" s="1282" t="s">
        <v>2659</v>
      </c>
      <c r="G1198" s="1281"/>
      <c r="H1198" s="1281"/>
    </row>
    <row r="1199" spans="1:8" x14ac:dyDescent="0.2">
      <c r="A1199" s="1280" t="s">
        <v>4946</v>
      </c>
      <c r="B1199" s="1281"/>
      <c r="C1199" s="1281">
        <v>0</v>
      </c>
      <c r="D1199" s="1281" t="s">
        <v>2650</v>
      </c>
      <c r="E1199" s="1280" t="s">
        <v>4947</v>
      </c>
      <c r="F1199" s="1282"/>
      <c r="G1199" s="1281"/>
      <c r="H1199" s="1281">
        <v>1</v>
      </c>
    </row>
    <row r="1200" spans="1:8" x14ac:dyDescent="0.2">
      <c r="A1200" s="1280" t="s">
        <v>4948</v>
      </c>
      <c r="B1200" s="1281" t="s">
        <v>2623</v>
      </c>
      <c r="C1200" s="1281">
        <v>15</v>
      </c>
      <c r="D1200" s="1281" t="s">
        <v>2667</v>
      </c>
      <c r="E1200" s="1280" t="s">
        <v>4949</v>
      </c>
      <c r="F1200" s="1282"/>
      <c r="G1200" s="1281"/>
      <c r="H1200" s="1281"/>
    </row>
    <row r="1201" spans="1:8" x14ac:dyDescent="0.2">
      <c r="A1201" s="1280" t="s">
        <v>4950</v>
      </c>
      <c r="B1201" s="1281"/>
      <c r="C1201" s="1281">
        <v>0</v>
      </c>
      <c r="D1201" s="1281" t="s">
        <v>2667</v>
      </c>
      <c r="E1201" s="1280"/>
      <c r="F1201" s="1282"/>
      <c r="G1201" s="1281"/>
      <c r="H1201" s="1281"/>
    </row>
    <row r="1202" spans="1:8" x14ac:dyDescent="0.2">
      <c r="A1202" s="1280" t="s">
        <v>4951</v>
      </c>
      <c r="B1202" s="1281"/>
      <c r="C1202" s="1281">
        <v>0</v>
      </c>
      <c r="D1202" s="1281" t="s">
        <v>2667</v>
      </c>
      <c r="E1202" s="1280"/>
      <c r="F1202" s="1282"/>
      <c r="G1202" s="1281"/>
      <c r="H1202" s="1281"/>
    </row>
    <row r="1203" spans="1:8" x14ac:dyDescent="0.2">
      <c r="A1203" s="1280" t="s">
        <v>4952</v>
      </c>
      <c r="B1203" s="1281" t="s">
        <v>2623</v>
      </c>
      <c r="C1203" s="1281">
        <v>5</v>
      </c>
      <c r="D1203" s="1281" t="s">
        <v>2667</v>
      </c>
      <c r="E1203" s="1280" t="s">
        <v>4953</v>
      </c>
      <c r="F1203" s="1282"/>
      <c r="G1203" s="1281"/>
      <c r="H1203" s="1281"/>
    </row>
    <row r="1204" spans="1:8" x14ac:dyDescent="0.2">
      <c r="A1204" s="1280" t="s">
        <v>4954</v>
      </c>
      <c r="B1204" s="1281"/>
      <c r="C1204" s="1281">
        <v>0</v>
      </c>
      <c r="D1204" s="1281" t="s">
        <v>2650</v>
      </c>
      <c r="E1204" s="1280" t="s">
        <v>4955</v>
      </c>
      <c r="F1204" s="1282"/>
      <c r="G1204" s="1281"/>
      <c r="H1204" s="1281"/>
    </row>
    <row r="1205" spans="1:8" x14ac:dyDescent="0.2">
      <c r="A1205" s="1280" t="s">
        <v>4956</v>
      </c>
      <c r="B1205" s="1281" t="s">
        <v>2623</v>
      </c>
      <c r="C1205" s="1281">
        <v>12</v>
      </c>
      <c r="D1205" s="1281" t="s">
        <v>2653</v>
      </c>
      <c r="E1205" s="1280" t="s">
        <v>4957</v>
      </c>
      <c r="F1205" s="1282"/>
      <c r="G1205" s="1281"/>
      <c r="H1205" s="1281"/>
    </row>
    <row r="1206" spans="1:8" x14ac:dyDescent="0.2">
      <c r="A1206" s="1280" t="s">
        <v>4958</v>
      </c>
      <c r="B1206" s="1281"/>
      <c r="C1206" s="1281">
        <v>0</v>
      </c>
      <c r="D1206" s="1281" t="s">
        <v>2650</v>
      </c>
      <c r="E1206" s="1280" t="s">
        <v>4959</v>
      </c>
      <c r="F1206" s="1282"/>
      <c r="G1206" s="1281"/>
      <c r="H1206" s="1281">
        <v>2</v>
      </c>
    </row>
    <row r="1207" spans="1:8" x14ac:dyDescent="0.2">
      <c r="A1207" s="1280" t="s">
        <v>4960</v>
      </c>
      <c r="B1207" s="1281" t="s">
        <v>2623</v>
      </c>
      <c r="C1207" s="1281">
        <v>24</v>
      </c>
      <c r="D1207" s="1281" t="s">
        <v>2650</v>
      </c>
      <c r="E1207" s="1280" t="s">
        <v>4961</v>
      </c>
      <c r="F1207" s="1282"/>
      <c r="G1207" s="1281"/>
      <c r="H1207" s="1281"/>
    </row>
    <row r="1208" spans="1:8" x14ac:dyDescent="0.2">
      <c r="A1208" s="1280" t="s">
        <v>4962</v>
      </c>
      <c r="B1208" s="1281" t="s">
        <v>2623</v>
      </c>
      <c r="C1208" s="1281">
        <v>16</v>
      </c>
      <c r="D1208" s="1281" t="s">
        <v>2650</v>
      </c>
      <c r="E1208" s="1280" t="s">
        <v>4963</v>
      </c>
      <c r="F1208" s="1282"/>
      <c r="G1208" s="1281"/>
      <c r="H1208" s="1281"/>
    </row>
    <row r="1209" spans="1:8" x14ac:dyDescent="0.2">
      <c r="A1209" s="1280" t="s">
        <v>4964</v>
      </c>
      <c r="B1209" s="1281" t="s">
        <v>2623</v>
      </c>
      <c r="C1209" s="1281">
        <v>10</v>
      </c>
      <c r="D1209" s="1281" t="s">
        <v>2650</v>
      </c>
      <c r="E1209" s="1280" t="s">
        <v>4965</v>
      </c>
      <c r="F1209" s="1282"/>
      <c r="G1209" s="1281"/>
      <c r="H1209" s="1281"/>
    </row>
    <row r="1210" spans="1:8" x14ac:dyDescent="0.2">
      <c r="A1210" s="1280" t="s">
        <v>4966</v>
      </c>
      <c r="B1210" s="1281"/>
      <c r="C1210" s="1281">
        <v>0</v>
      </c>
      <c r="D1210" s="1281" t="s">
        <v>2667</v>
      </c>
      <c r="E1210" s="1280" t="s">
        <v>4967</v>
      </c>
      <c r="F1210" s="1282"/>
      <c r="G1210" s="1281"/>
      <c r="H1210" s="1281"/>
    </row>
    <row r="1211" spans="1:8" x14ac:dyDescent="0.2">
      <c r="A1211" s="1280" t="s">
        <v>4968</v>
      </c>
      <c r="B1211" s="1281" t="s">
        <v>2623</v>
      </c>
      <c r="C1211" s="1281">
        <v>5</v>
      </c>
      <c r="D1211" s="1281" t="s">
        <v>2653</v>
      </c>
      <c r="E1211" s="1280" t="s">
        <v>4969</v>
      </c>
      <c r="F1211" s="1282"/>
      <c r="G1211" s="1281"/>
      <c r="H1211" s="1281"/>
    </row>
    <row r="1212" spans="1:8" x14ac:dyDescent="0.2">
      <c r="A1212" s="1280" t="s">
        <v>4970</v>
      </c>
      <c r="B1212" s="1281" t="s">
        <v>2623</v>
      </c>
      <c r="C1212" s="1281">
        <v>3</v>
      </c>
      <c r="D1212" s="1281" t="s">
        <v>2667</v>
      </c>
      <c r="E1212" s="1280" t="s">
        <v>4971</v>
      </c>
      <c r="F1212" s="1282"/>
      <c r="G1212" s="1281"/>
      <c r="H1212" s="1281"/>
    </row>
    <row r="1213" spans="1:8" x14ac:dyDescent="0.2">
      <c r="A1213" s="1280" t="s">
        <v>4972</v>
      </c>
      <c r="B1213" s="1281" t="s">
        <v>2623</v>
      </c>
      <c r="C1213" s="1281">
        <v>0</v>
      </c>
      <c r="D1213" s="1281" t="s">
        <v>2667</v>
      </c>
      <c r="E1213" s="1280" t="s">
        <v>4973</v>
      </c>
      <c r="F1213" s="1282"/>
      <c r="G1213" s="1281"/>
      <c r="H1213" s="1281"/>
    </row>
    <row r="1214" spans="1:8" x14ac:dyDescent="0.2">
      <c r="A1214" s="1280" t="s">
        <v>4974</v>
      </c>
      <c r="B1214" s="1281" t="s">
        <v>2623</v>
      </c>
      <c r="C1214" s="1281">
        <v>0</v>
      </c>
      <c r="D1214" s="1281" t="s">
        <v>2667</v>
      </c>
      <c r="E1214" s="1280" t="s">
        <v>4975</v>
      </c>
      <c r="F1214" s="1282"/>
      <c r="G1214" s="1281"/>
      <c r="H1214" s="1281"/>
    </row>
    <row r="1215" spans="1:8" x14ac:dyDescent="0.2">
      <c r="A1215" s="1280" t="s">
        <v>4976</v>
      </c>
      <c r="B1215" s="1281"/>
      <c r="C1215" s="1281">
        <v>0</v>
      </c>
      <c r="D1215" s="1281" t="s">
        <v>2667</v>
      </c>
      <c r="E1215" s="1280" t="s">
        <v>4977</v>
      </c>
      <c r="F1215" s="1282"/>
      <c r="G1215" s="1281"/>
      <c r="H1215" s="1281">
        <v>1</v>
      </c>
    </row>
    <row r="1216" spans="1:8" x14ac:dyDescent="0.2">
      <c r="A1216" s="1280" t="s">
        <v>4978</v>
      </c>
      <c r="B1216" s="1281"/>
      <c r="C1216" s="1281">
        <v>0</v>
      </c>
      <c r="D1216" s="1281" t="s">
        <v>2667</v>
      </c>
      <c r="E1216" s="1280" t="s">
        <v>4979</v>
      </c>
      <c r="F1216" s="1282"/>
      <c r="G1216" s="1281"/>
      <c r="H1216" s="1281"/>
    </row>
    <row r="1217" spans="1:8" x14ac:dyDescent="0.2">
      <c r="A1217" s="1280" t="s">
        <v>4980</v>
      </c>
      <c r="B1217" s="1281" t="s">
        <v>2623</v>
      </c>
      <c r="C1217" s="1281">
        <v>1</v>
      </c>
      <c r="D1217" s="1281" t="s">
        <v>2650</v>
      </c>
      <c r="E1217" s="1280" t="s">
        <v>4981</v>
      </c>
      <c r="F1217" s="1282" t="s">
        <v>2659</v>
      </c>
      <c r="G1217" s="1281"/>
      <c r="H1217" s="1281"/>
    </row>
    <row r="1218" spans="1:8" x14ac:dyDescent="0.2">
      <c r="A1218" s="1280" t="s">
        <v>4982</v>
      </c>
      <c r="B1218" s="1281" t="s">
        <v>2623</v>
      </c>
      <c r="C1218" s="1281">
        <v>12</v>
      </c>
      <c r="D1218" s="1281" t="s">
        <v>4983</v>
      </c>
      <c r="E1218" s="1280" t="s">
        <v>4984</v>
      </c>
      <c r="F1218" s="1282"/>
      <c r="G1218" s="1281"/>
      <c r="H1218" s="1281"/>
    </row>
    <row r="1219" spans="1:8" x14ac:dyDescent="0.2">
      <c r="A1219" s="1280" t="s">
        <v>4985</v>
      </c>
      <c r="B1219" s="1281" t="s">
        <v>2623</v>
      </c>
      <c r="C1219" s="1281">
        <v>17</v>
      </c>
      <c r="D1219" s="1281" t="s">
        <v>2686</v>
      </c>
      <c r="E1219" s="1280" t="s">
        <v>4986</v>
      </c>
      <c r="F1219" s="1282"/>
      <c r="G1219" s="1281"/>
      <c r="H1219" s="1281"/>
    </row>
    <row r="1220" spans="1:8" x14ac:dyDescent="0.2">
      <c r="A1220" s="1280" t="s">
        <v>4987</v>
      </c>
      <c r="B1220" s="1281" t="s">
        <v>2623</v>
      </c>
      <c r="C1220" s="1281">
        <v>1</v>
      </c>
      <c r="D1220" s="1281" t="s">
        <v>2686</v>
      </c>
      <c r="E1220" s="1280" t="s">
        <v>4986</v>
      </c>
      <c r="F1220" s="1282"/>
      <c r="G1220" s="1281"/>
      <c r="H1220" s="1281"/>
    </row>
    <row r="1221" spans="1:8" x14ac:dyDescent="0.2">
      <c r="A1221" s="1280" t="s">
        <v>4988</v>
      </c>
      <c r="B1221" s="1281"/>
      <c r="C1221" s="1281">
        <v>0</v>
      </c>
      <c r="D1221" s="1281" t="s">
        <v>2667</v>
      </c>
      <c r="E1221" s="1280" t="s">
        <v>4989</v>
      </c>
      <c r="F1221" s="1282"/>
      <c r="G1221" s="1281"/>
      <c r="H1221" s="1281"/>
    </row>
    <row r="1222" spans="1:8" x14ac:dyDescent="0.2">
      <c r="A1222" s="1280" t="s">
        <v>4990</v>
      </c>
      <c r="B1222" s="1281" t="s">
        <v>2623</v>
      </c>
      <c r="C1222" s="1281">
        <v>0</v>
      </c>
      <c r="D1222" s="1281" t="s">
        <v>2653</v>
      </c>
      <c r="E1222" s="1280" t="s">
        <v>4991</v>
      </c>
      <c r="F1222" s="1282"/>
      <c r="G1222" s="1281"/>
      <c r="H1222" s="1281"/>
    </row>
    <row r="1223" spans="1:8" x14ac:dyDescent="0.2">
      <c r="A1223" s="1280" t="s">
        <v>4992</v>
      </c>
      <c r="B1223" s="1281" t="s">
        <v>2623</v>
      </c>
      <c r="C1223" s="1281">
        <v>12</v>
      </c>
      <c r="D1223" s="1281" t="s">
        <v>2650</v>
      </c>
      <c r="E1223" s="1280" t="s">
        <v>4993</v>
      </c>
      <c r="F1223" s="1282"/>
      <c r="G1223" s="1281"/>
      <c r="H1223" s="1281"/>
    </row>
    <row r="1224" spans="1:8" x14ac:dyDescent="0.2">
      <c r="A1224" s="1280" t="s">
        <v>4994</v>
      </c>
      <c r="B1224" s="1281" t="s">
        <v>2623</v>
      </c>
      <c r="C1224" s="1281">
        <v>2</v>
      </c>
      <c r="D1224" s="1281" t="s">
        <v>2667</v>
      </c>
      <c r="E1224" s="1280" t="s">
        <v>4995</v>
      </c>
      <c r="F1224" s="1282"/>
      <c r="G1224" s="1281"/>
      <c r="H1224" s="1281"/>
    </row>
    <row r="1225" spans="1:8" x14ac:dyDescent="0.2">
      <c r="A1225" s="1280" t="s">
        <v>4996</v>
      </c>
      <c r="B1225" s="1281" t="s">
        <v>2623</v>
      </c>
      <c r="C1225" s="1281">
        <v>14</v>
      </c>
      <c r="D1225" s="1281" t="s">
        <v>2653</v>
      </c>
      <c r="E1225" s="1280" t="s">
        <v>4997</v>
      </c>
      <c r="F1225" s="1282"/>
      <c r="G1225" s="1281"/>
      <c r="H1225" s="1281"/>
    </row>
    <row r="1226" spans="1:8" x14ac:dyDescent="0.2">
      <c r="A1226" s="1280" t="s">
        <v>4998</v>
      </c>
      <c r="B1226" s="1281" t="s">
        <v>2623</v>
      </c>
      <c r="C1226" s="1281">
        <v>0</v>
      </c>
      <c r="D1226" s="1281"/>
      <c r="E1226" s="1280" t="s">
        <v>4999</v>
      </c>
      <c r="F1226" s="1282"/>
      <c r="G1226" s="1281"/>
      <c r="H1226" s="1281"/>
    </row>
    <row r="1227" spans="1:8" x14ac:dyDescent="0.2">
      <c r="A1227" s="1280" t="s">
        <v>5000</v>
      </c>
      <c r="B1227" s="1281" t="s">
        <v>2623</v>
      </c>
      <c r="C1227" s="1281">
        <v>19</v>
      </c>
      <c r="D1227" s="1281" t="s">
        <v>2650</v>
      </c>
      <c r="E1227" s="1280" t="s">
        <v>5001</v>
      </c>
      <c r="F1227" s="1282"/>
      <c r="G1227" s="1281"/>
      <c r="H1227" s="1281"/>
    </row>
    <row r="1228" spans="1:8" x14ac:dyDescent="0.2">
      <c r="A1228" s="1280" t="s">
        <v>5002</v>
      </c>
      <c r="B1228" s="1281" t="s">
        <v>2623</v>
      </c>
      <c r="C1228" s="1281">
        <v>9</v>
      </c>
      <c r="D1228" s="1281" t="s">
        <v>2650</v>
      </c>
      <c r="E1228" s="1280" t="s">
        <v>5003</v>
      </c>
      <c r="F1228" s="1282"/>
      <c r="G1228" s="1281"/>
      <c r="H1228" s="1281"/>
    </row>
    <row r="1229" spans="1:8" x14ac:dyDescent="0.2">
      <c r="A1229" s="1280" t="s">
        <v>5004</v>
      </c>
      <c r="B1229" s="1281" t="s">
        <v>2623</v>
      </c>
      <c r="C1229" s="1281">
        <v>11</v>
      </c>
      <c r="D1229" s="1281" t="s">
        <v>2686</v>
      </c>
      <c r="E1229" s="1280" t="s">
        <v>5005</v>
      </c>
      <c r="F1229" s="1282"/>
      <c r="G1229" s="1281"/>
      <c r="H1229" s="1281"/>
    </row>
    <row r="1230" spans="1:8" x14ac:dyDescent="0.2">
      <c r="A1230" s="1280" t="s">
        <v>5006</v>
      </c>
      <c r="B1230" s="1281" t="s">
        <v>2623</v>
      </c>
      <c r="C1230" s="1281">
        <v>1</v>
      </c>
      <c r="D1230" s="1281" t="s">
        <v>2650</v>
      </c>
      <c r="E1230" s="1280" t="s">
        <v>5007</v>
      </c>
      <c r="F1230" s="1282"/>
      <c r="G1230" s="1281"/>
      <c r="H1230" s="1281"/>
    </row>
    <row r="1231" spans="1:8" x14ac:dyDescent="0.2">
      <c r="A1231" s="1280" t="s">
        <v>5008</v>
      </c>
      <c r="B1231" s="1281"/>
      <c r="C1231" s="1281">
        <v>0</v>
      </c>
      <c r="D1231" s="1281" t="s">
        <v>2686</v>
      </c>
      <c r="E1231" s="1280" t="s">
        <v>5009</v>
      </c>
      <c r="F1231" s="1282"/>
      <c r="G1231" s="1281"/>
      <c r="H1231" s="1281"/>
    </row>
    <row r="1232" spans="1:8" x14ac:dyDescent="0.2">
      <c r="A1232" s="1280" t="s">
        <v>5010</v>
      </c>
      <c r="B1232" s="1281" t="s">
        <v>2623</v>
      </c>
      <c r="C1232" s="1281">
        <v>10</v>
      </c>
      <c r="D1232" s="1281" t="s">
        <v>2650</v>
      </c>
      <c r="E1232" s="1280" t="s">
        <v>5011</v>
      </c>
      <c r="F1232" s="1282"/>
      <c r="G1232" s="1281"/>
      <c r="H1232" s="1281"/>
    </row>
    <row r="1233" spans="1:8" x14ac:dyDescent="0.2">
      <c r="A1233" s="1280" t="s">
        <v>5012</v>
      </c>
      <c r="B1233" s="1281" t="s">
        <v>2623</v>
      </c>
      <c r="C1233" s="1281">
        <v>8</v>
      </c>
      <c r="D1233" s="1281" t="s">
        <v>2650</v>
      </c>
      <c r="E1233" s="1280" t="s">
        <v>5013</v>
      </c>
      <c r="F1233" s="1282"/>
      <c r="G1233" s="1281"/>
      <c r="H1233" s="1281"/>
    </row>
    <row r="1234" spans="1:8" x14ac:dyDescent="0.2">
      <c r="A1234" s="1280" t="s">
        <v>5014</v>
      </c>
      <c r="B1234" s="1281"/>
      <c r="C1234" s="1281">
        <v>0</v>
      </c>
      <c r="D1234" s="1281" t="s">
        <v>2653</v>
      </c>
      <c r="E1234" s="1280" t="s">
        <v>5015</v>
      </c>
      <c r="F1234" s="1282" t="s">
        <v>2659</v>
      </c>
      <c r="G1234" s="1281"/>
      <c r="H1234" s="1281"/>
    </row>
    <row r="1235" spans="1:8" x14ac:dyDescent="0.2">
      <c r="A1235" s="1280" t="s">
        <v>5016</v>
      </c>
      <c r="B1235" s="1281" t="s">
        <v>2623</v>
      </c>
      <c r="C1235" s="1281">
        <v>11</v>
      </c>
      <c r="D1235" s="1281" t="s">
        <v>2667</v>
      </c>
      <c r="E1235" s="1280" t="s">
        <v>5017</v>
      </c>
      <c r="F1235" s="1282"/>
      <c r="G1235" s="1281"/>
      <c r="H1235" s="1281"/>
    </row>
    <row r="1236" spans="1:8" x14ac:dyDescent="0.2">
      <c r="A1236" s="1280" t="s">
        <v>5018</v>
      </c>
      <c r="B1236" s="1281" t="s">
        <v>2623</v>
      </c>
      <c r="C1236" s="1281">
        <v>0</v>
      </c>
      <c r="D1236" s="1281" t="s">
        <v>2667</v>
      </c>
      <c r="E1236" s="1280" t="s">
        <v>5019</v>
      </c>
      <c r="F1236" s="1282" t="s">
        <v>2659</v>
      </c>
      <c r="G1236" s="1281"/>
      <c r="H1236" s="1281"/>
    </row>
    <row r="1237" spans="1:8" x14ac:dyDescent="0.2">
      <c r="A1237" s="1280" t="s">
        <v>5020</v>
      </c>
      <c r="B1237" s="1281" t="s">
        <v>2623</v>
      </c>
      <c r="C1237" s="1281">
        <v>1</v>
      </c>
      <c r="D1237" s="1281" t="s">
        <v>2653</v>
      </c>
      <c r="E1237" s="1280" t="s">
        <v>5021</v>
      </c>
      <c r="F1237" s="1282" t="s">
        <v>2659</v>
      </c>
      <c r="G1237" s="1281"/>
      <c r="H1237" s="1281"/>
    </row>
    <row r="1238" spans="1:8" x14ac:dyDescent="0.2">
      <c r="A1238" s="1280" t="s">
        <v>5022</v>
      </c>
      <c r="B1238" s="1281" t="s">
        <v>2623</v>
      </c>
      <c r="C1238" s="1281">
        <v>2</v>
      </c>
      <c r="D1238" s="1281" t="s">
        <v>2645</v>
      </c>
      <c r="E1238" s="1280" t="s">
        <v>5023</v>
      </c>
      <c r="F1238" s="1282" t="s">
        <v>2659</v>
      </c>
      <c r="G1238" s="1281"/>
      <c r="H1238" s="1281"/>
    </row>
    <row r="1239" spans="1:8" x14ac:dyDescent="0.2">
      <c r="A1239" s="1280" t="s">
        <v>5024</v>
      </c>
      <c r="B1239" s="1281" t="s">
        <v>2623</v>
      </c>
      <c r="C1239" s="1281">
        <v>0</v>
      </c>
      <c r="D1239" s="1281" t="s">
        <v>2650</v>
      </c>
      <c r="E1239" s="1280" t="s">
        <v>5025</v>
      </c>
      <c r="F1239" s="1282"/>
      <c r="G1239" s="1281"/>
      <c r="H1239" s="1281"/>
    </row>
    <row r="1240" spans="1:8" x14ac:dyDescent="0.2">
      <c r="A1240" s="1280" t="s">
        <v>5026</v>
      </c>
      <c r="B1240" s="1281" t="s">
        <v>2623</v>
      </c>
      <c r="C1240" s="1281">
        <v>0</v>
      </c>
      <c r="D1240" s="1281" t="s">
        <v>2686</v>
      </c>
      <c r="E1240" s="1280" t="s">
        <v>5027</v>
      </c>
      <c r="F1240" s="1282" t="s">
        <v>2659</v>
      </c>
      <c r="G1240" s="1281"/>
      <c r="H1240" s="1281"/>
    </row>
    <row r="1241" spans="1:8" x14ac:dyDescent="0.2">
      <c r="A1241" s="1280" t="s">
        <v>5028</v>
      </c>
      <c r="B1241" s="1281" t="s">
        <v>2623</v>
      </c>
      <c r="C1241" s="1281">
        <v>0</v>
      </c>
      <c r="D1241" s="1281" t="s">
        <v>2667</v>
      </c>
      <c r="E1241" s="1280" t="s">
        <v>5029</v>
      </c>
      <c r="F1241" s="1282"/>
      <c r="G1241" s="1281"/>
      <c r="H1241" s="1281"/>
    </row>
    <row r="1242" spans="1:8" x14ac:dyDescent="0.2">
      <c r="A1242" s="1280" t="s">
        <v>5030</v>
      </c>
      <c r="B1242" s="1281" t="s">
        <v>2623</v>
      </c>
      <c r="C1242" s="1281">
        <v>4</v>
      </c>
      <c r="D1242" s="1281" t="s">
        <v>2667</v>
      </c>
      <c r="E1242" s="1280" t="s">
        <v>5031</v>
      </c>
      <c r="F1242" s="1282" t="s">
        <v>2659</v>
      </c>
      <c r="G1242" s="1281"/>
      <c r="H1242" s="1281"/>
    </row>
    <row r="1243" spans="1:8" x14ac:dyDescent="0.2">
      <c r="A1243" s="1280" t="s">
        <v>5032</v>
      </c>
      <c r="B1243" s="1281" t="s">
        <v>2623</v>
      </c>
      <c r="C1243" s="1281">
        <v>6</v>
      </c>
      <c r="D1243" s="1281" t="s">
        <v>2650</v>
      </c>
      <c r="E1243" s="1280" t="s">
        <v>5033</v>
      </c>
      <c r="F1243" s="1282"/>
      <c r="G1243" s="1281"/>
      <c r="H1243" s="1281"/>
    </row>
    <row r="1244" spans="1:8" x14ac:dyDescent="0.2">
      <c r="A1244" s="1280" t="s">
        <v>5034</v>
      </c>
      <c r="B1244" s="1281" t="s">
        <v>2623</v>
      </c>
      <c r="C1244" s="1281">
        <v>10</v>
      </c>
      <c r="D1244" s="1281" t="s">
        <v>2653</v>
      </c>
      <c r="E1244" s="1280" t="s">
        <v>5035</v>
      </c>
      <c r="F1244" s="1282"/>
      <c r="G1244" s="1281"/>
      <c r="H1244" s="1281"/>
    </row>
    <row r="1245" spans="1:8" x14ac:dyDescent="0.2">
      <c r="A1245" s="1280" t="s">
        <v>5036</v>
      </c>
      <c r="B1245" s="1281" t="s">
        <v>2623</v>
      </c>
      <c r="C1245" s="1281">
        <v>0</v>
      </c>
      <c r="D1245" s="1281" t="s">
        <v>2653</v>
      </c>
      <c r="E1245" s="1280" t="s">
        <v>5037</v>
      </c>
      <c r="F1245" s="1282"/>
      <c r="G1245" s="1281"/>
      <c r="H1245" s="1281">
        <v>1</v>
      </c>
    </row>
    <row r="1246" spans="1:8" x14ac:dyDescent="0.2">
      <c r="A1246" s="1280" t="s">
        <v>5038</v>
      </c>
      <c r="B1246" s="1281" t="s">
        <v>2623</v>
      </c>
      <c r="C1246" s="1281">
        <v>0</v>
      </c>
      <c r="D1246" s="1281" t="s">
        <v>2645</v>
      </c>
      <c r="E1246" s="1280" t="s">
        <v>5039</v>
      </c>
      <c r="F1246" s="1282"/>
      <c r="G1246" s="1281"/>
      <c r="H1246" s="1281"/>
    </row>
    <row r="1247" spans="1:8" x14ac:dyDescent="0.2">
      <c r="A1247" s="1280" t="s">
        <v>5040</v>
      </c>
      <c r="B1247" s="1281" t="s">
        <v>2623</v>
      </c>
      <c r="C1247" s="1281">
        <v>0</v>
      </c>
      <c r="D1247" s="1281" t="s">
        <v>2645</v>
      </c>
      <c r="E1247" s="1280" t="s">
        <v>5041</v>
      </c>
      <c r="F1247" s="1282" t="s">
        <v>2659</v>
      </c>
      <c r="G1247" s="1281"/>
      <c r="H1247" s="1281"/>
    </row>
    <row r="1248" spans="1:8" x14ac:dyDescent="0.2">
      <c r="A1248" s="1280" t="s">
        <v>5042</v>
      </c>
      <c r="B1248" s="1281" t="s">
        <v>2623</v>
      </c>
      <c r="C1248" s="1281">
        <v>4</v>
      </c>
      <c r="D1248" s="1281" t="s">
        <v>2650</v>
      </c>
      <c r="E1248" s="1280" t="s">
        <v>5043</v>
      </c>
      <c r="F1248" s="1282"/>
      <c r="G1248" s="1281"/>
      <c r="H1248" s="1281"/>
    </row>
    <row r="1249" spans="1:8" x14ac:dyDescent="0.2">
      <c r="A1249" s="1280" t="s">
        <v>5044</v>
      </c>
      <c r="B1249" s="1281" t="s">
        <v>2623</v>
      </c>
      <c r="C1249" s="1281">
        <v>4</v>
      </c>
      <c r="D1249" s="1281" t="s">
        <v>2686</v>
      </c>
      <c r="E1249" s="1280" t="s">
        <v>5045</v>
      </c>
      <c r="F1249" s="1282"/>
      <c r="G1249" s="1281"/>
      <c r="H1249" s="1281"/>
    </row>
    <row r="1250" spans="1:8" x14ac:dyDescent="0.2">
      <c r="A1250" s="1280" t="s">
        <v>5046</v>
      </c>
      <c r="B1250" s="1281" t="s">
        <v>2623</v>
      </c>
      <c r="C1250" s="1281">
        <v>0</v>
      </c>
      <c r="D1250" s="1281" t="s">
        <v>2650</v>
      </c>
      <c r="E1250" s="1280" t="s">
        <v>5047</v>
      </c>
      <c r="F1250" s="1282"/>
      <c r="G1250" s="1281"/>
      <c r="H1250" s="1281"/>
    </row>
    <row r="1251" spans="1:8" x14ac:dyDescent="0.2">
      <c r="A1251" s="1280" t="s">
        <v>5048</v>
      </c>
      <c r="B1251" s="1281" t="s">
        <v>2623</v>
      </c>
      <c r="C1251" s="1281">
        <v>4</v>
      </c>
      <c r="D1251" s="1281" t="s">
        <v>2686</v>
      </c>
      <c r="E1251" s="1280" t="s">
        <v>5049</v>
      </c>
      <c r="F1251" s="1282"/>
      <c r="G1251" s="1281"/>
      <c r="H1251" s="1281"/>
    </row>
    <row r="1252" spans="1:8" x14ac:dyDescent="0.2">
      <c r="A1252" s="1280" t="s">
        <v>5050</v>
      </c>
      <c r="B1252" s="1281" t="s">
        <v>2623</v>
      </c>
      <c r="C1252" s="1281">
        <v>8</v>
      </c>
      <c r="D1252" s="1281" t="s">
        <v>2686</v>
      </c>
      <c r="E1252" s="1280" t="s">
        <v>5051</v>
      </c>
      <c r="F1252" s="1282"/>
      <c r="G1252" s="1281"/>
      <c r="H1252" s="1281"/>
    </row>
    <row r="1253" spans="1:8" x14ac:dyDescent="0.2">
      <c r="A1253" s="1280" t="s">
        <v>5052</v>
      </c>
      <c r="B1253" s="1281" t="s">
        <v>2623</v>
      </c>
      <c r="C1253" s="1281">
        <v>10</v>
      </c>
      <c r="D1253" s="1281"/>
      <c r="E1253" s="1280" t="s">
        <v>5053</v>
      </c>
      <c r="F1253" s="1282"/>
      <c r="G1253" s="1281"/>
      <c r="H1253" s="1281"/>
    </row>
    <row r="1254" spans="1:8" x14ac:dyDescent="0.2">
      <c r="A1254" s="1280" t="s">
        <v>5054</v>
      </c>
      <c r="B1254" s="1281" t="s">
        <v>2623</v>
      </c>
      <c r="C1254" s="1281">
        <v>6</v>
      </c>
      <c r="D1254" s="1281" t="s">
        <v>2686</v>
      </c>
      <c r="E1254" s="1280" t="s">
        <v>5055</v>
      </c>
      <c r="F1254" s="1282"/>
      <c r="G1254" s="1281"/>
      <c r="H1254" s="1281"/>
    </row>
    <row r="1255" spans="1:8" x14ac:dyDescent="0.2">
      <c r="A1255" s="1280" t="s">
        <v>5056</v>
      </c>
      <c r="B1255" s="1281" t="s">
        <v>2623</v>
      </c>
      <c r="C1255" s="1281">
        <v>0</v>
      </c>
      <c r="D1255" s="1281"/>
      <c r="E1255" s="1280" t="s">
        <v>5057</v>
      </c>
      <c r="F1255" s="1282"/>
      <c r="G1255" s="1281"/>
      <c r="H1255" s="1281"/>
    </row>
    <row r="1256" spans="1:8" x14ac:dyDescent="0.2">
      <c r="A1256" s="1280" t="s">
        <v>5058</v>
      </c>
      <c r="B1256" s="1281" t="s">
        <v>2623</v>
      </c>
      <c r="C1256" s="1281">
        <v>0</v>
      </c>
      <c r="D1256" s="1281"/>
      <c r="E1256" s="1280" t="s">
        <v>5059</v>
      </c>
      <c r="F1256" s="1282"/>
      <c r="G1256" s="1281"/>
      <c r="H1256" s="1281"/>
    </row>
    <row r="1257" spans="1:8" x14ac:dyDescent="0.2">
      <c r="A1257" s="1280" t="s">
        <v>5060</v>
      </c>
      <c r="B1257" s="1281" t="s">
        <v>2623</v>
      </c>
      <c r="C1257" s="1281">
        <v>1</v>
      </c>
      <c r="D1257" s="1281" t="s">
        <v>2686</v>
      </c>
      <c r="E1257" s="1280" t="s">
        <v>5061</v>
      </c>
      <c r="F1257" s="1282"/>
      <c r="G1257" s="1281"/>
      <c r="H1257" s="1281"/>
    </row>
    <row r="1258" spans="1:8" x14ac:dyDescent="0.2">
      <c r="A1258" s="1280" t="s">
        <v>5062</v>
      </c>
      <c r="B1258" s="1281" t="s">
        <v>2623</v>
      </c>
      <c r="C1258" s="1281">
        <v>1</v>
      </c>
      <c r="D1258" s="1281" t="s">
        <v>2650</v>
      </c>
      <c r="E1258" s="1280" t="s">
        <v>5063</v>
      </c>
      <c r="F1258" s="1282"/>
      <c r="G1258" s="1281"/>
      <c r="H1258" s="1281"/>
    </row>
    <row r="1259" spans="1:8" x14ac:dyDescent="0.2">
      <c r="A1259" s="1280" t="s">
        <v>5064</v>
      </c>
      <c r="B1259" s="1281"/>
      <c r="C1259" s="1281">
        <v>0</v>
      </c>
      <c r="D1259" s="1281" t="s">
        <v>2645</v>
      </c>
      <c r="E1259" s="1280" t="s">
        <v>5065</v>
      </c>
      <c r="F1259" s="1282" t="s">
        <v>2659</v>
      </c>
      <c r="G1259" s="1281"/>
      <c r="H1259" s="1281"/>
    </row>
    <row r="1260" spans="1:8" x14ac:dyDescent="0.2">
      <c r="A1260" s="1280" t="s">
        <v>5066</v>
      </c>
      <c r="B1260" s="1281" t="s">
        <v>2623</v>
      </c>
      <c r="C1260" s="1281">
        <v>0</v>
      </c>
      <c r="D1260" s="1281" t="s">
        <v>2650</v>
      </c>
      <c r="E1260" s="1280" t="s">
        <v>5067</v>
      </c>
      <c r="F1260" s="1282"/>
      <c r="G1260" s="1281"/>
      <c r="H1260" s="1281"/>
    </row>
    <row r="1261" spans="1:8" x14ac:dyDescent="0.2">
      <c r="A1261" s="1280" t="s">
        <v>5068</v>
      </c>
      <c r="B1261" s="1281"/>
      <c r="C1261" s="1281">
        <v>0</v>
      </c>
      <c r="D1261" s="1281" t="s">
        <v>2650</v>
      </c>
      <c r="E1261" s="1280" t="s">
        <v>5069</v>
      </c>
      <c r="F1261" s="1282"/>
      <c r="G1261" s="1281"/>
      <c r="H1261" s="1281"/>
    </row>
    <row r="1262" spans="1:8" x14ac:dyDescent="0.2">
      <c r="A1262" s="1280" t="s">
        <v>5070</v>
      </c>
      <c r="B1262" s="1281"/>
      <c r="C1262" s="1281">
        <v>0</v>
      </c>
      <c r="D1262" s="1281" t="s">
        <v>2667</v>
      </c>
      <c r="E1262" s="1280" t="s">
        <v>5071</v>
      </c>
      <c r="F1262" s="1282"/>
      <c r="G1262" s="1281"/>
      <c r="H1262" s="1281">
        <v>1</v>
      </c>
    </row>
    <row r="1263" spans="1:8" x14ac:dyDescent="0.2">
      <c r="A1263" s="1280" t="s">
        <v>5072</v>
      </c>
      <c r="B1263" s="1281" t="s">
        <v>2623</v>
      </c>
      <c r="C1263" s="1281">
        <v>0</v>
      </c>
      <c r="D1263" s="1281"/>
      <c r="E1263" s="1280" t="s">
        <v>5073</v>
      </c>
      <c r="F1263" s="1282"/>
      <c r="G1263" s="1281"/>
      <c r="H1263" s="1281"/>
    </row>
    <row r="1264" spans="1:8" x14ac:dyDescent="0.2">
      <c r="A1264" s="1280" t="s">
        <v>5074</v>
      </c>
      <c r="B1264" s="1281" t="s">
        <v>2623</v>
      </c>
      <c r="C1264" s="1281">
        <v>3</v>
      </c>
      <c r="D1264" s="1281" t="s">
        <v>2667</v>
      </c>
      <c r="E1264" s="1280" t="s">
        <v>5075</v>
      </c>
      <c r="F1264" s="1282"/>
      <c r="G1264" s="1281"/>
      <c r="H1264" s="1281"/>
    </row>
    <row r="1265" spans="1:8" x14ac:dyDescent="0.2">
      <c r="A1265"/>
      <c r="B1265" s="1370"/>
      <c r="C1265" s="1370"/>
      <c r="D1265" s="1370"/>
      <c r="E1265" s="1370"/>
      <c r="F1265" s="1370"/>
      <c r="G1265"/>
      <c r="H1265"/>
    </row>
    <row r="1266" spans="1:8" x14ac:dyDescent="0.2">
      <c r="A1266"/>
      <c r="B1266" s="1370"/>
      <c r="C1266" s="1370"/>
      <c r="D1266" s="1370"/>
      <c r="E1266" s="1370"/>
      <c r="F1266" s="1370"/>
      <c r="G1266"/>
      <c r="H1266"/>
    </row>
    <row r="1267" spans="1:8" x14ac:dyDescent="0.2">
      <c r="A1267"/>
      <c r="B1267" s="1370"/>
      <c r="C1267" s="1370"/>
      <c r="D1267" s="1370"/>
      <c r="E1267" s="1370"/>
      <c r="F1267" s="1370"/>
      <c r="G1267"/>
      <c r="H1267"/>
    </row>
    <row r="1268" spans="1:8" x14ac:dyDescent="0.2">
      <c r="A1268"/>
      <c r="B1268" s="1370"/>
      <c r="C1268" s="1370"/>
      <c r="D1268" s="1370"/>
      <c r="E1268" s="1370"/>
      <c r="F1268" s="1370"/>
      <c r="G1268"/>
      <c r="H1268"/>
    </row>
    <row r="1269" spans="1:8" x14ac:dyDescent="0.2">
      <c r="A1269"/>
      <c r="B1269" s="1370"/>
      <c r="C1269" s="1370"/>
      <c r="D1269" s="1370"/>
      <c r="E1269" s="1370"/>
      <c r="F1269" s="1370"/>
      <c r="G1269"/>
      <c r="H1269"/>
    </row>
    <row r="1270" spans="1:8" x14ac:dyDescent="0.2">
      <c r="A1270"/>
      <c r="B1270" s="1370"/>
      <c r="C1270" s="1370"/>
      <c r="D1270" s="1370"/>
      <c r="E1270" s="1370"/>
      <c r="F1270" s="1370"/>
      <c r="G1270"/>
      <c r="H1270"/>
    </row>
    <row r="1271" spans="1:8" x14ac:dyDescent="0.2">
      <c r="A1271"/>
      <c r="B1271" s="1370"/>
      <c r="C1271" s="1370"/>
      <c r="D1271" s="1370"/>
      <c r="E1271" s="1370"/>
      <c r="F1271" s="1370"/>
      <c r="G1271"/>
      <c r="H1271"/>
    </row>
    <row r="1272" spans="1:8" x14ac:dyDescent="0.2">
      <c r="A1272"/>
      <c r="B1272" s="1370"/>
      <c r="C1272" s="1370"/>
      <c r="D1272" s="1370"/>
      <c r="E1272" s="1370"/>
      <c r="F1272" s="1370"/>
      <c r="G1272"/>
      <c r="H1272"/>
    </row>
    <row r="1273" spans="1:8" x14ac:dyDescent="0.2">
      <c r="A1273"/>
      <c r="B1273" s="1370"/>
      <c r="C1273" s="1370"/>
      <c r="D1273" s="1370"/>
      <c r="E1273" s="1370"/>
      <c r="F1273" s="1370"/>
      <c r="G1273"/>
      <c r="H1273"/>
    </row>
    <row r="1274" spans="1:8" x14ac:dyDescent="0.2">
      <c r="A1274"/>
      <c r="B1274" s="1370"/>
      <c r="C1274" s="1370"/>
      <c r="D1274" s="1370"/>
      <c r="E1274" s="1370"/>
      <c r="F1274" s="1370"/>
      <c r="G1274"/>
      <c r="H1274"/>
    </row>
    <row r="1275" spans="1:8" x14ac:dyDescent="0.2">
      <c r="A1275"/>
      <c r="B1275" s="1370"/>
      <c r="C1275" s="1370"/>
      <c r="D1275" s="1370"/>
      <c r="E1275" s="1370"/>
      <c r="F1275" s="1370"/>
      <c r="G1275"/>
      <c r="H1275"/>
    </row>
    <row r="1276" spans="1:8" x14ac:dyDescent="0.2">
      <c r="A1276"/>
      <c r="B1276" s="1370"/>
      <c r="C1276" s="1370"/>
      <c r="D1276" s="1370"/>
      <c r="E1276" s="1370"/>
      <c r="F1276" s="1370"/>
      <c r="G1276"/>
      <c r="H1276"/>
    </row>
    <row r="1277" spans="1:8" x14ac:dyDescent="0.2">
      <c r="A1277"/>
      <c r="B1277" s="1370"/>
      <c r="C1277" s="1370"/>
      <c r="D1277" s="1370"/>
      <c r="E1277" s="1370"/>
      <c r="F1277" s="1370"/>
      <c r="G1277"/>
      <c r="H1277"/>
    </row>
    <row r="1278" spans="1:8" x14ac:dyDescent="0.2">
      <c r="A1278"/>
      <c r="B1278" s="1370"/>
      <c r="C1278" s="1370"/>
      <c r="D1278" s="1370"/>
      <c r="E1278" s="1370"/>
      <c r="F1278" s="1370"/>
      <c r="G1278"/>
      <c r="H1278"/>
    </row>
    <row r="1279" spans="1:8" x14ac:dyDescent="0.2">
      <c r="A1279"/>
      <c r="B1279" s="1370"/>
      <c r="C1279" s="1370"/>
      <c r="D1279" s="1370"/>
      <c r="E1279" s="1370"/>
      <c r="F1279" s="1370"/>
      <c r="G1279"/>
      <c r="H1279"/>
    </row>
    <row r="1280" spans="1:8" x14ac:dyDescent="0.2">
      <c r="A1280"/>
      <c r="B1280" s="1370"/>
      <c r="C1280" s="1370"/>
      <c r="D1280" s="1370"/>
      <c r="E1280" s="1370"/>
      <c r="F1280" s="1370"/>
      <c r="G1280"/>
      <c r="H1280"/>
    </row>
    <row r="1281" spans="1:8" x14ac:dyDescent="0.2">
      <c r="A1281"/>
      <c r="B1281" s="1370"/>
      <c r="C1281" s="1370"/>
      <c r="D1281" s="1370"/>
      <c r="E1281" s="1370"/>
      <c r="F1281" s="1370"/>
      <c r="G1281"/>
      <c r="H1281"/>
    </row>
    <row r="1282" spans="1:8" x14ac:dyDescent="0.2">
      <c r="A1282"/>
      <c r="B1282" s="1370"/>
      <c r="C1282" s="1370"/>
      <c r="D1282" s="1370"/>
      <c r="E1282" s="1370"/>
      <c r="F1282" s="1370"/>
      <c r="G1282"/>
      <c r="H1282"/>
    </row>
    <row r="1283" spans="1:8" x14ac:dyDescent="0.2">
      <c r="A1283"/>
      <c r="B1283" s="1370"/>
      <c r="C1283" s="1370"/>
      <c r="D1283" s="1370"/>
      <c r="E1283" s="1370"/>
      <c r="F1283" s="1370"/>
      <c r="G1283"/>
      <c r="H1283"/>
    </row>
    <row r="1284" spans="1:8" x14ac:dyDescent="0.2">
      <c r="A1284"/>
      <c r="B1284" s="1370"/>
      <c r="C1284" s="1370"/>
      <c r="D1284" s="1370"/>
      <c r="E1284" s="1370"/>
      <c r="F1284" s="1370"/>
      <c r="G1284"/>
      <c r="H1284"/>
    </row>
    <row r="1285" spans="1:8" x14ac:dyDescent="0.2">
      <c r="A1285"/>
      <c r="B1285" s="1370"/>
      <c r="C1285" s="1370"/>
      <c r="D1285" s="1370"/>
      <c r="E1285" s="1370"/>
      <c r="F1285" s="1370"/>
      <c r="G1285"/>
      <c r="H1285"/>
    </row>
    <row r="1286" spans="1:8" x14ac:dyDescent="0.2">
      <c r="A1286"/>
      <c r="B1286" s="1370"/>
      <c r="C1286" s="1370"/>
      <c r="D1286" s="1370"/>
      <c r="E1286" s="1370"/>
      <c r="F1286" s="1370"/>
      <c r="G1286"/>
      <c r="H1286"/>
    </row>
    <row r="1287" spans="1:8" x14ac:dyDescent="0.2">
      <c r="A1287"/>
      <c r="B1287" s="1370"/>
      <c r="C1287" s="1370"/>
      <c r="D1287" s="1370"/>
      <c r="E1287" s="1370"/>
      <c r="F1287" s="1370"/>
      <c r="G1287"/>
      <c r="H1287"/>
    </row>
    <row r="1288" spans="1:8" x14ac:dyDescent="0.2">
      <c r="A1288"/>
      <c r="B1288" s="1370"/>
      <c r="C1288" s="1370"/>
      <c r="D1288" s="1370"/>
      <c r="E1288" s="1370"/>
      <c r="F1288" s="1370"/>
      <c r="G1288"/>
      <c r="H1288"/>
    </row>
    <row r="1289" spans="1:8" x14ac:dyDescent="0.2">
      <c r="A1289"/>
      <c r="B1289" s="1370"/>
      <c r="C1289" s="1370"/>
      <c r="D1289" s="1370"/>
      <c r="E1289" s="1370"/>
      <c r="F1289" s="1370"/>
      <c r="G1289"/>
      <c r="H1289"/>
    </row>
    <row r="1290" spans="1:8" x14ac:dyDescent="0.2">
      <c r="A1290"/>
      <c r="B1290" s="1370"/>
      <c r="C1290" s="1370"/>
      <c r="D1290" s="1370"/>
      <c r="E1290" s="1370"/>
      <c r="F1290" s="1370"/>
      <c r="G1290"/>
      <c r="H1290"/>
    </row>
    <row r="1291" spans="1:8" x14ac:dyDescent="0.2">
      <c r="A1291"/>
      <c r="B1291" s="1370"/>
      <c r="C1291" s="1370"/>
      <c r="D1291" s="1370"/>
      <c r="E1291" s="1370"/>
      <c r="F1291" s="1370"/>
      <c r="G1291"/>
      <c r="H1291"/>
    </row>
    <row r="1292" spans="1:8" x14ac:dyDescent="0.2">
      <c r="A1292"/>
      <c r="B1292" s="1370"/>
      <c r="C1292" s="1370"/>
      <c r="D1292" s="1370"/>
      <c r="E1292" s="1370"/>
      <c r="F1292" s="1370"/>
      <c r="G1292"/>
      <c r="H1292"/>
    </row>
    <row r="1293" spans="1:8" x14ac:dyDescent="0.2">
      <c r="A1293"/>
      <c r="B1293" s="1370"/>
      <c r="C1293" s="1370"/>
      <c r="D1293" s="1370"/>
      <c r="E1293" s="1370"/>
      <c r="F1293" s="1370"/>
      <c r="G1293"/>
      <c r="H1293"/>
    </row>
    <row r="1294" spans="1:8" x14ac:dyDescent="0.2">
      <c r="A1294"/>
      <c r="B1294" s="1370"/>
      <c r="C1294" s="1370"/>
      <c r="D1294" s="1370"/>
      <c r="E1294" s="1370"/>
      <c r="F1294" s="1370"/>
      <c r="G1294"/>
      <c r="H1294"/>
    </row>
    <row r="1295" spans="1:8" x14ac:dyDescent="0.2">
      <c r="A1295"/>
      <c r="B1295" s="1370"/>
      <c r="C1295" s="1370"/>
      <c r="D1295" s="1370"/>
      <c r="E1295" s="1370"/>
      <c r="F1295" s="1370"/>
      <c r="G1295"/>
      <c r="H1295"/>
    </row>
    <row r="1296" spans="1:8" x14ac:dyDescent="0.2">
      <c r="A1296"/>
      <c r="B1296" s="1370"/>
      <c r="C1296" s="1370"/>
      <c r="D1296" s="1370"/>
      <c r="E1296" s="1370"/>
      <c r="F1296" s="1370"/>
      <c r="G1296"/>
      <c r="H1296"/>
    </row>
    <row r="1297" spans="1:8" x14ac:dyDescent="0.2">
      <c r="A1297"/>
      <c r="B1297" s="1370"/>
      <c r="C1297" s="1370"/>
      <c r="D1297" s="1370"/>
      <c r="E1297" s="1370"/>
      <c r="F1297" s="1370"/>
      <c r="G1297"/>
      <c r="H1297"/>
    </row>
    <row r="1298" spans="1:8" x14ac:dyDescent="0.2">
      <c r="A1298"/>
      <c r="B1298" s="1370"/>
      <c r="C1298" s="1370"/>
      <c r="D1298" s="1370"/>
      <c r="E1298" s="1370"/>
      <c r="F1298" s="1370"/>
      <c r="G1298"/>
      <c r="H1298"/>
    </row>
    <row r="1299" spans="1:8" x14ac:dyDescent="0.2">
      <c r="A1299"/>
      <c r="B1299" s="1370"/>
      <c r="C1299" s="1370"/>
      <c r="D1299" s="1370"/>
      <c r="E1299" s="1370"/>
      <c r="F1299" s="1370"/>
      <c r="G1299"/>
      <c r="H1299"/>
    </row>
    <row r="1300" spans="1:8" x14ac:dyDescent="0.2">
      <c r="A1300"/>
      <c r="B1300" s="1370"/>
      <c r="C1300" s="1370"/>
      <c r="D1300" s="1370"/>
      <c r="E1300" s="1370"/>
      <c r="F1300" s="1370"/>
      <c r="G1300"/>
      <c r="H1300"/>
    </row>
    <row r="1301" spans="1:8" x14ac:dyDescent="0.2">
      <c r="A1301"/>
      <c r="B1301" s="1370"/>
      <c r="C1301" s="1370"/>
      <c r="D1301" s="1370"/>
      <c r="E1301" s="1370"/>
      <c r="F1301" s="1370"/>
      <c r="G1301"/>
      <c r="H1301"/>
    </row>
    <row r="1302" spans="1:8" x14ac:dyDescent="0.2">
      <c r="A1302"/>
      <c r="B1302" s="1370"/>
      <c r="C1302" s="1370"/>
      <c r="D1302" s="1370"/>
      <c r="E1302" s="1370"/>
      <c r="F1302" s="1370"/>
      <c r="G1302"/>
      <c r="H1302"/>
    </row>
    <row r="1303" spans="1:8" x14ac:dyDescent="0.2">
      <c r="A1303"/>
      <c r="B1303" s="1370"/>
      <c r="C1303" s="1370"/>
      <c r="D1303" s="1370"/>
      <c r="E1303" s="1370"/>
      <c r="F1303" s="1370"/>
      <c r="G1303"/>
      <c r="H1303"/>
    </row>
    <row r="1304" spans="1:8" x14ac:dyDescent="0.2">
      <c r="A1304"/>
      <c r="B1304" s="1370"/>
      <c r="C1304" s="1370"/>
      <c r="D1304" s="1370"/>
      <c r="E1304" s="1370"/>
      <c r="F1304" s="1370"/>
      <c r="G1304"/>
      <c r="H1304"/>
    </row>
    <row r="1305" spans="1:8" x14ac:dyDescent="0.2">
      <c r="A1305"/>
      <c r="B1305" s="1370"/>
      <c r="C1305" s="1370"/>
      <c r="D1305" s="1370"/>
      <c r="E1305" s="1370"/>
      <c r="F1305" s="1370"/>
      <c r="G1305"/>
      <c r="H1305"/>
    </row>
    <row r="1306" spans="1:8" x14ac:dyDescent="0.2">
      <c r="A1306"/>
      <c r="B1306" s="1370"/>
      <c r="C1306" s="1370"/>
      <c r="D1306" s="1370"/>
      <c r="E1306" s="1370"/>
      <c r="F1306" s="1370"/>
      <c r="G1306"/>
      <c r="H1306"/>
    </row>
    <row r="1307" spans="1:8" x14ac:dyDescent="0.2">
      <c r="A1307"/>
      <c r="B1307" s="1370"/>
      <c r="C1307" s="1370"/>
      <c r="D1307" s="1370"/>
      <c r="E1307" s="1370"/>
      <c r="F1307" s="1370"/>
      <c r="G1307"/>
      <c r="H1307"/>
    </row>
    <row r="1308" spans="1:8" x14ac:dyDescent="0.2">
      <c r="A1308"/>
      <c r="B1308" s="1370"/>
      <c r="C1308" s="1370"/>
      <c r="D1308" s="1370"/>
      <c r="E1308" s="1370"/>
      <c r="F1308" s="1370"/>
      <c r="G1308"/>
      <c r="H1308"/>
    </row>
  </sheetData>
  <sheetProtection sheet="1" objects="1" scenarios="1" formatCells="0" formatColumns="0" formatRows="0" sort="0" autoFilter="0" pivotTables="0"/>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43"/>
  <sheetViews>
    <sheetView workbookViewId="0">
      <selection activeCell="A6" sqref="A6"/>
    </sheetView>
  </sheetViews>
  <sheetFormatPr defaultColWidth="9.33203125" defaultRowHeight="12.75" x14ac:dyDescent="0.2"/>
  <cols>
    <col min="1" max="1" width="4.5" style="4" customWidth="1"/>
    <col min="2" max="2" width="47.83203125" style="4" customWidth="1"/>
    <col min="3" max="3" width="8.33203125" style="1259" customWidth="1"/>
    <col min="4" max="4" width="8.6640625" style="1259" customWidth="1"/>
    <col min="5" max="5" width="10.33203125" style="1259" customWidth="1"/>
    <col min="6" max="7" width="8.6640625" style="1259" customWidth="1"/>
    <col min="8" max="8" width="8" style="4" customWidth="1"/>
    <col min="9" max="9" width="8.83203125" style="4" customWidth="1"/>
    <col min="10" max="10" width="7.1640625" style="4" customWidth="1"/>
    <col min="11" max="11" width="9.33203125" style="4" customWidth="1"/>
    <col min="12" max="16384" width="9.33203125" style="4"/>
  </cols>
  <sheetData>
    <row r="1" spans="1:13" x14ac:dyDescent="0.2">
      <c r="A1" s="1868" t="s">
        <v>5076</v>
      </c>
      <c r="B1" s="2341"/>
      <c r="C1" s="2341"/>
      <c r="D1" s="2341"/>
      <c r="E1" s="2341"/>
      <c r="F1" s="2341"/>
      <c r="G1" s="2341"/>
      <c r="H1" s="2341"/>
      <c r="I1" s="2341"/>
      <c r="J1" s="2341"/>
      <c r="K1" s="1698"/>
    </row>
    <row r="2" spans="1:13" x14ac:dyDescent="0.2">
      <c r="A2" s="1869"/>
      <c r="B2" s="1872"/>
      <c r="C2" s="1872"/>
      <c r="D2" s="1872"/>
      <c r="E2" s="1872"/>
      <c r="F2" s="1872"/>
      <c r="G2" s="1872"/>
      <c r="H2" s="1872"/>
      <c r="I2" s="1872"/>
      <c r="J2" s="1872"/>
      <c r="K2" s="1699"/>
    </row>
    <row r="3" spans="1:13" ht="69" customHeight="1" thickBot="1" x14ac:dyDescent="0.25">
      <c r="A3" s="1870"/>
      <c r="B3" s="2342"/>
      <c r="C3" s="2342"/>
      <c r="D3" s="2342"/>
      <c r="E3" s="2342"/>
      <c r="F3" s="2342"/>
      <c r="G3" s="2342"/>
      <c r="H3" s="2342"/>
      <c r="I3" s="2342"/>
      <c r="J3" s="2342"/>
      <c r="K3" s="1700"/>
    </row>
    <row r="4" spans="1:13" ht="13.5" thickBot="1" x14ac:dyDescent="0.25"/>
    <row r="5" spans="1:13" x14ac:dyDescent="0.2">
      <c r="A5" s="1285"/>
      <c r="B5" s="1285"/>
      <c r="C5" s="2343" t="s">
        <v>5077</v>
      </c>
      <c r="D5" s="2345" t="s">
        <v>5078</v>
      </c>
      <c r="E5" s="2346"/>
      <c r="F5" s="2346"/>
      <c r="G5" s="2347"/>
      <c r="H5" s="2348" t="s">
        <v>5079</v>
      </c>
      <c r="I5" s="2349"/>
      <c r="J5" s="2349"/>
      <c r="K5" s="2349"/>
    </row>
    <row r="6" spans="1:13" ht="17.25" customHeight="1" thickBot="1" x14ac:dyDescent="0.25">
      <c r="A6" s="1286" t="s">
        <v>5080</v>
      </c>
      <c r="B6" s="1286" t="s">
        <v>2643</v>
      </c>
      <c r="C6" s="2344"/>
      <c r="D6" s="1287" t="s">
        <v>5081</v>
      </c>
      <c r="E6" s="1288" t="s">
        <v>5082</v>
      </c>
      <c r="F6" s="1288" t="s">
        <v>5083</v>
      </c>
      <c r="G6" s="1289" t="s">
        <v>5084</v>
      </c>
      <c r="H6" s="1290" t="s">
        <v>5085</v>
      </c>
      <c r="I6" s="1291" t="s">
        <v>5086</v>
      </c>
      <c r="J6" s="1291" t="s">
        <v>5087</v>
      </c>
      <c r="K6" s="1291" t="s">
        <v>5088</v>
      </c>
    </row>
    <row r="7" spans="1:13" ht="13.5" x14ac:dyDescent="0.25">
      <c r="A7" s="1292">
        <v>1</v>
      </c>
      <c r="B7" s="1293" t="s">
        <v>5089</v>
      </c>
      <c r="C7" s="1294">
        <v>1</v>
      </c>
      <c r="D7" s="1295">
        <v>1</v>
      </c>
      <c r="E7" s="1296">
        <v>1</v>
      </c>
      <c r="F7" s="1296">
        <v>1</v>
      </c>
      <c r="G7" s="1297"/>
      <c r="H7" s="1298" t="s">
        <v>5090</v>
      </c>
      <c r="I7" s="1296" t="s">
        <v>5090</v>
      </c>
      <c r="J7" s="1296" t="s">
        <v>5090</v>
      </c>
      <c r="K7" s="1297" t="s">
        <v>5091</v>
      </c>
    </row>
    <row r="8" spans="1:13" ht="13.5" x14ac:dyDescent="0.25">
      <c r="A8" s="1299">
        <v>2</v>
      </c>
      <c r="B8" s="1300" t="s">
        <v>5092</v>
      </c>
      <c r="C8" s="1301"/>
      <c r="D8" s="1302">
        <v>1</v>
      </c>
      <c r="E8" s="1303"/>
      <c r="F8" s="1303">
        <v>1</v>
      </c>
      <c r="G8" s="1304"/>
      <c r="H8" s="1305" t="s">
        <v>5093</v>
      </c>
      <c r="I8" s="1303" t="s">
        <v>5091</v>
      </c>
      <c r="J8" s="1303" t="s">
        <v>141</v>
      </c>
      <c r="K8" s="1304" t="s">
        <v>141</v>
      </c>
    </row>
    <row r="9" spans="1:13" ht="13.5" x14ac:dyDescent="0.25">
      <c r="A9" s="1299">
        <v>3</v>
      </c>
      <c r="B9" s="1300" t="s">
        <v>5094</v>
      </c>
      <c r="C9" s="1301">
        <v>1</v>
      </c>
      <c r="D9" s="1302">
        <v>1</v>
      </c>
      <c r="E9" s="1303">
        <v>1</v>
      </c>
      <c r="F9" s="1303">
        <v>1</v>
      </c>
      <c r="G9" s="1304"/>
      <c r="H9" s="1305" t="s">
        <v>141</v>
      </c>
      <c r="I9" s="1303" t="s">
        <v>5090</v>
      </c>
      <c r="J9" s="1303" t="s">
        <v>141</v>
      </c>
      <c r="K9" s="1304" t="s">
        <v>5090</v>
      </c>
    </row>
    <row r="10" spans="1:13" ht="13.5" x14ac:dyDescent="0.25">
      <c r="A10" s="1299">
        <v>4</v>
      </c>
      <c r="B10" s="1300" t="s">
        <v>5095</v>
      </c>
      <c r="C10" s="1301"/>
      <c r="D10" s="1302">
        <v>1</v>
      </c>
      <c r="E10" s="1303"/>
      <c r="F10" s="1303">
        <v>1</v>
      </c>
      <c r="G10" s="1304"/>
      <c r="H10" s="1305" t="s">
        <v>5090</v>
      </c>
      <c r="I10" s="1303" t="s">
        <v>5091</v>
      </c>
      <c r="J10" s="1303" t="s">
        <v>5090</v>
      </c>
      <c r="K10" s="1304" t="s">
        <v>5090</v>
      </c>
    </row>
    <row r="11" spans="1:13" ht="13.5" x14ac:dyDescent="0.25">
      <c r="A11" s="1299">
        <v>5</v>
      </c>
      <c r="B11" s="1300" t="s">
        <v>5096</v>
      </c>
      <c r="C11" s="1301"/>
      <c r="D11" s="1302">
        <v>1</v>
      </c>
      <c r="E11" s="1303"/>
      <c r="F11" s="1303">
        <v>1</v>
      </c>
      <c r="G11" s="1304"/>
      <c r="H11" s="1305" t="s">
        <v>141</v>
      </c>
      <c r="I11" s="1303" t="s">
        <v>142</v>
      </c>
      <c r="J11" s="1303" t="s">
        <v>141</v>
      </c>
      <c r="K11" s="1304" t="s">
        <v>141</v>
      </c>
    </row>
    <row r="12" spans="1:13" ht="13.5" x14ac:dyDescent="0.25">
      <c r="A12" s="1299">
        <v>6</v>
      </c>
      <c r="B12" s="1300" t="s">
        <v>5097</v>
      </c>
      <c r="C12" s="1301">
        <v>1</v>
      </c>
      <c r="D12" s="1302">
        <v>1</v>
      </c>
      <c r="E12" s="1303">
        <v>1</v>
      </c>
      <c r="F12" s="1303">
        <v>1</v>
      </c>
      <c r="G12" s="1304"/>
      <c r="H12" s="1305" t="s">
        <v>141</v>
      </c>
      <c r="I12" s="1303" t="s">
        <v>5091</v>
      </c>
      <c r="J12" s="1303" t="s">
        <v>141</v>
      </c>
      <c r="K12" s="1304" t="s">
        <v>5090</v>
      </c>
    </row>
    <row r="13" spans="1:13" ht="13.5" x14ac:dyDescent="0.25">
      <c r="A13" s="1299">
        <v>7</v>
      </c>
      <c r="B13" s="1300" t="s">
        <v>5098</v>
      </c>
      <c r="C13" s="1301"/>
      <c r="D13" s="1302">
        <v>1</v>
      </c>
      <c r="E13" s="1303"/>
      <c r="F13" s="1303">
        <v>1</v>
      </c>
      <c r="G13" s="1304"/>
      <c r="H13" s="1305" t="s">
        <v>5090</v>
      </c>
      <c r="I13" s="1303"/>
      <c r="J13" s="1303" t="s">
        <v>5090</v>
      </c>
      <c r="K13" s="1304" t="s">
        <v>5090</v>
      </c>
    </row>
    <row r="14" spans="1:13" ht="13.5" x14ac:dyDescent="0.25">
      <c r="A14" s="1299">
        <v>8</v>
      </c>
      <c r="B14" s="1300" t="s">
        <v>5099</v>
      </c>
      <c r="C14" s="1301">
        <v>1</v>
      </c>
      <c r="D14" s="1302">
        <v>1</v>
      </c>
      <c r="E14" s="1303">
        <v>1</v>
      </c>
      <c r="F14" s="1303">
        <v>1</v>
      </c>
      <c r="G14" s="1304"/>
      <c r="H14" s="1305" t="s">
        <v>5090</v>
      </c>
      <c r="I14" s="1303" t="s">
        <v>5091</v>
      </c>
      <c r="J14" s="1303" t="s">
        <v>5090</v>
      </c>
      <c r="K14" s="1304" t="s">
        <v>5090</v>
      </c>
    </row>
    <row r="15" spans="1:13" ht="13.5" x14ac:dyDescent="0.25">
      <c r="A15" s="1299">
        <v>9</v>
      </c>
      <c r="B15" s="1300" t="s">
        <v>5100</v>
      </c>
      <c r="C15" s="1301">
        <v>1</v>
      </c>
      <c r="D15" s="1302"/>
      <c r="E15" s="1303">
        <v>1</v>
      </c>
      <c r="F15" s="1303"/>
      <c r="G15" s="1304"/>
      <c r="H15" s="1305" t="s">
        <v>5091</v>
      </c>
      <c r="I15" s="1303" t="s">
        <v>5091</v>
      </c>
      <c r="J15" s="1303" t="s">
        <v>5091</v>
      </c>
      <c r="K15" s="1304"/>
    </row>
    <row r="16" spans="1:13" ht="13.5" x14ac:dyDescent="0.25">
      <c r="A16" s="1299">
        <v>10</v>
      </c>
      <c r="B16" s="1300" t="s">
        <v>5101</v>
      </c>
      <c r="C16" s="1301">
        <v>1</v>
      </c>
      <c r="D16" s="1302"/>
      <c r="E16" s="1303">
        <v>1</v>
      </c>
      <c r="F16" s="1303"/>
      <c r="G16" s="1304"/>
      <c r="H16" s="1305" t="s">
        <v>141</v>
      </c>
      <c r="I16" s="1303" t="s">
        <v>141</v>
      </c>
      <c r="J16" s="1303" t="s">
        <v>141</v>
      </c>
      <c r="K16" s="1304" t="s">
        <v>5090</v>
      </c>
      <c r="M16" s="377"/>
    </row>
    <row r="17" spans="1:11" ht="13.5" x14ac:dyDescent="0.25">
      <c r="A17" s="1299">
        <v>11</v>
      </c>
      <c r="B17" s="1300" t="s">
        <v>5102</v>
      </c>
      <c r="C17" s="1301"/>
      <c r="D17" s="1302">
        <v>1</v>
      </c>
      <c r="E17" s="1303"/>
      <c r="F17" s="1303">
        <v>1</v>
      </c>
      <c r="G17" s="1304"/>
      <c r="H17" s="1305" t="s">
        <v>141</v>
      </c>
      <c r="I17" s="1303" t="s">
        <v>142</v>
      </c>
      <c r="J17" s="1303" t="s">
        <v>5090</v>
      </c>
      <c r="K17" s="1304"/>
    </row>
    <row r="18" spans="1:11" ht="13.5" x14ac:dyDescent="0.25">
      <c r="A18" s="1299">
        <v>12</v>
      </c>
      <c r="B18" s="1300" t="s">
        <v>5103</v>
      </c>
      <c r="C18" s="1301"/>
      <c r="D18" s="1302">
        <v>1</v>
      </c>
      <c r="E18" s="1303"/>
      <c r="F18" s="1303">
        <v>1</v>
      </c>
      <c r="G18" s="1304"/>
      <c r="H18" s="1305" t="s">
        <v>141</v>
      </c>
      <c r="I18" s="1303"/>
      <c r="J18" s="1303" t="s">
        <v>141</v>
      </c>
      <c r="K18" s="1304"/>
    </row>
    <row r="19" spans="1:11" ht="13.5" x14ac:dyDescent="0.25">
      <c r="A19" s="1299">
        <v>13</v>
      </c>
      <c r="B19" s="1300" t="s">
        <v>5104</v>
      </c>
      <c r="C19" s="1301">
        <v>1</v>
      </c>
      <c r="D19" s="1302">
        <v>1</v>
      </c>
      <c r="E19" s="1303">
        <v>1</v>
      </c>
      <c r="F19" s="1303">
        <v>1</v>
      </c>
      <c r="G19" s="1304"/>
      <c r="H19" s="1305" t="s">
        <v>5093</v>
      </c>
      <c r="I19" s="1303" t="s">
        <v>141</v>
      </c>
      <c r="J19" s="1303" t="s">
        <v>5093</v>
      </c>
      <c r="K19" s="1304" t="s">
        <v>141</v>
      </c>
    </row>
    <row r="20" spans="1:11" ht="13.5" x14ac:dyDescent="0.25">
      <c r="A20" s="1299">
        <v>14</v>
      </c>
      <c r="B20" s="1300" t="s">
        <v>5105</v>
      </c>
      <c r="C20" s="1301"/>
      <c r="D20" s="1302">
        <v>1</v>
      </c>
      <c r="E20" s="1303"/>
      <c r="F20" s="1303">
        <v>1</v>
      </c>
      <c r="G20" s="1304"/>
      <c r="H20" s="1305" t="s">
        <v>5090</v>
      </c>
      <c r="I20" s="1303" t="s">
        <v>142</v>
      </c>
      <c r="J20" s="1303" t="s">
        <v>5091</v>
      </c>
      <c r="K20" s="1304" t="s">
        <v>142</v>
      </c>
    </row>
    <row r="21" spans="1:11" ht="13.5" x14ac:dyDescent="0.25">
      <c r="A21" s="1299">
        <v>15</v>
      </c>
      <c r="B21" s="1300" t="s">
        <v>5106</v>
      </c>
      <c r="C21" s="1301">
        <v>1</v>
      </c>
      <c r="D21" s="1302">
        <v>1</v>
      </c>
      <c r="E21" s="1303">
        <v>1</v>
      </c>
      <c r="F21" s="1303">
        <v>1</v>
      </c>
      <c r="G21" s="1304"/>
      <c r="H21" s="1305" t="s">
        <v>5090</v>
      </c>
      <c r="I21" s="1303" t="s">
        <v>5091</v>
      </c>
      <c r="J21" s="1303" t="s">
        <v>5090</v>
      </c>
      <c r="K21" s="1304" t="s">
        <v>5091</v>
      </c>
    </row>
    <row r="22" spans="1:11" ht="13.5" x14ac:dyDescent="0.25">
      <c r="A22" s="1299">
        <v>16</v>
      </c>
      <c r="B22" s="1300" t="s">
        <v>5107</v>
      </c>
      <c r="C22" s="1301"/>
      <c r="D22" s="1302">
        <v>1</v>
      </c>
      <c r="E22" s="1303">
        <v>1</v>
      </c>
      <c r="F22" s="1303">
        <v>1</v>
      </c>
      <c r="G22" s="1304"/>
      <c r="H22" s="1305" t="s">
        <v>5090</v>
      </c>
      <c r="I22" s="1303"/>
      <c r="J22" s="1303" t="s">
        <v>5090</v>
      </c>
      <c r="K22" s="1304" t="s">
        <v>5091</v>
      </c>
    </row>
    <row r="23" spans="1:11" ht="13.5" x14ac:dyDescent="0.25">
      <c r="A23" s="1299">
        <v>17</v>
      </c>
      <c r="B23" s="1300" t="s">
        <v>5108</v>
      </c>
      <c r="C23" s="1301">
        <v>1</v>
      </c>
      <c r="D23" s="1302">
        <v>1</v>
      </c>
      <c r="E23" s="1303">
        <v>1</v>
      </c>
      <c r="F23" s="1303">
        <v>1</v>
      </c>
      <c r="G23" s="1304"/>
      <c r="H23" s="1305" t="s">
        <v>5090</v>
      </c>
      <c r="I23" s="1303" t="s">
        <v>5091</v>
      </c>
      <c r="J23" s="1303" t="s">
        <v>5090</v>
      </c>
      <c r="K23" s="1304" t="s">
        <v>5091</v>
      </c>
    </row>
    <row r="24" spans="1:11" ht="13.5" x14ac:dyDescent="0.25">
      <c r="A24" s="1299">
        <v>18</v>
      </c>
      <c r="B24" s="1300" t="s">
        <v>5109</v>
      </c>
      <c r="C24" s="1301"/>
      <c r="D24" s="1302">
        <v>1</v>
      </c>
      <c r="E24" s="1303">
        <v>1</v>
      </c>
      <c r="F24" s="1303">
        <v>1</v>
      </c>
      <c r="G24" s="1304"/>
      <c r="H24" s="1305" t="s">
        <v>5091</v>
      </c>
      <c r="I24" s="1303" t="s">
        <v>142</v>
      </c>
      <c r="J24" s="1303" t="s">
        <v>142</v>
      </c>
      <c r="K24" s="1304" t="s">
        <v>142</v>
      </c>
    </row>
    <row r="25" spans="1:11" ht="13.5" x14ac:dyDescent="0.25">
      <c r="A25" s="1299">
        <v>19</v>
      </c>
      <c r="B25" s="1300" t="s">
        <v>5110</v>
      </c>
      <c r="C25" s="1301">
        <v>1</v>
      </c>
      <c r="D25" s="1302">
        <v>1</v>
      </c>
      <c r="E25" s="1303">
        <v>1</v>
      </c>
      <c r="F25" s="1303">
        <v>1</v>
      </c>
      <c r="G25" s="1304"/>
      <c r="H25" s="1305" t="s">
        <v>5093</v>
      </c>
      <c r="I25" s="1303" t="s">
        <v>5090</v>
      </c>
      <c r="J25" s="1303" t="s">
        <v>5093</v>
      </c>
      <c r="K25" s="1304" t="s">
        <v>5090</v>
      </c>
    </row>
    <row r="26" spans="1:11" ht="13.5" x14ac:dyDescent="0.25">
      <c r="A26" s="1299">
        <v>20</v>
      </c>
      <c r="B26" s="1300" t="s">
        <v>5111</v>
      </c>
      <c r="C26" s="1301">
        <v>1</v>
      </c>
      <c r="D26" s="1302">
        <v>1</v>
      </c>
      <c r="E26" s="1303">
        <v>1</v>
      </c>
      <c r="F26" s="1303">
        <v>1</v>
      </c>
      <c r="G26" s="1304"/>
      <c r="H26" s="1305" t="s">
        <v>5093</v>
      </c>
      <c r="I26" s="1303" t="s">
        <v>5093</v>
      </c>
      <c r="J26" s="1303" t="s">
        <v>5093</v>
      </c>
      <c r="K26" s="1304" t="s">
        <v>5093</v>
      </c>
    </row>
    <row r="27" spans="1:11" ht="13.5" x14ac:dyDescent="0.25">
      <c r="A27" s="1299">
        <v>21</v>
      </c>
      <c r="B27" s="1300" t="s">
        <v>5112</v>
      </c>
      <c r="C27" s="1301">
        <v>1</v>
      </c>
      <c r="D27" s="1302">
        <v>1</v>
      </c>
      <c r="E27" s="1303">
        <v>1</v>
      </c>
      <c r="F27" s="1303"/>
      <c r="G27" s="1304"/>
      <c r="H27" s="1305" t="s">
        <v>5090</v>
      </c>
      <c r="I27" s="1303" t="s">
        <v>5090</v>
      </c>
      <c r="J27" s="1303" t="s">
        <v>5090</v>
      </c>
      <c r="K27" s="1304"/>
    </row>
    <row r="28" spans="1:11" ht="13.5" x14ac:dyDescent="0.25">
      <c r="A28" s="1299">
        <v>22</v>
      </c>
      <c r="B28" s="1300" t="s">
        <v>5113</v>
      </c>
      <c r="C28" s="1301"/>
      <c r="D28" s="1302">
        <v>1</v>
      </c>
      <c r="E28" s="1303">
        <v>1</v>
      </c>
      <c r="F28" s="1303"/>
      <c r="G28" s="1304"/>
      <c r="H28" s="1305" t="s">
        <v>5091</v>
      </c>
      <c r="I28" s="1303" t="s">
        <v>142</v>
      </c>
      <c r="J28" s="1303"/>
      <c r="K28" s="1304"/>
    </row>
    <row r="29" spans="1:11" ht="13.5" x14ac:dyDescent="0.25">
      <c r="A29" s="1299">
        <v>23</v>
      </c>
      <c r="B29" s="1300" t="s">
        <v>5114</v>
      </c>
      <c r="C29" s="1301">
        <v>1</v>
      </c>
      <c r="D29" s="1302">
        <v>1</v>
      </c>
      <c r="E29" s="1303">
        <v>1</v>
      </c>
      <c r="F29" s="1303">
        <v>1</v>
      </c>
      <c r="G29" s="1304"/>
      <c r="H29" s="1305" t="s">
        <v>141</v>
      </c>
      <c r="I29" s="1303" t="s">
        <v>5090</v>
      </c>
      <c r="J29" s="1303" t="s">
        <v>141</v>
      </c>
      <c r="K29" s="1304" t="s">
        <v>5091</v>
      </c>
    </row>
    <row r="30" spans="1:11" ht="13.5" x14ac:dyDescent="0.25">
      <c r="A30" s="1299">
        <v>24</v>
      </c>
      <c r="B30" s="1300" t="s">
        <v>5115</v>
      </c>
      <c r="C30" s="1301">
        <v>1</v>
      </c>
      <c r="D30" s="1302">
        <v>1</v>
      </c>
      <c r="E30" s="1303">
        <v>1</v>
      </c>
      <c r="F30" s="1303">
        <v>1</v>
      </c>
      <c r="G30" s="1304"/>
      <c r="H30" s="1305" t="s">
        <v>5093</v>
      </c>
      <c r="I30" s="1303" t="s">
        <v>5090</v>
      </c>
      <c r="J30" s="1303" t="s">
        <v>5093</v>
      </c>
      <c r="K30" s="1304" t="s">
        <v>5090</v>
      </c>
    </row>
    <row r="31" spans="1:11" ht="13.5" x14ac:dyDescent="0.25">
      <c r="A31" s="1299">
        <v>25</v>
      </c>
      <c r="B31" s="1300" t="s">
        <v>5116</v>
      </c>
      <c r="C31" s="1301">
        <v>1</v>
      </c>
      <c r="D31" s="1302">
        <v>1</v>
      </c>
      <c r="E31" s="1303">
        <v>1</v>
      </c>
      <c r="F31" s="1303">
        <v>1</v>
      </c>
      <c r="G31" s="1304"/>
      <c r="H31" s="1305" t="s">
        <v>5093</v>
      </c>
      <c r="I31" s="1303" t="s">
        <v>5090</v>
      </c>
      <c r="J31" s="1303" t="s">
        <v>5093</v>
      </c>
      <c r="K31" s="1304" t="s">
        <v>5090</v>
      </c>
    </row>
    <row r="32" spans="1:11" ht="13.5" x14ac:dyDescent="0.25">
      <c r="A32" s="1299">
        <v>26</v>
      </c>
      <c r="B32" s="1300" t="s">
        <v>5117</v>
      </c>
      <c r="C32" s="1301"/>
      <c r="D32" s="1302">
        <v>1</v>
      </c>
      <c r="E32" s="1303">
        <v>1</v>
      </c>
      <c r="F32" s="1303">
        <v>1</v>
      </c>
      <c r="G32" s="1304"/>
      <c r="H32" s="1305" t="s">
        <v>5091</v>
      </c>
      <c r="I32" s="1303"/>
      <c r="J32" s="1303" t="s">
        <v>5091</v>
      </c>
      <c r="K32" s="1304" t="s">
        <v>142</v>
      </c>
    </row>
    <row r="33" spans="1:11" ht="13.5" x14ac:dyDescent="0.25">
      <c r="A33" s="1299">
        <v>27</v>
      </c>
      <c r="B33" s="1300" t="s">
        <v>5118</v>
      </c>
      <c r="C33" s="1301">
        <v>1</v>
      </c>
      <c r="D33" s="1302">
        <v>1</v>
      </c>
      <c r="E33" s="1303">
        <v>1</v>
      </c>
      <c r="F33" s="1303">
        <v>1</v>
      </c>
      <c r="G33" s="1304"/>
      <c r="H33" s="1305" t="s">
        <v>5091</v>
      </c>
      <c r="I33" s="1303"/>
      <c r="J33" s="1303" t="s">
        <v>5091</v>
      </c>
      <c r="K33" s="1304" t="s">
        <v>142</v>
      </c>
    </row>
    <row r="34" spans="1:11" ht="13.5" x14ac:dyDescent="0.25">
      <c r="A34" s="1299">
        <v>28</v>
      </c>
      <c r="B34" s="1300" t="s">
        <v>5119</v>
      </c>
      <c r="C34" s="1301">
        <v>1</v>
      </c>
      <c r="D34" s="1302">
        <v>1</v>
      </c>
      <c r="E34" s="1303">
        <v>1</v>
      </c>
      <c r="F34" s="1303">
        <v>1</v>
      </c>
      <c r="G34" s="1304"/>
      <c r="H34" s="1305" t="s">
        <v>5090</v>
      </c>
      <c r="I34" s="1303" t="s">
        <v>5091</v>
      </c>
      <c r="J34" s="1303" t="s">
        <v>5090</v>
      </c>
      <c r="K34" s="1304" t="s">
        <v>142</v>
      </c>
    </row>
    <row r="35" spans="1:11" ht="13.5" x14ac:dyDescent="0.25">
      <c r="A35" s="1299">
        <v>29</v>
      </c>
      <c r="B35" s="1300" t="s">
        <v>5120</v>
      </c>
      <c r="C35" s="1301">
        <v>1</v>
      </c>
      <c r="D35" s="1302">
        <v>1</v>
      </c>
      <c r="E35" s="1303">
        <v>1</v>
      </c>
      <c r="F35" s="1303">
        <v>1</v>
      </c>
      <c r="G35" s="1304"/>
      <c r="H35" s="1305" t="s">
        <v>5093</v>
      </c>
      <c r="I35" s="1303" t="s">
        <v>5090</v>
      </c>
      <c r="J35" s="1303" t="s">
        <v>5093</v>
      </c>
      <c r="K35" s="1304" t="s">
        <v>141</v>
      </c>
    </row>
    <row r="36" spans="1:11" ht="13.5" x14ac:dyDescent="0.25">
      <c r="A36" s="1299">
        <v>30</v>
      </c>
      <c r="B36" s="1300" t="s">
        <v>5121</v>
      </c>
      <c r="C36" s="1301">
        <v>1</v>
      </c>
      <c r="D36" s="1302">
        <v>1</v>
      </c>
      <c r="E36" s="1303">
        <v>1</v>
      </c>
      <c r="F36" s="1303">
        <v>1</v>
      </c>
      <c r="G36" s="1304"/>
      <c r="H36" s="1305" t="s">
        <v>141</v>
      </c>
      <c r="I36" s="1303" t="s">
        <v>5091</v>
      </c>
      <c r="J36" s="1303" t="s">
        <v>141</v>
      </c>
      <c r="K36" s="1304" t="s">
        <v>5091</v>
      </c>
    </row>
    <row r="37" spans="1:11" ht="13.5" x14ac:dyDescent="0.25">
      <c r="A37" s="1299">
        <v>31</v>
      </c>
      <c r="B37" s="1300" t="s">
        <v>5122</v>
      </c>
      <c r="C37" s="1301">
        <v>1</v>
      </c>
      <c r="D37" s="1302">
        <v>1</v>
      </c>
      <c r="E37" s="1303">
        <v>1</v>
      </c>
      <c r="F37" s="1303">
        <v>1</v>
      </c>
      <c r="G37" s="1304"/>
      <c r="H37" s="1305" t="s">
        <v>141</v>
      </c>
      <c r="I37" s="1303" t="s">
        <v>141</v>
      </c>
      <c r="J37" s="1303" t="s">
        <v>141</v>
      </c>
      <c r="K37" s="1304" t="s">
        <v>141</v>
      </c>
    </row>
    <row r="38" spans="1:11" ht="13.5" x14ac:dyDescent="0.25">
      <c r="A38" s="1299">
        <v>32</v>
      </c>
      <c r="B38" s="1300" t="s">
        <v>5123</v>
      </c>
      <c r="C38" s="1301"/>
      <c r="D38" s="1302">
        <v>1</v>
      </c>
      <c r="E38" s="1303">
        <v>1</v>
      </c>
      <c r="F38" s="1303">
        <v>1</v>
      </c>
      <c r="G38" s="1304"/>
      <c r="H38" s="1305" t="s">
        <v>5093</v>
      </c>
      <c r="I38" s="1303" t="s">
        <v>142</v>
      </c>
      <c r="J38" s="1303" t="s">
        <v>5093</v>
      </c>
      <c r="K38" s="1304" t="s">
        <v>5093</v>
      </c>
    </row>
    <row r="39" spans="1:11" ht="13.5" x14ac:dyDescent="0.25">
      <c r="A39" s="1299">
        <v>33</v>
      </c>
      <c r="B39" s="1300" t="s">
        <v>5124</v>
      </c>
      <c r="C39" s="1301">
        <v>1</v>
      </c>
      <c r="D39" s="1302">
        <v>1</v>
      </c>
      <c r="E39" s="1303">
        <v>1</v>
      </c>
      <c r="F39" s="1303">
        <v>1</v>
      </c>
      <c r="G39" s="1304"/>
      <c r="H39" s="1305" t="s">
        <v>141</v>
      </c>
      <c r="I39" s="1303" t="s">
        <v>5091</v>
      </c>
      <c r="J39" s="1303" t="s">
        <v>141</v>
      </c>
      <c r="K39" s="1304" t="s">
        <v>141</v>
      </c>
    </row>
    <row r="40" spans="1:11" ht="13.5" x14ac:dyDescent="0.25">
      <c r="A40" s="1299">
        <v>34</v>
      </c>
      <c r="B40" s="1300" t="s">
        <v>5125</v>
      </c>
      <c r="C40" s="1301">
        <v>1</v>
      </c>
      <c r="D40" s="1302">
        <v>1</v>
      </c>
      <c r="E40" s="1303">
        <v>1</v>
      </c>
      <c r="F40" s="1303">
        <v>1</v>
      </c>
      <c r="G40" s="1304"/>
      <c r="H40" s="1305" t="s">
        <v>5093</v>
      </c>
      <c r="I40" s="1303" t="s">
        <v>5090</v>
      </c>
      <c r="J40" s="1303" t="s">
        <v>5093</v>
      </c>
      <c r="K40" s="1304" t="s">
        <v>5093</v>
      </c>
    </row>
    <row r="41" spans="1:11" ht="13.5" x14ac:dyDescent="0.25">
      <c r="A41" s="1299">
        <v>35</v>
      </c>
      <c r="B41" s="1300" t="s">
        <v>5126</v>
      </c>
      <c r="C41" s="1301">
        <v>1</v>
      </c>
      <c r="D41" s="1302">
        <v>1</v>
      </c>
      <c r="E41" s="1303">
        <v>1</v>
      </c>
      <c r="F41" s="1303">
        <v>1</v>
      </c>
      <c r="G41" s="1304"/>
      <c r="H41" s="1305" t="s">
        <v>5090</v>
      </c>
      <c r="I41" s="1303" t="s">
        <v>5091</v>
      </c>
      <c r="J41" s="1303" t="s">
        <v>5090</v>
      </c>
      <c r="K41" s="1304" t="s">
        <v>5090</v>
      </c>
    </row>
    <row r="42" spans="1:11" ht="13.5" x14ac:dyDescent="0.25">
      <c r="A42" s="1299">
        <v>36</v>
      </c>
      <c r="B42" s="1300" t="s">
        <v>5127</v>
      </c>
      <c r="C42" s="1301">
        <v>1</v>
      </c>
      <c r="D42" s="1302">
        <v>1</v>
      </c>
      <c r="E42" s="1303">
        <v>1</v>
      </c>
      <c r="F42" s="1303">
        <v>1</v>
      </c>
      <c r="G42" s="1304"/>
      <c r="H42" s="1305" t="s">
        <v>5093</v>
      </c>
      <c r="I42" s="1303" t="s">
        <v>141</v>
      </c>
      <c r="J42" s="1303" t="s">
        <v>5093</v>
      </c>
      <c r="K42" s="1304" t="s">
        <v>141</v>
      </c>
    </row>
    <row r="43" spans="1:11" ht="13.5" x14ac:dyDescent="0.25">
      <c r="A43" s="1299">
        <v>37</v>
      </c>
      <c r="B43" s="1300" t="s">
        <v>5128</v>
      </c>
      <c r="C43" s="1301">
        <v>1</v>
      </c>
      <c r="D43" s="1302">
        <v>1</v>
      </c>
      <c r="E43" s="1303">
        <v>1</v>
      </c>
      <c r="F43" s="1303">
        <v>1</v>
      </c>
      <c r="G43" s="1304"/>
      <c r="H43" s="1305" t="s">
        <v>141</v>
      </c>
      <c r="I43" s="1303" t="s">
        <v>5090</v>
      </c>
      <c r="J43" s="1303" t="s">
        <v>141</v>
      </c>
      <c r="K43" s="1304" t="s">
        <v>141</v>
      </c>
    </row>
    <row r="44" spans="1:11" ht="13.5" x14ac:dyDescent="0.25">
      <c r="A44" s="1299">
        <v>38</v>
      </c>
      <c r="B44" s="1300" t="s">
        <v>5129</v>
      </c>
      <c r="C44" s="1301">
        <v>1</v>
      </c>
      <c r="D44" s="1302">
        <v>1</v>
      </c>
      <c r="E44" s="1303">
        <v>1</v>
      </c>
      <c r="F44" s="1303">
        <v>1</v>
      </c>
      <c r="G44" s="1304"/>
      <c r="H44" s="1305" t="s">
        <v>5091</v>
      </c>
      <c r="I44" s="1303" t="s">
        <v>5091</v>
      </c>
      <c r="J44" s="1303" t="s">
        <v>5091</v>
      </c>
      <c r="K44" s="1304"/>
    </row>
    <row r="45" spans="1:11" ht="13.5" x14ac:dyDescent="0.25">
      <c r="A45" s="1299">
        <v>39</v>
      </c>
      <c r="B45" s="1300" t="s">
        <v>5130</v>
      </c>
      <c r="C45" s="1301">
        <v>1</v>
      </c>
      <c r="D45" s="1302"/>
      <c r="E45" s="1303">
        <v>1</v>
      </c>
      <c r="F45" s="1303">
        <v>1</v>
      </c>
      <c r="G45" s="1304"/>
      <c r="H45" s="1305" t="s">
        <v>5093</v>
      </c>
      <c r="I45" s="1303" t="s">
        <v>5093</v>
      </c>
      <c r="J45" s="1303" t="s">
        <v>5093</v>
      </c>
      <c r="K45" s="1304" t="s">
        <v>5093</v>
      </c>
    </row>
    <row r="46" spans="1:11" ht="13.5" x14ac:dyDescent="0.25">
      <c r="A46" s="1299">
        <v>40</v>
      </c>
      <c r="B46" s="1300" t="s">
        <v>5131</v>
      </c>
      <c r="C46" s="1301">
        <v>1</v>
      </c>
      <c r="D46" s="1302"/>
      <c r="E46" s="1303">
        <v>1</v>
      </c>
      <c r="F46" s="1303">
        <v>1</v>
      </c>
      <c r="G46" s="1304"/>
      <c r="H46" s="1305" t="s">
        <v>5090</v>
      </c>
      <c r="I46" s="1303" t="s">
        <v>142</v>
      </c>
      <c r="J46" s="1303" t="s">
        <v>5090</v>
      </c>
      <c r="K46" s="1304" t="s">
        <v>142</v>
      </c>
    </row>
    <row r="47" spans="1:11" ht="13.5" x14ac:dyDescent="0.25">
      <c r="A47" s="1299">
        <v>41</v>
      </c>
      <c r="B47" s="1300" t="s">
        <v>5132</v>
      </c>
      <c r="C47" s="1301">
        <v>1</v>
      </c>
      <c r="D47" s="1302"/>
      <c r="E47" s="1303">
        <v>1</v>
      </c>
      <c r="F47" s="1303">
        <v>1</v>
      </c>
      <c r="G47" s="1304"/>
      <c r="H47" s="1305" t="s">
        <v>5091</v>
      </c>
      <c r="I47" s="1303" t="s">
        <v>5091</v>
      </c>
      <c r="J47" s="1303" t="s">
        <v>5091</v>
      </c>
      <c r="K47" s="1304" t="s">
        <v>142</v>
      </c>
    </row>
    <row r="48" spans="1:11" ht="13.5" x14ac:dyDescent="0.25">
      <c r="A48" s="1299">
        <v>42</v>
      </c>
      <c r="B48" s="1300" t="s">
        <v>5133</v>
      </c>
      <c r="C48" s="1301">
        <v>1</v>
      </c>
      <c r="D48" s="1302"/>
      <c r="E48" s="1303">
        <v>1</v>
      </c>
      <c r="F48" s="1303"/>
      <c r="G48" s="1304">
        <v>1</v>
      </c>
      <c r="H48" s="1305" t="s">
        <v>5091</v>
      </c>
      <c r="I48" s="1303" t="s">
        <v>5091</v>
      </c>
      <c r="J48" s="1303" t="s">
        <v>5091</v>
      </c>
      <c r="K48" s="1304" t="s">
        <v>5091</v>
      </c>
    </row>
    <row r="49" spans="1:11" ht="13.5" x14ac:dyDescent="0.25">
      <c r="A49" s="1299">
        <v>43</v>
      </c>
      <c r="B49" s="1300" t="s">
        <v>5134</v>
      </c>
      <c r="C49" s="1301">
        <v>1</v>
      </c>
      <c r="D49" s="1302"/>
      <c r="E49" s="1303">
        <v>1</v>
      </c>
      <c r="F49" s="1303"/>
      <c r="G49" s="1304"/>
      <c r="H49" s="1305" t="s">
        <v>5091</v>
      </c>
      <c r="I49" s="1303" t="s">
        <v>5091</v>
      </c>
      <c r="J49" s="1303" t="s">
        <v>5091</v>
      </c>
      <c r="K49" s="1304"/>
    </row>
    <row r="50" spans="1:11" ht="13.5" x14ac:dyDescent="0.25">
      <c r="A50" s="1299">
        <v>44</v>
      </c>
      <c r="B50" s="1300" t="s">
        <v>5135</v>
      </c>
      <c r="C50" s="1301"/>
      <c r="D50" s="1302"/>
      <c r="E50" s="1303">
        <v>1</v>
      </c>
      <c r="F50" s="1303">
        <v>1</v>
      </c>
      <c r="G50" s="1304"/>
      <c r="H50" s="1305" t="s">
        <v>5091</v>
      </c>
      <c r="I50" s="1303"/>
      <c r="J50" s="1303" t="s">
        <v>5091</v>
      </c>
      <c r="K50" s="1304" t="s">
        <v>5091</v>
      </c>
    </row>
    <row r="51" spans="1:11" ht="13.5" x14ac:dyDescent="0.25">
      <c r="A51" s="1299">
        <v>45</v>
      </c>
      <c r="B51" s="1300" t="s">
        <v>5136</v>
      </c>
      <c r="C51" s="1301">
        <v>1</v>
      </c>
      <c r="D51" s="1302"/>
      <c r="E51" s="1303">
        <v>1</v>
      </c>
      <c r="F51" s="1303"/>
      <c r="G51" s="1304"/>
      <c r="H51" s="1305" t="s">
        <v>5090</v>
      </c>
      <c r="I51" s="1303" t="s">
        <v>5091</v>
      </c>
      <c r="J51" s="1303" t="s">
        <v>5090</v>
      </c>
      <c r="K51" s="1304" t="s">
        <v>142</v>
      </c>
    </row>
    <row r="52" spans="1:11" ht="13.5" x14ac:dyDescent="0.25">
      <c r="A52" s="1299">
        <v>46</v>
      </c>
      <c r="B52" s="1300" t="s">
        <v>5137</v>
      </c>
      <c r="C52" s="1301"/>
      <c r="D52" s="1302"/>
      <c r="E52" s="1303"/>
      <c r="F52" s="1303">
        <v>1</v>
      </c>
      <c r="G52" s="1304"/>
      <c r="H52" s="1305" t="s">
        <v>141</v>
      </c>
      <c r="I52" s="1303" t="s">
        <v>5091</v>
      </c>
      <c r="J52" s="1303" t="s">
        <v>141</v>
      </c>
      <c r="K52" s="1304"/>
    </row>
    <row r="53" spans="1:11" ht="13.5" x14ac:dyDescent="0.25">
      <c r="A53" s="1299">
        <v>47</v>
      </c>
      <c r="B53" s="1300" t="s">
        <v>5138</v>
      </c>
      <c r="C53" s="1301"/>
      <c r="D53" s="1302"/>
      <c r="E53" s="1303">
        <v>1</v>
      </c>
      <c r="F53" s="1303">
        <v>1</v>
      </c>
      <c r="G53" s="1304"/>
      <c r="H53" s="1305" t="s">
        <v>5090</v>
      </c>
      <c r="I53" s="1303" t="s">
        <v>5091</v>
      </c>
      <c r="J53" s="1303" t="s">
        <v>5090</v>
      </c>
      <c r="K53" s="1304"/>
    </row>
    <row r="54" spans="1:11" ht="13.5" x14ac:dyDescent="0.25">
      <c r="A54" s="1299">
        <v>48</v>
      </c>
      <c r="B54" s="1300" t="s">
        <v>5139</v>
      </c>
      <c r="C54" s="1301">
        <v>1</v>
      </c>
      <c r="D54" s="1302"/>
      <c r="E54" s="1303"/>
      <c r="F54" s="1303">
        <v>1</v>
      </c>
      <c r="G54" s="1304"/>
      <c r="H54" s="1305" t="s">
        <v>141</v>
      </c>
      <c r="I54" s="1303" t="s">
        <v>141</v>
      </c>
      <c r="J54" s="1303" t="s">
        <v>141</v>
      </c>
      <c r="K54" s="1304"/>
    </row>
    <row r="55" spans="1:11" ht="13.5" x14ac:dyDescent="0.25">
      <c r="A55" s="1299">
        <v>49</v>
      </c>
      <c r="B55" s="1300" t="s">
        <v>5140</v>
      </c>
      <c r="C55" s="1301">
        <v>1</v>
      </c>
      <c r="D55" s="1302"/>
      <c r="E55" s="1303">
        <v>1</v>
      </c>
      <c r="F55" s="1303">
        <v>1</v>
      </c>
      <c r="G55" s="1304"/>
      <c r="H55" s="1305" t="s">
        <v>5090</v>
      </c>
      <c r="I55" s="1303" t="s">
        <v>5090</v>
      </c>
      <c r="J55" s="1303" t="s">
        <v>5090</v>
      </c>
      <c r="K55" s="1304" t="s">
        <v>142</v>
      </c>
    </row>
    <row r="56" spans="1:11" ht="13.5" x14ac:dyDescent="0.25">
      <c r="A56" s="1299">
        <v>50</v>
      </c>
      <c r="B56" s="1300" t="s">
        <v>5141</v>
      </c>
      <c r="C56" s="1301">
        <v>1</v>
      </c>
      <c r="D56" s="1302"/>
      <c r="E56" s="1303">
        <v>1</v>
      </c>
      <c r="F56" s="1303">
        <v>1</v>
      </c>
      <c r="G56" s="1304"/>
      <c r="H56" s="1305" t="s">
        <v>5093</v>
      </c>
      <c r="I56" s="1303" t="s">
        <v>141</v>
      </c>
      <c r="J56" s="1303" t="s">
        <v>5093</v>
      </c>
      <c r="K56" s="1304"/>
    </row>
    <row r="57" spans="1:11" ht="13.5" x14ac:dyDescent="0.25">
      <c r="A57" s="1299">
        <v>51</v>
      </c>
      <c r="B57" s="1300" t="s">
        <v>5142</v>
      </c>
      <c r="C57" s="1301">
        <v>1</v>
      </c>
      <c r="D57" s="1302"/>
      <c r="E57" s="1303">
        <v>1</v>
      </c>
      <c r="F57" s="1303">
        <v>1</v>
      </c>
      <c r="G57" s="1304"/>
      <c r="H57" s="1305" t="s">
        <v>141</v>
      </c>
      <c r="I57" s="1303" t="s">
        <v>5091</v>
      </c>
      <c r="J57" s="1303" t="s">
        <v>141</v>
      </c>
      <c r="K57" s="1304"/>
    </row>
    <row r="58" spans="1:11" ht="13.5" x14ac:dyDescent="0.25">
      <c r="A58" s="1299">
        <v>52</v>
      </c>
      <c r="B58" s="1300" t="s">
        <v>5143</v>
      </c>
      <c r="C58" s="1301">
        <v>1</v>
      </c>
      <c r="D58" s="1302"/>
      <c r="E58" s="1303">
        <v>1</v>
      </c>
      <c r="F58" s="1303">
        <v>1</v>
      </c>
      <c r="G58" s="1304"/>
      <c r="H58" s="1305" t="s">
        <v>5091</v>
      </c>
      <c r="I58" s="1303" t="s">
        <v>5091</v>
      </c>
      <c r="J58" s="1303" t="s">
        <v>5091</v>
      </c>
      <c r="K58" s="1304"/>
    </row>
    <row r="59" spans="1:11" ht="13.5" x14ac:dyDescent="0.25">
      <c r="A59" s="1299">
        <v>53</v>
      </c>
      <c r="B59" s="1300" t="s">
        <v>5144</v>
      </c>
      <c r="C59" s="1301">
        <v>1</v>
      </c>
      <c r="D59" s="1302"/>
      <c r="E59" s="1303">
        <v>1</v>
      </c>
      <c r="F59" s="1303">
        <v>1</v>
      </c>
      <c r="G59" s="1304"/>
      <c r="H59" s="1305" t="s">
        <v>141</v>
      </c>
      <c r="I59" s="1303" t="s">
        <v>141</v>
      </c>
      <c r="J59" s="1303" t="s">
        <v>141</v>
      </c>
      <c r="K59" s="1304"/>
    </row>
    <row r="60" spans="1:11" ht="13.5" x14ac:dyDescent="0.25">
      <c r="A60" s="1299">
        <v>54</v>
      </c>
      <c r="B60" s="1300" t="s">
        <v>5145</v>
      </c>
      <c r="C60" s="1301"/>
      <c r="D60" s="1302"/>
      <c r="E60" s="1303"/>
      <c r="F60" s="1303">
        <v>1</v>
      </c>
      <c r="G60" s="1304"/>
      <c r="H60" s="1305" t="s">
        <v>142</v>
      </c>
      <c r="I60" s="1303" t="s">
        <v>142</v>
      </c>
      <c r="J60" s="1303" t="s">
        <v>5091</v>
      </c>
      <c r="K60" s="1304"/>
    </row>
    <row r="61" spans="1:11" ht="13.5" x14ac:dyDescent="0.25">
      <c r="A61" s="1299">
        <v>55</v>
      </c>
      <c r="B61" s="1300" t="s">
        <v>5146</v>
      </c>
      <c r="C61" s="1301"/>
      <c r="D61" s="1302"/>
      <c r="E61" s="1303"/>
      <c r="F61" s="1303">
        <v>1</v>
      </c>
      <c r="G61" s="1304"/>
      <c r="H61" s="1305" t="s">
        <v>5090</v>
      </c>
      <c r="I61" s="1303" t="s">
        <v>5091</v>
      </c>
      <c r="J61" s="1303" t="s">
        <v>5090</v>
      </c>
      <c r="K61" s="1304"/>
    </row>
    <row r="62" spans="1:11" ht="13.5" x14ac:dyDescent="0.25">
      <c r="A62" s="1299">
        <v>56</v>
      </c>
      <c r="B62" s="1300" t="s">
        <v>5147</v>
      </c>
      <c r="C62" s="1301"/>
      <c r="D62" s="1302"/>
      <c r="E62" s="1303"/>
      <c r="F62" s="1303">
        <v>1</v>
      </c>
      <c r="G62" s="1304"/>
      <c r="H62" s="1305" t="s">
        <v>5091</v>
      </c>
      <c r="I62" s="1303" t="s">
        <v>142</v>
      </c>
      <c r="J62" s="1303" t="s">
        <v>142</v>
      </c>
      <c r="K62" s="1304"/>
    </row>
    <row r="63" spans="1:11" ht="13.5" x14ac:dyDescent="0.25">
      <c r="A63" s="1299">
        <v>57</v>
      </c>
      <c r="B63" s="1300" t="s">
        <v>5148</v>
      </c>
      <c r="C63" s="1301"/>
      <c r="D63" s="1302"/>
      <c r="E63" s="1303"/>
      <c r="F63" s="1303">
        <v>1</v>
      </c>
      <c r="G63" s="1304"/>
      <c r="H63" s="1305" t="s">
        <v>5091</v>
      </c>
      <c r="I63" s="1303"/>
      <c r="J63" s="1303" t="s">
        <v>142</v>
      </c>
      <c r="K63" s="1304"/>
    </row>
    <row r="64" spans="1:11" ht="13.5" x14ac:dyDescent="0.25">
      <c r="A64" s="1299">
        <v>58</v>
      </c>
      <c r="B64" s="1300" t="s">
        <v>5149</v>
      </c>
      <c r="C64" s="1301"/>
      <c r="D64" s="1302"/>
      <c r="E64" s="1303"/>
      <c r="F64" s="1303">
        <v>1</v>
      </c>
      <c r="G64" s="1304"/>
      <c r="H64" s="1305" t="s">
        <v>5091</v>
      </c>
      <c r="I64" s="1303"/>
      <c r="J64" s="1303" t="s">
        <v>142</v>
      </c>
      <c r="K64" s="1304"/>
    </row>
    <row r="65" spans="1:11" ht="13.5" x14ac:dyDescent="0.25">
      <c r="A65" s="1299">
        <v>59</v>
      </c>
      <c r="B65" s="1300" t="s">
        <v>5150</v>
      </c>
      <c r="C65" s="1301"/>
      <c r="D65" s="1302"/>
      <c r="E65" s="1303"/>
      <c r="F65" s="1303">
        <v>1</v>
      </c>
      <c r="G65" s="1304"/>
      <c r="H65" s="1305" t="s">
        <v>5090</v>
      </c>
      <c r="I65" s="1303" t="s">
        <v>142</v>
      </c>
      <c r="J65" s="1303" t="s">
        <v>5090</v>
      </c>
      <c r="K65" s="1304" t="s">
        <v>142</v>
      </c>
    </row>
    <row r="66" spans="1:11" ht="13.5" x14ac:dyDescent="0.25">
      <c r="A66" s="1299">
        <v>60</v>
      </c>
      <c r="B66" s="1300" t="s">
        <v>5151</v>
      </c>
      <c r="C66" s="1301"/>
      <c r="D66" s="1302"/>
      <c r="E66" s="1303"/>
      <c r="F66" s="1303">
        <v>1</v>
      </c>
      <c r="G66" s="1304"/>
      <c r="H66" s="1305" t="s">
        <v>5091</v>
      </c>
      <c r="I66" s="1303" t="s">
        <v>5091</v>
      </c>
      <c r="J66" s="1303" t="s">
        <v>5091</v>
      </c>
      <c r="K66" s="1304"/>
    </row>
    <row r="67" spans="1:11" ht="13.5" x14ac:dyDescent="0.25">
      <c r="A67" s="1299">
        <v>61</v>
      </c>
      <c r="B67" s="1300" t="s">
        <v>5152</v>
      </c>
      <c r="C67" s="1301"/>
      <c r="D67" s="1302"/>
      <c r="E67" s="1303">
        <v>1</v>
      </c>
      <c r="F67" s="1303">
        <v>1</v>
      </c>
      <c r="G67" s="1304"/>
      <c r="H67" s="1305" t="s">
        <v>5093</v>
      </c>
      <c r="I67" s="1303" t="s">
        <v>5090</v>
      </c>
      <c r="J67" s="1303" t="s">
        <v>5093</v>
      </c>
      <c r="K67" s="1304"/>
    </row>
    <row r="68" spans="1:11" ht="13.5" x14ac:dyDescent="0.25">
      <c r="A68" s="1299">
        <v>62</v>
      </c>
      <c r="B68" s="1300" t="s">
        <v>5153</v>
      </c>
      <c r="C68" s="1301">
        <v>1</v>
      </c>
      <c r="D68" s="1302"/>
      <c r="E68" s="1303">
        <v>1</v>
      </c>
      <c r="F68" s="1303">
        <v>1</v>
      </c>
      <c r="G68" s="1304"/>
      <c r="H68" s="1305" t="s">
        <v>5093</v>
      </c>
      <c r="I68" s="1303" t="s">
        <v>5090</v>
      </c>
      <c r="J68" s="1303" t="s">
        <v>5093</v>
      </c>
      <c r="K68" s="1304"/>
    </row>
    <row r="69" spans="1:11" ht="13.5" x14ac:dyDescent="0.25">
      <c r="A69" s="1299">
        <v>63</v>
      </c>
      <c r="B69" s="1300" t="s">
        <v>5154</v>
      </c>
      <c r="C69" s="1301"/>
      <c r="D69" s="1302"/>
      <c r="E69" s="1303"/>
      <c r="F69" s="1303">
        <v>1</v>
      </c>
      <c r="G69" s="1304"/>
      <c r="H69" s="1305" t="s">
        <v>5090</v>
      </c>
      <c r="I69" s="1303" t="s">
        <v>5091</v>
      </c>
      <c r="J69" s="1303" t="s">
        <v>5090</v>
      </c>
      <c r="K69" s="1304"/>
    </row>
    <row r="70" spans="1:11" ht="13.5" x14ac:dyDescent="0.25">
      <c r="A70" s="1299">
        <v>64</v>
      </c>
      <c r="B70" s="1300" t="s">
        <v>5155</v>
      </c>
      <c r="C70" s="1301"/>
      <c r="D70" s="1302"/>
      <c r="E70" s="1303"/>
      <c r="F70" s="1303">
        <v>1</v>
      </c>
      <c r="G70" s="1304"/>
      <c r="H70" s="1305" t="s">
        <v>141</v>
      </c>
      <c r="I70" s="1303" t="s">
        <v>5091</v>
      </c>
      <c r="J70" s="1303" t="s">
        <v>141</v>
      </c>
      <c r="K70" s="1304"/>
    </row>
    <row r="71" spans="1:11" ht="13.5" x14ac:dyDescent="0.25">
      <c r="A71" s="1299">
        <v>65</v>
      </c>
      <c r="B71" s="1300" t="s">
        <v>5156</v>
      </c>
      <c r="C71" s="1301"/>
      <c r="D71" s="1302"/>
      <c r="E71" s="1303">
        <v>1</v>
      </c>
      <c r="F71" s="1303">
        <v>1</v>
      </c>
      <c r="G71" s="1304"/>
      <c r="H71" s="1305" t="s">
        <v>5093</v>
      </c>
      <c r="I71" s="1303"/>
      <c r="J71" s="1303" t="s">
        <v>5090</v>
      </c>
      <c r="K71" s="1304" t="s">
        <v>5090</v>
      </c>
    </row>
    <row r="72" spans="1:11" ht="13.5" x14ac:dyDescent="0.25">
      <c r="A72" s="1299">
        <v>66</v>
      </c>
      <c r="B72" s="1300" t="s">
        <v>5157</v>
      </c>
      <c r="C72" s="1301">
        <v>1</v>
      </c>
      <c r="D72" s="1302"/>
      <c r="E72" s="1303"/>
      <c r="F72" s="1303">
        <v>1</v>
      </c>
      <c r="G72" s="1304"/>
      <c r="H72" s="1305" t="s">
        <v>141</v>
      </c>
      <c r="I72" s="1303" t="s">
        <v>5091</v>
      </c>
      <c r="J72" s="1303" t="s">
        <v>141</v>
      </c>
      <c r="K72" s="1304"/>
    </row>
    <row r="73" spans="1:11" ht="13.5" x14ac:dyDescent="0.25">
      <c r="A73" s="1299">
        <v>67</v>
      </c>
      <c r="B73" s="1300" t="s">
        <v>5158</v>
      </c>
      <c r="C73" s="1301"/>
      <c r="D73" s="1302"/>
      <c r="E73" s="1303"/>
      <c r="F73" s="1303">
        <v>1</v>
      </c>
      <c r="G73" s="1304"/>
      <c r="H73" s="1305" t="s">
        <v>5090</v>
      </c>
      <c r="I73" s="1303" t="s">
        <v>5091</v>
      </c>
      <c r="J73" s="1303" t="s">
        <v>5090</v>
      </c>
      <c r="K73" s="1304"/>
    </row>
    <row r="74" spans="1:11" ht="13.5" x14ac:dyDescent="0.25">
      <c r="A74" s="1299">
        <v>68</v>
      </c>
      <c r="B74" s="1300" t="s">
        <v>5159</v>
      </c>
      <c r="C74" s="1301">
        <v>1</v>
      </c>
      <c r="D74" s="1302"/>
      <c r="E74" s="1303">
        <v>1</v>
      </c>
      <c r="F74" s="1303">
        <v>1</v>
      </c>
      <c r="G74" s="1304"/>
      <c r="H74" s="1305" t="s">
        <v>141</v>
      </c>
      <c r="I74" s="1303" t="s">
        <v>141</v>
      </c>
      <c r="J74" s="1303" t="s">
        <v>141</v>
      </c>
      <c r="K74" s="1304" t="s">
        <v>5091</v>
      </c>
    </row>
    <row r="75" spans="1:11" ht="13.5" x14ac:dyDescent="0.25">
      <c r="A75" s="1299">
        <v>69</v>
      </c>
      <c r="B75" s="1300" t="s">
        <v>5160</v>
      </c>
      <c r="C75" s="1301">
        <v>1</v>
      </c>
      <c r="D75" s="1302">
        <v>1</v>
      </c>
      <c r="E75" s="1303">
        <v>1</v>
      </c>
      <c r="F75" s="1303">
        <v>1</v>
      </c>
      <c r="G75" s="1304"/>
      <c r="H75" s="1305" t="s">
        <v>5093</v>
      </c>
      <c r="I75" s="1303" t="s">
        <v>141</v>
      </c>
      <c r="J75" s="1303" t="s">
        <v>5093</v>
      </c>
      <c r="K75" s="1304" t="s">
        <v>142</v>
      </c>
    </row>
    <row r="76" spans="1:11" ht="13.5" x14ac:dyDescent="0.25">
      <c r="A76" s="1299">
        <v>70</v>
      </c>
      <c r="B76" s="1300" t="s">
        <v>5161</v>
      </c>
      <c r="C76" s="1301">
        <v>1</v>
      </c>
      <c r="D76" s="1302">
        <v>1</v>
      </c>
      <c r="E76" s="1303">
        <v>1</v>
      </c>
      <c r="F76" s="1303">
        <v>1</v>
      </c>
      <c r="G76" s="1304"/>
      <c r="H76" s="1305" t="s">
        <v>5093</v>
      </c>
      <c r="I76" s="1303" t="s">
        <v>5093</v>
      </c>
      <c r="J76" s="1303" t="s">
        <v>5093</v>
      </c>
      <c r="K76" s="1304" t="s">
        <v>5093</v>
      </c>
    </row>
    <row r="77" spans="1:11" ht="13.5" x14ac:dyDescent="0.25">
      <c r="A77" s="1299">
        <v>71</v>
      </c>
      <c r="B77" s="1300" t="s">
        <v>5162</v>
      </c>
      <c r="C77" s="1301"/>
      <c r="D77" s="1302">
        <v>1</v>
      </c>
      <c r="E77" s="1303">
        <v>1</v>
      </c>
      <c r="F77" s="1303">
        <v>1</v>
      </c>
      <c r="G77" s="1304"/>
      <c r="H77" s="1305" t="s">
        <v>5091</v>
      </c>
      <c r="I77" s="1303" t="s">
        <v>5091</v>
      </c>
      <c r="J77" s="1303" t="s">
        <v>5091</v>
      </c>
      <c r="K77" s="1304" t="s">
        <v>142</v>
      </c>
    </row>
    <row r="78" spans="1:11" ht="13.5" x14ac:dyDescent="0.25">
      <c r="A78" s="1299">
        <v>72</v>
      </c>
      <c r="B78" s="1300" t="s">
        <v>5163</v>
      </c>
      <c r="C78" s="1301"/>
      <c r="D78" s="1302">
        <v>1</v>
      </c>
      <c r="E78" s="1303"/>
      <c r="F78" s="1303">
        <v>1</v>
      </c>
      <c r="G78" s="1304"/>
      <c r="H78" s="1305" t="s">
        <v>5091</v>
      </c>
      <c r="I78" s="1303" t="s">
        <v>5091</v>
      </c>
      <c r="J78" s="1303" t="s">
        <v>5090</v>
      </c>
      <c r="K78" s="1304"/>
    </row>
    <row r="79" spans="1:11" ht="13.5" x14ac:dyDescent="0.25">
      <c r="A79" s="1299">
        <v>73</v>
      </c>
      <c r="B79" s="1300" t="s">
        <v>5164</v>
      </c>
      <c r="C79" s="1301">
        <v>1</v>
      </c>
      <c r="D79" s="1302">
        <v>1</v>
      </c>
      <c r="E79" s="1303">
        <v>1</v>
      </c>
      <c r="F79" s="1303">
        <v>1</v>
      </c>
      <c r="G79" s="1304"/>
      <c r="H79" s="1305" t="s">
        <v>5093</v>
      </c>
      <c r="I79" s="1303" t="s">
        <v>141</v>
      </c>
      <c r="J79" s="1303" t="s">
        <v>5093</v>
      </c>
      <c r="K79" s="1304" t="s">
        <v>141</v>
      </c>
    </row>
    <row r="80" spans="1:11" ht="13.5" x14ac:dyDescent="0.25">
      <c r="A80" s="1299">
        <v>74</v>
      </c>
      <c r="B80" s="1300" t="s">
        <v>5165</v>
      </c>
      <c r="C80" s="1301"/>
      <c r="D80" s="1302">
        <v>1</v>
      </c>
      <c r="E80" s="1303"/>
      <c r="F80" s="1303">
        <v>1</v>
      </c>
      <c r="G80" s="1304"/>
      <c r="H80" s="1305" t="s">
        <v>141</v>
      </c>
      <c r="I80" s="1303" t="s">
        <v>5091</v>
      </c>
      <c r="J80" s="1303" t="s">
        <v>141</v>
      </c>
      <c r="K80" s="1304" t="s">
        <v>5090</v>
      </c>
    </row>
    <row r="81" spans="1:11" ht="13.5" x14ac:dyDescent="0.25">
      <c r="A81" s="1299">
        <v>75</v>
      </c>
      <c r="B81" s="1300" t="s">
        <v>5166</v>
      </c>
      <c r="C81" s="1301">
        <v>1</v>
      </c>
      <c r="D81" s="1302">
        <v>1</v>
      </c>
      <c r="E81" s="1303">
        <v>1</v>
      </c>
      <c r="F81" s="1303">
        <v>1</v>
      </c>
      <c r="G81" s="1304"/>
      <c r="H81" s="1305" t="s">
        <v>5093</v>
      </c>
      <c r="I81" s="1303" t="s">
        <v>5093</v>
      </c>
      <c r="J81" s="1303" t="s">
        <v>5093</v>
      </c>
      <c r="K81" s="1304" t="s">
        <v>5093</v>
      </c>
    </row>
    <row r="82" spans="1:11" ht="13.5" x14ac:dyDescent="0.25">
      <c r="A82" s="1299">
        <v>76</v>
      </c>
      <c r="B82" s="1300" t="s">
        <v>5167</v>
      </c>
      <c r="C82" s="1301"/>
      <c r="D82" s="1302">
        <v>1</v>
      </c>
      <c r="E82" s="1303">
        <v>1</v>
      </c>
      <c r="F82" s="1303">
        <v>1</v>
      </c>
      <c r="G82" s="1304"/>
      <c r="H82" s="1305" t="s">
        <v>5091</v>
      </c>
      <c r="I82" s="1303" t="s">
        <v>142</v>
      </c>
      <c r="J82" s="1303" t="s">
        <v>5091</v>
      </c>
      <c r="K82" s="1304" t="s">
        <v>5091</v>
      </c>
    </row>
    <row r="83" spans="1:11" ht="13.5" x14ac:dyDescent="0.25">
      <c r="A83" s="1299">
        <v>77</v>
      </c>
      <c r="B83" s="1300" t="s">
        <v>5168</v>
      </c>
      <c r="C83" s="1301">
        <v>1</v>
      </c>
      <c r="D83" s="1302">
        <v>1</v>
      </c>
      <c r="E83" s="1303"/>
      <c r="F83" s="1303">
        <v>1</v>
      </c>
      <c r="G83" s="1304"/>
      <c r="H83" s="1305" t="s">
        <v>141</v>
      </c>
      <c r="I83" s="1303" t="s">
        <v>5090</v>
      </c>
      <c r="J83" s="1303" t="s">
        <v>141</v>
      </c>
      <c r="K83" s="1304" t="s">
        <v>5091</v>
      </c>
    </row>
    <row r="84" spans="1:11" ht="13.5" x14ac:dyDescent="0.25">
      <c r="A84" s="1299">
        <v>78</v>
      </c>
      <c r="B84" s="1300" t="s">
        <v>5169</v>
      </c>
      <c r="C84" s="1301"/>
      <c r="D84" s="1302">
        <v>1</v>
      </c>
      <c r="E84" s="1303"/>
      <c r="F84" s="1303">
        <v>1</v>
      </c>
      <c r="G84" s="1304"/>
      <c r="H84" s="1305" t="s">
        <v>5091</v>
      </c>
      <c r="I84" s="1303" t="s">
        <v>5091</v>
      </c>
      <c r="J84" s="1303" t="s">
        <v>5091</v>
      </c>
      <c r="K84" s="1304"/>
    </row>
    <row r="85" spans="1:11" ht="13.5" x14ac:dyDescent="0.25">
      <c r="A85" s="1299">
        <v>79</v>
      </c>
      <c r="B85" s="1300" t="s">
        <v>5170</v>
      </c>
      <c r="C85" s="1301">
        <v>1</v>
      </c>
      <c r="D85" s="1302">
        <v>1</v>
      </c>
      <c r="E85" s="1303">
        <v>1</v>
      </c>
      <c r="F85" s="1303">
        <v>1</v>
      </c>
      <c r="G85" s="1304"/>
      <c r="H85" s="1305" t="s">
        <v>141</v>
      </c>
      <c r="I85" s="1303" t="s">
        <v>141</v>
      </c>
      <c r="J85" s="1303" t="s">
        <v>141</v>
      </c>
      <c r="K85" s="1304"/>
    </row>
    <row r="86" spans="1:11" ht="13.5" x14ac:dyDescent="0.25">
      <c r="A86" s="1299">
        <v>80</v>
      </c>
      <c r="B86" s="1300" t="s">
        <v>5171</v>
      </c>
      <c r="C86" s="1301">
        <v>1</v>
      </c>
      <c r="D86" s="1302">
        <v>1</v>
      </c>
      <c r="E86" s="1303">
        <v>1</v>
      </c>
      <c r="F86" s="1303">
        <v>1</v>
      </c>
      <c r="G86" s="1304"/>
      <c r="H86" s="1305" t="s">
        <v>5091</v>
      </c>
      <c r="I86" s="1303" t="s">
        <v>5091</v>
      </c>
      <c r="J86" s="1303"/>
      <c r="K86" s="1304"/>
    </row>
    <row r="87" spans="1:11" ht="13.5" x14ac:dyDescent="0.25">
      <c r="A87" s="1299">
        <v>81</v>
      </c>
      <c r="B87" s="1300" t="s">
        <v>5172</v>
      </c>
      <c r="C87" s="1301">
        <v>1</v>
      </c>
      <c r="D87" s="1306"/>
      <c r="E87" s="1303">
        <v>1</v>
      </c>
      <c r="F87" s="1303"/>
      <c r="G87" s="1304">
        <v>1</v>
      </c>
      <c r="H87" s="1305" t="s">
        <v>5091</v>
      </c>
      <c r="I87" s="1303" t="s">
        <v>5091</v>
      </c>
      <c r="J87" s="1303" t="s">
        <v>5091</v>
      </c>
      <c r="K87" s="1304" t="s">
        <v>5091</v>
      </c>
    </row>
    <row r="88" spans="1:11" ht="13.5" x14ac:dyDescent="0.25">
      <c r="A88" s="1299">
        <v>82</v>
      </c>
      <c r="B88" s="1300" t="s">
        <v>5173</v>
      </c>
      <c r="C88" s="1301">
        <v>1</v>
      </c>
      <c r="D88" s="1306"/>
      <c r="E88" s="1303">
        <v>1</v>
      </c>
      <c r="F88" s="1303">
        <v>1</v>
      </c>
      <c r="G88" s="1304"/>
      <c r="H88" s="1305" t="s">
        <v>5090</v>
      </c>
      <c r="I88" s="1303" t="s">
        <v>142</v>
      </c>
      <c r="J88" s="1303" t="s">
        <v>141</v>
      </c>
      <c r="K88" s="1304" t="s">
        <v>5091</v>
      </c>
    </row>
    <row r="89" spans="1:11" ht="13.5" x14ac:dyDescent="0.25">
      <c r="A89" s="1299">
        <v>83</v>
      </c>
      <c r="B89" s="1300" t="s">
        <v>5174</v>
      </c>
      <c r="C89" s="1301">
        <v>1</v>
      </c>
      <c r="D89" s="1306">
        <v>1</v>
      </c>
      <c r="E89" s="1303">
        <v>1</v>
      </c>
      <c r="F89" s="1303"/>
      <c r="G89" s="1304"/>
      <c r="H89" s="1305" t="s">
        <v>5090</v>
      </c>
      <c r="I89" s="1303" t="s">
        <v>5090</v>
      </c>
      <c r="J89" s="1303" t="s">
        <v>5090</v>
      </c>
      <c r="K89" s="1304"/>
    </row>
    <row r="90" spans="1:11" ht="13.5" x14ac:dyDescent="0.25">
      <c r="A90" s="1299">
        <v>84</v>
      </c>
      <c r="B90" s="1300" t="s">
        <v>5175</v>
      </c>
      <c r="C90" s="1301">
        <v>1</v>
      </c>
      <c r="D90" s="1306"/>
      <c r="E90" s="1303">
        <v>1</v>
      </c>
      <c r="F90" s="1303"/>
      <c r="G90" s="1304"/>
      <c r="H90" s="1305" t="s">
        <v>5093</v>
      </c>
      <c r="I90" s="1303" t="s">
        <v>5093</v>
      </c>
      <c r="J90" s="1303" t="s">
        <v>5090</v>
      </c>
      <c r="K90" s="1304"/>
    </row>
    <row r="91" spans="1:11" ht="13.5" x14ac:dyDescent="0.25">
      <c r="A91" s="1299">
        <v>85</v>
      </c>
      <c r="B91" s="1300" t="s">
        <v>5176</v>
      </c>
      <c r="C91" s="1301">
        <v>1</v>
      </c>
      <c r="D91" s="1306">
        <v>1</v>
      </c>
      <c r="E91" s="1303">
        <v>1</v>
      </c>
      <c r="F91" s="1303">
        <v>1</v>
      </c>
      <c r="G91" s="1304"/>
      <c r="H91" s="1305" t="s">
        <v>141</v>
      </c>
      <c r="I91" s="1303" t="s">
        <v>141</v>
      </c>
      <c r="J91" s="1303" t="s">
        <v>141</v>
      </c>
      <c r="K91" s="1304" t="s">
        <v>141</v>
      </c>
    </row>
    <row r="92" spans="1:11" ht="13.5" x14ac:dyDescent="0.25">
      <c r="A92" s="1299">
        <v>86</v>
      </c>
      <c r="B92" s="1300" t="s">
        <v>5177</v>
      </c>
      <c r="C92" s="1301">
        <v>1</v>
      </c>
      <c r="D92" s="1306"/>
      <c r="E92" s="1303">
        <v>1</v>
      </c>
      <c r="F92" s="1303"/>
      <c r="G92" s="1304">
        <v>1</v>
      </c>
      <c r="H92" s="1305" t="s">
        <v>141</v>
      </c>
      <c r="I92" s="1303" t="s">
        <v>141</v>
      </c>
      <c r="J92" s="1303" t="s">
        <v>141</v>
      </c>
      <c r="K92" s="1304" t="s">
        <v>5091</v>
      </c>
    </row>
    <row r="93" spans="1:11" ht="13.5" x14ac:dyDescent="0.25">
      <c r="A93" s="1299">
        <v>87</v>
      </c>
      <c r="B93" s="1300" t="s">
        <v>5178</v>
      </c>
      <c r="C93" s="1301">
        <v>1</v>
      </c>
      <c r="D93" s="1306"/>
      <c r="E93" s="1303">
        <v>1</v>
      </c>
      <c r="F93" s="1303"/>
      <c r="G93" s="1304"/>
      <c r="H93" s="1305" t="s">
        <v>5091</v>
      </c>
      <c r="I93" s="1303" t="s">
        <v>5091</v>
      </c>
      <c r="J93" s="1303" t="s">
        <v>5091</v>
      </c>
      <c r="K93" s="1304"/>
    </row>
    <row r="94" spans="1:11" ht="13.5" x14ac:dyDescent="0.25">
      <c r="A94" s="1299">
        <v>88</v>
      </c>
      <c r="B94" s="1300" t="s">
        <v>5179</v>
      </c>
      <c r="C94" s="1301">
        <v>1</v>
      </c>
      <c r="D94" s="1306"/>
      <c r="E94" s="1303">
        <v>1</v>
      </c>
      <c r="F94" s="1303"/>
      <c r="G94" s="1304">
        <v>1</v>
      </c>
      <c r="H94" s="1305" t="s">
        <v>5091</v>
      </c>
      <c r="I94" s="1303" t="s">
        <v>5090</v>
      </c>
      <c r="J94" s="1303" t="s">
        <v>5090</v>
      </c>
      <c r="K94" s="1304"/>
    </row>
    <row r="95" spans="1:11" ht="13.5" x14ac:dyDescent="0.25">
      <c r="A95" s="1299">
        <v>89</v>
      </c>
      <c r="B95" s="1300" t="s">
        <v>5180</v>
      </c>
      <c r="C95" s="1301">
        <v>1</v>
      </c>
      <c r="D95" s="1306"/>
      <c r="E95" s="1303">
        <v>1</v>
      </c>
      <c r="F95" s="1303"/>
      <c r="G95" s="1304">
        <v>1</v>
      </c>
      <c r="H95" s="1305" t="s">
        <v>5090</v>
      </c>
      <c r="I95" s="1303" t="s">
        <v>5090</v>
      </c>
      <c r="J95" s="1303" t="s">
        <v>5090</v>
      </c>
      <c r="K95" s="1304"/>
    </row>
    <row r="96" spans="1:11" ht="13.5" x14ac:dyDescent="0.25">
      <c r="A96" s="1299">
        <v>90</v>
      </c>
      <c r="B96" s="1300" t="s">
        <v>5181</v>
      </c>
      <c r="C96" s="1301">
        <v>1</v>
      </c>
      <c r="D96" s="1306"/>
      <c r="E96" s="1303">
        <v>1</v>
      </c>
      <c r="F96" s="1303"/>
      <c r="G96" s="1304">
        <v>1</v>
      </c>
      <c r="H96" s="1305" t="s">
        <v>5091</v>
      </c>
      <c r="I96" s="1303" t="s">
        <v>5091</v>
      </c>
      <c r="J96" s="1303" t="s">
        <v>5091</v>
      </c>
      <c r="K96" s="1304"/>
    </row>
    <row r="97" spans="1:11" ht="13.5" x14ac:dyDescent="0.25">
      <c r="A97" s="1299">
        <v>91</v>
      </c>
      <c r="B97" s="1300" t="s">
        <v>5182</v>
      </c>
      <c r="C97" s="1301">
        <v>1</v>
      </c>
      <c r="D97" s="1306">
        <v>1</v>
      </c>
      <c r="E97" s="1303">
        <v>1</v>
      </c>
      <c r="F97" s="1303"/>
      <c r="G97" s="1304"/>
      <c r="H97" s="1305" t="s">
        <v>141</v>
      </c>
      <c r="I97" s="1303" t="s">
        <v>141</v>
      </c>
      <c r="J97" s="1303" t="s">
        <v>141</v>
      </c>
      <c r="K97" s="1304"/>
    </row>
    <row r="98" spans="1:11" ht="13.5" x14ac:dyDescent="0.25">
      <c r="A98" s="1299">
        <v>92</v>
      </c>
      <c r="B98" s="1300" t="s">
        <v>5183</v>
      </c>
      <c r="C98" s="1301">
        <v>1</v>
      </c>
      <c r="D98" s="1306">
        <v>1</v>
      </c>
      <c r="E98" s="1303">
        <v>1</v>
      </c>
      <c r="F98" s="1303"/>
      <c r="G98" s="1304"/>
      <c r="H98" s="1305" t="s">
        <v>141</v>
      </c>
      <c r="I98" s="1303" t="s">
        <v>5090</v>
      </c>
      <c r="J98" s="1303" t="s">
        <v>5090</v>
      </c>
      <c r="K98" s="1304"/>
    </row>
    <row r="99" spans="1:11" ht="13.5" x14ac:dyDescent="0.25">
      <c r="A99" s="1299">
        <v>93</v>
      </c>
      <c r="B99" s="1300" t="s">
        <v>5184</v>
      </c>
      <c r="C99" s="1301">
        <v>1</v>
      </c>
      <c r="D99" s="1306">
        <v>1</v>
      </c>
      <c r="E99" s="1303">
        <v>1</v>
      </c>
      <c r="F99" s="1303"/>
      <c r="G99" s="1304"/>
      <c r="H99" s="1305" t="s">
        <v>5091</v>
      </c>
      <c r="I99" s="1303" t="s">
        <v>5091</v>
      </c>
      <c r="J99" s="1303" t="s">
        <v>142</v>
      </c>
      <c r="K99" s="1304"/>
    </row>
    <row r="100" spans="1:11" ht="13.5" x14ac:dyDescent="0.25">
      <c r="A100" s="1299">
        <v>94</v>
      </c>
      <c r="B100" s="1300" t="s">
        <v>5185</v>
      </c>
      <c r="C100" s="1301">
        <v>1</v>
      </c>
      <c r="D100" s="1306">
        <v>1</v>
      </c>
      <c r="E100" s="1303">
        <v>1</v>
      </c>
      <c r="F100" s="1303"/>
      <c r="G100" s="1304"/>
      <c r="H100" s="1305" t="s">
        <v>5090</v>
      </c>
      <c r="I100" s="1303" t="s">
        <v>5090</v>
      </c>
      <c r="J100" s="1303" t="s">
        <v>5090</v>
      </c>
      <c r="K100" s="1304"/>
    </row>
    <row r="101" spans="1:11" ht="13.5" x14ac:dyDescent="0.25">
      <c r="A101" s="1299">
        <v>95</v>
      </c>
      <c r="B101" s="1300" t="s">
        <v>5186</v>
      </c>
      <c r="C101" s="1301">
        <v>1</v>
      </c>
      <c r="D101" s="1306">
        <v>1</v>
      </c>
      <c r="E101" s="1303">
        <v>1</v>
      </c>
      <c r="F101" s="1303"/>
      <c r="G101" s="1304"/>
      <c r="H101" s="1305" t="s">
        <v>5091</v>
      </c>
      <c r="I101" s="1303" t="s">
        <v>5091</v>
      </c>
      <c r="J101" s="1303" t="s">
        <v>5091</v>
      </c>
      <c r="K101" s="1304"/>
    </row>
    <row r="102" spans="1:11" ht="13.5" x14ac:dyDescent="0.25">
      <c r="A102" s="1299">
        <v>96</v>
      </c>
      <c r="B102" s="1300" t="s">
        <v>5187</v>
      </c>
      <c r="C102" s="1301">
        <v>1</v>
      </c>
      <c r="D102" s="1306">
        <v>1</v>
      </c>
      <c r="E102" s="1303">
        <v>1</v>
      </c>
      <c r="F102" s="1303"/>
      <c r="G102" s="1304"/>
      <c r="H102" s="1305" t="s">
        <v>141</v>
      </c>
      <c r="I102" s="1303" t="s">
        <v>141</v>
      </c>
      <c r="J102" s="1303" t="s">
        <v>141</v>
      </c>
      <c r="K102" s="1304"/>
    </row>
    <row r="103" spans="1:11" ht="13.5" x14ac:dyDescent="0.25">
      <c r="A103" s="1299">
        <v>97</v>
      </c>
      <c r="B103" s="1300" t="s">
        <v>5188</v>
      </c>
      <c r="C103" s="1301">
        <v>1</v>
      </c>
      <c r="D103" s="1306">
        <v>1</v>
      </c>
      <c r="E103" s="1303">
        <v>1</v>
      </c>
      <c r="F103" s="1303"/>
      <c r="G103" s="1304"/>
      <c r="H103" s="1305" t="s">
        <v>141</v>
      </c>
      <c r="I103" s="1303" t="s">
        <v>141</v>
      </c>
      <c r="J103" s="1303" t="s">
        <v>141</v>
      </c>
      <c r="K103" s="1304" t="s">
        <v>141</v>
      </c>
    </row>
    <row r="104" spans="1:11" ht="13.5" x14ac:dyDescent="0.25">
      <c r="A104" s="1299">
        <v>98</v>
      </c>
      <c r="B104" s="1300" t="s">
        <v>5189</v>
      </c>
      <c r="C104" s="1301">
        <v>1</v>
      </c>
      <c r="D104" s="1306"/>
      <c r="E104" s="1303">
        <v>1</v>
      </c>
      <c r="F104" s="1303">
        <v>1</v>
      </c>
      <c r="G104" s="1304"/>
      <c r="H104" s="1305" t="s">
        <v>5093</v>
      </c>
      <c r="I104" s="1303" t="s">
        <v>141</v>
      </c>
      <c r="J104" s="1303" t="s">
        <v>5093</v>
      </c>
      <c r="K104" s="1304"/>
    </row>
    <row r="105" spans="1:11" ht="13.5" x14ac:dyDescent="0.25">
      <c r="A105" s="1299">
        <v>99</v>
      </c>
      <c r="B105" s="1300" t="s">
        <v>5190</v>
      </c>
      <c r="C105" s="1301">
        <v>1</v>
      </c>
      <c r="D105" s="1306"/>
      <c r="E105" s="1303">
        <v>1</v>
      </c>
      <c r="F105" s="1303"/>
      <c r="G105" s="1304">
        <v>1</v>
      </c>
      <c r="H105" s="1305" t="s">
        <v>5091</v>
      </c>
      <c r="I105" s="1303" t="s">
        <v>5091</v>
      </c>
      <c r="J105" s="1303" t="s">
        <v>5091</v>
      </c>
      <c r="K105" s="1304"/>
    </row>
    <row r="106" spans="1:11" ht="13.5" x14ac:dyDescent="0.25">
      <c r="A106" s="1299">
        <v>100</v>
      </c>
      <c r="B106" s="1300" t="s">
        <v>5191</v>
      </c>
      <c r="C106" s="1301">
        <v>1</v>
      </c>
      <c r="D106" s="1306"/>
      <c r="E106" s="1303">
        <v>1</v>
      </c>
      <c r="F106" s="1303"/>
      <c r="G106" s="1304">
        <v>1</v>
      </c>
      <c r="H106" s="1305" t="s">
        <v>5093</v>
      </c>
      <c r="I106" s="1303" t="s">
        <v>5093</v>
      </c>
      <c r="J106" s="1303" t="s">
        <v>5093</v>
      </c>
      <c r="K106" s="1304"/>
    </row>
    <row r="107" spans="1:11" ht="13.5" x14ac:dyDescent="0.25">
      <c r="A107" s="1299">
        <v>101</v>
      </c>
      <c r="B107" s="1300" t="s">
        <v>5192</v>
      </c>
      <c r="C107" s="1301">
        <v>1</v>
      </c>
      <c r="D107" s="1306"/>
      <c r="E107" s="1303">
        <v>1</v>
      </c>
      <c r="F107" s="1303"/>
      <c r="G107" s="1304">
        <v>1</v>
      </c>
      <c r="H107" s="1305" t="s">
        <v>5093</v>
      </c>
      <c r="I107" s="1303" t="s">
        <v>5093</v>
      </c>
      <c r="J107" s="1303" t="s">
        <v>5093</v>
      </c>
      <c r="K107" s="1304"/>
    </row>
    <row r="108" spans="1:11" ht="13.5" x14ac:dyDescent="0.25">
      <c r="A108" s="1299">
        <v>102</v>
      </c>
      <c r="B108" s="1300" t="s">
        <v>5193</v>
      </c>
      <c r="C108" s="1301">
        <v>1</v>
      </c>
      <c r="D108" s="1306"/>
      <c r="E108" s="1303">
        <v>1</v>
      </c>
      <c r="F108" s="1303"/>
      <c r="G108" s="1304">
        <v>1</v>
      </c>
      <c r="H108" s="1305" t="s">
        <v>5093</v>
      </c>
      <c r="I108" s="1303" t="s">
        <v>5093</v>
      </c>
      <c r="J108" s="1303" t="s">
        <v>5093</v>
      </c>
      <c r="K108" s="1304"/>
    </row>
    <row r="109" spans="1:11" ht="13.5" x14ac:dyDescent="0.25">
      <c r="A109" s="1299">
        <v>103</v>
      </c>
      <c r="B109" s="1300" t="s">
        <v>5194</v>
      </c>
      <c r="C109" s="1301">
        <v>1</v>
      </c>
      <c r="D109" s="1306"/>
      <c r="E109" s="1303">
        <v>1</v>
      </c>
      <c r="F109" s="1303"/>
      <c r="G109" s="1304">
        <v>1</v>
      </c>
      <c r="H109" s="1305" t="s">
        <v>5090</v>
      </c>
      <c r="I109" s="1303" t="s">
        <v>5090</v>
      </c>
      <c r="J109" s="1303" t="s">
        <v>5090</v>
      </c>
      <c r="K109" s="1304"/>
    </row>
    <row r="110" spans="1:11" ht="13.5" x14ac:dyDescent="0.25">
      <c r="A110" s="1299">
        <v>104</v>
      </c>
      <c r="B110" s="1300" t="s">
        <v>5195</v>
      </c>
      <c r="C110" s="1301">
        <v>1</v>
      </c>
      <c r="D110" s="1306">
        <v>1</v>
      </c>
      <c r="E110" s="1303">
        <v>1</v>
      </c>
      <c r="F110" s="1303"/>
      <c r="G110" s="1304">
        <v>1</v>
      </c>
      <c r="H110" s="1305" t="s">
        <v>5090</v>
      </c>
      <c r="I110" s="1303" t="s">
        <v>5090</v>
      </c>
      <c r="J110" s="1303" t="s">
        <v>5090</v>
      </c>
      <c r="K110" s="1304"/>
    </row>
    <row r="111" spans="1:11" ht="13.5" x14ac:dyDescent="0.25">
      <c r="A111" s="1299">
        <v>105</v>
      </c>
      <c r="B111" s="1300" t="s">
        <v>5196</v>
      </c>
      <c r="C111" s="1301">
        <v>1</v>
      </c>
      <c r="D111" s="1302"/>
      <c r="E111" s="1303">
        <v>1</v>
      </c>
      <c r="F111" s="1303"/>
      <c r="G111" s="1304"/>
      <c r="H111" s="1305" t="s">
        <v>5090</v>
      </c>
      <c r="I111" s="1303" t="s">
        <v>5090</v>
      </c>
      <c r="J111" s="1303" t="s">
        <v>5090</v>
      </c>
      <c r="K111" s="1304"/>
    </row>
    <row r="112" spans="1:11" ht="13.5" x14ac:dyDescent="0.25">
      <c r="A112" s="1299">
        <v>106</v>
      </c>
      <c r="B112" s="1300" t="s">
        <v>5197</v>
      </c>
      <c r="C112" s="1301">
        <v>1</v>
      </c>
      <c r="D112" s="1302"/>
      <c r="E112" s="1303">
        <v>1</v>
      </c>
      <c r="F112" s="1303"/>
      <c r="G112" s="1304"/>
      <c r="H112" s="1305" t="s">
        <v>141</v>
      </c>
      <c r="I112" s="1303" t="s">
        <v>141</v>
      </c>
      <c r="J112" s="1303" t="s">
        <v>141</v>
      </c>
      <c r="K112" s="1304"/>
    </row>
    <row r="113" spans="1:11" ht="13.5" x14ac:dyDescent="0.25">
      <c r="A113" s="1299">
        <v>107</v>
      </c>
      <c r="B113" s="1300" t="s">
        <v>5198</v>
      </c>
      <c r="C113" s="1301">
        <v>1</v>
      </c>
      <c r="D113" s="1302"/>
      <c r="E113" s="1303">
        <v>1</v>
      </c>
      <c r="F113" s="1303">
        <v>1</v>
      </c>
      <c r="G113" s="1304"/>
      <c r="H113" s="1305" t="s">
        <v>5093</v>
      </c>
      <c r="I113" s="1303" t="s">
        <v>5093</v>
      </c>
      <c r="J113" s="1303" t="s">
        <v>5093</v>
      </c>
      <c r="K113" s="1304" t="s">
        <v>142</v>
      </c>
    </row>
    <row r="114" spans="1:11" ht="13.5" x14ac:dyDescent="0.25">
      <c r="A114" s="1299">
        <v>108</v>
      </c>
      <c r="B114" s="1300" t="s">
        <v>5199</v>
      </c>
      <c r="C114" s="1301">
        <v>1</v>
      </c>
      <c r="D114" s="1302"/>
      <c r="E114" s="1303">
        <v>1</v>
      </c>
      <c r="F114" s="1303">
        <v>1</v>
      </c>
      <c r="G114" s="1304"/>
      <c r="H114" s="1305" t="s">
        <v>141</v>
      </c>
      <c r="I114" s="1303" t="s">
        <v>141</v>
      </c>
      <c r="J114" s="1303" t="s">
        <v>141</v>
      </c>
      <c r="K114" s="1304" t="s">
        <v>5090</v>
      </c>
    </row>
    <row r="115" spans="1:11" ht="13.5" x14ac:dyDescent="0.25">
      <c r="A115" s="1299">
        <v>109</v>
      </c>
      <c r="B115" s="1300" t="s">
        <v>5200</v>
      </c>
      <c r="C115" s="1301">
        <v>1</v>
      </c>
      <c r="D115" s="1302"/>
      <c r="E115" s="1303">
        <v>1</v>
      </c>
      <c r="F115" s="1303"/>
      <c r="G115" s="1304"/>
      <c r="H115" s="1305" t="s">
        <v>5093</v>
      </c>
      <c r="I115" s="1303" t="s">
        <v>5093</v>
      </c>
      <c r="J115" s="1303" t="s">
        <v>5093</v>
      </c>
      <c r="K115" s="1304" t="s">
        <v>5091</v>
      </c>
    </row>
    <row r="116" spans="1:11" ht="13.5" x14ac:dyDescent="0.25">
      <c r="A116" s="1299">
        <v>110</v>
      </c>
      <c r="B116" s="1300" t="s">
        <v>5201</v>
      </c>
      <c r="C116" s="1301">
        <v>1</v>
      </c>
      <c r="D116" s="1302"/>
      <c r="E116" s="1303">
        <v>1</v>
      </c>
      <c r="F116" s="1303"/>
      <c r="G116" s="1304"/>
      <c r="H116" s="1305" t="s">
        <v>5090</v>
      </c>
      <c r="I116" s="1303" t="s">
        <v>5090</v>
      </c>
      <c r="J116" s="1303" t="s">
        <v>5090</v>
      </c>
      <c r="K116" s="1304"/>
    </row>
    <row r="117" spans="1:11" ht="13.5" x14ac:dyDescent="0.25">
      <c r="A117" s="1299">
        <v>111</v>
      </c>
      <c r="B117" s="1300" t="s">
        <v>5202</v>
      </c>
      <c r="C117" s="1301">
        <v>1</v>
      </c>
      <c r="D117" s="1302"/>
      <c r="E117" s="1303">
        <v>1</v>
      </c>
      <c r="F117" s="1303"/>
      <c r="G117" s="1304"/>
      <c r="H117" s="1305" t="s">
        <v>5090</v>
      </c>
      <c r="I117" s="1303" t="s">
        <v>5091</v>
      </c>
      <c r="J117" s="1303" t="s">
        <v>5090</v>
      </c>
      <c r="K117" s="1304" t="s">
        <v>5091</v>
      </c>
    </row>
    <row r="118" spans="1:11" ht="13.5" x14ac:dyDescent="0.25">
      <c r="A118" s="1307">
        <v>112</v>
      </c>
      <c r="B118" s="1308" t="s">
        <v>5203</v>
      </c>
      <c r="C118" s="1309">
        <v>1</v>
      </c>
      <c r="D118" s="1310"/>
      <c r="E118" s="1311">
        <v>1</v>
      </c>
      <c r="F118" s="1312"/>
      <c r="G118" s="1313"/>
      <c r="H118" s="1314" t="s">
        <v>2622</v>
      </c>
      <c r="I118" s="1312" t="s">
        <v>2622</v>
      </c>
      <c r="J118" s="1312" t="s">
        <v>2622</v>
      </c>
      <c r="K118" s="1313" t="s">
        <v>2622</v>
      </c>
    </row>
    <row r="119" spans="1:11" ht="13.5" x14ac:dyDescent="0.25">
      <c r="A119" s="1307">
        <v>113</v>
      </c>
      <c r="B119" s="1308" t="s">
        <v>5204</v>
      </c>
      <c r="C119" s="1315">
        <v>1</v>
      </c>
      <c r="D119" s="1310"/>
      <c r="E119" s="1311">
        <v>1</v>
      </c>
      <c r="F119" s="1312"/>
      <c r="G119" s="1313"/>
      <c r="H119" s="1314" t="s">
        <v>2622</v>
      </c>
      <c r="I119" s="1312" t="s">
        <v>2622</v>
      </c>
      <c r="J119" s="1312" t="s">
        <v>2622</v>
      </c>
      <c r="K119" s="1313" t="s">
        <v>2622</v>
      </c>
    </row>
    <row r="120" spans="1:11" ht="13.5" x14ac:dyDescent="0.25">
      <c r="A120" s="1307">
        <v>114</v>
      </c>
      <c r="B120" s="1308" t="s">
        <v>5205</v>
      </c>
      <c r="C120" s="1315">
        <v>1</v>
      </c>
      <c r="D120" s="1310"/>
      <c r="E120" s="1311">
        <v>1</v>
      </c>
      <c r="F120" s="1312"/>
      <c r="G120" s="1313"/>
      <c r="H120" s="1314" t="s">
        <v>2622</v>
      </c>
      <c r="I120" s="1312" t="s">
        <v>2622</v>
      </c>
      <c r="J120" s="1312" t="s">
        <v>2622</v>
      </c>
      <c r="K120" s="1313" t="s">
        <v>2622</v>
      </c>
    </row>
    <row r="121" spans="1:11" ht="13.5" x14ac:dyDescent="0.25">
      <c r="A121" s="1307">
        <v>115</v>
      </c>
      <c r="B121" s="1308" t="s">
        <v>5206</v>
      </c>
      <c r="C121" s="1309">
        <v>1</v>
      </c>
      <c r="D121" s="1310"/>
      <c r="E121" s="1311">
        <v>1</v>
      </c>
      <c r="F121" s="1312"/>
      <c r="G121" s="1313"/>
      <c r="H121" s="1314" t="s">
        <v>2622</v>
      </c>
      <c r="I121" s="1312" t="s">
        <v>2622</v>
      </c>
      <c r="J121" s="1312" t="s">
        <v>2622</v>
      </c>
      <c r="K121" s="1313" t="s">
        <v>2622</v>
      </c>
    </row>
    <row r="122" spans="1:11" ht="13.5" x14ac:dyDescent="0.25">
      <c r="A122" s="1307">
        <v>116</v>
      </c>
      <c r="B122" s="1308" t="s">
        <v>5207</v>
      </c>
      <c r="C122" s="1309">
        <v>1</v>
      </c>
      <c r="D122" s="1310"/>
      <c r="E122" s="1311">
        <v>1</v>
      </c>
      <c r="F122" s="1312"/>
      <c r="G122" s="1313"/>
      <c r="H122" s="1314" t="s">
        <v>2622</v>
      </c>
      <c r="I122" s="1312" t="s">
        <v>2622</v>
      </c>
      <c r="J122" s="1312" t="s">
        <v>2622</v>
      </c>
      <c r="K122" s="1313" t="s">
        <v>2622</v>
      </c>
    </row>
    <row r="123" spans="1:11" ht="13.5" x14ac:dyDescent="0.25">
      <c r="A123" s="1307">
        <v>117</v>
      </c>
      <c r="B123" s="1308" t="s">
        <v>5208</v>
      </c>
      <c r="C123" s="1309">
        <v>1</v>
      </c>
      <c r="D123" s="1310"/>
      <c r="E123" s="1311">
        <v>1</v>
      </c>
      <c r="F123" s="1312"/>
      <c r="G123" s="1313"/>
      <c r="H123" s="1314" t="s">
        <v>2622</v>
      </c>
      <c r="I123" s="1312" t="s">
        <v>2622</v>
      </c>
      <c r="J123" s="1312" t="s">
        <v>2622</v>
      </c>
      <c r="K123" s="1313" t="s">
        <v>2622</v>
      </c>
    </row>
    <row r="124" spans="1:11" ht="13.5" x14ac:dyDescent="0.25">
      <c r="A124" s="1307">
        <v>118</v>
      </c>
      <c r="B124" s="1308" t="s">
        <v>5209</v>
      </c>
      <c r="C124" s="1309">
        <v>1</v>
      </c>
      <c r="D124" s="1310"/>
      <c r="E124" s="1311">
        <v>1</v>
      </c>
      <c r="F124" s="1312"/>
      <c r="G124" s="1313"/>
      <c r="H124" s="1314" t="s">
        <v>2622</v>
      </c>
      <c r="I124" s="1312" t="s">
        <v>2622</v>
      </c>
      <c r="J124" s="1312" t="s">
        <v>2622</v>
      </c>
      <c r="K124" s="1313" t="s">
        <v>2622</v>
      </c>
    </row>
    <row r="125" spans="1:11" ht="13.5" x14ac:dyDescent="0.25">
      <c r="A125" s="1307">
        <v>119</v>
      </c>
      <c r="B125" s="1316" t="s">
        <v>5210</v>
      </c>
      <c r="C125" s="1309">
        <v>1</v>
      </c>
      <c r="D125" s="1310"/>
      <c r="E125" s="1311">
        <v>1</v>
      </c>
      <c r="F125" s="1312"/>
      <c r="G125" s="1313"/>
      <c r="H125" s="1314" t="s">
        <v>2622</v>
      </c>
      <c r="I125" s="1312" t="s">
        <v>2622</v>
      </c>
      <c r="J125" s="1312" t="s">
        <v>2622</v>
      </c>
      <c r="K125" s="1313" t="s">
        <v>2622</v>
      </c>
    </row>
    <row r="126" spans="1:11" ht="13.5" x14ac:dyDescent="0.25">
      <c r="A126" s="1299">
        <v>120</v>
      </c>
      <c r="B126" s="13" t="s">
        <v>5211</v>
      </c>
      <c r="C126" s="1317">
        <v>1</v>
      </c>
      <c r="D126" s="1306">
        <v>1</v>
      </c>
      <c r="E126" s="1256">
        <v>1</v>
      </c>
      <c r="F126" s="1256"/>
      <c r="G126" s="1266"/>
      <c r="H126" s="1257" t="s">
        <v>2622</v>
      </c>
      <c r="I126" s="1256" t="s">
        <v>2622</v>
      </c>
      <c r="J126" s="1256" t="s">
        <v>2622</v>
      </c>
      <c r="K126" s="1266"/>
    </row>
    <row r="127" spans="1:11" ht="13.5" x14ac:dyDescent="0.25">
      <c r="A127" s="1299">
        <v>121</v>
      </c>
      <c r="B127" s="13" t="s">
        <v>5212</v>
      </c>
      <c r="C127" s="1317">
        <v>1</v>
      </c>
      <c r="D127" s="1306">
        <v>1</v>
      </c>
      <c r="E127" s="1256">
        <v>1</v>
      </c>
      <c r="F127" s="1256"/>
      <c r="G127" s="1266"/>
      <c r="H127" s="1257" t="s">
        <v>2622</v>
      </c>
      <c r="I127" s="1256" t="s">
        <v>2622</v>
      </c>
      <c r="J127" s="1256" t="s">
        <v>2622</v>
      </c>
      <c r="K127" s="1266"/>
    </row>
    <row r="128" spans="1:11" ht="13.5" x14ac:dyDescent="0.25">
      <c r="A128" s="1299">
        <v>122</v>
      </c>
      <c r="B128" s="13" t="s">
        <v>5213</v>
      </c>
      <c r="C128" s="1317">
        <v>1</v>
      </c>
      <c r="D128" s="1306">
        <v>1</v>
      </c>
      <c r="E128" s="1256">
        <v>1</v>
      </c>
      <c r="F128" s="1256"/>
      <c r="G128" s="1266"/>
      <c r="H128" s="1257" t="s">
        <v>2622</v>
      </c>
      <c r="I128" s="1256" t="s">
        <v>2622</v>
      </c>
      <c r="J128" s="1256" t="s">
        <v>2622</v>
      </c>
      <c r="K128" s="1266" t="s">
        <v>5214</v>
      </c>
    </row>
    <row r="129" spans="1:11" ht="13.5" x14ac:dyDescent="0.25">
      <c r="A129" s="1299">
        <v>123</v>
      </c>
      <c r="B129" s="13" t="s">
        <v>5215</v>
      </c>
      <c r="C129" s="1317">
        <v>1</v>
      </c>
      <c r="D129" s="1306">
        <v>1</v>
      </c>
      <c r="E129" s="1256">
        <v>1</v>
      </c>
      <c r="F129" s="1256"/>
      <c r="G129" s="1266"/>
      <c r="H129" s="1257" t="s">
        <v>2622</v>
      </c>
      <c r="I129" s="1256" t="s">
        <v>2622</v>
      </c>
      <c r="J129" s="1256" t="s">
        <v>2622</v>
      </c>
      <c r="K129" s="1266" t="s">
        <v>5214</v>
      </c>
    </row>
    <row r="130" spans="1:11" ht="13.5" x14ac:dyDescent="0.25">
      <c r="A130" s="1299">
        <v>124</v>
      </c>
      <c r="B130" s="13" t="s">
        <v>5216</v>
      </c>
      <c r="C130" s="1317">
        <v>1</v>
      </c>
      <c r="D130" s="1306">
        <v>1</v>
      </c>
      <c r="E130" s="1256">
        <v>1</v>
      </c>
      <c r="F130" s="1256"/>
      <c r="G130" s="1266"/>
      <c r="H130" s="1257" t="s">
        <v>2622</v>
      </c>
      <c r="I130" s="1256" t="s">
        <v>2622</v>
      </c>
      <c r="J130" s="1256" t="s">
        <v>2622</v>
      </c>
      <c r="K130" s="1266" t="s">
        <v>5214</v>
      </c>
    </row>
    <row r="131" spans="1:11" ht="13.5" x14ac:dyDescent="0.25">
      <c r="A131" s="1299">
        <v>125</v>
      </c>
      <c r="B131" s="13" t="s">
        <v>5217</v>
      </c>
      <c r="C131" s="1317">
        <v>1</v>
      </c>
      <c r="D131" s="1306">
        <v>1</v>
      </c>
      <c r="E131" s="1256">
        <v>1</v>
      </c>
      <c r="F131" s="1256"/>
      <c r="G131" s="1318"/>
      <c r="H131" s="1257" t="s">
        <v>2622</v>
      </c>
      <c r="I131" s="1256" t="s">
        <v>2622</v>
      </c>
      <c r="J131" s="1256" t="s">
        <v>2622</v>
      </c>
      <c r="K131" s="1266" t="s">
        <v>5214</v>
      </c>
    </row>
    <row r="132" spans="1:11" ht="13.5" x14ac:dyDescent="0.25">
      <c r="A132" s="1299">
        <v>126</v>
      </c>
      <c r="B132" s="1319" t="s">
        <v>5218</v>
      </c>
      <c r="C132" s="1301">
        <v>1</v>
      </c>
      <c r="D132" s="1306">
        <v>1</v>
      </c>
      <c r="E132" s="1256">
        <v>1</v>
      </c>
      <c r="F132" s="1256"/>
      <c r="G132" s="1266"/>
      <c r="H132" s="1257" t="s">
        <v>2622</v>
      </c>
      <c r="I132" s="1256" t="s">
        <v>2622</v>
      </c>
      <c r="J132" s="1256" t="s">
        <v>2622</v>
      </c>
      <c r="K132" s="1266" t="s">
        <v>2622</v>
      </c>
    </row>
    <row r="133" spans="1:11" ht="13.5" x14ac:dyDescent="0.25">
      <c r="A133" s="1299">
        <v>127</v>
      </c>
      <c r="B133" s="13" t="s">
        <v>5219</v>
      </c>
      <c r="C133" s="1301">
        <v>1</v>
      </c>
      <c r="D133" s="1320"/>
      <c r="E133" s="1256">
        <v>1</v>
      </c>
      <c r="F133" s="1256"/>
      <c r="G133" s="1318"/>
      <c r="H133" s="1257" t="s">
        <v>2622</v>
      </c>
      <c r="I133" s="1256" t="s">
        <v>2622</v>
      </c>
      <c r="J133" s="1256" t="s">
        <v>2622</v>
      </c>
      <c r="K133" s="1266" t="s">
        <v>2622</v>
      </c>
    </row>
    <row r="134" spans="1:11" ht="13.5" x14ac:dyDescent="0.25">
      <c r="A134" s="1299">
        <v>128</v>
      </c>
      <c r="B134" s="13" t="s">
        <v>5220</v>
      </c>
      <c r="C134" s="1301">
        <v>1</v>
      </c>
      <c r="D134" s="1306"/>
      <c r="E134" s="1256">
        <v>1</v>
      </c>
      <c r="F134" s="1256">
        <v>1</v>
      </c>
      <c r="G134" s="1266"/>
      <c r="H134" s="1257" t="s">
        <v>2622</v>
      </c>
      <c r="I134" s="1256" t="s">
        <v>2622</v>
      </c>
      <c r="J134" s="1256" t="s">
        <v>2622</v>
      </c>
      <c r="K134" s="1266" t="s">
        <v>2622</v>
      </c>
    </row>
    <row r="135" spans="1:11" ht="13.5" x14ac:dyDescent="0.25">
      <c r="A135" s="1299">
        <v>129</v>
      </c>
      <c r="B135" s="13" t="s">
        <v>5221</v>
      </c>
      <c r="C135" s="1301">
        <v>1</v>
      </c>
      <c r="D135" s="1306"/>
      <c r="E135" s="1256">
        <v>1</v>
      </c>
      <c r="F135" s="1256"/>
      <c r="G135" s="1266"/>
      <c r="H135" s="1257" t="s">
        <v>2622</v>
      </c>
      <c r="I135" s="1256" t="s">
        <v>2622</v>
      </c>
      <c r="J135" s="1256" t="s">
        <v>2622</v>
      </c>
      <c r="K135" s="1266" t="s">
        <v>2622</v>
      </c>
    </row>
    <row r="136" spans="1:11" ht="13.5" x14ac:dyDescent="0.25">
      <c r="A136" s="1299">
        <v>130</v>
      </c>
      <c r="B136" s="13" t="s">
        <v>5222</v>
      </c>
      <c r="C136" s="1301">
        <v>1</v>
      </c>
      <c r="D136" s="1320"/>
      <c r="E136" s="1256">
        <v>1</v>
      </c>
      <c r="F136" s="1256"/>
      <c r="G136" s="1318"/>
      <c r="H136" s="1257" t="s">
        <v>2622</v>
      </c>
      <c r="I136" s="1256" t="s">
        <v>2622</v>
      </c>
      <c r="J136" s="1256" t="s">
        <v>2622</v>
      </c>
      <c r="K136" s="1266" t="s">
        <v>2622</v>
      </c>
    </row>
    <row r="137" spans="1:11" ht="13.5" x14ac:dyDescent="0.25">
      <c r="A137" s="1299">
        <v>131</v>
      </c>
      <c r="B137" s="13" t="s">
        <v>5223</v>
      </c>
      <c r="C137" s="1301">
        <v>1</v>
      </c>
      <c r="D137" s="1306">
        <v>1</v>
      </c>
      <c r="E137" s="1256">
        <v>1</v>
      </c>
      <c r="F137" s="1256"/>
      <c r="G137" s="1266">
        <v>1</v>
      </c>
      <c r="H137" s="1257" t="s">
        <v>2622</v>
      </c>
      <c r="I137" s="1256" t="s">
        <v>2622</v>
      </c>
      <c r="J137" s="1256" t="s">
        <v>2622</v>
      </c>
      <c r="K137" s="1266" t="s">
        <v>2622</v>
      </c>
    </row>
    <row r="138" spans="1:11" ht="13.5" x14ac:dyDescent="0.25">
      <c r="A138" s="1299">
        <v>132</v>
      </c>
      <c r="B138" s="13" t="s">
        <v>5224</v>
      </c>
      <c r="C138" s="1301">
        <v>1</v>
      </c>
      <c r="D138" s="1320">
        <v>1</v>
      </c>
      <c r="E138" s="1256">
        <v>1</v>
      </c>
      <c r="F138" s="1256"/>
      <c r="G138" s="1321">
        <v>1</v>
      </c>
      <c r="H138" s="1257" t="s">
        <v>2622</v>
      </c>
      <c r="I138" s="1256" t="s">
        <v>2622</v>
      </c>
      <c r="J138" s="1256" t="s">
        <v>2622</v>
      </c>
      <c r="K138" s="1266" t="s">
        <v>2622</v>
      </c>
    </row>
    <row r="139" spans="1:11" ht="13.5" x14ac:dyDescent="0.25">
      <c r="A139" s="1299">
        <v>133</v>
      </c>
      <c r="B139" s="13" t="s">
        <v>5225</v>
      </c>
      <c r="C139" s="1301">
        <v>1</v>
      </c>
      <c r="D139" s="1320"/>
      <c r="E139" s="1256">
        <v>1</v>
      </c>
      <c r="F139" s="1256">
        <v>1</v>
      </c>
      <c r="G139" s="1318"/>
      <c r="H139" s="1257" t="s">
        <v>2622</v>
      </c>
      <c r="I139" s="1256" t="s">
        <v>2622</v>
      </c>
      <c r="J139" s="1256" t="s">
        <v>2622</v>
      </c>
      <c r="K139" s="1266" t="s">
        <v>2622</v>
      </c>
    </row>
    <row r="140" spans="1:11" ht="13.5" x14ac:dyDescent="0.25">
      <c r="A140" s="1299">
        <v>134</v>
      </c>
      <c r="B140" s="13" t="s">
        <v>5226</v>
      </c>
      <c r="C140" s="1301">
        <v>1</v>
      </c>
      <c r="D140" s="1306">
        <v>1</v>
      </c>
      <c r="E140" s="1256">
        <v>1</v>
      </c>
      <c r="F140" s="1256">
        <v>1</v>
      </c>
      <c r="G140" s="1266"/>
      <c r="H140" s="1257" t="s">
        <v>2622</v>
      </c>
      <c r="I140" s="1256" t="s">
        <v>2622</v>
      </c>
      <c r="J140" s="1256" t="s">
        <v>2622</v>
      </c>
      <c r="K140" s="1266" t="s">
        <v>2622</v>
      </c>
    </row>
    <row r="141" spans="1:11" ht="13.5" x14ac:dyDescent="0.25">
      <c r="A141" s="1299">
        <v>135</v>
      </c>
      <c r="B141" s="13" t="s">
        <v>5227</v>
      </c>
      <c r="C141" s="1301">
        <v>1</v>
      </c>
      <c r="D141" s="1306"/>
      <c r="E141" s="1256">
        <v>1</v>
      </c>
      <c r="F141" s="1256"/>
      <c r="G141" s="1266">
        <v>1</v>
      </c>
      <c r="H141" s="1257" t="s">
        <v>2622</v>
      </c>
      <c r="I141" s="1256" t="s">
        <v>2622</v>
      </c>
      <c r="J141" s="1256" t="s">
        <v>2622</v>
      </c>
      <c r="K141" s="1266" t="s">
        <v>2622</v>
      </c>
    </row>
    <row r="142" spans="1:11" ht="13.5" x14ac:dyDescent="0.25">
      <c r="A142" s="1299">
        <v>136</v>
      </c>
      <c r="B142" s="13" t="s">
        <v>5228</v>
      </c>
      <c r="C142" s="1301">
        <v>1</v>
      </c>
      <c r="D142" s="1320"/>
      <c r="E142" s="1256">
        <v>1</v>
      </c>
      <c r="F142" s="1256">
        <v>1</v>
      </c>
      <c r="G142" s="1321">
        <v>1</v>
      </c>
      <c r="H142" s="1257" t="s">
        <v>2622</v>
      </c>
      <c r="I142" s="1256" t="s">
        <v>2622</v>
      </c>
      <c r="J142" s="1256" t="s">
        <v>2622</v>
      </c>
      <c r="K142" s="1266" t="s">
        <v>2622</v>
      </c>
    </row>
    <row r="143" spans="1:11" ht="14.25" thickBot="1" x14ac:dyDescent="0.3">
      <c r="A143" s="1322">
        <v>137</v>
      </c>
      <c r="B143" s="1323" t="s">
        <v>5229</v>
      </c>
      <c r="C143" s="1324">
        <v>1</v>
      </c>
      <c r="D143" s="1325"/>
      <c r="E143" s="1271">
        <v>1</v>
      </c>
      <c r="F143" s="1271">
        <v>1</v>
      </c>
      <c r="G143" s="1326"/>
      <c r="H143" s="1327" t="s">
        <v>2622</v>
      </c>
      <c r="I143" s="1271" t="s">
        <v>2622</v>
      </c>
      <c r="J143" s="1271" t="s">
        <v>2622</v>
      </c>
      <c r="K143" s="1272" t="s">
        <v>2622</v>
      </c>
    </row>
  </sheetData>
  <sheetProtection password="C74A" sheet="1" objects="1" scenarios="1" formatCells="0" formatColumns="0" formatRows="0" sort="0"/>
  <mergeCells count="4">
    <mergeCell ref="A1:K3"/>
    <mergeCell ref="C5:C6"/>
    <mergeCell ref="D5:G5"/>
    <mergeCell ref="H5:K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1">
    <tabColor rgb="FFE6B9B8"/>
  </sheetPr>
  <dimension ref="A1:BR142"/>
  <sheetViews>
    <sheetView zoomScaleNormal="100" workbookViewId="0">
      <selection activeCell="M20" sqref="M20"/>
    </sheetView>
  </sheetViews>
  <sheetFormatPr defaultColWidth="9.33203125" defaultRowHeight="12.75" x14ac:dyDescent="0.2"/>
  <cols>
    <col min="1" max="1" width="5.83203125" style="22" customWidth="1"/>
    <col min="2" max="2" width="60.83203125" style="23" customWidth="1"/>
    <col min="3" max="3" width="47.5" style="23" customWidth="1"/>
    <col min="4" max="5" width="42.83203125" style="23" customWidth="1"/>
    <col min="6" max="6" width="6.83203125" style="1408" customWidth="1"/>
    <col min="7" max="8" width="5.83203125" style="23" customWidth="1"/>
    <col min="9" max="16384" width="9.33203125" style="23"/>
  </cols>
  <sheetData>
    <row r="1" spans="1:70" ht="34.5" customHeight="1" thickBot="1" x14ac:dyDescent="0.25">
      <c r="A1" s="1761" t="s">
        <v>5806</v>
      </c>
      <c r="B1" s="1762"/>
      <c r="C1" s="1762"/>
      <c r="D1" s="1404" t="s">
        <v>5669</v>
      </c>
      <c r="E1" s="1404" t="s">
        <v>5670</v>
      </c>
      <c r="F1" s="1601" t="s">
        <v>117</v>
      </c>
    </row>
    <row r="2" spans="1:70" s="1331" customFormat="1" ht="24" customHeight="1" thickBot="1" x14ac:dyDescent="0.3">
      <c r="A2" s="1763" t="s">
        <v>577</v>
      </c>
      <c r="B2" s="1800" t="s">
        <v>524</v>
      </c>
      <c r="C2" s="1801"/>
      <c r="D2" s="1801"/>
      <c r="E2" s="1801"/>
      <c r="F2" s="1406"/>
    </row>
    <row r="3" spans="1:70" s="447" customFormat="1" ht="45" customHeight="1" thickBot="1" x14ac:dyDescent="0.25">
      <c r="A3" s="1764"/>
      <c r="B3" s="1776" t="s">
        <v>5671</v>
      </c>
      <c r="C3" s="1777"/>
      <c r="D3" s="1777"/>
      <c r="E3" s="1777"/>
      <c r="F3" s="1406"/>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row>
    <row r="4" spans="1:70" s="448" customFormat="1" ht="18" customHeight="1" x14ac:dyDescent="0.2">
      <c r="A4" s="1764"/>
      <c r="B4" s="1780" t="s">
        <v>2300</v>
      </c>
      <c r="C4" s="1780"/>
      <c r="D4" s="1780"/>
      <c r="E4" s="1780"/>
      <c r="F4" s="1488"/>
    </row>
    <row r="5" spans="1:70" s="448" customFormat="1" ht="18" customHeight="1" x14ac:dyDescent="0.2">
      <c r="A5" s="1764"/>
      <c r="B5" s="1772" t="s">
        <v>2301</v>
      </c>
      <c r="C5" s="1773"/>
      <c r="D5" s="1773"/>
      <c r="E5" s="1773"/>
      <c r="F5" s="1488"/>
    </row>
    <row r="6" spans="1:70" s="448" customFormat="1" ht="18" customHeight="1" x14ac:dyDescent="0.2">
      <c r="A6" s="1764"/>
      <c r="B6" s="1772" t="s">
        <v>2302</v>
      </c>
      <c r="C6" s="1773"/>
      <c r="D6" s="1773"/>
      <c r="E6" s="1773"/>
      <c r="F6" s="1488"/>
    </row>
    <row r="7" spans="1:70" s="448" customFormat="1" ht="18" customHeight="1" x14ac:dyDescent="0.2">
      <c r="A7" s="1764"/>
      <c r="B7" s="1772" t="s">
        <v>2303</v>
      </c>
      <c r="C7" s="1773"/>
      <c r="D7" s="1773"/>
      <c r="E7" s="1773"/>
      <c r="F7" s="1488"/>
    </row>
    <row r="8" spans="1:70" s="448" customFormat="1" ht="18" customHeight="1" x14ac:dyDescent="0.2">
      <c r="A8" s="1764"/>
      <c r="B8" s="1772" t="s">
        <v>2304</v>
      </c>
      <c r="C8" s="1773"/>
      <c r="D8" s="1773"/>
      <c r="E8" s="1773"/>
      <c r="F8" s="1488"/>
    </row>
    <row r="9" spans="1:70" s="448" customFormat="1" ht="18" customHeight="1" thickBot="1" x14ac:dyDescent="0.25">
      <c r="A9" s="1764"/>
      <c r="B9" s="1772" t="s">
        <v>2305</v>
      </c>
      <c r="C9" s="1773"/>
      <c r="D9" s="1773"/>
      <c r="E9" s="1773"/>
      <c r="F9" s="1488"/>
    </row>
    <row r="10" spans="1:70" s="448" customFormat="1" ht="39" customHeight="1" thickBot="1" x14ac:dyDescent="0.25">
      <c r="A10" s="1764"/>
      <c r="B10" s="1776" t="s">
        <v>5698</v>
      </c>
      <c r="C10" s="1777"/>
      <c r="D10" s="1777"/>
      <c r="E10" s="1777"/>
      <c r="F10" s="1406"/>
    </row>
    <row r="11" spans="1:70" s="448" customFormat="1" ht="18" customHeight="1" thickBot="1" x14ac:dyDescent="0.25">
      <c r="A11" s="1764"/>
      <c r="B11" s="446"/>
      <c r="C11" s="1433" t="s">
        <v>38</v>
      </c>
      <c r="D11" s="1434" t="s">
        <v>39</v>
      </c>
      <c r="E11" s="1350" t="s">
        <v>40</v>
      </c>
      <c r="F11" s="1406"/>
    </row>
    <row r="12" spans="1:70" s="448" customFormat="1" ht="23.25" customHeight="1" x14ac:dyDescent="0.2">
      <c r="A12" s="1764"/>
      <c r="B12" s="105" t="s">
        <v>271</v>
      </c>
      <c r="C12" s="95" t="s">
        <v>1781</v>
      </c>
      <c r="D12" s="95" t="s">
        <v>1782</v>
      </c>
      <c r="E12" s="96" t="s">
        <v>1783</v>
      </c>
      <c r="F12" s="1489">
        <v>0</v>
      </c>
    </row>
    <row r="13" spans="1:70" s="448" customFormat="1" ht="18" customHeight="1" x14ac:dyDescent="0.2">
      <c r="A13" s="1764"/>
      <c r="B13" s="105" t="s">
        <v>1784</v>
      </c>
      <c r="C13" s="97" t="s">
        <v>227</v>
      </c>
      <c r="D13" s="97" t="s">
        <v>228</v>
      </c>
      <c r="E13" s="98" t="s">
        <v>229</v>
      </c>
      <c r="F13" s="1489">
        <v>0</v>
      </c>
    </row>
    <row r="14" spans="1:70" s="448" customFormat="1" ht="15" customHeight="1" x14ac:dyDescent="0.2">
      <c r="A14" s="1764"/>
      <c r="B14" s="1789" t="s">
        <v>1785</v>
      </c>
      <c r="C14" s="1789"/>
      <c r="D14" s="1789"/>
      <c r="E14" s="1789"/>
      <c r="F14" s="1406"/>
    </row>
    <row r="15" spans="1:70" s="448" customFormat="1" ht="18" customHeight="1" x14ac:dyDescent="0.2">
      <c r="A15" s="1764"/>
      <c r="B15" s="105" t="s">
        <v>232</v>
      </c>
      <c r="C15" s="99" t="s">
        <v>144</v>
      </c>
      <c r="D15" s="99" t="s">
        <v>145</v>
      </c>
      <c r="E15" s="100" t="s">
        <v>146</v>
      </c>
      <c r="F15" s="1489">
        <v>0</v>
      </c>
    </row>
    <row r="16" spans="1:70" s="448" customFormat="1" ht="18" customHeight="1" x14ac:dyDescent="0.2">
      <c r="A16" s="1764"/>
      <c r="B16" s="105" t="s">
        <v>233</v>
      </c>
      <c r="C16" s="99" t="s">
        <v>147</v>
      </c>
      <c r="D16" s="99" t="s">
        <v>41</v>
      </c>
      <c r="E16" s="101" t="s">
        <v>42</v>
      </c>
      <c r="F16" s="1489">
        <v>0</v>
      </c>
    </row>
    <row r="17" spans="1:70" s="448" customFormat="1" ht="18" customHeight="1" thickBot="1" x14ac:dyDescent="0.25">
      <c r="A17" s="1764"/>
      <c r="B17" s="1766" t="s">
        <v>5680</v>
      </c>
      <c r="C17" s="1767"/>
      <c r="D17" s="1767"/>
      <c r="E17" s="1768"/>
      <c r="F17" s="1490">
        <f>SUM(F12:F16)</f>
        <v>0</v>
      </c>
    </row>
    <row r="18" spans="1:70" s="1264" customFormat="1" ht="21" customHeight="1" thickBot="1" x14ac:dyDescent="0.25">
      <c r="A18" s="1765"/>
      <c r="B18" s="1774"/>
      <c r="C18" s="1775"/>
      <c r="D18" s="1775"/>
      <c r="E18" s="1435" t="s">
        <v>2372</v>
      </c>
      <c r="F18" s="1491">
        <f>F17/12</f>
        <v>0</v>
      </c>
      <c r="G18" s="1394"/>
      <c r="H18" s="1394"/>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94"/>
      <c r="AS18" s="1394"/>
      <c r="AT18" s="1394"/>
      <c r="AU18" s="1394"/>
      <c r="AV18" s="1394"/>
      <c r="AW18" s="1394"/>
      <c r="AX18" s="1394"/>
      <c r="AY18" s="1394"/>
      <c r="AZ18" s="1394"/>
      <c r="BA18" s="1394"/>
      <c r="BB18" s="1394"/>
      <c r="BC18" s="1394"/>
      <c r="BD18" s="1394"/>
      <c r="BE18" s="1394"/>
      <c r="BF18" s="1394"/>
      <c r="BG18" s="1394"/>
      <c r="BH18" s="1394"/>
      <c r="BI18" s="1394"/>
      <c r="BJ18" s="1394"/>
      <c r="BK18" s="1394"/>
      <c r="BL18" s="1394"/>
      <c r="BM18" s="1394"/>
      <c r="BN18" s="1394"/>
      <c r="BO18" s="1394"/>
      <c r="BP18" s="1394"/>
      <c r="BQ18" s="1394"/>
      <c r="BR18" s="1394"/>
    </row>
    <row r="19" spans="1:70" s="447" customFormat="1" ht="24" customHeight="1" thickBot="1" x14ac:dyDescent="0.25">
      <c r="A19" s="1763" t="s">
        <v>268</v>
      </c>
      <c r="B19" s="1770" t="s">
        <v>36</v>
      </c>
      <c r="C19" s="1771"/>
      <c r="D19" s="1771"/>
      <c r="E19" s="1771"/>
      <c r="F19" s="1406"/>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row>
    <row r="20" spans="1:70" ht="30" customHeight="1" thickBot="1" x14ac:dyDescent="0.25">
      <c r="A20" s="1764"/>
      <c r="B20" s="1802" t="s">
        <v>5672</v>
      </c>
      <c r="C20" s="1803"/>
      <c r="D20" s="1803"/>
      <c r="E20" s="1804"/>
      <c r="F20" s="1406"/>
    </row>
    <row r="21" spans="1:70" ht="18" customHeight="1" x14ac:dyDescent="0.2">
      <c r="A21" s="1764"/>
      <c r="B21" s="1790" t="s">
        <v>2306</v>
      </c>
      <c r="C21" s="1791"/>
      <c r="D21" s="1791"/>
      <c r="E21" s="1791"/>
      <c r="F21" s="1492"/>
    </row>
    <row r="22" spans="1:70" ht="18" customHeight="1" x14ac:dyDescent="0.2">
      <c r="A22" s="1764"/>
      <c r="B22" s="1795" t="s">
        <v>2307</v>
      </c>
      <c r="C22" s="1805"/>
      <c r="D22" s="1805"/>
      <c r="E22" s="1805"/>
      <c r="F22" s="1492"/>
    </row>
    <row r="23" spans="1:70" ht="18" customHeight="1" x14ac:dyDescent="0.2">
      <c r="A23" s="1764"/>
      <c r="B23" s="1795" t="s">
        <v>2308</v>
      </c>
      <c r="C23" s="1796"/>
      <c r="D23" s="1796"/>
      <c r="E23" s="1796"/>
      <c r="F23" s="1492"/>
    </row>
    <row r="24" spans="1:70" ht="18" customHeight="1" thickBot="1" x14ac:dyDescent="0.25">
      <c r="A24" s="1764"/>
      <c r="B24" s="1792" t="s">
        <v>2309</v>
      </c>
      <c r="C24" s="1793"/>
      <c r="D24" s="1793"/>
      <c r="E24" s="1794"/>
      <c r="F24" s="1492"/>
    </row>
    <row r="25" spans="1:70" ht="30" customHeight="1" thickBot="1" x14ac:dyDescent="0.25">
      <c r="A25" s="1764"/>
      <c r="B25" s="1776" t="s">
        <v>5699</v>
      </c>
      <c r="C25" s="1777"/>
      <c r="D25" s="1777"/>
      <c r="E25" s="1777"/>
      <c r="F25" s="1406"/>
    </row>
    <row r="26" spans="1:70" s="448" customFormat="1" ht="18" customHeight="1" thickBot="1" x14ac:dyDescent="0.25">
      <c r="A26" s="1764"/>
      <c r="B26" s="446"/>
      <c r="C26" s="103" t="s">
        <v>38</v>
      </c>
      <c r="D26" s="102" t="s">
        <v>39</v>
      </c>
      <c r="E26" s="1350" t="s">
        <v>40</v>
      </c>
      <c r="F26" s="1406"/>
    </row>
    <row r="27" spans="1:70" s="448" customFormat="1" ht="18" customHeight="1" x14ac:dyDescent="0.2">
      <c r="A27" s="1764"/>
      <c r="B27" s="105" t="s">
        <v>271</v>
      </c>
      <c r="C27" s="95" t="s">
        <v>1786</v>
      </c>
      <c r="D27" s="95" t="s">
        <v>1787</v>
      </c>
      <c r="E27" s="1351" t="s">
        <v>1788</v>
      </c>
      <c r="F27" s="1489">
        <v>0</v>
      </c>
    </row>
    <row r="28" spans="1:70" s="448" customFormat="1" ht="18" customHeight="1" x14ac:dyDescent="0.2">
      <c r="A28" s="1764"/>
      <c r="B28" s="105" t="s">
        <v>1784</v>
      </c>
      <c r="C28" s="97" t="s">
        <v>227</v>
      </c>
      <c r="D28" s="97" t="s">
        <v>230</v>
      </c>
      <c r="E28" s="96" t="s">
        <v>229</v>
      </c>
      <c r="F28" s="1489">
        <v>0</v>
      </c>
    </row>
    <row r="29" spans="1:70" s="448" customFormat="1" ht="15" customHeight="1" x14ac:dyDescent="0.2">
      <c r="A29" s="1764"/>
      <c r="B29" s="1789" t="s">
        <v>1785</v>
      </c>
      <c r="C29" s="1789"/>
      <c r="D29" s="1789"/>
      <c r="E29" s="1789"/>
      <c r="F29" s="1406"/>
    </row>
    <row r="30" spans="1:70" s="448" customFormat="1" ht="18" customHeight="1" x14ac:dyDescent="0.2">
      <c r="A30" s="1764"/>
      <c r="B30" s="105" t="s">
        <v>232</v>
      </c>
      <c r="C30" s="99" t="s">
        <v>144</v>
      </c>
      <c r="D30" s="99" t="s">
        <v>145</v>
      </c>
      <c r="E30" s="100" t="s">
        <v>146</v>
      </c>
      <c r="F30" s="1489">
        <v>0</v>
      </c>
    </row>
    <row r="31" spans="1:70" s="448" customFormat="1" ht="18" customHeight="1" x14ac:dyDescent="0.2">
      <c r="A31" s="1764"/>
      <c r="B31" s="105" t="s">
        <v>233</v>
      </c>
      <c r="C31" s="99" t="s">
        <v>147</v>
      </c>
      <c r="D31" s="99" t="s">
        <v>41</v>
      </c>
      <c r="E31" s="100" t="s">
        <v>42</v>
      </c>
      <c r="F31" s="1489">
        <v>0</v>
      </c>
    </row>
    <row r="32" spans="1:70" s="448" customFormat="1" ht="18" customHeight="1" thickBot="1" x14ac:dyDescent="0.25">
      <c r="A32" s="1764"/>
      <c r="B32" s="1766" t="s">
        <v>5680</v>
      </c>
      <c r="C32" s="1767"/>
      <c r="D32" s="1767"/>
      <c r="E32" s="1768"/>
      <c r="F32" s="1490">
        <f>SUM(F27:F31)</f>
        <v>0</v>
      </c>
    </row>
    <row r="33" spans="1:70" s="1265" customFormat="1" ht="21" customHeight="1" thickBot="1" x14ac:dyDescent="0.25">
      <c r="A33" s="1765"/>
      <c r="B33" s="1784"/>
      <c r="C33" s="1785"/>
      <c r="D33" s="1785"/>
      <c r="E33" s="1436" t="s">
        <v>2372</v>
      </c>
      <c r="F33" s="1491">
        <f>F32/12</f>
        <v>0</v>
      </c>
      <c r="G33" s="1395"/>
      <c r="H33" s="1395"/>
      <c r="I33" s="1395"/>
      <c r="J33" s="1395"/>
      <c r="K33" s="1395"/>
      <c r="L33" s="1395"/>
      <c r="M33" s="1395"/>
      <c r="N33" s="1395"/>
      <c r="O33" s="1395"/>
      <c r="P33" s="1395"/>
      <c r="Q33" s="1395"/>
      <c r="R33" s="1395"/>
      <c r="S33" s="1395"/>
      <c r="T33" s="1395"/>
      <c r="U33" s="1395"/>
      <c r="V33" s="1395"/>
      <c r="W33" s="1395"/>
      <c r="X33" s="1395"/>
      <c r="Y33" s="1395"/>
      <c r="Z33" s="1395"/>
      <c r="AA33" s="1395"/>
      <c r="AB33" s="1395"/>
      <c r="AC33" s="1395"/>
      <c r="AD33" s="1395"/>
      <c r="AE33" s="1395"/>
      <c r="AF33" s="1395"/>
      <c r="AG33" s="1395"/>
      <c r="AH33" s="1395"/>
      <c r="AI33" s="1395"/>
      <c r="AJ33" s="1395"/>
      <c r="AK33" s="1395"/>
      <c r="AL33" s="1395"/>
      <c r="AM33" s="1395"/>
      <c r="AN33" s="1395"/>
      <c r="AO33" s="1395"/>
      <c r="AP33" s="1395"/>
      <c r="AQ33" s="1395"/>
      <c r="AR33" s="1395"/>
      <c r="AS33" s="1395"/>
      <c r="AT33" s="1395"/>
      <c r="AU33" s="1395"/>
      <c r="AV33" s="1395"/>
      <c r="AW33" s="1395"/>
      <c r="AX33" s="1395"/>
      <c r="AY33" s="1395"/>
      <c r="AZ33" s="1395"/>
      <c r="BA33" s="1395"/>
      <c r="BB33" s="1395"/>
      <c r="BC33" s="1395"/>
      <c r="BD33" s="1395"/>
      <c r="BE33" s="1395"/>
      <c r="BF33" s="1395"/>
      <c r="BG33" s="1395"/>
      <c r="BH33" s="1395"/>
      <c r="BI33" s="1395"/>
      <c r="BJ33" s="1395"/>
      <c r="BK33" s="1395"/>
      <c r="BL33" s="1395"/>
      <c r="BM33" s="1395"/>
      <c r="BN33" s="1395"/>
      <c r="BO33" s="1395"/>
      <c r="BP33" s="1395"/>
      <c r="BQ33" s="1395"/>
      <c r="BR33" s="1395"/>
    </row>
    <row r="34" spans="1:70" s="447" customFormat="1" ht="24" customHeight="1" thickBot="1" x14ac:dyDescent="0.25">
      <c r="A34" s="1763" t="s">
        <v>267</v>
      </c>
      <c r="B34" s="1769" t="s">
        <v>34</v>
      </c>
      <c r="C34" s="1769"/>
      <c r="D34" s="1769"/>
      <c r="E34" s="1769"/>
      <c r="F34" s="1406"/>
      <c r="G34" s="448"/>
      <c r="H34" s="448"/>
      <c r="I34" s="448"/>
      <c r="J34" s="448"/>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448"/>
      <c r="AK34" s="448"/>
      <c r="AL34" s="448"/>
      <c r="AM34" s="448"/>
      <c r="AN34" s="448"/>
      <c r="AO34" s="448"/>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c r="BQ34" s="448"/>
      <c r="BR34" s="448"/>
    </row>
    <row r="35" spans="1:70" s="448" customFormat="1" ht="30" customHeight="1" thickBot="1" x14ac:dyDescent="0.25">
      <c r="A35" s="1764"/>
      <c r="B35" s="1776" t="s">
        <v>5673</v>
      </c>
      <c r="C35" s="1777"/>
      <c r="D35" s="1777"/>
      <c r="E35" s="1777"/>
      <c r="F35" s="1406"/>
    </row>
    <row r="36" spans="1:70" s="448" customFormat="1" ht="18" customHeight="1" x14ac:dyDescent="0.2">
      <c r="A36" s="1764"/>
      <c r="B36" s="1780" t="s">
        <v>2310</v>
      </c>
      <c r="C36" s="1781"/>
      <c r="D36" s="1781"/>
      <c r="E36" s="1781"/>
      <c r="F36" s="1545"/>
    </row>
    <row r="37" spans="1:70" s="448" customFormat="1" ht="18" customHeight="1" x14ac:dyDescent="0.2">
      <c r="A37" s="1764"/>
      <c r="B37" s="1772" t="s">
        <v>2311</v>
      </c>
      <c r="C37" s="1773"/>
      <c r="D37" s="1773"/>
      <c r="E37" s="1773"/>
      <c r="F37" s="1545"/>
    </row>
    <row r="38" spans="1:70" s="448" customFormat="1" ht="18" customHeight="1" x14ac:dyDescent="0.2">
      <c r="A38" s="1764"/>
      <c r="B38" s="1772" t="s">
        <v>2312</v>
      </c>
      <c r="C38" s="1773"/>
      <c r="D38" s="1773"/>
      <c r="E38" s="1773"/>
      <c r="F38" s="1545"/>
    </row>
    <row r="39" spans="1:70" s="448" customFormat="1" ht="18" customHeight="1" x14ac:dyDescent="0.2">
      <c r="A39" s="1764"/>
      <c r="B39" s="1772" t="s">
        <v>2313</v>
      </c>
      <c r="C39" s="1773"/>
      <c r="D39" s="1773"/>
      <c r="E39" s="1773"/>
      <c r="F39" s="1545"/>
    </row>
    <row r="40" spans="1:70" s="448" customFormat="1" ht="18" customHeight="1" thickBot="1" x14ac:dyDescent="0.25">
      <c r="A40" s="1764"/>
      <c r="B40" s="1772" t="s">
        <v>2314</v>
      </c>
      <c r="C40" s="1773"/>
      <c r="D40" s="1773"/>
      <c r="E40" s="1773"/>
      <c r="F40" s="1545"/>
    </row>
    <row r="41" spans="1:70" s="448" customFormat="1" ht="30" customHeight="1" thickBot="1" x14ac:dyDescent="0.25">
      <c r="A41" s="1764"/>
      <c r="B41" s="1776" t="s">
        <v>5700</v>
      </c>
      <c r="C41" s="1777"/>
      <c r="D41" s="1777"/>
      <c r="E41" s="1777"/>
      <c r="F41" s="1546"/>
    </row>
    <row r="42" spans="1:70" s="448" customFormat="1" ht="18" customHeight="1" thickBot="1" x14ac:dyDescent="0.25">
      <c r="A42" s="1764"/>
      <c r="B42" s="446"/>
      <c r="C42" s="103" t="s">
        <v>38</v>
      </c>
      <c r="D42" s="102" t="s">
        <v>39</v>
      </c>
      <c r="E42" s="1350" t="s">
        <v>40</v>
      </c>
      <c r="F42" s="1546"/>
    </row>
    <row r="43" spans="1:70" s="448" customFormat="1" ht="23.25" customHeight="1" x14ac:dyDescent="0.2">
      <c r="A43" s="1764"/>
      <c r="B43" s="105" t="s">
        <v>1789</v>
      </c>
      <c r="C43" s="95" t="s">
        <v>1781</v>
      </c>
      <c r="D43" s="95" t="s">
        <v>1782</v>
      </c>
      <c r="E43" s="96" t="s">
        <v>1783</v>
      </c>
      <c r="F43" s="1489">
        <v>0</v>
      </c>
    </row>
    <row r="44" spans="1:70" s="448" customFormat="1" ht="18" customHeight="1" x14ac:dyDescent="0.2">
      <c r="A44" s="1764"/>
      <c r="B44" s="105" t="s">
        <v>1790</v>
      </c>
      <c r="C44" s="97" t="s">
        <v>227</v>
      </c>
      <c r="D44" s="97" t="s">
        <v>230</v>
      </c>
      <c r="E44" s="98" t="s">
        <v>229</v>
      </c>
      <c r="F44" s="1489">
        <v>0</v>
      </c>
    </row>
    <row r="45" spans="1:70" s="448" customFormat="1" ht="15" customHeight="1" x14ac:dyDescent="0.2">
      <c r="A45" s="1764"/>
      <c r="B45" s="1789" t="s">
        <v>1791</v>
      </c>
      <c r="C45" s="1789"/>
      <c r="D45" s="1789"/>
      <c r="E45" s="1789"/>
      <c r="F45" s="1406"/>
    </row>
    <row r="46" spans="1:70" s="448" customFormat="1" ht="18" customHeight="1" x14ac:dyDescent="0.2">
      <c r="A46" s="1764"/>
      <c r="B46" s="105" t="s">
        <v>232</v>
      </c>
      <c r="C46" s="99" t="s">
        <v>150</v>
      </c>
      <c r="D46" s="99" t="s">
        <v>151</v>
      </c>
      <c r="E46" s="100" t="s">
        <v>152</v>
      </c>
      <c r="F46" s="1489">
        <v>0</v>
      </c>
    </row>
    <row r="47" spans="1:70" s="448" customFormat="1" ht="18" customHeight="1" x14ac:dyDescent="0.2">
      <c r="A47" s="1764"/>
      <c r="B47" s="105" t="s">
        <v>231</v>
      </c>
      <c r="C47" s="99" t="s">
        <v>147</v>
      </c>
      <c r="D47" s="99" t="s">
        <v>41</v>
      </c>
      <c r="E47" s="100" t="s">
        <v>42</v>
      </c>
      <c r="F47" s="1489">
        <v>0</v>
      </c>
    </row>
    <row r="48" spans="1:70" s="448" customFormat="1" ht="18" customHeight="1" thickBot="1" x14ac:dyDescent="0.25">
      <c r="A48" s="1764"/>
      <c r="B48" s="1766" t="s">
        <v>5680</v>
      </c>
      <c r="C48" s="1767"/>
      <c r="D48" s="1767"/>
      <c r="E48" s="1768"/>
      <c r="F48" s="1490">
        <f>SUM(F43:F47)</f>
        <v>0</v>
      </c>
    </row>
    <row r="49" spans="1:70" s="1264" customFormat="1" ht="21" customHeight="1" thickBot="1" x14ac:dyDescent="0.25">
      <c r="A49" s="1765"/>
      <c r="B49" s="1774"/>
      <c r="C49" s="1775"/>
      <c r="D49" s="1775"/>
      <c r="E49" s="1436" t="s">
        <v>2372</v>
      </c>
      <c r="F49" s="1491">
        <f>F48/12</f>
        <v>0</v>
      </c>
      <c r="G49" s="1394"/>
      <c r="H49" s="1394"/>
      <c r="I49" s="1394"/>
      <c r="J49" s="1394"/>
      <c r="K49" s="1394"/>
      <c r="L49" s="1394"/>
      <c r="M49" s="1394"/>
      <c r="N49" s="1394"/>
      <c r="O49" s="1394"/>
      <c r="P49" s="1394"/>
      <c r="Q49" s="1394"/>
      <c r="R49" s="1394"/>
      <c r="S49" s="1394"/>
      <c r="T49" s="1394"/>
      <c r="U49" s="1394"/>
      <c r="V49" s="1394"/>
      <c r="W49" s="1394"/>
      <c r="X49" s="1394"/>
      <c r="Y49" s="1394"/>
      <c r="Z49" s="1394"/>
      <c r="AA49" s="1394"/>
      <c r="AB49" s="1394"/>
      <c r="AC49" s="1394"/>
      <c r="AD49" s="1394"/>
      <c r="AE49" s="1394"/>
      <c r="AF49" s="1394"/>
      <c r="AG49" s="1394"/>
      <c r="AH49" s="1394"/>
      <c r="AI49" s="1394"/>
      <c r="AJ49" s="1394"/>
      <c r="AK49" s="1394"/>
      <c r="AL49" s="1394"/>
      <c r="AM49" s="1394"/>
      <c r="AN49" s="1394"/>
      <c r="AO49" s="1394"/>
      <c r="AP49" s="1394"/>
      <c r="AQ49" s="1394"/>
      <c r="AR49" s="1394"/>
      <c r="AS49" s="1394"/>
      <c r="AT49" s="1394"/>
      <c r="AU49" s="1394"/>
      <c r="AV49" s="1394"/>
      <c r="AW49" s="1394"/>
      <c r="AX49" s="1394"/>
      <c r="AY49" s="1394"/>
      <c r="AZ49" s="1394"/>
      <c r="BA49" s="1394"/>
      <c r="BB49" s="1394"/>
      <c r="BC49" s="1394"/>
      <c r="BD49" s="1394"/>
      <c r="BE49" s="1394"/>
      <c r="BF49" s="1394"/>
      <c r="BG49" s="1394"/>
      <c r="BH49" s="1394"/>
      <c r="BI49" s="1394"/>
      <c r="BJ49" s="1394"/>
      <c r="BK49" s="1394"/>
      <c r="BL49" s="1394"/>
      <c r="BM49" s="1394"/>
      <c r="BN49" s="1394"/>
      <c r="BO49" s="1394"/>
      <c r="BP49" s="1394"/>
      <c r="BQ49" s="1394"/>
      <c r="BR49" s="1394"/>
    </row>
    <row r="50" spans="1:70" s="447" customFormat="1" ht="24" customHeight="1" thickBot="1" x14ac:dyDescent="0.25">
      <c r="A50" s="1763" t="s">
        <v>529</v>
      </c>
      <c r="B50" s="1770" t="s">
        <v>35</v>
      </c>
      <c r="C50" s="1771"/>
      <c r="D50" s="1771"/>
      <c r="E50" s="1771"/>
      <c r="F50" s="1406"/>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row>
    <row r="51" spans="1:70" s="448" customFormat="1" ht="30" customHeight="1" thickBot="1" x14ac:dyDescent="0.25">
      <c r="A51" s="1764"/>
      <c r="B51" s="1776" t="s">
        <v>5674</v>
      </c>
      <c r="C51" s="1777"/>
      <c r="D51" s="1777"/>
      <c r="E51" s="1777"/>
      <c r="F51" s="1406"/>
    </row>
    <row r="52" spans="1:70" s="448" customFormat="1" ht="18" customHeight="1" x14ac:dyDescent="0.2">
      <c r="A52" s="1764"/>
      <c r="B52" s="1797" t="s">
        <v>2315</v>
      </c>
      <c r="C52" s="1798"/>
      <c r="D52" s="1798"/>
      <c r="E52" s="1799"/>
      <c r="F52" s="1488"/>
    </row>
    <row r="53" spans="1:70" s="448" customFormat="1" ht="18" customHeight="1" x14ac:dyDescent="0.2">
      <c r="A53" s="1764"/>
      <c r="B53" s="1772" t="s">
        <v>2316</v>
      </c>
      <c r="C53" s="1773"/>
      <c r="D53" s="1773"/>
      <c r="E53" s="1773"/>
      <c r="F53" s="1488"/>
    </row>
    <row r="54" spans="1:70" s="448" customFormat="1" ht="18" customHeight="1" x14ac:dyDescent="0.2">
      <c r="A54" s="1764"/>
      <c r="B54" s="1772" t="s">
        <v>2317</v>
      </c>
      <c r="C54" s="1773"/>
      <c r="D54" s="1773"/>
      <c r="E54" s="1773"/>
      <c r="F54" s="1488"/>
    </row>
    <row r="55" spans="1:70" s="448" customFormat="1" ht="18" customHeight="1" thickBot="1" x14ac:dyDescent="0.25">
      <c r="A55" s="1764"/>
      <c r="B55" s="1772" t="s">
        <v>2318</v>
      </c>
      <c r="C55" s="1773"/>
      <c r="D55" s="1773"/>
      <c r="E55" s="1773"/>
      <c r="F55" s="1488"/>
    </row>
    <row r="56" spans="1:70" s="448" customFormat="1" ht="30" customHeight="1" thickBot="1" x14ac:dyDescent="0.25">
      <c r="A56" s="1764"/>
      <c r="B56" s="1786" t="s">
        <v>2365</v>
      </c>
      <c r="C56" s="1787"/>
      <c r="D56" s="1787"/>
      <c r="E56" s="1787"/>
      <c r="F56" s="1406"/>
    </row>
    <row r="57" spans="1:70" s="448" customFormat="1" ht="18" customHeight="1" thickBot="1" x14ac:dyDescent="0.25">
      <c r="A57" s="1764"/>
      <c r="B57" s="446"/>
      <c r="C57" s="103" t="s">
        <v>38</v>
      </c>
      <c r="D57" s="102" t="s">
        <v>39</v>
      </c>
      <c r="E57" s="1350" t="s">
        <v>40</v>
      </c>
      <c r="F57" s="1406"/>
    </row>
    <row r="58" spans="1:70" s="448" customFormat="1" ht="18" customHeight="1" x14ac:dyDescent="0.2">
      <c r="A58" s="1764"/>
      <c r="B58" s="105" t="s">
        <v>1789</v>
      </c>
      <c r="C58" s="95" t="s">
        <v>1786</v>
      </c>
      <c r="D58" s="95" t="s">
        <v>1787</v>
      </c>
      <c r="E58" s="96" t="s">
        <v>1788</v>
      </c>
      <c r="F58" s="1489">
        <v>0</v>
      </c>
    </row>
    <row r="59" spans="1:70" s="448" customFormat="1" ht="18" customHeight="1" x14ac:dyDescent="0.2">
      <c r="A59" s="1764"/>
      <c r="B59" s="105" t="s">
        <v>1790</v>
      </c>
      <c r="C59" s="97" t="s">
        <v>227</v>
      </c>
      <c r="D59" s="97" t="s">
        <v>230</v>
      </c>
      <c r="E59" s="98" t="s">
        <v>229</v>
      </c>
      <c r="F59" s="1489">
        <v>0</v>
      </c>
    </row>
    <row r="60" spans="1:70" s="448" customFormat="1" ht="15" customHeight="1" x14ac:dyDescent="0.2">
      <c r="A60" s="1764"/>
      <c r="B60" s="1789" t="s">
        <v>1791</v>
      </c>
      <c r="C60" s="1789"/>
      <c r="D60" s="1789"/>
      <c r="E60" s="1789"/>
      <c r="F60" s="1406"/>
    </row>
    <row r="61" spans="1:70" s="448" customFormat="1" ht="18" customHeight="1" x14ac:dyDescent="0.2">
      <c r="A61" s="1764"/>
      <c r="B61" s="105" t="s">
        <v>232</v>
      </c>
      <c r="C61" s="99" t="s">
        <v>150</v>
      </c>
      <c r="D61" s="99" t="s">
        <v>151</v>
      </c>
      <c r="E61" s="100" t="s">
        <v>152</v>
      </c>
      <c r="F61" s="1489">
        <v>0</v>
      </c>
    </row>
    <row r="62" spans="1:70" s="448" customFormat="1" ht="18" customHeight="1" x14ac:dyDescent="0.2">
      <c r="A62" s="1764"/>
      <c r="B62" s="105" t="s">
        <v>231</v>
      </c>
      <c r="C62" s="99" t="s">
        <v>147</v>
      </c>
      <c r="D62" s="99" t="s">
        <v>148</v>
      </c>
      <c r="E62" s="100" t="s">
        <v>149</v>
      </c>
      <c r="F62" s="1489">
        <v>0</v>
      </c>
    </row>
    <row r="63" spans="1:70" s="448" customFormat="1" ht="18" customHeight="1" thickBot="1" x14ac:dyDescent="0.25">
      <c r="A63" s="1764"/>
      <c r="B63" s="1766" t="s">
        <v>5680</v>
      </c>
      <c r="C63" s="1767"/>
      <c r="D63" s="1767"/>
      <c r="E63" s="1768"/>
      <c r="F63" s="1490">
        <f>SUM(F58:F62)</f>
        <v>0</v>
      </c>
    </row>
    <row r="64" spans="1:70" s="1264" customFormat="1" ht="21" customHeight="1" thickBot="1" x14ac:dyDescent="0.25">
      <c r="A64" s="1765"/>
      <c r="B64" s="1774"/>
      <c r="C64" s="1775"/>
      <c r="D64" s="1775"/>
      <c r="E64" s="1436" t="s">
        <v>2372</v>
      </c>
      <c r="F64" s="1491">
        <f>F63/12</f>
        <v>0</v>
      </c>
      <c r="G64" s="1394"/>
      <c r="H64" s="1394"/>
      <c r="I64" s="1394"/>
      <c r="J64" s="1394"/>
      <c r="K64" s="1394"/>
      <c r="L64" s="1394"/>
      <c r="M64" s="1394"/>
      <c r="N64" s="1394"/>
      <c r="O64" s="1394"/>
      <c r="P64" s="1394"/>
      <c r="Q64" s="1394"/>
      <c r="R64" s="1394"/>
      <c r="S64" s="1394"/>
      <c r="T64" s="1394"/>
      <c r="U64" s="1394"/>
      <c r="V64" s="1394"/>
      <c r="W64" s="1394"/>
      <c r="X64" s="1394"/>
      <c r="Y64" s="1394"/>
      <c r="Z64" s="1394"/>
      <c r="AA64" s="1394"/>
      <c r="AB64" s="1394"/>
      <c r="AC64" s="1394"/>
      <c r="AD64" s="1394"/>
      <c r="AE64" s="1394"/>
      <c r="AF64" s="1394"/>
      <c r="AG64" s="1394"/>
      <c r="AH64" s="1394"/>
      <c r="AI64" s="1394"/>
      <c r="AJ64" s="1394"/>
      <c r="AK64" s="1394"/>
      <c r="AL64" s="1394"/>
      <c r="AM64" s="1394"/>
      <c r="AN64" s="1394"/>
      <c r="AO64" s="1394"/>
      <c r="AP64" s="1394"/>
      <c r="AQ64" s="1394"/>
      <c r="AR64" s="1394"/>
      <c r="AS64" s="1394"/>
      <c r="AT64" s="1394"/>
      <c r="AU64" s="1394"/>
      <c r="AV64" s="1394"/>
      <c r="AW64" s="1394"/>
      <c r="AX64" s="1394"/>
      <c r="AY64" s="1394"/>
      <c r="AZ64" s="1394"/>
      <c r="BA64" s="1394"/>
      <c r="BB64" s="1394"/>
      <c r="BC64" s="1394"/>
      <c r="BD64" s="1394"/>
      <c r="BE64" s="1394"/>
      <c r="BF64" s="1394"/>
      <c r="BG64" s="1394"/>
      <c r="BH64" s="1394"/>
      <c r="BI64" s="1394"/>
      <c r="BJ64" s="1394"/>
      <c r="BK64" s="1394"/>
      <c r="BL64" s="1394"/>
      <c r="BM64" s="1394"/>
      <c r="BN64" s="1394"/>
      <c r="BO64" s="1394"/>
      <c r="BP64" s="1394"/>
      <c r="BQ64" s="1394"/>
      <c r="BR64" s="1394"/>
    </row>
    <row r="65" spans="1:70" s="447" customFormat="1" ht="24" customHeight="1" thickBot="1" x14ac:dyDescent="0.25">
      <c r="A65" s="1763" t="s">
        <v>3</v>
      </c>
      <c r="B65" s="1769" t="s">
        <v>61</v>
      </c>
      <c r="C65" s="1769"/>
      <c r="D65" s="1769"/>
      <c r="E65" s="1769"/>
      <c r="F65" s="1406"/>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row>
    <row r="66" spans="1:70" s="448" customFormat="1" ht="30" customHeight="1" thickBot="1" x14ac:dyDescent="0.25">
      <c r="A66" s="1764"/>
      <c r="B66" s="1776" t="s">
        <v>5675</v>
      </c>
      <c r="C66" s="1779"/>
      <c r="D66" s="1779"/>
      <c r="E66" s="1779"/>
      <c r="F66" s="1406"/>
    </row>
    <row r="67" spans="1:70" s="448" customFormat="1" ht="18" customHeight="1" x14ac:dyDescent="0.2">
      <c r="A67" s="1764"/>
      <c r="B67" s="1780" t="s">
        <v>5230</v>
      </c>
      <c r="C67" s="1781"/>
      <c r="D67" s="1781"/>
      <c r="E67" s="1781"/>
      <c r="F67" s="1488"/>
    </row>
    <row r="68" spans="1:70" s="448" customFormat="1" ht="18" customHeight="1" x14ac:dyDescent="0.2">
      <c r="A68" s="1764"/>
      <c r="B68" s="1788" t="s">
        <v>2319</v>
      </c>
      <c r="C68" s="1788"/>
      <c r="D68" s="1788"/>
      <c r="E68" s="1788"/>
      <c r="F68" s="1488"/>
    </row>
    <row r="69" spans="1:70" s="448" customFormat="1" ht="18" customHeight="1" x14ac:dyDescent="0.2">
      <c r="A69" s="1764"/>
      <c r="B69" s="1772" t="s">
        <v>2320</v>
      </c>
      <c r="C69" s="1773"/>
      <c r="D69" s="1773"/>
      <c r="E69" s="1773"/>
      <c r="F69" s="1488"/>
    </row>
    <row r="70" spans="1:70" s="448" customFormat="1" ht="18" customHeight="1" thickBot="1" x14ac:dyDescent="0.25">
      <c r="A70" s="1764"/>
      <c r="B70" s="1772" t="s">
        <v>2321</v>
      </c>
      <c r="C70" s="1773"/>
      <c r="D70" s="1773"/>
      <c r="E70" s="1773"/>
      <c r="F70" s="1488"/>
    </row>
    <row r="71" spans="1:70" s="448" customFormat="1" ht="30" customHeight="1" thickBot="1" x14ac:dyDescent="0.25">
      <c r="A71" s="1764"/>
      <c r="B71" s="1776" t="s">
        <v>5701</v>
      </c>
      <c r="C71" s="1777"/>
      <c r="D71" s="1777"/>
      <c r="E71" s="1777"/>
      <c r="F71" s="1406"/>
    </row>
    <row r="72" spans="1:70" s="448" customFormat="1" ht="18" customHeight="1" thickBot="1" x14ac:dyDescent="0.25">
      <c r="A72" s="1764"/>
      <c r="B72" s="446"/>
      <c r="C72" s="103" t="s">
        <v>38</v>
      </c>
      <c r="D72" s="102" t="s">
        <v>39</v>
      </c>
      <c r="E72" s="1350" t="s">
        <v>40</v>
      </c>
      <c r="F72" s="1406"/>
    </row>
    <row r="73" spans="1:70" s="448" customFormat="1" ht="18" customHeight="1" x14ac:dyDescent="0.2">
      <c r="A73" s="1764"/>
      <c r="B73" s="105" t="s">
        <v>1792</v>
      </c>
      <c r="C73" s="95" t="s">
        <v>1793</v>
      </c>
      <c r="D73" s="95" t="s">
        <v>1794</v>
      </c>
      <c r="E73" s="1351" t="s">
        <v>1795</v>
      </c>
      <c r="F73" s="1489">
        <v>0</v>
      </c>
    </row>
    <row r="74" spans="1:70" s="448" customFormat="1" ht="18" customHeight="1" x14ac:dyDescent="0.2">
      <c r="A74" s="1764"/>
      <c r="B74" s="105" t="s">
        <v>272</v>
      </c>
      <c r="C74" s="97" t="s">
        <v>227</v>
      </c>
      <c r="D74" s="97" t="s">
        <v>228</v>
      </c>
      <c r="E74" s="98" t="s">
        <v>229</v>
      </c>
      <c r="F74" s="1489">
        <v>0</v>
      </c>
    </row>
    <row r="75" spans="1:70" s="448" customFormat="1" ht="15" customHeight="1" x14ac:dyDescent="0.2">
      <c r="A75" s="1764"/>
      <c r="B75" s="1789" t="s">
        <v>1796</v>
      </c>
      <c r="C75" s="1789"/>
      <c r="D75" s="1789"/>
      <c r="E75" s="1789"/>
      <c r="F75" s="1406"/>
    </row>
    <row r="76" spans="1:70" s="448" customFormat="1" ht="18" customHeight="1" x14ac:dyDescent="0.2">
      <c r="A76" s="1764"/>
      <c r="B76" s="105" t="s">
        <v>540</v>
      </c>
      <c r="C76" s="99" t="s">
        <v>273</v>
      </c>
      <c r="D76" s="99" t="s">
        <v>274</v>
      </c>
      <c r="E76" s="100" t="s">
        <v>275</v>
      </c>
      <c r="F76" s="1489">
        <v>0</v>
      </c>
    </row>
    <row r="77" spans="1:70" s="448" customFormat="1" ht="18" customHeight="1" x14ac:dyDescent="0.2">
      <c r="A77" s="1764"/>
      <c r="B77" s="105" t="s">
        <v>541</v>
      </c>
      <c r="C77" s="99" t="s">
        <v>153</v>
      </c>
      <c r="D77" s="99" t="s">
        <v>276</v>
      </c>
      <c r="E77" s="100" t="s">
        <v>154</v>
      </c>
      <c r="F77" s="1489">
        <v>0</v>
      </c>
    </row>
    <row r="78" spans="1:70" s="448" customFormat="1" ht="18" customHeight="1" thickBot="1" x14ac:dyDescent="0.25">
      <c r="A78" s="1764"/>
      <c r="B78" s="1766" t="s">
        <v>5680</v>
      </c>
      <c r="C78" s="1767"/>
      <c r="D78" s="1767"/>
      <c r="E78" s="1768"/>
      <c r="F78" s="1490">
        <f>SUM(F73:F77)</f>
        <v>0</v>
      </c>
    </row>
    <row r="79" spans="1:70" s="1264" customFormat="1" ht="21" customHeight="1" thickBot="1" x14ac:dyDescent="0.25">
      <c r="A79" s="1765"/>
      <c r="B79" s="1774"/>
      <c r="C79" s="1775"/>
      <c r="D79" s="1775"/>
      <c r="E79" s="1436" t="s">
        <v>2372</v>
      </c>
      <c r="F79" s="1491">
        <f>F78/12</f>
        <v>0</v>
      </c>
      <c r="G79" s="1394"/>
      <c r="H79" s="1394"/>
      <c r="I79" s="1394"/>
      <c r="J79" s="1394"/>
      <c r="K79" s="1394"/>
      <c r="L79" s="1394"/>
      <c r="M79" s="1394"/>
      <c r="N79" s="1394"/>
      <c r="O79" s="1394"/>
      <c r="P79" s="1394"/>
      <c r="Q79" s="1394"/>
      <c r="R79" s="1394"/>
      <c r="S79" s="1394"/>
      <c r="T79" s="1394"/>
      <c r="U79" s="1394"/>
      <c r="V79" s="1394"/>
      <c r="W79" s="1394"/>
      <c r="X79" s="1394"/>
      <c r="Y79" s="1394"/>
      <c r="Z79" s="1394"/>
      <c r="AA79" s="1394"/>
      <c r="AB79" s="1394"/>
      <c r="AC79" s="1394"/>
      <c r="AD79" s="1394"/>
      <c r="AE79" s="1394"/>
      <c r="AF79" s="1394"/>
      <c r="AG79" s="1394"/>
      <c r="AH79" s="1394"/>
      <c r="AI79" s="1394"/>
      <c r="AJ79" s="1394"/>
      <c r="AK79" s="1394"/>
      <c r="AL79" s="1394"/>
      <c r="AM79" s="1394"/>
      <c r="AN79" s="1394"/>
      <c r="AO79" s="1394"/>
      <c r="AP79" s="1394"/>
      <c r="AQ79" s="1394"/>
      <c r="AR79" s="1394"/>
      <c r="AS79" s="1394"/>
      <c r="AT79" s="1394"/>
      <c r="AU79" s="1394"/>
      <c r="AV79" s="1394"/>
      <c r="AW79" s="1394"/>
      <c r="AX79" s="1394"/>
      <c r="AY79" s="1394"/>
      <c r="AZ79" s="1394"/>
      <c r="BA79" s="1394"/>
      <c r="BB79" s="1394"/>
      <c r="BC79" s="1394"/>
      <c r="BD79" s="1394"/>
      <c r="BE79" s="1394"/>
      <c r="BF79" s="1394"/>
      <c r="BG79" s="1394"/>
      <c r="BH79" s="1394"/>
      <c r="BI79" s="1394"/>
      <c r="BJ79" s="1394"/>
      <c r="BK79" s="1394"/>
      <c r="BL79" s="1394"/>
      <c r="BM79" s="1394"/>
      <c r="BN79" s="1394"/>
      <c r="BO79" s="1394"/>
      <c r="BP79" s="1394"/>
      <c r="BQ79" s="1394"/>
      <c r="BR79" s="1394"/>
    </row>
    <row r="80" spans="1:70" s="447" customFormat="1" ht="24" customHeight="1" thickBot="1" x14ac:dyDescent="0.25">
      <c r="A80" s="1806" t="s">
        <v>201</v>
      </c>
      <c r="B80" s="1770" t="s">
        <v>1881</v>
      </c>
      <c r="C80" s="1778"/>
      <c r="D80" s="1778"/>
      <c r="E80" s="1778"/>
      <c r="F80" s="1406"/>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8"/>
      <c r="AY80" s="448"/>
      <c r="AZ80" s="448"/>
      <c r="BA80" s="448"/>
      <c r="BB80" s="448"/>
      <c r="BC80" s="448"/>
      <c r="BD80" s="448"/>
      <c r="BE80" s="448"/>
      <c r="BF80" s="448"/>
      <c r="BG80" s="448"/>
      <c r="BH80" s="448"/>
      <c r="BI80" s="448"/>
      <c r="BJ80" s="448"/>
      <c r="BK80" s="448"/>
      <c r="BL80" s="448"/>
      <c r="BM80" s="448"/>
      <c r="BN80" s="448"/>
      <c r="BO80" s="448"/>
      <c r="BP80" s="448"/>
      <c r="BQ80" s="448"/>
      <c r="BR80" s="448"/>
    </row>
    <row r="81" spans="1:70" s="448" customFormat="1" ht="20.45" customHeight="1" thickBot="1" x14ac:dyDescent="0.25">
      <c r="A81" s="1807"/>
      <c r="B81" s="1776" t="s">
        <v>5676</v>
      </c>
      <c r="C81" s="1777"/>
      <c r="D81" s="1777"/>
      <c r="E81" s="1777"/>
      <c r="F81" s="1406"/>
    </row>
    <row r="82" spans="1:70" s="448" customFormat="1" ht="18" customHeight="1" x14ac:dyDescent="0.2">
      <c r="A82" s="1807"/>
      <c r="B82" s="1780" t="s">
        <v>2322</v>
      </c>
      <c r="C82" s="1781"/>
      <c r="D82" s="1781"/>
      <c r="E82" s="1781"/>
      <c r="F82" s="1488"/>
    </row>
    <row r="83" spans="1:70" s="448" customFormat="1" ht="18" customHeight="1" x14ac:dyDescent="0.2">
      <c r="A83" s="1807"/>
      <c r="B83" s="1772" t="s">
        <v>2323</v>
      </c>
      <c r="C83" s="1773"/>
      <c r="D83" s="1773"/>
      <c r="E83" s="1773"/>
      <c r="F83" s="1488"/>
    </row>
    <row r="84" spans="1:70" s="448" customFormat="1" ht="18" customHeight="1" x14ac:dyDescent="0.2">
      <c r="A84" s="1807"/>
      <c r="B84" s="1772" t="s">
        <v>2324</v>
      </c>
      <c r="C84" s="1773"/>
      <c r="D84" s="1773"/>
      <c r="E84" s="1773"/>
      <c r="F84" s="1488"/>
    </row>
    <row r="85" spans="1:70" s="448" customFormat="1" ht="18" customHeight="1" thickBot="1" x14ac:dyDescent="0.25">
      <c r="A85" s="1807"/>
      <c r="B85" s="1772" t="s">
        <v>2325</v>
      </c>
      <c r="C85" s="1773"/>
      <c r="D85" s="1773"/>
      <c r="E85" s="1773"/>
      <c r="F85" s="1488"/>
    </row>
    <row r="86" spans="1:70" s="448" customFormat="1" ht="30" customHeight="1" thickBot="1" x14ac:dyDescent="0.25">
      <c r="A86" s="1807"/>
      <c r="B86" s="1776" t="s">
        <v>5702</v>
      </c>
      <c r="C86" s="1777"/>
      <c r="D86" s="1777"/>
      <c r="E86" s="1777"/>
      <c r="F86" s="1406"/>
    </row>
    <row r="87" spans="1:70" s="448" customFormat="1" ht="18" customHeight="1" thickBot="1" x14ac:dyDescent="0.25">
      <c r="A87" s="1807"/>
      <c r="B87" s="446"/>
      <c r="C87" s="103" t="s">
        <v>38</v>
      </c>
      <c r="D87" s="102" t="s">
        <v>39</v>
      </c>
      <c r="E87" s="1350" t="s">
        <v>40</v>
      </c>
      <c r="F87" s="1406"/>
    </row>
    <row r="88" spans="1:70" s="449" customFormat="1" ht="29.25" customHeight="1" thickBot="1" x14ac:dyDescent="0.25">
      <c r="A88" s="1807"/>
      <c r="B88" s="105" t="s">
        <v>155</v>
      </c>
      <c r="C88" s="99" t="s">
        <v>250</v>
      </c>
      <c r="D88" s="1483" t="s">
        <v>5739</v>
      </c>
      <c r="E88" s="1483" t="s">
        <v>5740</v>
      </c>
      <c r="F88" s="1493">
        <v>0</v>
      </c>
    </row>
    <row r="89" spans="1:70" s="449" customFormat="1" ht="18" customHeight="1" x14ac:dyDescent="0.2">
      <c r="A89" s="1807"/>
      <c r="B89" s="105" t="s">
        <v>156</v>
      </c>
      <c r="C89" s="99" t="s">
        <v>252</v>
      </c>
      <c r="D89" s="99" t="s">
        <v>251</v>
      </c>
      <c r="E89" s="100" t="s">
        <v>253</v>
      </c>
      <c r="F89" s="1493">
        <v>0</v>
      </c>
    </row>
    <row r="90" spans="1:70" s="449" customFormat="1" ht="18" customHeight="1" x14ac:dyDescent="0.2">
      <c r="A90" s="1807"/>
      <c r="B90" s="105" t="s">
        <v>157</v>
      </c>
      <c r="C90" s="104" t="s">
        <v>158</v>
      </c>
      <c r="D90" s="104" t="s">
        <v>159</v>
      </c>
      <c r="E90" s="98" t="s">
        <v>1261</v>
      </c>
      <c r="F90" s="1493">
        <v>0</v>
      </c>
    </row>
    <row r="91" spans="1:70" s="449" customFormat="1" ht="18" customHeight="1" thickBot="1" x14ac:dyDescent="0.25">
      <c r="A91" s="1807"/>
      <c r="B91" s="1766" t="s">
        <v>5680</v>
      </c>
      <c r="C91" s="1767"/>
      <c r="D91" s="1767"/>
      <c r="E91" s="1768"/>
      <c r="F91" s="1490">
        <f>SUM(F88:F90)</f>
        <v>0</v>
      </c>
    </row>
    <row r="92" spans="1:70" s="1264" customFormat="1" ht="21" customHeight="1" thickBot="1" x14ac:dyDescent="0.25">
      <c r="A92" s="1808"/>
      <c r="B92" s="1774"/>
      <c r="C92" s="1775"/>
      <c r="D92" s="1775"/>
      <c r="E92" s="1436" t="s">
        <v>2372</v>
      </c>
      <c r="F92" s="1491">
        <f>F91/9</f>
        <v>0</v>
      </c>
      <c r="G92" s="1394"/>
      <c r="H92" s="1394"/>
      <c r="I92" s="1394"/>
      <c r="J92" s="1394"/>
      <c r="K92" s="1394"/>
      <c r="L92" s="1394"/>
      <c r="M92" s="1394"/>
      <c r="N92" s="1394"/>
      <c r="O92" s="1394"/>
      <c r="P92" s="1394"/>
      <c r="Q92" s="1394"/>
      <c r="R92" s="1394"/>
      <c r="S92" s="1394"/>
      <c r="T92" s="1394"/>
      <c r="U92" s="1394"/>
      <c r="V92" s="1394"/>
      <c r="W92" s="1394"/>
      <c r="X92" s="1394"/>
      <c r="Y92" s="1394"/>
      <c r="Z92" s="1394"/>
      <c r="AA92" s="1394"/>
      <c r="AB92" s="1394"/>
      <c r="AC92" s="1394"/>
      <c r="AD92" s="1394"/>
      <c r="AE92" s="1394"/>
      <c r="AF92" s="1394"/>
      <c r="AG92" s="1394"/>
      <c r="AH92" s="1394"/>
      <c r="AI92" s="1394"/>
      <c r="AJ92" s="1394"/>
      <c r="AK92" s="1394"/>
      <c r="AL92" s="1394"/>
      <c r="AM92" s="1394"/>
      <c r="AN92" s="1394"/>
      <c r="AO92" s="1394"/>
      <c r="AP92" s="1394"/>
      <c r="AQ92" s="1394"/>
      <c r="AR92" s="1394"/>
      <c r="AS92" s="1394"/>
      <c r="AT92" s="1394"/>
      <c r="AU92" s="1394"/>
      <c r="AV92" s="1394"/>
      <c r="AW92" s="1394"/>
      <c r="AX92" s="1394"/>
      <c r="AY92" s="1394"/>
      <c r="AZ92" s="1394"/>
      <c r="BA92" s="1394"/>
      <c r="BB92" s="1394"/>
      <c r="BC92" s="1394"/>
      <c r="BD92" s="1394"/>
      <c r="BE92" s="1394"/>
      <c r="BF92" s="1394"/>
      <c r="BG92" s="1394"/>
      <c r="BH92" s="1394"/>
      <c r="BI92" s="1394"/>
      <c r="BJ92" s="1394"/>
      <c r="BK92" s="1394"/>
      <c r="BL92" s="1394"/>
      <c r="BM92" s="1394"/>
      <c r="BN92" s="1394"/>
      <c r="BO92" s="1394"/>
      <c r="BP92" s="1394"/>
      <c r="BQ92" s="1394"/>
      <c r="BR92" s="1394"/>
    </row>
    <row r="93" spans="1:70" s="447" customFormat="1" ht="24" customHeight="1" thickBot="1" x14ac:dyDescent="0.25">
      <c r="A93" s="1763" t="s">
        <v>202</v>
      </c>
      <c r="B93" s="1770" t="s">
        <v>1882</v>
      </c>
      <c r="C93" s="1778"/>
      <c r="D93" s="1778"/>
      <c r="E93" s="1778"/>
      <c r="F93" s="1406"/>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c r="AP93" s="448"/>
      <c r="AQ93" s="448"/>
      <c r="AR93" s="448"/>
      <c r="AS93" s="448"/>
      <c r="AT93" s="448"/>
      <c r="AU93" s="448"/>
      <c r="AV93" s="448"/>
      <c r="AW93" s="448"/>
      <c r="AX93" s="448"/>
      <c r="AY93" s="448"/>
      <c r="AZ93" s="448"/>
      <c r="BA93" s="448"/>
      <c r="BB93" s="448"/>
      <c r="BC93" s="448"/>
      <c r="BD93" s="448"/>
      <c r="BE93" s="448"/>
      <c r="BF93" s="448"/>
      <c r="BG93" s="448"/>
      <c r="BH93" s="448"/>
      <c r="BI93" s="448"/>
      <c r="BJ93" s="448"/>
      <c r="BK93" s="448"/>
      <c r="BL93" s="448"/>
      <c r="BM93" s="448"/>
      <c r="BN93" s="448"/>
      <c r="BO93" s="448"/>
      <c r="BP93" s="448"/>
      <c r="BQ93" s="448"/>
      <c r="BR93" s="448"/>
    </row>
    <row r="94" spans="1:70" s="448" customFormat="1" ht="21" customHeight="1" thickBot="1" x14ac:dyDescent="0.25">
      <c r="A94" s="1764"/>
      <c r="B94" s="1776" t="s">
        <v>5677</v>
      </c>
      <c r="C94" s="1777"/>
      <c r="D94" s="1777"/>
      <c r="E94" s="1777"/>
      <c r="F94" s="1406"/>
    </row>
    <row r="95" spans="1:70" s="448" customFormat="1" ht="18" customHeight="1" x14ac:dyDescent="0.2">
      <c r="A95" s="1764"/>
      <c r="B95" s="1780" t="s">
        <v>2326</v>
      </c>
      <c r="C95" s="1781"/>
      <c r="D95" s="1781"/>
      <c r="E95" s="1781"/>
      <c r="F95" s="1488"/>
    </row>
    <row r="96" spans="1:70" s="448" customFormat="1" ht="18" customHeight="1" x14ac:dyDescent="0.2">
      <c r="A96" s="1764"/>
      <c r="B96" s="1772" t="s">
        <v>2327</v>
      </c>
      <c r="C96" s="1773"/>
      <c r="D96" s="1773"/>
      <c r="E96" s="1773"/>
      <c r="F96" s="1488"/>
    </row>
    <row r="97" spans="1:70" s="448" customFormat="1" ht="18" customHeight="1" x14ac:dyDescent="0.2">
      <c r="A97" s="1764"/>
      <c r="B97" s="1772" t="s">
        <v>2328</v>
      </c>
      <c r="C97" s="1773"/>
      <c r="D97" s="1773"/>
      <c r="E97" s="1773"/>
      <c r="F97" s="1488"/>
    </row>
    <row r="98" spans="1:70" s="448" customFormat="1" ht="18" customHeight="1" thickBot="1" x14ac:dyDescent="0.25">
      <c r="A98" s="1764"/>
      <c r="B98" s="1772" t="s">
        <v>2329</v>
      </c>
      <c r="C98" s="1773"/>
      <c r="D98" s="1773"/>
      <c r="E98" s="1773"/>
      <c r="F98" s="1488"/>
    </row>
    <row r="99" spans="1:70" s="448" customFormat="1" ht="30" customHeight="1" thickBot="1" x14ac:dyDescent="0.25">
      <c r="A99" s="1764"/>
      <c r="B99" s="1776" t="s">
        <v>5703</v>
      </c>
      <c r="C99" s="1777"/>
      <c r="D99" s="1777"/>
      <c r="E99" s="1777"/>
      <c r="F99" s="1406"/>
    </row>
    <row r="100" spans="1:70" s="448" customFormat="1" ht="18" customHeight="1" thickBot="1" x14ac:dyDescent="0.25">
      <c r="A100" s="1764"/>
      <c r="B100" s="446"/>
      <c r="C100" s="103" t="s">
        <v>38</v>
      </c>
      <c r="D100" s="102" t="s">
        <v>39</v>
      </c>
      <c r="E100" s="1350" t="s">
        <v>40</v>
      </c>
      <c r="F100" s="1406"/>
    </row>
    <row r="101" spans="1:70" s="448" customFormat="1" ht="30" customHeight="1" x14ac:dyDescent="0.2">
      <c r="A101" s="1764"/>
      <c r="B101" s="105" t="s">
        <v>1883</v>
      </c>
      <c r="C101" s="95" t="s">
        <v>1884</v>
      </c>
      <c r="D101" s="95" t="s">
        <v>1885</v>
      </c>
      <c r="E101" s="1351" t="s">
        <v>1886</v>
      </c>
      <c r="F101" s="1493">
        <v>0</v>
      </c>
    </row>
    <row r="102" spans="1:70" s="448" customFormat="1" ht="18" customHeight="1" x14ac:dyDescent="0.2">
      <c r="A102" s="1764"/>
      <c r="B102" s="105" t="s">
        <v>156</v>
      </c>
      <c r="C102" s="99" t="s">
        <v>252</v>
      </c>
      <c r="D102" s="99" t="s">
        <v>251</v>
      </c>
      <c r="E102" s="100" t="s">
        <v>253</v>
      </c>
      <c r="F102" s="1493">
        <v>0</v>
      </c>
    </row>
    <row r="103" spans="1:70" s="448" customFormat="1" ht="18" customHeight="1" x14ac:dyDescent="0.2">
      <c r="A103" s="1764"/>
      <c r="B103" s="105" t="s">
        <v>157</v>
      </c>
      <c r="C103" s="104" t="s">
        <v>158</v>
      </c>
      <c r="D103" s="104" t="s">
        <v>159</v>
      </c>
      <c r="E103" s="98" t="s">
        <v>1261</v>
      </c>
      <c r="F103" s="1493">
        <v>0</v>
      </c>
    </row>
    <row r="104" spans="1:70" s="448" customFormat="1" ht="18" customHeight="1" thickBot="1" x14ac:dyDescent="0.25">
      <c r="A104" s="1764"/>
      <c r="B104" s="1766" t="s">
        <v>5680</v>
      </c>
      <c r="C104" s="1767"/>
      <c r="D104" s="1767"/>
      <c r="E104" s="1768"/>
      <c r="F104" s="1490">
        <f>SUM(F101:F103)</f>
        <v>0</v>
      </c>
    </row>
    <row r="105" spans="1:70" s="1264" customFormat="1" ht="21" customHeight="1" thickBot="1" x14ac:dyDescent="0.25">
      <c r="A105" s="1765"/>
      <c r="B105" s="1774"/>
      <c r="C105" s="1775"/>
      <c r="D105" s="1775"/>
      <c r="E105" s="1436" t="s">
        <v>2372</v>
      </c>
      <c r="F105" s="1491">
        <f>F104/9</f>
        <v>0</v>
      </c>
      <c r="G105" s="1394"/>
      <c r="H105" s="1394"/>
      <c r="I105" s="1394"/>
      <c r="J105" s="1394"/>
      <c r="K105" s="1394"/>
      <c r="L105" s="1394"/>
      <c r="M105" s="1394"/>
      <c r="N105" s="1394"/>
      <c r="O105" s="1394"/>
      <c r="P105" s="1394"/>
      <c r="Q105" s="1394"/>
      <c r="R105" s="1394"/>
      <c r="S105" s="1394"/>
      <c r="T105" s="1394"/>
      <c r="U105" s="1394"/>
      <c r="V105" s="1394"/>
      <c r="W105" s="1394"/>
      <c r="X105" s="1394"/>
      <c r="Y105" s="1394"/>
      <c r="Z105" s="1394"/>
      <c r="AA105" s="1394"/>
      <c r="AB105" s="1394"/>
      <c r="AC105" s="1394"/>
      <c r="AD105" s="1394"/>
      <c r="AE105" s="1394"/>
      <c r="AF105" s="1394"/>
      <c r="AG105" s="1394"/>
      <c r="AH105" s="1394"/>
      <c r="AI105" s="1394"/>
      <c r="AJ105" s="1394"/>
      <c r="AK105" s="1394"/>
      <c r="AL105" s="1394"/>
      <c r="AM105" s="1394"/>
      <c r="AN105" s="1394"/>
      <c r="AO105" s="1394"/>
      <c r="AP105" s="1394"/>
      <c r="AQ105" s="1394"/>
      <c r="AR105" s="1394"/>
      <c r="AS105" s="1394"/>
      <c r="AT105" s="1394"/>
      <c r="AU105" s="1394"/>
      <c r="AV105" s="1394"/>
      <c r="AW105" s="1394"/>
      <c r="AX105" s="1394"/>
      <c r="AY105" s="1394"/>
      <c r="AZ105" s="1394"/>
      <c r="BA105" s="1394"/>
      <c r="BB105" s="1394"/>
      <c r="BC105" s="1394"/>
      <c r="BD105" s="1394"/>
      <c r="BE105" s="1394"/>
      <c r="BF105" s="1394"/>
      <c r="BG105" s="1394"/>
      <c r="BH105" s="1394"/>
      <c r="BI105" s="1394"/>
      <c r="BJ105" s="1394"/>
      <c r="BK105" s="1394"/>
      <c r="BL105" s="1394"/>
      <c r="BM105" s="1394"/>
      <c r="BN105" s="1394"/>
      <c r="BO105" s="1394"/>
      <c r="BP105" s="1394"/>
      <c r="BQ105" s="1394"/>
      <c r="BR105" s="1394"/>
    </row>
    <row r="106" spans="1:70" s="447" customFormat="1" ht="24" customHeight="1" thickBot="1" x14ac:dyDescent="0.25">
      <c r="A106" s="1763" t="s">
        <v>143</v>
      </c>
      <c r="B106" s="1770" t="s">
        <v>857</v>
      </c>
      <c r="C106" s="1771"/>
      <c r="D106" s="1771"/>
      <c r="E106" s="1771"/>
      <c r="F106" s="1406"/>
      <c r="G106" s="448"/>
      <c r="H106" s="448"/>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48"/>
      <c r="BB106" s="448"/>
      <c r="BC106" s="448"/>
      <c r="BD106" s="448"/>
      <c r="BE106" s="448"/>
      <c r="BF106" s="448"/>
      <c r="BG106" s="448"/>
      <c r="BH106" s="448"/>
      <c r="BI106" s="448"/>
      <c r="BJ106" s="448"/>
      <c r="BK106" s="448"/>
      <c r="BL106" s="448"/>
      <c r="BM106" s="448"/>
      <c r="BN106" s="448"/>
      <c r="BO106" s="448"/>
      <c r="BP106" s="448"/>
      <c r="BQ106" s="448"/>
      <c r="BR106" s="448"/>
    </row>
    <row r="107" spans="1:70" s="448" customFormat="1" ht="21" customHeight="1" thickBot="1" x14ac:dyDescent="0.25">
      <c r="A107" s="1764"/>
      <c r="B107" s="1776" t="s">
        <v>5678</v>
      </c>
      <c r="C107" s="1777"/>
      <c r="D107" s="1777"/>
      <c r="E107" s="1777"/>
      <c r="F107" s="1406"/>
    </row>
    <row r="108" spans="1:70" s="448" customFormat="1" ht="18" customHeight="1" x14ac:dyDescent="0.2">
      <c r="A108" s="1764"/>
      <c r="B108" s="1780" t="s">
        <v>2330</v>
      </c>
      <c r="C108" s="1781"/>
      <c r="D108" s="1781"/>
      <c r="E108" s="1781"/>
      <c r="F108" s="1488"/>
    </row>
    <row r="109" spans="1:70" s="448" customFormat="1" ht="18" customHeight="1" x14ac:dyDescent="0.2">
      <c r="A109" s="1764"/>
      <c r="B109" s="1772" t="s">
        <v>2331</v>
      </c>
      <c r="C109" s="1773"/>
      <c r="D109" s="1773"/>
      <c r="E109" s="1773"/>
      <c r="F109" s="1488"/>
    </row>
    <row r="110" spans="1:70" s="448" customFormat="1" ht="18" customHeight="1" x14ac:dyDescent="0.2">
      <c r="A110" s="1764"/>
      <c r="B110" s="1772" t="s">
        <v>2332</v>
      </c>
      <c r="C110" s="1773"/>
      <c r="D110" s="1773"/>
      <c r="E110" s="1773"/>
      <c r="F110" s="1488"/>
    </row>
    <row r="111" spans="1:70" s="448" customFormat="1" ht="18" customHeight="1" x14ac:dyDescent="0.2">
      <c r="A111" s="1764"/>
      <c r="B111" s="1772" t="s">
        <v>2333</v>
      </c>
      <c r="C111" s="1773"/>
      <c r="D111" s="1773"/>
      <c r="E111" s="1773"/>
      <c r="F111" s="1488"/>
    </row>
    <row r="112" spans="1:70" s="448" customFormat="1" ht="18" customHeight="1" x14ac:dyDescent="0.2">
      <c r="A112" s="1764"/>
      <c r="B112" s="1772" t="s">
        <v>2334</v>
      </c>
      <c r="C112" s="1773"/>
      <c r="D112" s="1773"/>
      <c r="E112" s="1773"/>
      <c r="F112" s="1488"/>
    </row>
    <row r="113" spans="1:70" s="448" customFormat="1" ht="18" customHeight="1" x14ac:dyDescent="0.2">
      <c r="A113" s="1764"/>
      <c r="B113" s="1772" t="s">
        <v>2335</v>
      </c>
      <c r="C113" s="1773"/>
      <c r="D113" s="1773"/>
      <c r="E113" s="1773"/>
      <c r="F113" s="1488"/>
    </row>
    <row r="114" spans="1:70" s="448" customFormat="1" ht="18" customHeight="1" x14ac:dyDescent="0.2">
      <c r="A114" s="1764"/>
      <c r="B114" s="1772" t="s">
        <v>2336</v>
      </c>
      <c r="C114" s="1773"/>
      <c r="D114" s="1773"/>
      <c r="E114" s="1773"/>
      <c r="F114" s="1488"/>
    </row>
    <row r="115" spans="1:70" s="448" customFormat="1" ht="18" customHeight="1" thickBot="1" x14ac:dyDescent="0.25">
      <c r="A115" s="1764"/>
      <c r="B115" s="1772" t="s">
        <v>2337</v>
      </c>
      <c r="C115" s="1773"/>
      <c r="D115" s="1773"/>
      <c r="E115" s="1773"/>
      <c r="F115" s="1488"/>
    </row>
    <row r="116" spans="1:70" s="448" customFormat="1" ht="30" customHeight="1" thickBot="1" x14ac:dyDescent="0.25">
      <c r="A116" s="1764"/>
      <c r="B116" s="1776" t="s">
        <v>5704</v>
      </c>
      <c r="C116" s="1771"/>
      <c r="D116" s="1771"/>
      <c r="E116" s="1771"/>
      <c r="F116" s="1406"/>
    </row>
    <row r="117" spans="1:70" s="448" customFormat="1" ht="18" customHeight="1" thickBot="1" x14ac:dyDescent="0.25">
      <c r="A117" s="1764"/>
      <c r="B117" s="446"/>
      <c r="C117" s="103" t="s">
        <v>38</v>
      </c>
      <c r="D117" s="102" t="s">
        <v>39</v>
      </c>
      <c r="E117" s="1350" t="s">
        <v>40</v>
      </c>
      <c r="F117" s="1406"/>
    </row>
    <row r="118" spans="1:70" s="448" customFormat="1" ht="30" customHeight="1" x14ac:dyDescent="0.2">
      <c r="A118" s="1764"/>
      <c r="B118" s="105" t="s">
        <v>160</v>
      </c>
      <c r="C118" s="99" t="s">
        <v>26</v>
      </c>
      <c r="D118" s="99" t="s">
        <v>27</v>
      </c>
      <c r="E118" s="1352" t="s">
        <v>28</v>
      </c>
      <c r="F118" s="1489">
        <v>0</v>
      </c>
    </row>
    <row r="119" spans="1:70" s="448" customFormat="1" ht="18" customHeight="1" x14ac:dyDescent="0.2">
      <c r="A119" s="1764"/>
      <c r="B119" s="105" t="s">
        <v>161</v>
      </c>
      <c r="C119" s="99" t="s">
        <v>162</v>
      </c>
      <c r="D119" s="99" t="s">
        <v>163</v>
      </c>
      <c r="E119" s="100" t="s">
        <v>164</v>
      </c>
      <c r="F119" s="1489">
        <v>0</v>
      </c>
    </row>
    <row r="120" spans="1:70" s="448" customFormat="1" ht="18" customHeight="1" x14ac:dyDescent="0.2">
      <c r="A120" s="1764"/>
      <c r="B120" s="105" t="s">
        <v>1797</v>
      </c>
      <c r="C120" s="99" t="s">
        <v>252</v>
      </c>
      <c r="D120" s="99" t="s">
        <v>251</v>
      </c>
      <c r="E120" s="100" t="s">
        <v>253</v>
      </c>
      <c r="F120" s="1489">
        <v>0</v>
      </c>
    </row>
    <row r="121" spans="1:70" s="448" customFormat="1" ht="18" customHeight="1" thickBot="1" x14ac:dyDescent="0.25">
      <c r="A121" s="1764"/>
      <c r="B121" s="106" t="s">
        <v>165</v>
      </c>
      <c r="C121" s="107" t="s">
        <v>908</v>
      </c>
      <c r="D121" s="107" t="s">
        <v>909</v>
      </c>
      <c r="E121" s="98" t="s">
        <v>1261</v>
      </c>
      <c r="F121" s="1489">
        <v>0</v>
      </c>
    </row>
    <row r="122" spans="1:70" s="448" customFormat="1" ht="30" customHeight="1" thickBot="1" x14ac:dyDescent="0.25">
      <c r="A122" s="1764"/>
      <c r="B122" s="1782" t="s">
        <v>1887</v>
      </c>
      <c r="C122" s="1771"/>
      <c r="D122" s="1783"/>
      <c r="E122" s="1407" t="s">
        <v>5680</v>
      </c>
      <c r="F122" s="1490">
        <f>SUM(F118:F121)</f>
        <v>0</v>
      </c>
    </row>
    <row r="123" spans="1:70" s="1264" customFormat="1" ht="21" customHeight="1" thickBot="1" x14ac:dyDescent="0.25">
      <c r="A123" s="1765"/>
      <c r="B123" s="1774"/>
      <c r="C123" s="1775"/>
      <c r="D123" s="1775"/>
      <c r="E123" s="1436" t="s">
        <v>2372</v>
      </c>
      <c r="F123" s="1491">
        <f>F122/12</f>
        <v>0</v>
      </c>
      <c r="G123" s="1394"/>
      <c r="H123" s="1394"/>
      <c r="I123" s="1394"/>
      <c r="J123" s="1394"/>
      <c r="K123" s="1394"/>
      <c r="L123" s="1394"/>
      <c r="M123" s="1394"/>
      <c r="N123" s="1394"/>
      <c r="O123" s="1394"/>
      <c r="P123" s="1394"/>
      <c r="Q123" s="1394"/>
      <c r="R123" s="1394"/>
      <c r="S123" s="1394"/>
      <c r="T123" s="1394"/>
      <c r="U123" s="1394"/>
      <c r="V123" s="1394"/>
      <c r="W123" s="1394"/>
      <c r="X123" s="1394"/>
      <c r="Y123" s="1394"/>
      <c r="Z123" s="1394"/>
      <c r="AA123" s="1394"/>
      <c r="AB123" s="1394"/>
      <c r="AC123" s="1394"/>
      <c r="AD123" s="1394"/>
      <c r="AE123" s="1394"/>
      <c r="AF123" s="1394"/>
      <c r="AG123" s="1394"/>
      <c r="AH123" s="1394"/>
      <c r="AI123" s="1394"/>
      <c r="AJ123" s="1394"/>
      <c r="AK123" s="1394"/>
      <c r="AL123" s="1394"/>
      <c r="AM123" s="1394"/>
      <c r="AN123" s="1394"/>
      <c r="AO123" s="1394"/>
      <c r="AP123" s="1394"/>
      <c r="AQ123" s="1394"/>
      <c r="AR123" s="1394"/>
      <c r="AS123" s="1394"/>
      <c r="AT123" s="1394"/>
      <c r="AU123" s="1394"/>
      <c r="AV123" s="1394"/>
      <c r="AW123" s="1394"/>
      <c r="AX123" s="1394"/>
      <c r="AY123" s="1394"/>
      <c r="AZ123" s="1394"/>
      <c r="BA123" s="1394"/>
      <c r="BB123" s="1394"/>
      <c r="BC123" s="1394"/>
      <c r="BD123" s="1394"/>
      <c r="BE123" s="1394"/>
      <c r="BF123" s="1394"/>
      <c r="BG123" s="1394"/>
      <c r="BH123" s="1394"/>
      <c r="BI123" s="1394"/>
      <c r="BJ123" s="1394"/>
      <c r="BK123" s="1394"/>
      <c r="BL123" s="1394"/>
      <c r="BM123" s="1394"/>
      <c r="BN123" s="1394"/>
      <c r="BO123" s="1394"/>
      <c r="BP123" s="1394"/>
      <c r="BQ123" s="1394"/>
      <c r="BR123" s="1394"/>
    </row>
    <row r="124" spans="1:70" s="447" customFormat="1" ht="24" customHeight="1" thickBot="1" x14ac:dyDescent="0.25">
      <c r="A124" s="1763" t="s">
        <v>37</v>
      </c>
      <c r="B124" s="1770" t="s">
        <v>580</v>
      </c>
      <c r="C124" s="1771"/>
      <c r="D124" s="1771"/>
      <c r="E124" s="1771"/>
      <c r="F124" s="1406"/>
      <c r="G124" s="448"/>
      <c r="H124" s="448"/>
      <c r="I124" s="448"/>
      <c r="J124" s="448"/>
      <c r="K124" s="448"/>
      <c r="L124" s="448"/>
      <c r="M124" s="448"/>
      <c r="N124" s="448"/>
      <c r="O124" s="448"/>
      <c r="P124" s="448"/>
      <c r="Q124" s="448"/>
      <c r="R124" s="448"/>
      <c r="S124" s="448"/>
      <c r="T124" s="448"/>
      <c r="U124" s="448"/>
      <c r="V124" s="448"/>
      <c r="W124" s="448"/>
      <c r="X124" s="448"/>
      <c r="Y124" s="448"/>
      <c r="Z124" s="448"/>
      <c r="AA124" s="448"/>
      <c r="AB124" s="448"/>
      <c r="AC124" s="448"/>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8"/>
      <c r="BB124" s="448"/>
      <c r="BC124" s="448"/>
      <c r="BD124" s="448"/>
      <c r="BE124" s="448"/>
      <c r="BF124" s="448"/>
      <c r="BG124" s="448"/>
      <c r="BH124" s="448"/>
      <c r="BI124" s="448"/>
      <c r="BJ124" s="448"/>
      <c r="BK124" s="448"/>
      <c r="BL124" s="448"/>
      <c r="BM124" s="448"/>
      <c r="BN124" s="448"/>
      <c r="BO124" s="448"/>
      <c r="BP124" s="448"/>
      <c r="BQ124" s="448"/>
      <c r="BR124" s="448"/>
    </row>
    <row r="125" spans="1:70" s="448" customFormat="1" ht="30" customHeight="1" thickBot="1" x14ac:dyDescent="0.25">
      <c r="A125" s="1764"/>
      <c r="B125" s="1776" t="s">
        <v>5679</v>
      </c>
      <c r="C125" s="1777"/>
      <c r="D125" s="1777"/>
      <c r="E125" s="1777"/>
      <c r="F125" s="1406"/>
    </row>
    <row r="126" spans="1:70" s="448" customFormat="1" ht="18" customHeight="1" x14ac:dyDescent="0.2">
      <c r="A126" s="1764"/>
      <c r="B126" s="1780" t="s">
        <v>2338</v>
      </c>
      <c r="C126" s="1781"/>
      <c r="D126" s="1781"/>
      <c r="E126" s="1781"/>
      <c r="F126" s="1488"/>
    </row>
    <row r="127" spans="1:70" s="448" customFormat="1" ht="18" customHeight="1" x14ac:dyDescent="0.2">
      <c r="A127" s="1764"/>
      <c r="B127" s="1772" t="s">
        <v>2339</v>
      </c>
      <c r="C127" s="1773"/>
      <c r="D127" s="1773"/>
      <c r="E127" s="1773"/>
      <c r="F127" s="1488"/>
    </row>
    <row r="128" spans="1:70" s="448" customFormat="1" ht="18" customHeight="1" x14ac:dyDescent="0.2">
      <c r="A128" s="1764"/>
      <c r="B128" s="1772" t="s">
        <v>2340</v>
      </c>
      <c r="C128" s="1773"/>
      <c r="D128" s="1773"/>
      <c r="E128" s="1773"/>
      <c r="F128" s="1488"/>
    </row>
    <row r="129" spans="1:70" s="448" customFormat="1" ht="18" customHeight="1" x14ac:dyDescent="0.2">
      <c r="A129" s="1764"/>
      <c r="B129" s="1772" t="s">
        <v>2341</v>
      </c>
      <c r="C129" s="1773"/>
      <c r="D129" s="1773"/>
      <c r="E129" s="1773"/>
      <c r="F129" s="1488"/>
    </row>
    <row r="130" spans="1:70" s="448" customFormat="1" ht="18" customHeight="1" x14ac:dyDescent="0.2">
      <c r="A130" s="1764"/>
      <c r="B130" s="1772" t="s">
        <v>2342</v>
      </c>
      <c r="C130" s="1773"/>
      <c r="D130" s="1773"/>
      <c r="E130" s="1773"/>
      <c r="F130" s="1488"/>
    </row>
    <row r="131" spans="1:70" s="448" customFormat="1" ht="18" customHeight="1" x14ac:dyDescent="0.2">
      <c r="A131" s="1764"/>
      <c r="B131" s="1772" t="s">
        <v>2343</v>
      </c>
      <c r="C131" s="1773"/>
      <c r="D131" s="1773"/>
      <c r="E131" s="1773"/>
      <c r="F131" s="1488"/>
    </row>
    <row r="132" spans="1:70" s="448" customFormat="1" ht="18" customHeight="1" x14ac:dyDescent="0.2">
      <c r="A132" s="1764"/>
      <c r="B132" s="1772" t="s">
        <v>2344</v>
      </c>
      <c r="C132" s="1773"/>
      <c r="D132" s="1773"/>
      <c r="E132" s="1773"/>
      <c r="F132" s="1488"/>
    </row>
    <row r="133" spans="1:70" s="448" customFormat="1" ht="18" customHeight="1" thickBot="1" x14ac:dyDescent="0.25">
      <c r="A133" s="1764"/>
      <c r="B133" s="1772" t="s">
        <v>2345</v>
      </c>
      <c r="C133" s="1773"/>
      <c r="D133" s="1773"/>
      <c r="E133" s="1773"/>
      <c r="F133" s="1488"/>
    </row>
    <row r="134" spans="1:70" s="448" customFormat="1" ht="30" customHeight="1" thickBot="1" x14ac:dyDescent="0.25">
      <c r="A134" s="1764"/>
      <c r="B134" s="1776" t="s">
        <v>5705</v>
      </c>
      <c r="C134" s="1777"/>
      <c r="D134" s="1777"/>
      <c r="E134" s="1777"/>
      <c r="F134" s="1406"/>
    </row>
    <row r="135" spans="1:70" s="448" customFormat="1" ht="18" customHeight="1" thickBot="1" x14ac:dyDescent="0.25">
      <c r="A135" s="1764"/>
      <c r="B135" s="446"/>
      <c r="C135" s="103" t="s">
        <v>38</v>
      </c>
      <c r="D135" s="102" t="s">
        <v>39</v>
      </c>
      <c r="E135" s="1350" t="s">
        <v>40</v>
      </c>
      <c r="F135" s="1406"/>
    </row>
    <row r="136" spans="1:70" s="448" customFormat="1" ht="24.75" customHeight="1" x14ac:dyDescent="0.2">
      <c r="A136" s="1764"/>
      <c r="B136" s="105" t="s">
        <v>579</v>
      </c>
      <c r="C136" s="108" t="s">
        <v>1781</v>
      </c>
      <c r="D136" s="95" t="s">
        <v>1782</v>
      </c>
      <c r="E136" s="1351" t="s">
        <v>1783</v>
      </c>
      <c r="F136" s="1489">
        <v>0</v>
      </c>
    </row>
    <row r="137" spans="1:70" s="448" customFormat="1" ht="18" customHeight="1" x14ac:dyDescent="0.2">
      <c r="A137" s="1764"/>
      <c r="B137" s="105" t="s">
        <v>1798</v>
      </c>
      <c r="C137" s="108" t="s">
        <v>162</v>
      </c>
      <c r="D137" s="95" t="s">
        <v>163</v>
      </c>
      <c r="E137" s="96" t="s">
        <v>164</v>
      </c>
      <c r="F137" s="1489">
        <v>0</v>
      </c>
    </row>
    <row r="138" spans="1:70" s="448" customFormat="1" ht="18" customHeight="1" x14ac:dyDescent="0.2">
      <c r="A138" s="1764"/>
      <c r="B138" s="105" t="s">
        <v>281</v>
      </c>
      <c r="C138" s="108" t="s">
        <v>910</v>
      </c>
      <c r="D138" s="95" t="s">
        <v>911</v>
      </c>
      <c r="E138" s="96" t="s">
        <v>912</v>
      </c>
      <c r="F138" s="1489">
        <v>0</v>
      </c>
    </row>
    <row r="139" spans="1:70" s="448" customFormat="1" ht="18" customHeight="1" x14ac:dyDescent="0.2">
      <c r="A139" s="1764"/>
      <c r="B139" s="105" t="s">
        <v>282</v>
      </c>
      <c r="C139" s="108" t="s">
        <v>252</v>
      </c>
      <c r="D139" s="95" t="s">
        <v>251</v>
      </c>
      <c r="E139" s="96" t="s">
        <v>243</v>
      </c>
      <c r="F139" s="1489">
        <v>0</v>
      </c>
    </row>
    <row r="140" spans="1:70" s="448" customFormat="1" ht="18" customHeight="1" thickBot="1" x14ac:dyDescent="0.25">
      <c r="A140" s="1764"/>
      <c r="B140" s="1766" t="s">
        <v>5680</v>
      </c>
      <c r="C140" s="1767"/>
      <c r="D140" s="1767"/>
      <c r="E140" s="1768"/>
      <c r="F140" s="1490">
        <f>SUM(F136:F139)</f>
        <v>0</v>
      </c>
    </row>
    <row r="141" spans="1:70" s="1264" customFormat="1" ht="21" customHeight="1" thickBot="1" x14ac:dyDescent="0.25">
      <c r="A141" s="1765"/>
      <c r="B141" s="1774"/>
      <c r="C141" s="1775"/>
      <c r="D141" s="1775"/>
      <c r="E141" s="1436" t="s">
        <v>2372</v>
      </c>
      <c r="F141" s="1491">
        <f>F140/12</f>
        <v>0</v>
      </c>
      <c r="G141" s="1394"/>
      <c r="H141" s="1394"/>
      <c r="I141" s="1394"/>
      <c r="J141" s="1394"/>
      <c r="K141" s="1394"/>
      <c r="L141" s="1394"/>
      <c r="M141" s="1394"/>
      <c r="N141" s="1394"/>
      <c r="O141" s="1394"/>
      <c r="P141" s="1394"/>
      <c r="Q141" s="1394"/>
      <c r="R141" s="1394"/>
      <c r="S141" s="1394"/>
      <c r="T141" s="1394"/>
      <c r="U141" s="1394"/>
      <c r="V141" s="1394"/>
      <c r="W141" s="1394"/>
      <c r="X141" s="1394"/>
      <c r="Y141" s="1394"/>
      <c r="Z141" s="1394"/>
      <c r="AA141" s="1394"/>
      <c r="AB141" s="1394"/>
      <c r="AC141" s="1394"/>
      <c r="AD141" s="1394"/>
      <c r="AE141" s="1394"/>
      <c r="AF141" s="1394"/>
      <c r="AG141" s="1394"/>
      <c r="AH141" s="1394"/>
      <c r="AI141" s="1394"/>
      <c r="AJ141" s="1394"/>
      <c r="AK141" s="1394"/>
      <c r="AL141" s="1394"/>
      <c r="AM141" s="1394"/>
      <c r="AN141" s="1394"/>
      <c r="AO141" s="1394"/>
      <c r="AP141" s="1394"/>
      <c r="AQ141" s="1394"/>
      <c r="AR141" s="1394"/>
      <c r="AS141" s="1394"/>
      <c r="AT141" s="1394"/>
      <c r="AU141" s="1394"/>
      <c r="AV141" s="1394"/>
      <c r="AW141" s="1394"/>
      <c r="AX141" s="1394"/>
      <c r="AY141" s="1394"/>
      <c r="AZ141" s="1394"/>
      <c r="BA141" s="1394"/>
      <c r="BB141" s="1394"/>
      <c r="BC141" s="1394"/>
      <c r="BD141" s="1394"/>
      <c r="BE141" s="1394"/>
      <c r="BF141" s="1394"/>
      <c r="BG141" s="1394"/>
      <c r="BH141" s="1394"/>
      <c r="BI141" s="1394"/>
      <c r="BJ141" s="1394"/>
      <c r="BK141" s="1394"/>
      <c r="BL141" s="1394"/>
      <c r="BM141" s="1394"/>
      <c r="BN141" s="1394"/>
      <c r="BO141" s="1394"/>
      <c r="BP141" s="1394"/>
      <c r="BQ141" s="1394"/>
      <c r="BR141" s="1394"/>
    </row>
    <row r="142" spans="1:70" hidden="1" x14ac:dyDescent="0.2"/>
  </sheetData>
  <sheetProtection algorithmName="SHA-512" hashValue="gyW0Uu2VTur12TF7X1z30jTX2t5eCFZooPJcjUqJ5WU948jzC0xDGZuUll6nZdx3iWwQPIQP32r5glf6+k3KuQ==" saltValue="qx7NYlrCFrFRkZdg4boDNQ==" spinCount="100000" sheet="1" formatCells="0" formatColumns="0" formatRows="0"/>
  <sortState xmlns:xlrd2="http://schemas.microsoft.com/office/spreadsheetml/2017/richdata2" columnSort="1" ref="G2:DU147">
    <sortCondition ref="G2:DU2"/>
  </sortState>
  <customSheetViews>
    <customSheetView guid="{B8E02330-2419-4DE6-AD01-7ACC7A5D18DD}" topLeftCell="A2">
      <selection activeCell="B157" sqref="B157:E157"/>
      <rowBreaks count="4" manualBreakCount="4">
        <brk id="36" max="5" man="1"/>
        <brk id="70" max="5" man="1"/>
        <brk id="109" max="16383" man="1"/>
        <brk id="148" max="16383" man="1"/>
      </rowBreaks>
      <pageMargins left="0.25" right="0.25" top="0.75" bottom="0.75" header="0.3" footer="0.3"/>
      <printOptions horizontalCentered="1"/>
      <pageSetup scale="75" orientation="portrait" r:id="rId1"/>
      <headerFooter alignWithMargins="0">
        <oddFooter>&amp;CWESPUS betaV1, by Dr. Paul Adamus</oddFooter>
      </headerFooter>
    </customSheetView>
  </customSheetViews>
  <mergeCells count="107">
    <mergeCell ref="B64:D64"/>
    <mergeCell ref="A93:A105"/>
    <mergeCell ref="B93:E93"/>
    <mergeCell ref="B94:E94"/>
    <mergeCell ref="B95:E95"/>
    <mergeCell ref="B96:E96"/>
    <mergeCell ref="B97:E97"/>
    <mergeCell ref="B105:D105"/>
    <mergeCell ref="B98:E98"/>
    <mergeCell ref="B99:E99"/>
    <mergeCell ref="A80:A92"/>
    <mergeCell ref="B2:E2"/>
    <mergeCell ref="B3:E3"/>
    <mergeCell ref="B49:D49"/>
    <mergeCell ref="A50:A64"/>
    <mergeCell ref="A65:A79"/>
    <mergeCell ref="A34:A49"/>
    <mergeCell ref="B29:E29"/>
    <mergeCell ref="B60:E60"/>
    <mergeCell ref="B36:E36"/>
    <mergeCell ref="B5:E5"/>
    <mergeCell ref="B4:E4"/>
    <mergeCell ref="B6:E6"/>
    <mergeCell ref="A19:A33"/>
    <mergeCell ref="B7:E7"/>
    <mergeCell ref="B19:E19"/>
    <mergeCell ref="B20:E20"/>
    <mergeCell ref="B25:E25"/>
    <mergeCell ref="B22:E22"/>
    <mergeCell ref="B8:E8"/>
    <mergeCell ref="A2:A18"/>
    <mergeCell ref="B14:E14"/>
    <mergeCell ref="B65:E65"/>
    <mergeCell ref="B45:E45"/>
    <mergeCell ref="B69:E69"/>
    <mergeCell ref="B9:E9"/>
    <mergeCell ref="B37:E37"/>
    <mergeCell ref="B55:E55"/>
    <mergeCell ref="B21:E21"/>
    <mergeCell ref="B10:E10"/>
    <mergeCell ref="B39:E39"/>
    <mergeCell ref="B38:E38"/>
    <mergeCell ref="B24:E24"/>
    <mergeCell ref="B18:D18"/>
    <mergeCell ref="B23:E23"/>
    <mergeCell ref="B52:E52"/>
    <mergeCell ref="B41:E41"/>
    <mergeCell ref="B54:E54"/>
    <mergeCell ref="B53:E53"/>
    <mergeCell ref="B134:E134"/>
    <mergeCell ref="B116:E116"/>
    <mergeCell ref="B113:E113"/>
    <mergeCell ref="B130:E130"/>
    <mergeCell ref="B122:D122"/>
    <mergeCell ref="B115:E115"/>
    <mergeCell ref="B140:E140"/>
    <mergeCell ref="B35:E35"/>
    <mergeCell ref="B33:D33"/>
    <mergeCell ref="B70:E70"/>
    <mergeCell ref="B50:E50"/>
    <mergeCell ref="B51:E51"/>
    <mergeCell ref="B40:E40"/>
    <mergeCell ref="B128:E128"/>
    <mergeCell ref="B56:E56"/>
    <mergeCell ref="B71:E71"/>
    <mergeCell ref="B68:E68"/>
    <mergeCell ref="B63:E63"/>
    <mergeCell ref="B75:E75"/>
    <mergeCell ref="B79:D79"/>
    <mergeCell ref="B82:E82"/>
    <mergeCell ref="B78:E78"/>
    <mergeCell ref="B81:E81"/>
    <mergeCell ref="B67:E67"/>
    <mergeCell ref="B131:E131"/>
    <mergeCell ref="B111:E111"/>
    <mergeCell ref="B112:E112"/>
    <mergeCell ref="B132:E132"/>
    <mergeCell ref="B129:E129"/>
    <mergeCell ref="B133:E133"/>
    <mergeCell ref="B124:E124"/>
    <mergeCell ref="B125:E125"/>
    <mergeCell ref="B126:E126"/>
    <mergeCell ref="B114:E114"/>
    <mergeCell ref="A1:C1"/>
    <mergeCell ref="A106:A123"/>
    <mergeCell ref="A124:A141"/>
    <mergeCell ref="B17:E17"/>
    <mergeCell ref="B32:E32"/>
    <mergeCell ref="B34:E34"/>
    <mergeCell ref="B48:E48"/>
    <mergeCell ref="B106:E106"/>
    <mergeCell ref="B85:E85"/>
    <mergeCell ref="B127:E127"/>
    <mergeCell ref="B123:D123"/>
    <mergeCell ref="B86:E86"/>
    <mergeCell ref="B91:E91"/>
    <mergeCell ref="B80:E80"/>
    <mergeCell ref="B66:E66"/>
    <mergeCell ref="B110:E110"/>
    <mergeCell ref="B108:E108"/>
    <mergeCell ref="B107:E107"/>
    <mergeCell ref="B92:D92"/>
    <mergeCell ref="B83:E83"/>
    <mergeCell ref="B84:E84"/>
    <mergeCell ref="B109:E109"/>
    <mergeCell ref="B104:E104"/>
    <mergeCell ref="B141:D141"/>
  </mergeCells>
  <phoneticPr fontId="20" type="noConversion"/>
  <dataValidations count="2">
    <dataValidation type="whole" allowBlank="1" showInputMessage="1" showErrorMessage="1" sqref="F58:F59 F61:F62 F46:F47 F12:F13 F15:F16 F30:F31 F76:F77 F101:F103 F88:F90 F73:F74 F118:F121 F136:F139 F27:F28 F43:F44" xr:uid="{00000000-0002-0000-0200-000000000000}">
      <formula1>0</formula1>
      <formula2>3</formula2>
    </dataValidation>
    <dataValidation type="textLength" allowBlank="1" showInputMessage="1" showErrorMessage="1" prompt="Mark with X if ongoing or recent" sqref="F4:F9" xr:uid="{00000000-0002-0000-0200-000001000000}">
      <formula1>1</formula1>
      <formula2>1</formula2>
    </dataValidation>
  </dataValidations>
  <printOptions horizontalCentered="1"/>
  <pageMargins left="0.25" right="0.25" top="0.75" bottom="0.75" header="0.3" footer="0.3"/>
  <pageSetup scale="75" orientation="portrait" r:id="rId2"/>
  <headerFooter alignWithMargins="0">
    <oddFooter>&amp;LFieldS form Non-tidal&amp;R&amp;P</oddFooter>
  </headerFooter>
  <rowBreaks count="3" manualBreakCount="3">
    <brk id="33" max="5" man="1"/>
    <brk id="64" max="5" man="1"/>
    <brk id="10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528"/>
  <sheetViews>
    <sheetView topLeftCell="A119" workbookViewId="0">
      <selection activeCell="I127" sqref="I127"/>
    </sheetView>
  </sheetViews>
  <sheetFormatPr defaultColWidth="9.33203125" defaultRowHeight="18" customHeight="1" x14ac:dyDescent="0.2"/>
  <cols>
    <col min="1" max="1" width="206.83203125" style="15" customWidth="1"/>
    <col min="2" max="16384" width="9.33203125" style="1328"/>
  </cols>
  <sheetData>
    <row r="1" spans="1:1" ht="21" customHeight="1" thickBot="1" x14ac:dyDescent="0.25">
      <c r="A1" s="1418" t="s">
        <v>5688</v>
      </c>
    </row>
    <row r="2" spans="1:1" ht="18" customHeight="1" x14ac:dyDescent="0.2">
      <c r="A2" s="145" t="s">
        <v>1373</v>
      </c>
    </row>
    <row r="3" spans="1:1" ht="18" customHeight="1" x14ac:dyDescent="0.2">
      <c r="A3" s="118" t="s">
        <v>1399</v>
      </c>
    </row>
    <row r="4" spans="1:1" ht="18" customHeight="1" x14ac:dyDescent="0.2">
      <c r="A4" s="118" t="s">
        <v>1398</v>
      </c>
    </row>
    <row r="5" spans="1:1" ht="18" customHeight="1" x14ac:dyDescent="0.2">
      <c r="A5" s="118" t="s">
        <v>1714</v>
      </c>
    </row>
    <row r="6" spans="1:1" ht="18" customHeight="1" x14ac:dyDescent="0.2">
      <c r="A6" s="118" t="s">
        <v>1517</v>
      </c>
    </row>
    <row r="7" spans="1:1" ht="18" customHeight="1" x14ac:dyDescent="0.2">
      <c r="A7" s="118" t="s">
        <v>1452</v>
      </c>
    </row>
    <row r="8" spans="1:1" ht="18" customHeight="1" x14ac:dyDescent="0.2">
      <c r="A8" s="116" t="s">
        <v>1374</v>
      </c>
    </row>
    <row r="9" spans="1:1" ht="18" customHeight="1" x14ac:dyDescent="0.2">
      <c r="A9" s="118" t="s">
        <v>1715</v>
      </c>
    </row>
    <row r="10" spans="1:1" ht="18" customHeight="1" x14ac:dyDescent="0.2">
      <c r="A10" s="116" t="s">
        <v>1635</v>
      </c>
    </row>
    <row r="11" spans="1:1" ht="18" customHeight="1" x14ac:dyDescent="0.2">
      <c r="A11" s="116" t="s">
        <v>1636</v>
      </c>
    </row>
    <row r="12" spans="1:1" ht="18" customHeight="1" x14ac:dyDescent="0.2">
      <c r="A12" s="116" t="s">
        <v>1699</v>
      </c>
    </row>
    <row r="13" spans="1:1" ht="18" customHeight="1" x14ac:dyDescent="0.2">
      <c r="A13" s="118" t="s">
        <v>1346</v>
      </c>
    </row>
    <row r="14" spans="1:1" ht="18" customHeight="1" x14ac:dyDescent="0.2">
      <c r="A14" s="118" t="s">
        <v>5429</v>
      </c>
    </row>
    <row r="15" spans="1:1" ht="18" customHeight="1" x14ac:dyDescent="0.2">
      <c r="A15" s="611" t="s">
        <v>1453</v>
      </c>
    </row>
    <row r="16" spans="1:1" ht="18" customHeight="1" x14ac:dyDescent="0.2">
      <c r="A16" s="116" t="s">
        <v>1637</v>
      </c>
    </row>
    <row r="17" spans="1:1" ht="18" customHeight="1" x14ac:dyDescent="0.2">
      <c r="A17" s="116" t="s">
        <v>1638</v>
      </c>
    </row>
    <row r="18" spans="1:1" ht="18" customHeight="1" x14ac:dyDescent="0.2">
      <c r="A18" s="116" t="s">
        <v>1747</v>
      </c>
    </row>
    <row r="19" spans="1:1" ht="18" customHeight="1" x14ac:dyDescent="0.2">
      <c r="A19" s="116" t="s">
        <v>1570</v>
      </c>
    </row>
    <row r="20" spans="1:1" ht="18" customHeight="1" x14ac:dyDescent="0.2">
      <c r="A20" s="118" t="s">
        <v>1576</v>
      </c>
    </row>
    <row r="21" spans="1:1" ht="18" customHeight="1" x14ac:dyDescent="0.2">
      <c r="A21" s="1409" t="s">
        <v>1639</v>
      </c>
    </row>
    <row r="22" spans="1:1" ht="18" customHeight="1" x14ac:dyDescent="0.2">
      <c r="A22" s="116" t="s">
        <v>2107</v>
      </c>
    </row>
    <row r="23" spans="1:1" ht="18" customHeight="1" x14ac:dyDescent="0.2">
      <c r="A23" s="611" t="s">
        <v>1716</v>
      </c>
    </row>
    <row r="24" spans="1:1" ht="18" customHeight="1" x14ac:dyDescent="0.2">
      <c r="A24" s="118" t="s">
        <v>1717</v>
      </c>
    </row>
    <row r="25" spans="1:1" ht="27" customHeight="1" x14ac:dyDescent="0.2">
      <c r="A25" s="116" t="s">
        <v>1613</v>
      </c>
    </row>
    <row r="26" spans="1:1" ht="18" customHeight="1" x14ac:dyDescent="0.2">
      <c r="A26" s="118" t="s">
        <v>1413</v>
      </c>
    </row>
    <row r="27" spans="1:1" ht="18" customHeight="1" x14ac:dyDescent="0.2">
      <c r="A27" s="116" t="s">
        <v>1640</v>
      </c>
    </row>
    <row r="28" spans="1:1" ht="18" customHeight="1" x14ac:dyDescent="0.2">
      <c r="A28" s="118" t="s">
        <v>1577</v>
      </c>
    </row>
    <row r="29" spans="1:1" ht="18" customHeight="1" x14ac:dyDescent="0.2">
      <c r="A29" s="118" t="s">
        <v>1718</v>
      </c>
    </row>
    <row r="30" spans="1:1" ht="18" customHeight="1" x14ac:dyDescent="0.2">
      <c r="A30" s="118" t="s">
        <v>1719</v>
      </c>
    </row>
    <row r="31" spans="1:1" ht="18" customHeight="1" x14ac:dyDescent="0.2">
      <c r="A31" s="118" t="s">
        <v>1414</v>
      </c>
    </row>
    <row r="32" spans="1:1" ht="18" customHeight="1" x14ac:dyDescent="0.2">
      <c r="A32" s="611" t="s">
        <v>1720</v>
      </c>
    </row>
    <row r="33" spans="1:1" ht="18" customHeight="1" x14ac:dyDescent="0.2">
      <c r="A33" s="118" t="s">
        <v>1415</v>
      </c>
    </row>
    <row r="34" spans="1:1" ht="18" customHeight="1" x14ac:dyDescent="0.2">
      <c r="A34" s="116" t="s">
        <v>1523</v>
      </c>
    </row>
    <row r="35" spans="1:1" ht="18" customHeight="1" x14ac:dyDescent="0.2">
      <c r="A35" s="116" t="s">
        <v>1641</v>
      </c>
    </row>
    <row r="36" spans="1:1" ht="18" customHeight="1" x14ac:dyDescent="0.2">
      <c r="A36" s="118" t="s">
        <v>2238</v>
      </c>
    </row>
    <row r="37" spans="1:1" ht="18" customHeight="1" x14ac:dyDescent="0.2">
      <c r="A37" s="611" t="s">
        <v>1454</v>
      </c>
    </row>
    <row r="38" spans="1:1" ht="18" customHeight="1" x14ac:dyDescent="0.2">
      <c r="A38" s="116" t="s">
        <v>1642</v>
      </c>
    </row>
    <row r="39" spans="1:1" ht="27" customHeight="1" x14ac:dyDescent="0.2">
      <c r="A39" s="118" t="s">
        <v>1416</v>
      </c>
    </row>
    <row r="40" spans="1:1" ht="18" customHeight="1" x14ac:dyDescent="0.2">
      <c r="A40" s="118" t="s">
        <v>1455</v>
      </c>
    </row>
    <row r="41" spans="1:1" ht="18" customHeight="1" x14ac:dyDescent="0.2">
      <c r="A41" s="116" t="s">
        <v>1524</v>
      </c>
    </row>
    <row r="42" spans="1:1" ht="18" customHeight="1" x14ac:dyDescent="0.2">
      <c r="A42" s="118" t="s">
        <v>1456</v>
      </c>
    </row>
    <row r="43" spans="1:1" ht="18" customHeight="1" x14ac:dyDescent="0.2">
      <c r="A43" s="118" t="s">
        <v>1417</v>
      </c>
    </row>
    <row r="44" spans="1:1" ht="18" customHeight="1" x14ac:dyDescent="0.2">
      <c r="A44" s="118" t="s">
        <v>1721</v>
      </c>
    </row>
    <row r="45" spans="1:1" ht="18" customHeight="1" x14ac:dyDescent="0.2">
      <c r="A45" s="118" t="s">
        <v>1457</v>
      </c>
    </row>
    <row r="46" spans="1:1" ht="18" customHeight="1" x14ac:dyDescent="0.2">
      <c r="A46" s="116" t="s">
        <v>2419</v>
      </c>
    </row>
    <row r="47" spans="1:1" ht="18" customHeight="1" x14ac:dyDescent="0.2">
      <c r="A47" s="1416" t="s">
        <v>2229</v>
      </c>
    </row>
    <row r="48" spans="1:1" ht="18" customHeight="1" x14ac:dyDescent="0.2">
      <c r="A48" s="118" t="s">
        <v>1347</v>
      </c>
    </row>
    <row r="49" spans="1:1" ht="18" customHeight="1" x14ac:dyDescent="0.2">
      <c r="A49" s="116" t="s">
        <v>1525</v>
      </c>
    </row>
    <row r="50" spans="1:1" ht="18" customHeight="1" x14ac:dyDescent="0.2">
      <c r="A50" s="118" t="s">
        <v>1458</v>
      </c>
    </row>
    <row r="51" spans="1:1" ht="18" customHeight="1" x14ac:dyDescent="0.2">
      <c r="A51" s="118" t="s">
        <v>1459</v>
      </c>
    </row>
    <row r="52" spans="1:1" ht="18" customHeight="1" x14ac:dyDescent="0.2">
      <c r="A52" s="116" t="s">
        <v>2106</v>
      </c>
    </row>
    <row r="53" spans="1:1" ht="18" customHeight="1" x14ac:dyDescent="0.2">
      <c r="A53" s="118" t="s">
        <v>1722</v>
      </c>
    </row>
    <row r="54" spans="1:1" ht="18" customHeight="1" x14ac:dyDescent="0.2">
      <c r="A54" s="118" t="s">
        <v>1418</v>
      </c>
    </row>
    <row r="55" spans="1:1" ht="18" customHeight="1" x14ac:dyDescent="0.2">
      <c r="A55" s="116" t="s">
        <v>1571</v>
      </c>
    </row>
    <row r="56" spans="1:1" ht="18" customHeight="1" x14ac:dyDescent="0.2">
      <c r="A56" s="118" t="s">
        <v>1460</v>
      </c>
    </row>
    <row r="57" spans="1:1" ht="18" customHeight="1" x14ac:dyDescent="0.2">
      <c r="A57" s="118" t="s">
        <v>1419</v>
      </c>
    </row>
    <row r="58" spans="1:1" ht="18" customHeight="1" x14ac:dyDescent="0.2">
      <c r="A58" s="116" t="s">
        <v>1364</v>
      </c>
    </row>
    <row r="59" spans="1:1" ht="18" customHeight="1" x14ac:dyDescent="0.2">
      <c r="A59" s="118" t="s">
        <v>2225</v>
      </c>
    </row>
    <row r="60" spans="1:1" ht="18" customHeight="1" x14ac:dyDescent="0.2">
      <c r="A60" s="116" t="s">
        <v>1526</v>
      </c>
    </row>
    <row r="61" spans="1:1" ht="18" customHeight="1" x14ac:dyDescent="0.2">
      <c r="A61" s="116" t="s">
        <v>1528</v>
      </c>
    </row>
    <row r="62" spans="1:1" ht="18" customHeight="1" x14ac:dyDescent="0.2">
      <c r="A62" s="116" t="s">
        <v>1527</v>
      </c>
    </row>
    <row r="63" spans="1:1" ht="18" customHeight="1" x14ac:dyDescent="0.2">
      <c r="A63" s="120" t="s">
        <v>1569</v>
      </c>
    </row>
    <row r="64" spans="1:1" ht="18" customHeight="1" x14ac:dyDescent="0.2">
      <c r="A64" s="118" t="s">
        <v>2224</v>
      </c>
    </row>
    <row r="65" spans="1:1" ht="18" customHeight="1" x14ac:dyDescent="0.2">
      <c r="A65" s="118" t="s">
        <v>1625</v>
      </c>
    </row>
    <row r="66" spans="1:1" ht="18" customHeight="1" x14ac:dyDescent="0.2">
      <c r="A66" s="118" t="s">
        <v>2042</v>
      </c>
    </row>
    <row r="67" spans="1:1" ht="18" customHeight="1" x14ac:dyDescent="0.2">
      <c r="A67" s="118" t="s">
        <v>1400</v>
      </c>
    </row>
    <row r="68" spans="1:1" ht="18" customHeight="1" x14ac:dyDescent="0.2">
      <c r="A68" s="118" t="s">
        <v>1723</v>
      </c>
    </row>
    <row r="69" spans="1:1" ht="18" customHeight="1" x14ac:dyDescent="0.2">
      <c r="A69" s="116" t="s">
        <v>2105</v>
      </c>
    </row>
    <row r="70" spans="1:1" ht="18" customHeight="1" x14ac:dyDescent="0.2">
      <c r="A70" s="118" t="s">
        <v>1578</v>
      </c>
    </row>
    <row r="71" spans="1:1" ht="18" customHeight="1" x14ac:dyDescent="0.2">
      <c r="A71" s="118" t="s">
        <v>1579</v>
      </c>
    </row>
    <row r="72" spans="1:1" ht="27" customHeight="1" x14ac:dyDescent="0.2">
      <c r="A72" s="116" t="s">
        <v>1643</v>
      </c>
    </row>
    <row r="73" spans="1:1" ht="18" customHeight="1" x14ac:dyDescent="0.2">
      <c r="A73" s="116" t="s">
        <v>1614</v>
      </c>
    </row>
    <row r="74" spans="1:1" ht="18" customHeight="1" x14ac:dyDescent="0.2">
      <c r="A74" s="118" t="s">
        <v>1348</v>
      </c>
    </row>
    <row r="75" spans="1:1" ht="18" customHeight="1" x14ac:dyDescent="0.2">
      <c r="A75" s="116" t="s">
        <v>1644</v>
      </c>
    </row>
    <row r="76" spans="1:1" ht="27" customHeight="1" x14ac:dyDescent="0.2">
      <c r="A76" s="116" t="s">
        <v>5453</v>
      </c>
    </row>
    <row r="77" spans="1:1" ht="18" customHeight="1" x14ac:dyDescent="0.2">
      <c r="A77" s="118" t="s">
        <v>1420</v>
      </c>
    </row>
    <row r="78" spans="1:1" ht="18" customHeight="1" x14ac:dyDescent="0.2">
      <c r="A78" s="116" t="s">
        <v>1645</v>
      </c>
    </row>
    <row r="79" spans="1:1" ht="18" customHeight="1" x14ac:dyDescent="0.2">
      <c r="A79" s="116" t="s">
        <v>1615</v>
      </c>
    </row>
    <row r="80" spans="1:1" ht="18" customHeight="1" x14ac:dyDescent="0.2">
      <c r="A80" s="118" t="s">
        <v>1461</v>
      </c>
    </row>
    <row r="81" spans="1:1" ht="18" customHeight="1" x14ac:dyDescent="0.2">
      <c r="A81" s="118" t="s">
        <v>1462</v>
      </c>
    </row>
    <row r="82" spans="1:1" ht="18" customHeight="1" x14ac:dyDescent="0.2">
      <c r="A82" s="118" t="s">
        <v>1580</v>
      </c>
    </row>
    <row r="83" spans="1:1" ht="18" customHeight="1" x14ac:dyDescent="0.2">
      <c r="A83" s="118" t="s">
        <v>1581</v>
      </c>
    </row>
    <row r="84" spans="1:1" ht="18" customHeight="1" x14ac:dyDescent="0.2">
      <c r="A84" s="120" t="s">
        <v>1646</v>
      </c>
    </row>
    <row r="85" spans="1:1" ht="18" customHeight="1" x14ac:dyDescent="0.2">
      <c r="A85" s="118" t="s">
        <v>1421</v>
      </c>
    </row>
    <row r="86" spans="1:1" ht="18" customHeight="1" x14ac:dyDescent="0.2">
      <c r="A86" s="116" t="s">
        <v>1748</v>
      </c>
    </row>
    <row r="87" spans="1:1" ht="18" customHeight="1" x14ac:dyDescent="0.2">
      <c r="A87" s="116" t="s">
        <v>1529</v>
      </c>
    </row>
    <row r="88" spans="1:1" ht="27" customHeight="1" x14ac:dyDescent="0.2">
      <c r="A88" s="118" t="s">
        <v>1463</v>
      </c>
    </row>
    <row r="89" spans="1:1" ht="18" customHeight="1" x14ac:dyDescent="0.2">
      <c r="A89" s="116" t="s">
        <v>1530</v>
      </c>
    </row>
    <row r="90" spans="1:1" ht="18" customHeight="1" x14ac:dyDescent="0.2">
      <c r="A90" s="116" t="s">
        <v>1531</v>
      </c>
    </row>
    <row r="91" spans="1:1" ht="18" customHeight="1" x14ac:dyDescent="0.2">
      <c r="A91" s="116" t="s">
        <v>1647</v>
      </c>
    </row>
    <row r="92" spans="1:1" ht="18" customHeight="1" x14ac:dyDescent="0.2">
      <c r="A92" s="116" t="s">
        <v>1532</v>
      </c>
    </row>
    <row r="93" spans="1:1" ht="18" customHeight="1" x14ac:dyDescent="0.2">
      <c r="A93" s="118" t="s">
        <v>1582</v>
      </c>
    </row>
    <row r="94" spans="1:1" ht="18" customHeight="1" x14ac:dyDescent="0.2">
      <c r="A94" s="118" t="s">
        <v>1422</v>
      </c>
    </row>
    <row r="95" spans="1:1" ht="18" customHeight="1" x14ac:dyDescent="0.2">
      <c r="A95" s="116" t="s">
        <v>1648</v>
      </c>
    </row>
    <row r="96" spans="1:1" ht="18" customHeight="1" x14ac:dyDescent="0.2">
      <c r="A96" s="118" t="s">
        <v>1464</v>
      </c>
    </row>
    <row r="97" spans="1:1" ht="27" customHeight="1" x14ac:dyDescent="0.2">
      <c r="A97" s="116" t="s">
        <v>1533</v>
      </c>
    </row>
    <row r="98" spans="1:1" ht="18" customHeight="1" x14ac:dyDescent="0.2">
      <c r="A98" s="116" t="s">
        <v>1616</v>
      </c>
    </row>
    <row r="99" spans="1:1" ht="18" customHeight="1" x14ac:dyDescent="0.2">
      <c r="A99" s="118" t="s">
        <v>1424</v>
      </c>
    </row>
    <row r="100" spans="1:1" ht="18" customHeight="1" x14ac:dyDescent="0.2">
      <c r="A100" s="118" t="s">
        <v>1423</v>
      </c>
    </row>
    <row r="101" spans="1:1" ht="18" customHeight="1" x14ac:dyDescent="0.2">
      <c r="A101" s="118" t="s">
        <v>1465</v>
      </c>
    </row>
    <row r="102" spans="1:1" ht="18" customHeight="1" x14ac:dyDescent="0.2">
      <c r="A102" s="116" t="s">
        <v>2108</v>
      </c>
    </row>
    <row r="103" spans="1:1" ht="18" customHeight="1" x14ac:dyDescent="0.2">
      <c r="A103" s="116" t="s">
        <v>1649</v>
      </c>
    </row>
    <row r="104" spans="1:1" ht="18" customHeight="1" x14ac:dyDescent="0.2">
      <c r="A104" s="116" t="s">
        <v>1650</v>
      </c>
    </row>
    <row r="105" spans="1:1" ht="18" customHeight="1" x14ac:dyDescent="0.2">
      <c r="A105" s="116" t="s">
        <v>1653</v>
      </c>
    </row>
    <row r="106" spans="1:1" ht="18" customHeight="1" x14ac:dyDescent="0.2">
      <c r="A106" s="118" t="s">
        <v>1724</v>
      </c>
    </row>
    <row r="107" spans="1:1" ht="18" customHeight="1" x14ac:dyDescent="0.2">
      <c r="A107" s="118" t="s">
        <v>1725</v>
      </c>
    </row>
    <row r="108" spans="1:1" ht="18" customHeight="1" x14ac:dyDescent="0.2">
      <c r="A108" s="116" t="s">
        <v>1651</v>
      </c>
    </row>
    <row r="109" spans="1:1" ht="18" customHeight="1" x14ac:dyDescent="0.2">
      <c r="A109" s="116" t="s">
        <v>1534</v>
      </c>
    </row>
    <row r="110" spans="1:1" ht="18" customHeight="1" x14ac:dyDescent="0.2">
      <c r="A110" s="116" t="s">
        <v>1652</v>
      </c>
    </row>
    <row r="111" spans="1:1" ht="18" customHeight="1" x14ac:dyDescent="0.2">
      <c r="A111" s="118" t="s">
        <v>1466</v>
      </c>
    </row>
    <row r="112" spans="1:1" ht="18" customHeight="1" x14ac:dyDescent="0.2">
      <c r="A112" s="116" t="s">
        <v>1572</v>
      </c>
    </row>
    <row r="113" spans="1:1" ht="18" customHeight="1" x14ac:dyDescent="0.2">
      <c r="A113" s="116" t="s">
        <v>5505</v>
      </c>
    </row>
    <row r="114" spans="1:1" ht="18" customHeight="1" x14ac:dyDescent="0.2">
      <c r="A114" s="116" t="s">
        <v>5549</v>
      </c>
    </row>
    <row r="115" spans="1:1" ht="18" customHeight="1" x14ac:dyDescent="0.2">
      <c r="A115" s="116" t="s">
        <v>1654</v>
      </c>
    </row>
    <row r="116" spans="1:1" ht="18" customHeight="1" x14ac:dyDescent="0.2">
      <c r="A116" s="118" t="s">
        <v>1349</v>
      </c>
    </row>
    <row r="117" spans="1:1" ht="18" customHeight="1" x14ac:dyDescent="0.2">
      <c r="A117" s="118" t="s">
        <v>1518</v>
      </c>
    </row>
    <row r="118" spans="1:1" ht="18" customHeight="1" x14ac:dyDescent="0.2">
      <c r="A118" s="116" t="s">
        <v>5452</v>
      </c>
    </row>
    <row r="119" spans="1:1" ht="18" customHeight="1" x14ac:dyDescent="0.2">
      <c r="A119" s="118" t="s">
        <v>1401</v>
      </c>
    </row>
    <row r="120" spans="1:1" ht="18" customHeight="1" x14ac:dyDescent="0.2">
      <c r="A120" s="116" t="s">
        <v>1375</v>
      </c>
    </row>
    <row r="121" spans="1:1" ht="18" customHeight="1" x14ac:dyDescent="0.2">
      <c r="A121" s="116" t="s">
        <v>1376</v>
      </c>
    </row>
    <row r="122" spans="1:1" ht="18" customHeight="1" x14ac:dyDescent="0.2">
      <c r="A122" s="118" t="s">
        <v>1909</v>
      </c>
    </row>
    <row r="123" spans="1:1" ht="18" customHeight="1" x14ac:dyDescent="0.2">
      <c r="A123" s="116" t="s">
        <v>1655</v>
      </c>
    </row>
    <row r="124" spans="1:1" ht="18" customHeight="1" x14ac:dyDescent="0.2">
      <c r="A124" s="116" t="s">
        <v>1656</v>
      </c>
    </row>
    <row r="125" spans="1:1" ht="18" customHeight="1" x14ac:dyDescent="0.2">
      <c r="A125" s="118" t="s">
        <v>1425</v>
      </c>
    </row>
    <row r="126" spans="1:1" ht="18" customHeight="1" x14ac:dyDescent="0.2">
      <c r="A126" s="116" t="s">
        <v>1657</v>
      </c>
    </row>
    <row r="127" spans="1:1" ht="27" customHeight="1" x14ac:dyDescent="0.2">
      <c r="A127" s="118" t="s">
        <v>1467</v>
      </c>
    </row>
    <row r="128" spans="1:1" ht="18" customHeight="1" x14ac:dyDescent="0.2">
      <c r="A128" s="118" t="s">
        <v>1726</v>
      </c>
    </row>
    <row r="129" spans="1:1" ht="18" customHeight="1" x14ac:dyDescent="0.2">
      <c r="A129" s="116" t="s">
        <v>1617</v>
      </c>
    </row>
    <row r="130" spans="1:1" ht="18" customHeight="1" x14ac:dyDescent="0.2">
      <c r="A130" s="116" t="s">
        <v>1618</v>
      </c>
    </row>
    <row r="131" spans="1:1" ht="18" customHeight="1" x14ac:dyDescent="0.2">
      <c r="A131" s="116" t="s">
        <v>1573</v>
      </c>
    </row>
    <row r="132" spans="1:1" ht="18" customHeight="1" x14ac:dyDescent="0.2">
      <c r="A132" s="120" t="s">
        <v>5534</v>
      </c>
    </row>
    <row r="133" spans="1:1" ht="18" customHeight="1" x14ac:dyDescent="0.2">
      <c r="A133" s="611" t="s">
        <v>1358</v>
      </c>
    </row>
    <row r="134" spans="1:1" ht="18" customHeight="1" x14ac:dyDescent="0.2">
      <c r="A134" s="116" t="s">
        <v>1749</v>
      </c>
    </row>
    <row r="135" spans="1:1" ht="18" customHeight="1" x14ac:dyDescent="0.2">
      <c r="A135" s="118" t="s">
        <v>1468</v>
      </c>
    </row>
    <row r="136" spans="1:1" ht="18" customHeight="1" x14ac:dyDescent="0.2">
      <c r="A136" s="118" t="s">
        <v>1626</v>
      </c>
    </row>
    <row r="137" spans="1:1" ht="18" customHeight="1" x14ac:dyDescent="0.2">
      <c r="A137" s="116" t="s">
        <v>1377</v>
      </c>
    </row>
    <row r="138" spans="1:1" ht="18" customHeight="1" x14ac:dyDescent="0.2">
      <c r="A138" s="116" t="s">
        <v>1658</v>
      </c>
    </row>
    <row r="139" spans="1:1" ht="18" customHeight="1" x14ac:dyDescent="0.2">
      <c r="A139" s="116" t="s">
        <v>1535</v>
      </c>
    </row>
    <row r="140" spans="1:1" ht="18" customHeight="1" x14ac:dyDescent="0.2">
      <c r="A140" s="118" t="s">
        <v>1402</v>
      </c>
    </row>
    <row r="141" spans="1:1" ht="18" customHeight="1" x14ac:dyDescent="0.2">
      <c r="A141" s="118" t="s">
        <v>1426</v>
      </c>
    </row>
    <row r="142" spans="1:1" ht="18" customHeight="1" x14ac:dyDescent="0.2">
      <c r="A142" s="118" t="s">
        <v>1519</v>
      </c>
    </row>
    <row r="143" spans="1:1" ht="18" customHeight="1" x14ac:dyDescent="0.2">
      <c r="A143" s="118" t="s">
        <v>1469</v>
      </c>
    </row>
    <row r="144" spans="1:1" ht="18" customHeight="1" x14ac:dyDescent="0.2">
      <c r="A144" s="118" t="s">
        <v>1583</v>
      </c>
    </row>
    <row r="145" spans="1:1" ht="18" customHeight="1" x14ac:dyDescent="0.2">
      <c r="A145" s="118" t="s">
        <v>2173</v>
      </c>
    </row>
    <row r="146" spans="1:1" ht="18" customHeight="1" x14ac:dyDescent="0.2">
      <c r="A146" s="118" t="s">
        <v>1520</v>
      </c>
    </row>
    <row r="147" spans="1:1" ht="27" customHeight="1" x14ac:dyDescent="0.2">
      <c r="A147" s="116" t="s">
        <v>2109</v>
      </c>
    </row>
    <row r="148" spans="1:1" ht="18" customHeight="1" x14ac:dyDescent="0.2">
      <c r="A148" s="116" t="s">
        <v>1659</v>
      </c>
    </row>
    <row r="149" spans="1:1" ht="18" customHeight="1" x14ac:dyDescent="0.2">
      <c r="A149" s="118" t="s">
        <v>1359</v>
      </c>
    </row>
    <row r="150" spans="1:1" ht="18" customHeight="1" x14ac:dyDescent="0.2">
      <c r="A150" s="116" t="s">
        <v>1660</v>
      </c>
    </row>
    <row r="151" spans="1:1" ht="18" customHeight="1" x14ac:dyDescent="0.2">
      <c r="A151" s="118" t="s">
        <v>1360</v>
      </c>
    </row>
    <row r="152" spans="1:1" ht="18" customHeight="1" x14ac:dyDescent="0.2">
      <c r="A152" s="116" t="s">
        <v>1536</v>
      </c>
    </row>
    <row r="153" spans="1:1" ht="27" customHeight="1" x14ac:dyDescent="0.2">
      <c r="A153" s="118" t="s">
        <v>1584</v>
      </c>
    </row>
    <row r="154" spans="1:1" ht="18" customHeight="1" x14ac:dyDescent="0.2">
      <c r="A154" s="116" t="s">
        <v>1537</v>
      </c>
    </row>
    <row r="155" spans="1:1" ht="18" customHeight="1" x14ac:dyDescent="0.2">
      <c r="A155" s="118" t="s">
        <v>2174</v>
      </c>
    </row>
    <row r="156" spans="1:1" ht="18" customHeight="1" x14ac:dyDescent="0.2">
      <c r="A156" s="118" t="s">
        <v>1727</v>
      </c>
    </row>
    <row r="157" spans="1:1" ht="18" customHeight="1" x14ac:dyDescent="0.2">
      <c r="A157" s="118" t="s">
        <v>1470</v>
      </c>
    </row>
    <row r="158" spans="1:1" ht="18" customHeight="1" x14ac:dyDescent="0.2">
      <c r="A158" s="118" t="s">
        <v>1728</v>
      </c>
    </row>
    <row r="159" spans="1:1" ht="18" customHeight="1" x14ac:dyDescent="0.2">
      <c r="A159" s="118" t="s">
        <v>1585</v>
      </c>
    </row>
    <row r="160" spans="1:1" ht="18" customHeight="1" x14ac:dyDescent="0.2">
      <c r="A160" s="118" t="s">
        <v>1729</v>
      </c>
    </row>
    <row r="161" spans="1:1" ht="18" customHeight="1" x14ac:dyDescent="0.2">
      <c r="A161" s="118" t="s">
        <v>1471</v>
      </c>
    </row>
    <row r="162" spans="1:1" ht="18" customHeight="1" x14ac:dyDescent="0.2">
      <c r="A162" s="118" t="s">
        <v>1472</v>
      </c>
    </row>
    <row r="163" spans="1:1" ht="18" customHeight="1" x14ac:dyDescent="0.2">
      <c r="A163" s="116" t="s">
        <v>1378</v>
      </c>
    </row>
    <row r="164" spans="1:1" ht="27" customHeight="1" x14ac:dyDescent="0.2">
      <c r="A164" s="116" t="s">
        <v>1379</v>
      </c>
    </row>
    <row r="165" spans="1:1" ht="18" customHeight="1" x14ac:dyDescent="0.2">
      <c r="A165" s="116" t="s">
        <v>1365</v>
      </c>
    </row>
    <row r="166" spans="1:1" ht="18" customHeight="1" x14ac:dyDescent="0.2">
      <c r="A166" s="118" t="s">
        <v>1473</v>
      </c>
    </row>
    <row r="167" spans="1:1" ht="18" customHeight="1" x14ac:dyDescent="0.2">
      <c r="A167" s="118" t="s">
        <v>1586</v>
      </c>
    </row>
    <row r="168" spans="1:1" ht="18" customHeight="1" x14ac:dyDescent="0.2">
      <c r="A168" s="116" t="s">
        <v>1662</v>
      </c>
    </row>
    <row r="169" spans="1:1" ht="18" customHeight="1" x14ac:dyDescent="0.2">
      <c r="A169" s="116" t="s">
        <v>1661</v>
      </c>
    </row>
    <row r="170" spans="1:1" ht="18" customHeight="1" x14ac:dyDescent="0.2">
      <c r="A170" s="116" t="s">
        <v>1663</v>
      </c>
    </row>
    <row r="171" spans="1:1" ht="18" customHeight="1" x14ac:dyDescent="0.2">
      <c r="A171" s="118" t="s">
        <v>2217</v>
      </c>
    </row>
    <row r="172" spans="1:1" ht="18" customHeight="1" x14ac:dyDescent="0.2">
      <c r="A172" s="118" t="s">
        <v>1427</v>
      </c>
    </row>
    <row r="173" spans="1:1" ht="18" customHeight="1" x14ac:dyDescent="0.2">
      <c r="A173" s="118" t="s">
        <v>1474</v>
      </c>
    </row>
    <row r="174" spans="1:1" ht="18" customHeight="1" x14ac:dyDescent="0.2">
      <c r="A174" s="118" t="s">
        <v>1627</v>
      </c>
    </row>
    <row r="175" spans="1:1" ht="18" customHeight="1" x14ac:dyDescent="0.2">
      <c r="A175" s="116" t="s">
        <v>1538</v>
      </c>
    </row>
    <row r="176" spans="1:1" ht="18" customHeight="1" x14ac:dyDescent="0.2">
      <c r="A176" s="116" t="s">
        <v>5506</v>
      </c>
    </row>
    <row r="177" spans="1:1" ht="18" customHeight="1" x14ac:dyDescent="0.2">
      <c r="A177" s="118" t="s">
        <v>1730</v>
      </c>
    </row>
    <row r="178" spans="1:1" ht="18" customHeight="1" x14ac:dyDescent="0.2">
      <c r="A178" s="118" t="s">
        <v>1475</v>
      </c>
    </row>
    <row r="179" spans="1:1" ht="18" customHeight="1" x14ac:dyDescent="0.2">
      <c r="A179" s="116" t="s">
        <v>1539</v>
      </c>
    </row>
    <row r="180" spans="1:1" ht="18" customHeight="1" x14ac:dyDescent="0.2">
      <c r="A180" s="116" t="s">
        <v>1619</v>
      </c>
    </row>
    <row r="181" spans="1:1" ht="18" customHeight="1" x14ac:dyDescent="0.2">
      <c r="A181" s="118" t="s">
        <v>1428</v>
      </c>
    </row>
    <row r="182" spans="1:1" ht="18" customHeight="1" x14ac:dyDescent="0.2">
      <c r="A182" s="118" t="s">
        <v>1429</v>
      </c>
    </row>
    <row r="183" spans="1:1" ht="18" customHeight="1" x14ac:dyDescent="0.2">
      <c r="A183" s="118" t="s">
        <v>1430</v>
      </c>
    </row>
    <row r="184" spans="1:1" ht="18" customHeight="1" x14ac:dyDescent="0.2">
      <c r="A184" s="116" t="s">
        <v>1380</v>
      </c>
    </row>
    <row r="185" spans="1:1" ht="18" customHeight="1" x14ac:dyDescent="0.2">
      <c r="A185" s="118" t="s">
        <v>1731</v>
      </c>
    </row>
    <row r="186" spans="1:1" ht="18" customHeight="1" x14ac:dyDescent="0.2">
      <c r="A186" s="118" t="s">
        <v>1477</v>
      </c>
    </row>
    <row r="187" spans="1:1" ht="18" customHeight="1" x14ac:dyDescent="0.2">
      <c r="A187" s="118" t="s">
        <v>1476</v>
      </c>
    </row>
    <row r="188" spans="1:1" ht="18" customHeight="1" x14ac:dyDescent="0.2">
      <c r="A188" s="116" t="s">
        <v>1540</v>
      </c>
    </row>
    <row r="189" spans="1:1" ht="18" customHeight="1" x14ac:dyDescent="0.2">
      <c r="A189" s="116" t="s">
        <v>1541</v>
      </c>
    </row>
    <row r="190" spans="1:1" ht="18" customHeight="1" x14ac:dyDescent="0.2">
      <c r="A190" s="116" t="s">
        <v>1750</v>
      </c>
    </row>
    <row r="191" spans="1:1" ht="18" customHeight="1" x14ac:dyDescent="0.2">
      <c r="A191" s="118" t="s">
        <v>1431</v>
      </c>
    </row>
    <row r="192" spans="1:1" ht="18" customHeight="1" x14ac:dyDescent="0.2">
      <c r="A192" s="116" t="s">
        <v>1542</v>
      </c>
    </row>
    <row r="193" spans="1:1" ht="18" customHeight="1" x14ac:dyDescent="0.2">
      <c r="A193" s="116" t="s">
        <v>1543</v>
      </c>
    </row>
    <row r="194" spans="1:1" ht="18" customHeight="1" x14ac:dyDescent="0.2">
      <c r="A194" s="116" t="s">
        <v>1544</v>
      </c>
    </row>
    <row r="195" spans="1:1" ht="27" customHeight="1" x14ac:dyDescent="0.2">
      <c r="A195" s="116" t="s">
        <v>1545</v>
      </c>
    </row>
    <row r="196" spans="1:1" ht="18" customHeight="1" x14ac:dyDescent="0.2">
      <c r="A196" s="1417" t="s">
        <v>5521</v>
      </c>
    </row>
    <row r="197" spans="1:1" ht="18" customHeight="1" x14ac:dyDescent="0.2">
      <c r="A197" s="118" t="s">
        <v>1478</v>
      </c>
    </row>
    <row r="198" spans="1:1" ht="18" customHeight="1" x14ac:dyDescent="0.2">
      <c r="A198" s="118" t="s">
        <v>1479</v>
      </c>
    </row>
    <row r="199" spans="1:1" ht="18" customHeight="1" x14ac:dyDescent="0.2">
      <c r="A199" s="118" t="s">
        <v>2351</v>
      </c>
    </row>
    <row r="200" spans="1:1" ht="18" customHeight="1" x14ac:dyDescent="0.2">
      <c r="A200" s="118" t="s">
        <v>1432</v>
      </c>
    </row>
    <row r="201" spans="1:1" ht="18" customHeight="1" x14ac:dyDescent="0.2">
      <c r="A201" s="118" t="s">
        <v>1403</v>
      </c>
    </row>
    <row r="202" spans="1:1" ht="18" customHeight="1" x14ac:dyDescent="0.2">
      <c r="A202" s="118" t="s">
        <v>1404</v>
      </c>
    </row>
    <row r="203" spans="1:1" ht="18" customHeight="1" x14ac:dyDescent="0.2">
      <c r="A203" s="116" t="s">
        <v>1381</v>
      </c>
    </row>
    <row r="204" spans="1:1" ht="18" customHeight="1" x14ac:dyDescent="0.2">
      <c r="A204" s="118" t="s">
        <v>1433</v>
      </c>
    </row>
    <row r="205" spans="1:1" ht="18" customHeight="1" x14ac:dyDescent="0.2">
      <c r="A205" s="118" t="s">
        <v>1587</v>
      </c>
    </row>
    <row r="206" spans="1:1" ht="18" customHeight="1" x14ac:dyDescent="0.2">
      <c r="A206" s="118" t="s">
        <v>1480</v>
      </c>
    </row>
    <row r="207" spans="1:1" ht="18" customHeight="1" x14ac:dyDescent="0.2">
      <c r="A207" s="611" t="s">
        <v>1521</v>
      </c>
    </row>
    <row r="208" spans="1:1" ht="18" customHeight="1" x14ac:dyDescent="0.2">
      <c r="A208" s="118" t="s">
        <v>1628</v>
      </c>
    </row>
    <row r="209" spans="1:1" ht="18" customHeight="1" x14ac:dyDescent="0.2">
      <c r="A209" s="118" t="s">
        <v>1350</v>
      </c>
    </row>
    <row r="210" spans="1:1" ht="18" customHeight="1" x14ac:dyDescent="0.2">
      <c r="A210" s="118" t="s">
        <v>1434</v>
      </c>
    </row>
    <row r="211" spans="1:1" ht="18" customHeight="1" x14ac:dyDescent="0.2">
      <c r="A211" s="118" t="s">
        <v>1588</v>
      </c>
    </row>
    <row r="212" spans="1:1" ht="18" customHeight="1" x14ac:dyDescent="0.2">
      <c r="A212" s="118" t="s">
        <v>1589</v>
      </c>
    </row>
    <row r="213" spans="1:1" ht="18" customHeight="1" x14ac:dyDescent="0.2">
      <c r="A213" s="118" t="s">
        <v>1590</v>
      </c>
    </row>
    <row r="214" spans="1:1" ht="18" customHeight="1" x14ac:dyDescent="0.2">
      <c r="A214" s="118" t="s">
        <v>1481</v>
      </c>
    </row>
    <row r="215" spans="1:1" ht="18" customHeight="1" x14ac:dyDescent="0.2">
      <c r="A215" s="118" t="s">
        <v>1732</v>
      </c>
    </row>
    <row r="216" spans="1:1" ht="18" customHeight="1" x14ac:dyDescent="0.2">
      <c r="A216" s="118" t="s">
        <v>1435</v>
      </c>
    </row>
    <row r="217" spans="1:1" ht="18" customHeight="1" x14ac:dyDescent="0.2">
      <c r="A217" s="118" t="s">
        <v>1733</v>
      </c>
    </row>
    <row r="218" spans="1:1" ht="18" customHeight="1" x14ac:dyDescent="0.2">
      <c r="A218" s="116" t="s">
        <v>1382</v>
      </c>
    </row>
    <row r="219" spans="1:1" ht="18" customHeight="1" x14ac:dyDescent="0.2">
      <c r="A219" s="116" t="s">
        <v>1383</v>
      </c>
    </row>
    <row r="220" spans="1:1" ht="18" customHeight="1" x14ac:dyDescent="0.2">
      <c r="A220" s="116" t="s">
        <v>1664</v>
      </c>
    </row>
    <row r="221" spans="1:1" ht="18" customHeight="1" x14ac:dyDescent="0.2">
      <c r="A221" s="118" t="s">
        <v>1522</v>
      </c>
    </row>
    <row r="222" spans="1:1" ht="18" customHeight="1" x14ac:dyDescent="0.2">
      <c r="A222" s="118" t="s">
        <v>1482</v>
      </c>
    </row>
    <row r="223" spans="1:1" ht="27" customHeight="1" x14ac:dyDescent="0.2">
      <c r="A223" s="611" t="s">
        <v>1483</v>
      </c>
    </row>
    <row r="224" spans="1:1" ht="18" customHeight="1" x14ac:dyDescent="0.2">
      <c r="A224" s="118" t="s">
        <v>1591</v>
      </c>
    </row>
    <row r="225" spans="1:1" ht="18" customHeight="1" x14ac:dyDescent="0.2">
      <c r="A225" s="118" t="s">
        <v>1592</v>
      </c>
    </row>
    <row r="226" spans="1:1" ht="18" customHeight="1" x14ac:dyDescent="0.2">
      <c r="A226" s="118" t="s">
        <v>1436</v>
      </c>
    </row>
    <row r="227" spans="1:1" ht="18" customHeight="1" x14ac:dyDescent="0.2">
      <c r="A227" s="116" t="s">
        <v>1665</v>
      </c>
    </row>
    <row r="228" spans="1:1" ht="18" customHeight="1" x14ac:dyDescent="0.2">
      <c r="A228" s="118" t="s">
        <v>1629</v>
      </c>
    </row>
    <row r="229" spans="1:1" ht="18" customHeight="1" x14ac:dyDescent="0.2">
      <c r="A229" s="118" t="s">
        <v>1484</v>
      </c>
    </row>
    <row r="230" spans="1:1" ht="18" customHeight="1" x14ac:dyDescent="0.2">
      <c r="A230" s="118" t="s">
        <v>1405</v>
      </c>
    </row>
    <row r="231" spans="1:1" ht="18" customHeight="1" x14ac:dyDescent="0.2">
      <c r="A231" s="118" t="s">
        <v>1593</v>
      </c>
    </row>
    <row r="232" spans="1:1" ht="18" customHeight="1" x14ac:dyDescent="0.2">
      <c r="A232" s="116" t="s">
        <v>1620</v>
      </c>
    </row>
    <row r="233" spans="1:1" ht="18" customHeight="1" x14ac:dyDescent="0.2">
      <c r="A233" s="116" t="s">
        <v>1384</v>
      </c>
    </row>
    <row r="234" spans="1:1" ht="18" customHeight="1" x14ac:dyDescent="0.2">
      <c r="A234" s="118" t="s">
        <v>1594</v>
      </c>
    </row>
    <row r="235" spans="1:1" ht="18" customHeight="1" x14ac:dyDescent="0.2">
      <c r="A235" s="118" t="s">
        <v>1406</v>
      </c>
    </row>
    <row r="236" spans="1:1" ht="18" customHeight="1" x14ac:dyDescent="0.2">
      <c r="A236" s="116" t="s">
        <v>1546</v>
      </c>
    </row>
    <row r="237" spans="1:1" ht="18" customHeight="1" x14ac:dyDescent="0.2">
      <c r="A237" s="116" t="s">
        <v>1547</v>
      </c>
    </row>
    <row r="238" spans="1:1" ht="18" customHeight="1" x14ac:dyDescent="0.2">
      <c r="A238" s="118" t="s">
        <v>1437</v>
      </c>
    </row>
    <row r="239" spans="1:1" ht="18" customHeight="1" x14ac:dyDescent="0.2">
      <c r="A239" s="118" t="s">
        <v>5535</v>
      </c>
    </row>
    <row r="240" spans="1:1" ht="18" customHeight="1" x14ac:dyDescent="0.2">
      <c r="A240" s="118" t="s">
        <v>1351</v>
      </c>
    </row>
    <row r="241" spans="1:1" ht="18" customHeight="1" x14ac:dyDescent="0.2">
      <c r="A241" s="116" t="s">
        <v>1666</v>
      </c>
    </row>
    <row r="242" spans="1:1" ht="18" customHeight="1" x14ac:dyDescent="0.2">
      <c r="A242" s="118" t="s">
        <v>1485</v>
      </c>
    </row>
    <row r="243" spans="1:1" ht="18" customHeight="1" x14ac:dyDescent="0.2">
      <c r="A243" s="116" t="s">
        <v>1667</v>
      </c>
    </row>
    <row r="244" spans="1:1" ht="18" customHeight="1" x14ac:dyDescent="0.2">
      <c r="A244" s="116" t="s">
        <v>1751</v>
      </c>
    </row>
    <row r="245" spans="1:1" ht="18" customHeight="1" x14ac:dyDescent="0.2">
      <c r="A245" s="118" t="s">
        <v>1352</v>
      </c>
    </row>
    <row r="246" spans="1:1" ht="18" customHeight="1" x14ac:dyDescent="0.2">
      <c r="A246" s="118" t="s">
        <v>1438</v>
      </c>
    </row>
    <row r="247" spans="1:1" ht="18" customHeight="1" x14ac:dyDescent="0.2">
      <c r="A247" s="116" t="s">
        <v>1548</v>
      </c>
    </row>
    <row r="248" spans="1:1" ht="18" customHeight="1" x14ac:dyDescent="0.2">
      <c r="A248" s="118" t="s">
        <v>1486</v>
      </c>
    </row>
    <row r="249" spans="1:1" ht="18" customHeight="1" x14ac:dyDescent="0.2">
      <c r="A249" s="118" t="s">
        <v>1439</v>
      </c>
    </row>
    <row r="250" spans="1:1" ht="18" customHeight="1" x14ac:dyDescent="0.2">
      <c r="A250" s="118" t="s">
        <v>1487</v>
      </c>
    </row>
    <row r="251" spans="1:1" ht="18" customHeight="1" x14ac:dyDescent="0.2">
      <c r="A251" s="116" t="s">
        <v>1549</v>
      </c>
    </row>
    <row r="252" spans="1:1" ht="18" customHeight="1" x14ac:dyDescent="0.2">
      <c r="A252" s="118" t="s">
        <v>1595</v>
      </c>
    </row>
    <row r="253" spans="1:1" ht="18" customHeight="1" x14ac:dyDescent="0.2">
      <c r="A253" s="118" t="s">
        <v>2233</v>
      </c>
    </row>
    <row r="254" spans="1:1" ht="18" customHeight="1" x14ac:dyDescent="0.2">
      <c r="A254" s="116" t="s">
        <v>5543</v>
      </c>
    </row>
    <row r="255" spans="1:1" ht="18" customHeight="1" x14ac:dyDescent="0.2">
      <c r="A255" s="118" t="s">
        <v>1630</v>
      </c>
    </row>
    <row r="256" spans="1:1" ht="27" customHeight="1" x14ac:dyDescent="0.2">
      <c r="A256" s="118" t="s">
        <v>1734</v>
      </c>
    </row>
    <row r="257" spans="1:1" ht="18" customHeight="1" x14ac:dyDescent="0.2">
      <c r="A257" s="118" t="s">
        <v>1440</v>
      </c>
    </row>
    <row r="258" spans="1:1" ht="18" customHeight="1" x14ac:dyDescent="0.2">
      <c r="A258" s="118" t="s">
        <v>1735</v>
      </c>
    </row>
    <row r="259" spans="1:1" ht="18" customHeight="1" x14ac:dyDescent="0.2">
      <c r="A259" s="118" t="s">
        <v>1489</v>
      </c>
    </row>
    <row r="260" spans="1:1" ht="18" customHeight="1" x14ac:dyDescent="0.2">
      <c r="A260" s="118" t="s">
        <v>5523</v>
      </c>
    </row>
    <row r="261" spans="1:1" ht="18" customHeight="1" x14ac:dyDescent="0.2">
      <c r="A261" s="118" t="s">
        <v>1736</v>
      </c>
    </row>
    <row r="262" spans="1:1" ht="18" customHeight="1" x14ac:dyDescent="0.2">
      <c r="A262" s="118" t="s">
        <v>1490</v>
      </c>
    </row>
    <row r="263" spans="1:1" ht="18" customHeight="1" x14ac:dyDescent="0.2">
      <c r="A263" s="116" t="s">
        <v>1621</v>
      </c>
    </row>
    <row r="264" spans="1:1" ht="18" customHeight="1" x14ac:dyDescent="0.2">
      <c r="A264" s="116" t="s">
        <v>1753</v>
      </c>
    </row>
    <row r="265" spans="1:1" ht="18" customHeight="1" x14ac:dyDescent="0.2">
      <c r="A265" s="116" t="s">
        <v>1752</v>
      </c>
    </row>
    <row r="266" spans="1:1" ht="18" customHeight="1" x14ac:dyDescent="0.2">
      <c r="A266" s="116" t="s">
        <v>1668</v>
      </c>
    </row>
    <row r="267" spans="1:1" ht="18" customHeight="1" x14ac:dyDescent="0.2">
      <c r="A267" s="116" t="s">
        <v>1669</v>
      </c>
    </row>
    <row r="268" spans="1:1" ht="18" customHeight="1" x14ac:dyDescent="0.2">
      <c r="A268" s="118" t="s">
        <v>5465</v>
      </c>
    </row>
    <row r="269" spans="1:1" ht="18" customHeight="1" x14ac:dyDescent="0.2">
      <c r="A269" s="116" t="s">
        <v>1550</v>
      </c>
    </row>
    <row r="270" spans="1:1" ht="18" customHeight="1" x14ac:dyDescent="0.2">
      <c r="A270" s="118" t="s">
        <v>1442</v>
      </c>
    </row>
    <row r="271" spans="1:1" ht="18" customHeight="1" x14ac:dyDescent="0.2">
      <c r="A271" s="118" t="s">
        <v>1441</v>
      </c>
    </row>
    <row r="272" spans="1:1" ht="18" customHeight="1" x14ac:dyDescent="0.2">
      <c r="A272" s="116" t="s">
        <v>1670</v>
      </c>
    </row>
    <row r="273" spans="1:1" ht="18" customHeight="1" x14ac:dyDescent="0.2">
      <c r="A273" s="116" t="s">
        <v>1385</v>
      </c>
    </row>
    <row r="274" spans="1:1" ht="18" customHeight="1" x14ac:dyDescent="0.2">
      <c r="A274" s="118" t="s">
        <v>1737</v>
      </c>
    </row>
    <row r="275" spans="1:1" ht="18" customHeight="1" x14ac:dyDescent="0.2">
      <c r="A275" s="118" t="s">
        <v>1596</v>
      </c>
    </row>
    <row r="276" spans="1:1" ht="27" customHeight="1" x14ac:dyDescent="0.2">
      <c r="A276" s="611" t="s">
        <v>1443</v>
      </c>
    </row>
    <row r="277" spans="1:1" ht="18" customHeight="1" x14ac:dyDescent="0.2">
      <c r="A277" s="116" t="s">
        <v>1551</v>
      </c>
    </row>
    <row r="278" spans="1:1" ht="18" customHeight="1" x14ac:dyDescent="0.2">
      <c r="A278" s="118" t="s">
        <v>1491</v>
      </c>
    </row>
    <row r="279" spans="1:1" ht="18" customHeight="1" x14ac:dyDescent="0.2">
      <c r="A279" s="116" t="s">
        <v>1366</v>
      </c>
    </row>
    <row r="280" spans="1:1" ht="18" customHeight="1" x14ac:dyDescent="0.2">
      <c r="A280" s="118" t="s">
        <v>1597</v>
      </c>
    </row>
    <row r="281" spans="1:1" ht="18" customHeight="1" x14ac:dyDescent="0.2">
      <c r="A281" s="116" t="s">
        <v>1367</v>
      </c>
    </row>
    <row r="282" spans="1:1" ht="18" customHeight="1" x14ac:dyDescent="0.2">
      <c r="A282" s="116" t="s">
        <v>1552</v>
      </c>
    </row>
    <row r="283" spans="1:1" ht="18" customHeight="1" x14ac:dyDescent="0.2">
      <c r="A283" s="116" t="s">
        <v>1386</v>
      </c>
    </row>
    <row r="284" spans="1:1" ht="18" customHeight="1" x14ac:dyDescent="0.2">
      <c r="A284" s="116" t="s">
        <v>1553</v>
      </c>
    </row>
    <row r="285" spans="1:1" ht="18" customHeight="1" x14ac:dyDescent="0.2">
      <c r="A285" s="118" t="s">
        <v>1353</v>
      </c>
    </row>
    <row r="286" spans="1:1" ht="18" customHeight="1" x14ac:dyDescent="0.2">
      <c r="A286" s="116" t="s">
        <v>1554</v>
      </c>
    </row>
    <row r="287" spans="1:1" ht="18" customHeight="1" x14ac:dyDescent="0.2">
      <c r="A287" s="116" t="s">
        <v>1671</v>
      </c>
    </row>
    <row r="288" spans="1:1" ht="18" customHeight="1" x14ac:dyDescent="0.2">
      <c r="A288" s="118" t="s">
        <v>1492</v>
      </c>
    </row>
    <row r="289" spans="1:1" ht="18" customHeight="1" x14ac:dyDescent="0.2">
      <c r="A289" s="118" t="s">
        <v>1598</v>
      </c>
    </row>
    <row r="290" spans="1:1" ht="18" customHeight="1" x14ac:dyDescent="0.2">
      <c r="A290" s="118" t="s">
        <v>1599</v>
      </c>
    </row>
    <row r="291" spans="1:1" ht="18" customHeight="1" x14ac:dyDescent="0.2">
      <c r="A291" s="118" t="s">
        <v>1600</v>
      </c>
    </row>
    <row r="292" spans="1:1" ht="18" customHeight="1" x14ac:dyDescent="0.2">
      <c r="A292" s="611" t="s">
        <v>1738</v>
      </c>
    </row>
    <row r="293" spans="1:1" ht="18" customHeight="1" x14ac:dyDescent="0.2">
      <c r="A293" s="118" t="s">
        <v>1493</v>
      </c>
    </row>
    <row r="294" spans="1:1" ht="18" customHeight="1" x14ac:dyDescent="0.2">
      <c r="A294" s="118" t="s">
        <v>1494</v>
      </c>
    </row>
    <row r="295" spans="1:1" ht="18" customHeight="1" x14ac:dyDescent="0.2">
      <c r="A295" s="116" t="s">
        <v>1555</v>
      </c>
    </row>
    <row r="296" spans="1:1" ht="18" customHeight="1" x14ac:dyDescent="0.2">
      <c r="A296" s="116" t="s">
        <v>1387</v>
      </c>
    </row>
    <row r="297" spans="1:1" ht="27" customHeight="1" x14ac:dyDescent="0.2">
      <c r="A297" s="118" t="s">
        <v>1601</v>
      </c>
    </row>
    <row r="298" spans="1:1" ht="18" customHeight="1" x14ac:dyDescent="0.2">
      <c r="A298" s="116" t="s">
        <v>5467</v>
      </c>
    </row>
    <row r="299" spans="1:1" ht="18" customHeight="1" x14ac:dyDescent="0.2">
      <c r="A299" s="116" t="s">
        <v>1556</v>
      </c>
    </row>
    <row r="300" spans="1:1" ht="18" customHeight="1" x14ac:dyDescent="0.2">
      <c r="A300" s="118" t="s">
        <v>1602</v>
      </c>
    </row>
    <row r="301" spans="1:1" ht="18" customHeight="1" x14ac:dyDescent="0.2">
      <c r="A301" s="118" t="s">
        <v>1739</v>
      </c>
    </row>
    <row r="302" spans="1:1" ht="18" customHeight="1" x14ac:dyDescent="0.2">
      <c r="A302" s="118" t="s">
        <v>1740</v>
      </c>
    </row>
    <row r="303" spans="1:1" ht="18" customHeight="1" x14ac:dyDescent="0.2">
      <c r="A303" s="116" t="s">
        <v>1368</v>
      </c>
    </row>
    <row r="304" spans="1:1" ht="18" customHeight="1" x14ac:dyDescent="0.2">
      <c r="A304" s="116" t="s">
        <v>1557</v>
      </c>
    </row>
    <row r="305" spans="1:1" ht="18" customHeight="1" x14ac:dyDescent="0.2">
      <c r="A305" s="116" t="s">
        <v>1388</v>
      </c>
    </row>
    <row r="306" spans="1:1" ht="18" customHeight="1" x14ac:dyDescent="0.2">
      <c r="A306" s="116" t="s">
        <v>1389</v>
      </c>
    </row>
    <row r="307" spans="1:1" ht="18" customHeight="1" x14ac:dyDescent="0.2">
      <c r="A307" s="118" t="s">
        <v>1603</v>
      </c>
    </row>
    <row r="308" spans="1:1" ht="18" customHeight="1" x14ac:dyDescent="0.2">
      <c r="A308" s="116" t="s">
        <v>1754</v>
      </c>
    </row>
    <row r="309" spans="1:1" ht="18" customHeight="1" x14ac:dyDescent="0.2">
      <c r="A309" s="116" t="s">
        <v>1672</v>
      </c>
    </row>
    <row r="310" spans="1:1" ht="18" customHeight="1" x14ac:dyDescent="0.2">
      <c r="A310" s="116" t="s">
        <v>1673</v>
      </c>
    </row>
    <row r="311" spans="1:1" ht="18" customHeight="1" x14ac:dyDescent="0.2">
      <c r="A311" s="116" t="s">
        <v>1674</v>
      </c>
    </row>
    <row r="312" spans="1:1" ht="18" customHeight="1" x14ac:dyDescent="0.2">
      <c r="A312" s="118" t="s">
        <v>2175</v>
      </c>
    </row>
    <row r="313" spans="1:1" ht="18" customHeight="1" x14ac:dyDescent="0.2">
      <c r="A313" s="116" t="s">
        <v>1622</v>
      </c>
    </row>
    <row r="314" spans="1:1" ht="18" customHeight="1" x14ac:dyDescent="0.2">
      <c r="A314" s="118" t="s">
        <v>1495</v>
      </c>
    </row>
    <row r="315" spans="1:1" ht="18" customHeight="1" x14ac:dyDescent="0.2">
      <c r="A315" s="116" t="s">
        <v>1675</v>
      </c>
    </row>
    <row r="316" spans="1:1" ht="18" customHeight="1" x14ac:dyDescent="0.2">
      <c r="A316" s="116" t="s">
        <v>1992</v>
      </c>
    </row>
    <row r="317" spans="1:1" ht="27" customHeight="1" x14ac:dyDescent="0.2">
      <c r="A317" s="118" t="s">
        <v>5552</v>
      </c>
    </row>
    <row r="318" spans="1:1" ht="18" customHeight="1" x14ac:dyDescent="0.2">
      <c r="A318" s="116" t="s">
        <v>1390</v>
      </c>
    </row>
    <row r="319" spans="1:1" ht="18" customHeight="1" x14ac:dyDescent="0.2">
      <c r="A319" s="118" t="s">
        <v>1444</v>
      </c>
    </row>
    <row r="320" spans="1:1" ht="18" customHeight="1" x14ac:dyDescent="0.2">
      <c r="A320" s="116" t="s">
        <v>5451</v>
      </c>
    </row>
    <row r="321" spans="1:1" ht="18" customHeight="1" x14ac:dyDescent="0.2">
      <c r="A321" s="118" t="s">
        <v>1741</v>
      </c>
    </row>
    <row r="322" spans="1:1" ht="18" customHeight="1" x14ac:dyDescent="0.2">
      <c r="A322" s="116" t="s">
        <v>1391</v>
      </c>
    </row>
    <row r="323" spans="1:1" ht="18" customHeight="1" x14ac:dyDescent="0.2">
      <c r="A323" s="116" t="s">
        <v>1676</v>
      </c>
    </row>
    <row r="324" spans="1:1" ht="18" customHeight="1" x14ac:dyDescent="0.2">
      <c r="A324" s="118" t="s">
        <v>1407</v>
      </c>
    </row>
    <row r="325" spans="1:1" ht="18" customHeight="1" x14ac:dyDescent="0.2">
      <c r="A325" s="118" t="s">
        <v>1408</v>
      </c>
    </row>
    <row r="326" spans="1:1" ht="18" customHeight="1" x14ac:dyDescent="0.2">
      <c r="A326" s="118" t="s">
        <v>1496</v>
      </c>
    </row>
    <row r="327" spans="1:1" ht="27" customHeight="1" x14ac:dyDescent="0.2">
      <c r="A327" s="118" t="s">
        <v>1361</v>
      </c>
    </row>
    <row r="328" spans="1:1" ht="18" customHeight="1" x14ac:dyDescent="0.2">
      <c r="A328" s="118" t="s">
        <v>1354</v>
      </c>
    </row>
    <row r="329" spans="1:1" ht="18" customHeight="1" x14ac:dyDescent="0.2">
      <c r="A329" s="118" t="s">
        <v>1742</v>
      </c>
    </row>
    <row r="330" spans="1:1" ht="18" customHeight="1" x14ac:dyDescent="0.2">
      <c r="A330" s="116" t="s">
        <v>1677</v>
      </c>
    </row>
    <row r="331" spans="1:1" ht="18" customHeight="1" x14ac:dyDescent="0.2">
      <c r="A331" s="116" t="s">
        <v>1372</v>
      </c>
    </row>
    <row r="332" spans="1:1" ht="18" customHeight="1" x14ac:dyDescent="0.2">
      <c r="A332" s="116" t="s">
        <v>1369</v>
      </c>
    </row>
    <row r="333" spans="1:1" ht="18" customHeight="1" x14ac:dyDescent="0.2">
      <c r="A333" s="116" t="s">
        <v>5507</v>
      </c>
    </row>
    <row r="334" spans="1:1" ht="18" customHeight="1" x14ac:dyDescent="0.2">
      <c r="A334" s="118" t="s">
        <v>1604</v>
      </c>
    </row>
    <row r="335" spans="1:1" ht="18" customHeight="1" x14ac:dyDescent="0.2">
      <c r="A335" s="118" t="s">
        <v>1605</v>
      </c>
    </row>
    <row r="336" spans="1:1" ht="18" customHeight="1" x14ac:dyDescent="0.2">
      <c r="A336" s="118" t="s">
        <v>1410</v>
      </c>
    </row>
    <row r="337" spans="1:1" ht="18" customHeight="1" x14ac:dyDescent="0.2">
      <c r="A337" s="118" t="s">
        <v>1409</v>
      </c>
    </row>
    <row r="338" spans="1:1" ht="18" customHeight="1" x14ac:dyDescent="0.2">
      <c r="A338" s="116" t="s">
        <v>1678</v>
      </c>
    </row>
    <row r="339" spans="1:1" ht="18" customHeight="1" x14ac:dyDescent="0.2">
      <c r="A339" s="118" t="s">
        <v>1606</v>
      </c>
    </row>
    <row r="340" spans="1:1" ht="18" customHeight="1" x14ac:dyDescent="0.2">
      <c r="A340" s="120" t="s">
        <v>1679</v>
      </c>
    </row>
    <row r="341" spans="1:1" ht="18" customHeight="1" x14ac:dyDescent="0.2">
      <c r="A341" s="118" t="s">
        <v>1743</v>
      </c>
    </row>
    <row r="342" spans="1:1" ht="18" customHeight="1" x14ac:dyDescent="0.2">
      <c r="A342" s="118" t="s">
        <v>1744</v>
      </c>
    </row>
    <row r="343" spans="1:1" ht="18" customHeight="1" x14ac:dyDescent="0.2">
      <c r="A343" s="118" t="s">
        <v>1497</v>
      </c>
    </row>
    <row r="344" spans="1:1" ht="18" customHeight="1" x14ac:dyDescent="0.2">
      <c r="A344" s="118" t="s">
        <v>1607</v>
      </c>
    </row>
    <row r="345" spans="1:1" ht="18" customHeight="1" x14ac:dyDescent="0.2">
      <c r="A345" s="118" t="s">
        <v>1355</v>
      </c>
    </row>
    <row r="346" spans="1:1" ht="18" customHeight="1" x14ac:dyDescent="0.2">
      <c r="A346" s="118" t="s">
        <v>1773</v>
      </c>
    </row>
    <row r="347" spans="1:1" ht="18" customHeight="1" x14ac:dyDescent="0.2">
      <c r="A347" s="116" t="s">
        <v>2604</v>
      </c>
    </row>
    <row r="348" spans="1:1" ht="18" customHeight="1" x14ac:dyDescent="0.2">
      <c r="A348" s="116" t="s">
        <v>1558</v>
      </c>
    </row>
    <row r="349" spans="1:1" ht="18" customHeight="1" x14ac:dyDescent="0.2">
      <c r="A349" s="118" t="s">
        <v>1498</v>
      </c>
    </row>
    <row r="350" spans="1:1" ht="18" customHeight="1" x14ac:dyDescent="0.2">
      <c r="A350" s="116" t="s">
        <v>5508</v>
      </c>
    </row>
    <row r="351" spans="1:1" ht="18" customHeight="1" x14ac:dyDescent="0.2">
      <c r="A351" s="118" t="s">
        <v>1499</v>
      </c>
    </row>
    <row r="352" spans="1:1" ht="18" customHeight="1" x14ac:dyDescent="0.2">
      <c r="A352" s="118" t="s">
        <v>1745</v>
      </c>
    </row>
    <row r="353" spans="1:1" ht="18" customHeight="1" x14ac:dyDescent="0.2">
      <c r="A353" s="118" t="s">
        <v>1445</v>
      </c>
    </row>
    <row r="354" spans="1:1" ht="18" customHeight="1" x14ac:dyDescent="0.2">
      <c r="A354" s="116" t="s">
        <v>1700</v>
      </c>
    </row>
    <row r="355" spans="1:1" ht="18" customHeight="1" x14ac:dyDescent="0.2">
      <c r="A355" s="118" t="s">
        <v>1631</v>
      </c>
    </row>
    <row r="356" spans="1:1" ht="18" customHeight="1" x14ac:dyDescent="0.2">
      <c r="A356" s="116" t="s">
        <v>2262</v>
      </c>
    </row>
    <row r="357" spans="1:1" ht="18" customHeight="1" x14ac:dyDescent="0.2">
      <c r="A357" s="120" t="s">
        <v>1680</v>
      </c>
    </row>
    <row r="358" spans="1:1" ht="18" customHeight="1" x14ac:dyDescent="0.2">
      <c r="A358" s="116" t="s">
        <v>1681</v>
      </c>
    </row>
    <row r="359" spans="1:1" ht="18" customHeight="1" x14ac:dyDescent="0.2">
      <c r="A359" s="116" t="s">
        <v>1623</v>
      </c>
    </row>
    <row r="360" spans="1:1" ht="18" customHeight="1" x14ac:dyDescent="0.2">
      <c r="A360" s="116" t="s">
        <v>1392</v>
      </c>
    </row>
    <row r="361" spans="1:1" ht="18" customHeight="1" x14ac:dyDescent="0.2">
      <c r="A361" s="116" t="s">
        <v>1559</v>
      </c>
    </row>
    <row r="362" spans="1:1" ht="18" customHeight="1" x14ac:dyDescent="0.2">
      <c r="A362" s="116" t="s">
        <v>1624</v>
      </c>
    </row>
    <row r="363" spans="1:1" ht="18" customHeight="1" x14ac:dyDescent="0.2">
      <c r="A363" s="118" t="s">
        <v>5522</v>
      </c>
    </row>
    <row r="364" spans="1:1" ht="18" customHeight="1" x14ac:dyDescent="0.2">
      <c r="A364" s="118" t="s">
        <v>1446</v>
      </c>
    </row>
    <row r="365" spans="1:1" ht="18" customHeight="1" x14ac:dyDescent="0.2">
      <c r="A365" s="116" t="s">
        <v>1560</v>
      </c>
    </row>
    <row r="366" spans="1:1" ht="18" customHeight="1" x14ac:dyDescent="0.2">
      <c r="A366" s="117" t="s">
        <v>2230</v>
      </c>
    </row>
    <row r="367" spans="1:1" ht="18" customHeight="1" x14ac:dyDescent="0.2">
      <c r="A367" s="116" t="s">
        <v>1561</v>
      </c>
    </row>
    <row r="368" spans="1:1" ht="18" customHeight="1" x14ac:dyDescent="0.2">
      <c r="A368" s="116" t="s">
        <v>1683</v>
      </c>
    </row>
    <row r="369" spans="1:1" ht="18" customHeight="1" x14ac:dyDescent="0.2">
      <c r="A369" s="116" t="s">
        <v>1682</v>
      </c>
    </row>
    <row r="370" spans="1:1" ht="18" customHeight="1" x14ac:dyDescent="0.2">
      <c r="A370" s="118" t="s">
        <v>1447</v>
      </c>
    </row>
    <row r="371" spans="1:1" ht="18" customHeight="1" x14ac:dyDescent="0.2">
      <c r="A371" s="118" t="s">
        <v>1609</v>
      </c>
    </row>
    <row r="372" spans="1:1" ht="18" customHeight="1" x14ac:dyDescent="0.2">
      <c r="A372" s="611" t="s">
        <v>1362</v>
      </c>
    </row>
    <row r="373" spans="1:1" ht="18" customHeight="1" x14ac:dyDescent="0.2">
      <c r="A373" s="118" t="s">
        <v>2607</v>
      </c>
    </row>
    <row r="374" spans="1:1" ht="18" customHeight="1" x14ac:dyDescent="0.2">
      <c r="A374" s="116" t="s">
        <v>1684</v>
      </c>
    </row>
    <row r="375" spans="1:1" ht="18" customHeight="1" x14ac:dyDescent="0.2">
      <c r="A375" s="118" t="s">
        <v>1500</v>
      </c>
    </row>
    <row r="376" spans="1:1" ht="18" customHeight="1" x14ac:dyDescent="0.2">
      <c r="A376" s="118" t="s">
        <v>1501</v>
      </c>
    </row>
    <row r="377" spans="1:1" ht="18" customHeight="1" x14ac:dyDescent="0.2">
      <c r="A377" s="116" t="s">
        <v>1685</v>
      </c>
    </row>
    <row r="378" spans="1:1" ht="18" customHeight="1" x14ac:dyDescent="0.2">
      <c r="A378" s="118" t="s">
        <v>1502</v>
      </c>
    </row>
    <row r="379" spans="1:1" ht="18" customHeight="1" x14ac:dyDescent="0.2">
      <c r="A379" s="118" t="s">
        <v>1411</v>
      </c>
    </row>
    <row r="380" spans="1:1" ht="18" customHeight="1" x14ac:dyDescent="0.2">
      <c r="A380" s="118" t="s">
        <v>1448</v>
      </c>
    </row>
    <row r="381" spans="1:1" ht="18" customHeight="1" x14ac:dyDescent="0.2">
      <c r="A381" s="611" t="s">
        <v>1356</v>
      </c>
    </row>
    <row r="382" spans="1:1" ht="18" customHeight="1" x14ac:dyDescent="0.2">
      <c r="A382" s="116" t="s">
        <v>1686</v>
      </c>
    </row>
    <row r="383" spans="1:1" ht="18" customHeight="1" x14ac:dyDescent="0.2">
      <c r="A383" s="117" t="s">
        <v>2231</v>
      </c>
    </row>
    <row r="384" spans="1:1" ht="18" customHeight="1" x14ac:dyDescent="0.2">
      <c r="A384" s="116" t="s">
        <v>1370</v>
      </c>
    </row>
    <row r="385" spans="1:1" ht="18" customHeight="1" x14ac:dyDescent="0.2">
      <c r="A385" s="116" t="s">
        <v>5509</v>
      </c>
    </row>
    <row r="386" spans="1:1" ht="27" customHeight="1" x14ac:dyDescent="0.2">
      <c r="A386" s="116" t="s">
        <v>1562</v>
      </c>
    </row>
    <row r="387" spans="1:1" ht="18" customHeight="1" x14ac:dyDescent="0.2">
      <c r="A387" s="116" t="s">
        <v>1371</v>
      </c>
    </row>
    <row r="388" spans="1:1" ht="18" customHeight="1" x14ac:dyDescent="0.2">
      <c r="A388" s="116" t="s">
        <v>1755</v>
      </c>
    </row>
    <row r="389" spans="1:1" ht="18" customHeight="1" x14ac:dyDescent="0.2">
      <c r="A389" s="118" t="s">
        <v>1503</v>
      </c>
    </row>
    <row r="390" spans="1:1" ht="18" customHeight="1" x14ac:dyDescent="0.2">
      <c r="A390" s="116" t="s">
        <v>1393</v>
      </c>
    </row>
    <row r="391" spans="1:1" ht="18" customHeight="1" x14ac:dyDescent="0.2">
      <c r="A391" s="118" t="s">
        <v>1633</v>
      </c>
    </row>
    <row r="392" spans="1:1" ht="18" customHeight="1" x14ac:dyDescent="0.2">
      <c r="A392" s="118" t="s">
        <v>1632</v>
      </c>
    </row>
    <row r="393" spans="1:1" ht="18" customHeight="1" x14ac:dyDescent="0.2">
      <c r="A393" s="118" t="s">
        <v>1504</v>
      </c>
    </row>
    <row r="394" spans="1:1" ht="18" customHeight="1" x14ac:dyDescent="0.2">
      <c r="A394" s="116" t="s">
        <v>1687</v>
      </c>
    </row>
    <row r="395" spans="1:1" ht="18" customHeight="1" x14ac:dyDescent="0.2">
      <c r="A395" s="118" t="s">
        <v>1634</v>
      </c>
    </row>
    <row r="396" spans="1:1" ht="18" customHeight="1" x14ac:dyDescent="0.2">
      <c r="A396" s="118" t="s">
        <v>1505</v>
      </c>
    </row>
    <row r="397" spans="1:1" ht="27" customHeight="1" x14ac:dyDescent="0.2">
      <c r="A397" s="118" t="s">
        <v>1506</v>
      </c>
    </row>
    <row r="398" spans="1:1" ht="18" customHeight="1" x14ac:dyDescent="0.2">
      <c r="A398" s="116" t="s">
        <v>1689</v>
      </c>
    </row>
    <row r="399" spans="1:1" ht="18" customHeight="1" x14ac:dyDescent="0.2">
      <c r="A399" s="116" t="s">
        <v>1688</v>
      </c>
    </row>
    <row r="400" spans="1:1" ht="18" customHeight="1" x14ac:dyDescent="0.2">
      <c r="A400" s="116" t="s">
        <v>1690</v>
      </c>
    </row>
    <row r="401" spans="1:1" ht="18" customHeight="1" x14ac:dyDescent="0.2">
      <c r="A401" s="116" t="s">
        <v>1394</v>
      </c>
    </row>
    <row r="402" spans="1:1" ht="18" customHeight="1" x14ac:dyDescent="0.2">
      <c r="A402" s="116" t="s">
        <v>1691</v>
      </c>
    </row>
    <row r="403" spans="1:1" ht="18" customHeight="1" x14ac:dyDescent="0.2">
      <c r="A403" s="118" t="s">
        <v>1507</v>
      </c>
    </row>
    <row r="404" spans="1:1" ht="27" customHeight="1" x14ac:dyDescent="0.2">
      <c r="A404" s="118" t="s">
        <v>5446</v>
      </c>
    </row>
    <row r="405" spans="1:1" ht="18" customHeight="1" x14ac:dyDescent="0.2">
      <c r="A405" s="118" t="s">
        <v>1508</v>
      </c>
    </row>
    <row r="406" spans="1:1" ht="18" customHeight="1" x14ac:dyDescent="0.2">
      <c r="A406" s="118" t="s">
        <v>1608</v>
      </c>
    </row>
    <row r="407" spans="1:1" ht="18" customHeight="1" x14ac:dyDescent="0.2">
      <c r="A407" s="118" t="s">
        <v>1509</v>
      </c>
    </row>
    <row r="408" spans="1:1" ht="18" customHeight="1" x14ac:dyDescent="0.2">
      <c r="A408" s="118" t="s">
        <v>1449</v>
      </c>
    </row>
    <row r="409" spans="1:1" ht="18" customHeight="1" x14ac:dyDescent="0.2">
      <c r="A409" s="116" t="s">
        <v>1692</v>
      </c>
    </row>
    <row r="410" spans="1:1" ht="18" customHeight="1" x14ac:dyDescent="0.2">
      <c r="A410" s="118" t="s">
        <v>2385</v>
      </c>
    </row>
    <row r="411" spans="1:1" ht="18" customHeight="1" x14ac:dyDescent="0.2">
      <c r="A411" s="118" t="s">
        <v>1510</v>
      </c>
    </row>
    <row r="412" spans="1:1" ht="27" customHeight="1" x14ac:dyDescent="0.2">
      <c r="A412" s="118" t="s">
        <v>1610</v>
      </c>
    </row>
    <row r="413" spans="1:1" ht="18" customHeight="1" x14ac:dyDescent="0.2">
      <c r="A413" s="118" t="s">
        <v>1357</v>
      </c>
    </row>
    <row r="414" spans="1:1" ht="18" customHeight="1" x14ac:dyDescent="0.2">
      <c r="A414" s="118" t="s">
        <v>5441</v>
      </c>
    </row>
    <row r="415" spans="1:1" ht="18" customHeight="1" x14ac:dyDescent="0.2">
      <c r="A415" s="116" t="s">
        <v>1563</v>
      </c>
    </row>
    <row r="416" spans="1:1" ht="18" customHeight="1" x14ac:dyDescent="0.2">
      <c r="A416" s="118" t="s">
        <v>1412</v>
      </c>
    </row>
    <row r="417" spans="1:1" ht="18" customHeight="1" x14ac:dyDescent="0.2">
      <c r="A417" s="116" t="s">
        <v>1511</v>
      </c>
    </row>
    <row r="418" spans="1:1" ht="18" customHeight="1" x14ac:dyDescent="0.2">
      <c r="A418" s="118" t="s">
        <v>1857</v>
      </c>
    </row>
    <row r="419" spans="1:1" ht="18" customHeight="1" x14ac:dyDescent="0.2">
      <c r="A419" s="116" t="s">
        <v>1564</v>
      </c>
    </row>
    <row r="420" spans="1:1" ht="18" customHeight="1" x14ac:dyDescent="0.2">
      <c r="A420" s="118" t="s">
        <v>1611</v>
      </c>
    </row>
    <row r="421" spans="1:1" ht="18" customHeight="1" x14ac:dyDescent="0.2">
      <c r="A421" s="116" t="s">
        <v>1756</v>
      </c>
    </row>
    <row r="422" spans="1:1" ht="18" customHeight="1" x14ac:dyDescent="0.2">
      <c r="A422" s="118" t="s">
        <v>1512</v>
      </c>
    </row>
    <row r="423" spans="1:1" ht="18" customHeight="1" x14ac:dyDescent="0.2">
      <c r="A423" s="116" t="s">
        <v>1757</v>
      </c>
    </row>
    <row r="424" spans="1:1" ht="18" customHeight="1" x14ac:dyDescent="0.2">
      <c r="A424" s="116" t="s">
        <v>1693</v>
      </c>
    </row>
    <row r="425" spans="1:1" ht="18" customHeight="1" x14ac:dyDescent="0.2">
      <c r="A425" s="118" t="s">
        <v>1513</v>
      </c>
    </row>
    <row r="426" spans="1:1" ht="18" customHeight="1" x14ac:dyDescent="0.2">
      <c r="A426" s="116" t="s">
        <v>1395</v>
      </c>
    </row>
    <row r="427" spans="1:1" ht="18" customHeight="1" x14ac:dyDescent="0.2">
      <c r="A427" s="116" t="s">
        <v>1758</v>
      </c>
    </row>
    <row r="428" spans="1:1" ht="18" customHeight="1" x14ac:dyDescent="0.2">
      <c r="A428" s="116" t="s">
        <v>1759</v>
      </c>
    </row>
    <row r="429" spans="1:1" ht="18" customHeight="1" x14ac:dyDescent="0.2">
      <c r="A429" s="116" t="s">
        <v>1565</v>
      </c>
    </row>
    <row r="430" spans="1:1" ht="18" customHeight="1" x14ac:dyDescent="0.2">
      <c r="A430" s="118" t="s">
        <v>1450</v>
      </c>
    </row>
    <row r="431" spans="1:1" ht="18" customHeight="1" x14ac:dyDescent="0.2">
      <c r="A431" s="116" t="s">
        <v>1396</v>
      </c>
    </row>
    <row r="432" spans="1:1" ht="27" customHeight="1" x14ac:dyDescent="0.2">
      <c r="A432" s="118" t="s">
        <v>1363</v>
      </c>
    </row>
    <row r="433" spans="1:1" ht="18" customHeight="1" x14ac:dyDescent="0.2">
      <c r="A433" s="118" t="s">
        <v>1514</v>
      </c>
    </row>
    <row r="434" spans="1:1" ht="18" customHeight="1" x14ac:dyDescent="0.2">
      <c r="A434" s="118" t="s">
        <v>1515</v>
      </c>
    </row>
    <row r="435" spans="1:1" ht="18" customHeight="1" x14ac:dyDescent="0.2">
      <c r="A435" s="116" t="s">
        <v>1696</v>
      </c>
    </row>
    <row r="436" spans="1:1" ht="18" customHeight="1" x14ac:dyDescent="0.2">
      <c r="A436" s="116" t="s">
        <v>1694</v>
      </c>
    </row>
    <row r="437" spans="1:1" ht="18" customHeight="1" x14ac:dyDescent="0.2">
      <c r="A437" s="116" t="s">
        <v>1695</v>
      </c>
    </row>
    <row r="438" spans="1:1" ht="18" customHeight="1" x14ac:dyDescent="0.2">
      <c r="A438" s="116" t="s">
        <v>1567</v>
      </c>
    </row>
    <row r="439" spans="1:1" ht="18" customHeight="1" thickBot="1" x14ac:dyDescent="0.25">
      <c r="A439" s="1409" t="s">
        <v>1566</v>
      </c>
    </row>
    <row r="440" spans="1:1" s="1419" customFormat="1" ht="18" customHeight="1" thickBot="1" x14ac:dyDescent="0.25">
      <c r="A440" s="49" t="s">
        <v>1574</v>
      </c>
    </row>
    <row r="441" spans="1:1" ht="18" customHeight="1" x14ac:dyDescent="0.2">
      <c r="A441" s="120" t="s">
        <v>1697</v>
      </c>
    </row>
    <row r="442" spans="1:1" ht="18" customHeight="1" x14ac:dyDescent="0.2">
      <c r="A442" s="118" t="s">
        <v>2386</v>
      </c>
    </row>
    <row r="443" spans="1:1" ht="18" customHeight="1" x14ac:dyDescent="0.2">
      <c r="A443" s="118" t="s">
        <v>1746</v>
      </c>
    </row>
    <row r="444" spans="1:1" ht="27" customHeight="1" x14ac:dyDescent="0.2">
      <c r="A444" s="116" t="s">
        <v>1575</v>
      </c>
    </row>
    <row r="445" spans="1:1" ht="18" customHeight="1" x14ac:dyDescent="0.2">
      <c r="A445" s="118" t="s">
        <v>1516</v>
      </c>
    </row>
    <row r="446" spans="1:1" ht="18" customHeight="1" x14ac:dyDescent="0.2">
      <c r="A446" s="118" t="s">
        <v>1451</v>
      </c>
    </row>
    <row r="447" spans="1:1" ht="18" customHeight="1" x14ac:dyDescent="0.2">
      <c r="A447" s="116" t="s">
        <v>1397</v>
      </c>
    </row>
    <row r="448" spans="1:1" ht="18" customHeight="1" thickBot="1" x14ac:dyDescent="0.25">
      <c r="A448" s="119" t="s">
        <v>1698</v>
      </c>
    </row>
    <row r="449" spans="1:1" ht="18" customHeight="1" x14ac:dyDescent="0.2">
      <c r="A449"/>
    </row>
    <row r="450" spans="1:1" ht="18" customHeight="1" x14ac:dyDescent="0.2">
      <c r="A450"/>
    </row>
    <row r="451" spans="1:1" ht="18" customHeight="1" x14ac:dyDescent="0.2">
      <c r="A451"/>
    </row>
    <row r="452" spans="1:1" ht="18" customHeight="1" x14ac:dyDescent="0.2">
      <c r="A452"/>
    </row>
    <row r="453" spans="1:1" ht="18" customHeight="1" x14ac:dyDescent="0.2">
      <c r="A453"/>
    </row>
    <row r="454" spans="1:1" ht="18" customHeight="1" x14ac:dyDescent="0.2">
      <c r="A454"/>
    </row>
    <row r="455" spans="1:1" ht="18" customHeight="1" x14ac:dyDescent="0.2">
      <c r="A455"/>
    </row>
    <row r="456" spans="1:1" ht="18" customHeight="1" x14ac:dyDescent="0.2">
      <c r="A456"/>
    </row>
    <row r="457" spans="1:1" ht="18" customHeight="1" x14ac:dyDescent="0.2">
      <c r="A457"/>
    </row>
    <row r="458" spans="1:1" ht="18" customHeight="1" x14ac:dyDescent="0.2">
      <c r="A458"/>
    </row>
    <row r="459" spans="1:1" ht="18" customHeight="1" x14ac:dyDescent="0.2">
      <c r="A459"/>
    </row>
    <row r="460" spans="1:1" ht="18" customHeight="1" x14ac:dyDescent="0.2">
      <c r="A460"/>
    </row>
    <row r="461" spans="1:1" ht="18" customHeight="1" x14ac:dyDescent="0.2">
      <c r="A461"/>
    </row>
    <row r="462" spans="1:1" ht="18" customHeight="1" x14ac:dyDescent="0.2">
      <c r="A462"/>
    </row>
    <row r="463" spans="1:1" ht="18" customHeight="1" x14ac:dyDescent="0.2">
      <c r="A463"/>
    </row>
    <row r="464" spans="1:1" ht="18" customHeight="1" x14ac:dyDescent="0.2">
      <c r="A464"/>
    </row>
    <row r="465" spans="1:1" ht="18" customHeight="1" x14ac:dyDescent="0.2">
      <c r="A465"/>
    </row>
    <row r="466" spans="1:1" ht="18" customHeight="1" x14ac:dyDescent="0.2">
      <c r="A466"/>
    </row>
    <row r="467" spans="1:1" ht="18" customHeight="1" x14ac:dyDescent="0.2">
      <c r="A467"/>
    </row>
    <row r="468" spans="1:1" ht="18" customHeight="1" x14ac:dyDescent="0.2">
      <c r="A468"/>
    </row>
    <row r="469" spans="1:1" ht="18" customHeight="1" x14ac:dyDescent="0.2">
      <c r="A469"/>
    </row>
    <row r="470" spans="1:1" ht="18" customHeight="1" x14ac:dyDescent="0.2">
      <c r="A470"/>
    </row>
    <row r="471" spans="1:1" ht="18" customHeight="1" x14ac:dyDescent="0.2">
      <c r="A471"/>
    </row>
    <row r="472" spans="1:1" ht="18" customHeight="1" x14ac:dyDescent="0.2">
      <c r="A472"/>
    </row>
    <row r="473" spans="1:1" ht="18" customHeight="1" x14ac:dyDescent="0.2">
      <c r="A473"/>
    </row>
    <row r="474" spans="1:1" ht="18" customHeight="1" x14ac:dyDescent="0.2">
      <c r="A474"/>
    </row>
    <row r="475" spans="1:1" ht="18" customHeight="1" x14ac:dyDescent="0.2">
      <c r="A475"/>
    </row>
    <row r="476" spans="1:1" ht="18" customHeight="1" x14ac:dyDescent="0.2">
      <c r="A476"/>
    </row>
    <row r="477" spans="1:1" ht="18" customHeight="1" x14ac:dyDescent="0.2">
      <c r="A477"/>
    </row>
    <row r="478" spans="1:1" ht="18" customHeight="1" x14ac:dyDescent="0.2">
      <c r="A478"/>
    </row>
    <row r="479" spans="1:1" ht="18" customHeight="1" x14ac:dyDescent="0.2">
      <c r="A479"/>
    </row>
    <row r="480" spans="1:1" ht="18" customHeight="1" x14ac:dyDescent="0.2">
      <c r="A480"/>
    </row>
    <row r="481" spans="1:1" ht="18" customHeight="1" x14ac:dyDescent="0.2">
      <c r="A481"/>
    </row>
    <row r="482" spans="1:1" ht="18" customHeight="1" x14ac:dyDescent="0.2">
      <c r="A482"/>
    </row>
    <row r="483" spans="1:1" ht="18" customHeight="1" x14ac:dyDescent="0.2">
      <c r="A483"/>
    </row>
    <row r="484" spans="1:1" ht="18" customHeight="1" x14ac:dyDescent="0.2">
      <c r="A484"/>
    </row>
    <row r="485" spans="1:1" ht="18" customHeight="1" x14ac:dyDescent="0.2">
      <c r="A485"/>
    </row>
    <row r="486" spans="1:1" ht="18" customHeight="1" x14ac:dyDescent="0.2">
      <c r="A486"/>
    </row>
    <row r="487" spans="1:1" ht="18" customHeight="1" x14ac:dyDescent="0.2">
      <c r="A487"/>
    </row>
    <row r="488" spans="1:1" ht="18" customHeight="1" x14ac:dyDescent="0.2">
      <c r="A488"/>
    </row>
    <row r="489" spans="1:1" ht="18" customHeight="1" x14ac:dyDescent="0.2">
      <c r="A489"/>
    </row>
    <row r="490" spans="1:1" ht="18" customHeight="1" x14ac:dyDescent="0.2">
      <c r="A490"/>
    </row>
    <row r="491" spans="1:1" ht="18" customHeight="1" x14ac:dyDescent="0.2">
      <c r="A491"/>
    </row>
    <row r="492" spans="1:1" ht="18" customHeight="1" x14ac:dyDescent="0.2">
      <c r="A492"/>
    </row>
    <row r="493" spans="1:1" ht="18" customHeight="1" x14ac:dyDescent="0.2">
      <c r="A493"/>
    </row>
    <row r="494" spans="1:1" ht="18" customHeight="1" x14ac:dyDescent="0.2">
      <c r="A494"/>
    </row>
    <row r="495" spans="1:1" ht="18" customHeight="1" x14ac:dyDescent="0.2">
      <c r="A495"/>
    </row>
    <row r="496" spans="1:1" ht="18" customHeight="1" x14ac:dyDescent="0.2">
      <c r="A496"/>
    </row>
    <row r="497" spans="1:1" ht="18" customHeight="1" x14ac:dyDescent="0.2">
      <c r="A497"/>
    </row>
    <row r="498" spans="1:1" ht="18" customHeight="1" x14ac:dyDescent="0.2">
      <c r="A498"/>
    </row>
    <row r="499" spans="1:1" ht="18" customHeight="1" x14ac:dyDescent="0.2">
      <c r="A499"/>
    </row>
    <row r="500" spans="1:1" ht="18" customHeight="1" x14ac:dyDescent="0.2">
      <c r="A500"/>
    </row>
    <row r="501" spans="1:1" ht="18" customHeight="1" x14ac:dyDescent="0.2">
      <c r="A501"/>
    </row>
    <row r="502" spans="1:1" ht="18" customHeight="1" x14ac:dyDescent="0.2">
      <c r="A502"/>
    </row>
    <row r="503" spans="1:1" ht="18" customHeight="1" x14ac:dyDescent="0.2">
      <c r="A503"/>
    </row>
    <row r="504" spans="1:1" ht="18" customHeight="1" x14ac:dyDescent="0.2">
      <c r="A504"/>
    </row>
    <row r="505" spans="1:1" ht="18" customHeight="1" x14ac:dyDescent="0.2">
      <c r="A505"/>
    </row>
    <row r="506" spans="1:1" ht="18" customHeight="1" x14ac:dyDescent="0.2">
      <c r="A506"/>
    </row>
    <row r="507" spans="1:1" ht="18" customHeight="1" x14ac:dyDescent="0.2">
      <c r="A507"/>
    </row>
    <row r="508" spans="1:1" ht="18" customHeight="1" x14ac:dyDescent="0.2">
      <c r="A508"/>
    </row>
    <row r="509" spans="1:1" ht="18" customHeight="1" x14ac:dyDescent="0.2">
      <c r="A509"/>
    </row>
    <row r="510" spans="1:1" ht="18" customHeight="1" x14ac:dyDescent="0.2">
      <c r="A510"/>
    </row>
    <row r="511" spans="1:1" ht="18" customHeight="1" x14ac:dyDescent="0.2">
      <c r="A511"/>
    </row>
    <row r="512" spans="1:1" ht="18" customHeight="1" x14ac:dyDescent="0.2">
      <c r="A512"/>
    </row>
    <row r="513" spans="1:1" ht="18" customHeight="1" x14ac:dyDescent="0.2">
      <c r="A513"/>
    </row>
    <row r="514" spans="1:1" ht="18" customHeight="1" x14ac:dyDescent="0.2">
      <c r="A514"/>
    </row>
    <row r="515" spans="1:1" ht="18" customHeight="1" x14ac:dyDescent="0.2">
      <c r="A515"/>
    </row>
    <row r="516" spans="1:1" ht="18" customHeight="1" x14ac:dyDescent="0.2">
      <c r="A516"/>
    </row>
    <row r="517" spans="1:1" ht="18" customHeight="1" x14ac:dyDescent="0.2">
      <c r="A517"/>
    </row>
    <row r="518" spans="1:1" ht="18" customHeight="1" x14ac:dyDescent="0.2">
      <c r="A518"/>
    </row>
    <row r="519" spans="1:1" ht="18" customHeight="1" x14ac:dyDescent="0.2">
      <c r="A519"/>
    </row>
    <row r="520" spans="1:1" ht="18" customHeight="1" x14ac:dyDescent="0.2">
      <c r="A520"/>
    </row>
    <row r="521" spans="1:1" ht="18" customHeight="1" x14ac:dyDescent="0.2">
      <c r="A521"/>
    </row>
    <row r="522" spans="1:1" ht="18" customHeight="1" x14ac:dyDescent="0.2">
      <c r="A522"/>
    </row>
    <row r="523" spans="1:1" ht="18" customHeight="1" x14ac:dyDescent="0.2">
      <c r="A523"/>
    </row>
    <row r="524" spans="1:1" ht="18" customHeight="1" x14ac:dyDescent="0.2">
      <c r="A524"/>
    </row>
    <row r="525" spans="1:1" ht="18" customHeight="1" x14ac:dyDescent="0.2">
      <c r="A525"/>
    </row>
    <row r="526" spans="1:1" ht="18" customHeight="1" x14ac:dyDescent="0.2">
      <c r="A526"/>
    </row>
    <row r="527" spans="1:1" ht="18" customHeight="1" x14ac:dyDescent="0.2">
      <c r="A527"/>
    </row>
    <row r="528" spans="1:1" ht="18" customHeight="1" x14ac:dyDescent="0.2">
      <c r="A528"/>
    </row>
  </sheetData>
  <sortState xmlns:xlrd2="http://schemas.microsoft.com/office/spreadsheetml/2017/richdata2" ref="A2:A450">
    <sortCondition ref="A2:A450"/>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indexed="11"/>
  </sheetPr>
  <dimension ref="A1:AC51"/>
  <sheetViews>
    <sheetView tabSelected="1" zoomScaleNormal="100" workbookViewId="0">
      <selection activeCell="E20" sqref="E20"/>
    </sheetView>
  </sheetViews>
  <sheetFormatPr defaultColWidth="5.83203125" defaultRowHeight="12.75" x14ac:dyDescent="0.2"/>
  <cols>
    <col min="1" max="1" width="58" style="7" customWidth="1"/>
    <col min="2" max="2" width="10.6640625" style="69" customWidth="1"/>
    <col min="3" max="3" width="9.83203125" style="69" customWidth="1"/>
    <col min="4" max="4" width="15.6640625" style="69" customWidth="1"/>
    <col min="5" max="5" width="11.5" style="69" customWidth="1"/>
    <col min="6" max="6" width="14.1640625" style="69" customWidth="1"/>
    <col min="7" max="7" width="11.6640625" style="69" customWidth="1"/>
    <col min="8" max="8" width="8" style="69" hidden="1" customWidth="1"/>
    <col min="9" max="9" width="14.1640625" style="69" hidden="1" customWidth="1"/>
    <col min="10" max="10" width="13.33203125" style="73" hidden="1" customWidth="1"/>
    <col min="11" max="11" width="14.6640625" style="73" customWidth="1"/>
    <col min="12" max="12" width="10.1640625" style="73" customWidth="1"/>
    <col min="13" max="13" width="9" style="73" customWidth="1"/>
    <col min="14" max="14" width="14.33203125" style="7" customWidth="1"/>
    <col min="15" max="15" width="8.33203125" style="7" customWidth="1"/>
    <col min="16" max="16" width="10.33203125" style="7" customWidth="1"/>
    <col min="17" max="17" width="4.5" style="7" customWidth="1"/>
    <col min="18" max="19" width="3.83203125" style="7" customWidth="1"/>
    <col min="20" max="20" width="6.5" style="7" customWidth="1"/>
    <col min="21" max="21" width="7.1640625" style="7" customWidth="1"/>
    <col min="22" max="22" width="6.83203125" style="7" customWidth="1"/>
    <col min="23" max="23" width="6.1640625" style="7" customWidth="1"/>
    <col min="24" max="24" width="6.33203125" style="7" customWidth="1"/>
    <col min="25" max="25" width="10.33203125" style="7" customWidth="1"/>
    <col min="26" max="26" width="7.6640625" style="7" customWidth="1"/>
    <col min="27" max="27" width="6.83203125" style="7" customWidth="1"/>
    <col min="28" max="28" width="5.83203125" style="7"/>
    <col min="30" max="16384" width="5.83203125" style="7"/>
  </cols>
  <sheetData>
    <row r="1" spans="1:16" ht="21.75" customHeight="1" x14ac:dyDescent="0.2">
      <c r="A1" s="1478" t="s">
        <v>5766</v>
      </c>
      <c r="B1" s="1809"/>
      <c r="C1" s="1809"/>
      <c r="D1" s="1809"/>
      <c r="E1" s="1809"/>
      <c r="F1" s="1809"/>
      <c r="G1" s="1809"/>
      <c r="H1" s="1809"/>
      <c r="I1" s="1809"/>
      <c r="J1" s="1809"/>
      <c r="K1" s="1809"/>
      <c r="L1" s="1809"/>
      <c r="M1" s="1809"/>
      <c r="N1" s="1809"/>
    </row>
    <row r="2" spans="1:16" ht="20.25" customHeight="1" x14ac:dyDescent="0.2">
      <c r="A2" s="1475" t="s">
        <v>5713</v>
      </c>
      <c r="B2" s="1809"/>
      <c r="C2" s="1809"/>
      <c r="D2" s="1809"/>
      <c r="E2" s="1809"/>
      <c r="F2" s="1809"/>
      <c r="G2" s="1809"/>
      <c r="H2" s="1809"/>
      <c r="I2" s="1809"/>
      <c r="J2" s="1809"/>
      <c r="K2" s="1809"/>
      <c r="L2" s="1809"/>
      <c r="M2" s="1809"/>
      <c r="N2" s="1809"/>
    </row>
    <row r="3" spans="1:16" ht="19.5" customHeight="1" x14ac:dyDescent="0.2">
      <c r="A3" s="1475" t="s">
        <v>5714</v>
      </c>
      <c r="B3" s="1809"/>
      <c r="C3" s="1809"/>
      <c r="D3" s="1809"/>
      <c r="E3" s="1809"/>
      <c r="F3" s="1809"/>
      <c r="G3" s="1809"/>
      <c r="H3" s="1809"/>
      <c r="I3" s="1809"/>
      <c r="J3" s="1809"/>
      <c r="K3" s="1809"/>
      <c r="L3" s="1809"/>
      <c r="M3" s="1809"/>
      <c r="N3" s="1809"/>
    </row>
    <row r="4" spans="1:16" ht="19.5" customHeight="1" x14ac:dyDescent="0.2">
      <c r="A4" s="1475" t="s">
        <v>5715</v>
      </c>
      <c r="B4" s="1809"/>
      <c r="C4" s="1809"/>
      <c r="D4" s="1809"/>
      <c r="E4" s="1809"/>
      <c r="F4" s="1809"/>
      <c r="G4" s="1809"/>
      <c r="H4" s="1809"/>
      <c r="I4" s="1809"/>
      <c r="J4" s="1809"/>
      <c r="K4" s="1809"/>
      <c r="L4" s="1809"/>
      <c r="M4" s="1809"/>
      <c r="N4" s="1809"/>
    </row>
    <row r="5" spans="1:16" ht="19.5" customHeight="1" x14ac:dyDescent="0.2">
      <c r="A5" s="1475" t="s">
        <v>5716</v>
      </c>
      <c r="B5" s="1809"/>
      <c r="C5" s="1809"/>
      <c r="D5" s="1809"/>
      <c r="E5" s="1809"/>
      <c r="F5" s="1809"/>
      <c r="G5" s="1809"/>
      <c r="H5" s="1809"/>
      <c r="I5" s="1809"/>
      <c r="J5" s="1809"/>
      <c r="K5" s="1809"/>
      <c r="L5" s="1809"/>
      <c r="M5" s="1809"/>
      <c r="N5" s="1809"/>
    </row>
    <row r="6" spans="1:16" ht="19.5" customHeight="1" x14ac:dyDescent="0.2">
      <c r="A6" s="1475" t="s">
        <v>5717</v>
      </c>
      <c r="B6" s="1809"/>
      <c r="C6" s="1809"/>
      <c r="D6" s="1809"/>
      <c r="E6" s="1809"/>
      <c r="F6" s="1809"/>
      <c r="G6" s="1809"/>
      <c r="H6" s="1809"/>
      <c r="I6" s="1809"/>
      <c r="J6" s="1809"/>
      <c r="K6" s="1809"/>
      <c r="L6" s="1809"/>
      <c r="M6" s="1809"/>
      <c r="N6" s="1809"/>
    </row>
    <row r="7" spans="1:16" ht="19.5" customHeight="1" x14ac:dyDescent="0.2">
      <c r="A7" s="1475" t="s">
        <v>5725</v>
      </c>
      <c r="B7" s="1809"/>
      <c r="C7" s="1809"/>
      <c r="D7" s="1809"/>
      <c r="E7" s="1809"/>
      <c r="F7" s="1809"/>
      <c r="G7" s="1809"/>
      <c r="H7" s="1809"/>
      <c r="I7" s="1809"/>
      <c r="J7" s="1809"/>
      <c r="K7" s="1809"/>
      <c r="L7" s="1809"/>
      <c r="M7" s="1809"/>
      <c r="N7" s="1809"/>
    </row>
    <row r="8" spans="1:16" ht="21" customHeight="1" x14ac:dyDescent="0.2">
      <c r="A8" s="1475" t="s">
        <v>5718</v>
      </c>
      <c r="B8" s="1809"/>
      <c r="C8" s="1809"/>
      <c r="D8" s="1809"/>
      <c r="E8" s="1809"/>
      <c r="F8" s="1809"/>
      <c r="G8" s="1809"/>
      <c r="H8" s="1809"/>
      <c r="I8" s="1809"/>
      <c r="J8" s="1809"/>
      <c r="K8" s="1809"/>
      <c r="L8" s="1809"/>
      <c r="M8" s="1809"/>
      <c r="N8" s="1809"/>
    </row>
    <row r="9" spans="1:16" ht="19.5" customHeight="1" x14ac:dyDescent="0.2">
      <c r="A9" s="1475" t="s">
        <v>5719</v>
      </c>
      <c r="B9" s="1809"/>
      <c r="C9" s="1809"/>
      <c r="D9" s="1809"/>
      <c r="E9" s="1809"/>
      <c r="F9" s="1809"/>
      <c r="G9" s="1809"/>
      <c r="H9" s="1809"/>
      <c r="I9" s="1809"/>
      <c r="J9" s="1809"/>
      <c r="K9" s="1809"/>
      <c r="L9" s="1809"/>
      <c r="M9" s="1809"/>
      <c r="N9" s="1809"/>
    </row>
    <row r="10" spans="1:16" ht="19.5" customHeight="1" x14ac:dyDescent="0.2">
      <c r="A10" s="1475" t="s">
        <v>5720</v>
      </c>
      <c r="B10" s="1809"/>
      <c r="C10" s="1809"/>
      <c r="D10" s="1809"/>
      <c r="E10" s="1809"/>
      <c r="F10" s="1809"/>
      <c r="G10" s="1809"/>
      <c r="H10" s="1809"/>
      <c r="I10" s="1809"/>
      <c r="J10" s="1809"/>
      <c r="K10" s="1809"/>
      <c r="L10" s="1809"/>
      <c r="M10" s="1809"/>
      <c r="N10" s="1809"/>
    </row>
    <row r="11" spans="1:16" ht="28.9" customHeight="1" x14ac:dyDescent="0.2">
      <c r="A11" s="1475" t="s">
        <v>5723</v>
      </c>
      <c r="B11" s="1809"/>
      <c r="C11" s="1809"/>
      <c r="D11" s="1809"/>
      <c r="E11" s="1809"/>
      <c r="F11" s="1809"/>
      <c r="G11" s="1809"/>
      <c r="H11" s="1809"/>
      <c r="I11" s="1809"/>
      <c r="J11" s="1809"/>
      <c r="K11" s="1809"/>
      <c r="L11" s="1809"/>
      <c r="M11" s="1809"/>
      <c r="N11" s="1809"/>
    </row>
    <row r="12" spans="1:16" ht="21" customHeight="1" x14ac:dyDescent="0.2">
      <c r="A12" s="1475" t="s">
        <v>5724</v>
      </c>
      <c r="B12" s="1809"/>
      <c r="C12" s="1809"/>
      <c r="D12" s="1809"/>
      <c r="E12" s="1809"/>
      <c r="F12" s="1809"/>
      <c r="G12" s="1809"/>
      <c r="H12" s="1809"/>
      <c r="I12" s="1809"/>
      <c r="J12" s="1809"/>
      <c r="K12" s="1809"/>
      <c r="L12" s="1809"/>
      <c r="M12" s="1809"/>
      <c r="N12" s="1809"/>
    </row>
    <row r="13" spans="1:16" ht="29.25" customHeight="1" x14ac:dyDescent="0.2">
      <c r="A13" s="1475" t="s">
        <v>5721</v>
      </c>
      <c r="B13" s="1809"/>
      <c r="C13" s="1809"/>
      <c r="D13" s="1809"/>
      <c r="E13" s="1809"/>
      <c r="F13" s="1809"/>
      <c r="G13" s="1809"/>
      <c r="H13" s="1809"/>
      <c r="I13" s="1809"/>
      <c r="J13" s="1809"/>
      <c r="K13" s="1809"/>
      <c r="L13" s="1809"/>
      <c r="M13" s="1809"/>
      <c r="N13" s="1809"/>
    </row>
    <row r="14" spans="1:16" ht="27.75" customHeight="1" thickBot="1" x14ac:dyDescent="0.25">
      <c r="A14" s="1476" t="s">
        <v>5722</v>
      </c>
      <c r="B14" s="1809"/>
      <c r="C14" s="1809"/>
      <c r="D14" s="1809"/>
      <c r="E14" s="1809"/>
      <c r="F14" s="1809"/>
      <c r="G14" s="1809"/>
      <c r="H14" s="1809"/>
      <c r="I14" s="1809"/>
      <c r="J14" s="1809"/>
      <c r="K14" s="1809"/>
      <c r="L14" s="1809"/>
      <c r="M14" s="1809"/>
      <c r="N14" s="1809"/>
    </row>
    <row r="15" spans="1:16" x14ac:dyDescent="0.2">
      <c r="B15" s="70"/>
      <c r="C15" s="71"/>
      <c r="D15" s="71"/>
      <c r="E15" s="71"/>
      <c r="F15" s="74"/>
      <c r="G15" s="74"/>
      <c r="H15" s="74"/>
      <c r="I15" s="74"/>
      <c r="J15" s="75"/>
      <c r="K15" s="76"/>
      <c r="L15" s="76"/>
    </row>
    <row r="16" spans="1:16" ht="55.5" customHeight="1" thickBot="1" x14ac:dyDescent="0.25">
      <c r="A16" s="1819" t="s">
        <v>5830</v>
      </c>
      <c r="B16" s="1820"/>
      <c r="C16" s="1820"/>
      <c r="D16" s="1820"/>
      <c r="E16" s="1820"/>
      <c r="F16" s="1820"/>
      <c r="G16" s="1820"/>
      <c r="H16" s="1820"/>
      <c r="I16" s="1820"/>
      <c r="J16" s="1425"/>
      <c r="K16" s="1813"/>
      <c r="L16" s="1813"/>
      <c r="M16" s="1813"/>
      <c r="N16" s="1813"/>
      <c r="O16" s="1813"/>
      <c r="P16" s="1813"/>
    </row>
    <row r="17" spans="1:27" ht="22.15" customHeight="1" thickBot="1" x14ac:dyDescent="0.25">
      <c r="A17" s="1426"/>
      <c r="B17" s="1426"/>
      <c r="C17" s="1426"/>
      <c r="D17" s="1426"/>
      <c r="E17" s="1426"/>
      <c r="F17" s="1474"/>
      <c r="G17" s="1474"/>
      <c r="H17" s="1474"/>
      <c r="I17" s="1474"/>
      <c r="J17" s="7"/>
      <c r="K17" s="1822" t="s">
        <v>5711</v>
      </c>
      <c r="L17" s="1823"/>
      <c r="M17" s="1824"/>
      <c r="N17" s="1825" t="s">
        <v>5712</v>
      </c>
      <c r="O17" s="1823"/>
      <c r="P17" s="1824"/>
    </row>
    <row r="18" spans="1:27" ht="53.25" customHeight="1" thickBot="1" x14ac:dyDescent="0.25">
      <c r="A18" s="1810" t="s">
        <v>5803</v>
      </c>
      <c r="B18" s="1811"/>
      <c r="C18" s="1812"/>
      <c r="D18" s="1487"/>
      <c r="E18" s="1487"/>
      <c r="F18" s="1487"/>
      <c r="G18" s="1487"/>
      <c r="H18" s="1487"/>
      <c r="I18" s="1487"/>
      <c r="J18" s="1547"/>
      <c r="K18" s="1814" t="s">
        <v>5826</v>
      </c>
      <c r="L18" s="1816" t="s">
        <v>5827</v>
      </c>
      <c r="M18" s="1817"/>
      <c r="N18" s="1814" t="s">
        <v>5828</v>
      </c>
      <c r="O18" s="1816" t="s">
        <v>5829</v>
      </c>
      <c r="P18" s="1818"/>
      <c r="Q18" s="1640"/>
      <c r="R18" s="1640"/>
      <c r="S18" s="1640"/>
      <c r="T18" s="1640"/>
      <c r="U18" s="1640"/>
      <c r="V18" s="1640"/>
      <c r="W18" s="1640"/>
    </row>
    <row r="19" spans="1:27" ht="58.5" customHeight="1" thickBot="1" x14ac:dyDescent="0.3">
      <c r="A19" s="1477" t="s">
        <v>902</v>
      </c>
      <c r="B19" s="1479" t="s">
        <v>5758</v>
      </c>
      <c r="C19" s="1473" t="s">
        <v>5759</v>
      </c>
      <c r="D19" s="1486" t="s">
        <v>5808</v>
      </c>
      <c r="E19" s="1620" t="s">
        <v>5709</v>
      </c>
      <c r="F19" s="1494" t="s">
        <v>5807</v>
      </c>
      <c r="G19" s="1495" t="s">
        <v>5710</v>
      </c>
      <c r="H19" s="1614"/>
      <c r="I19" s="1614"/>
      <c r="J19" s="1615"/>
      <c r="K19" s="1821"/>
      <c r="L19" s="1641" t="s">
        <v>5765</v>
      </c>
      <c r="M19" s="1642" t="s">
        <v>5764</v>
      </c>
      <c r="N19" s="1815"/>
      <c r="O19" s="1641" t="s">
        <v>5765</v>
      </c>
      <c r="P19" s="1643" t="s">
        <v>5764</v>
      </c>
      <c r="Q19" s="1640"/>
      <c r="R19" s="1640"/>
      <c r="S19" s="1640"/>
      <c r="T19" s="1644" t="s">
        <v>5760</v>
      </c>
      <c r="U19" s="1645" t="s">
        <v>5761</v>
      </c>
      <c r="V19" s="1645" t="s">
        <v>5762</v>
      </c>
      <c r="W19" s="1646" t="s">
        <v>5763</v>
      </c>
      <c r="X19" s="1496"/>
      <c r="Y19" s="1616"/>
      <c r="Z19" s="1617"/>
      <c r="AA19" s="1617"/>
    </row>
    <row r="20" spans="1:27" ht="18" customHeight="1" x14ac:dyDescent="0.2">
      <c r="A20" s="1551" t="s">
        <v>1111</v>
      </c>
      <c r="B20" s="1633" t="str">
        <f>IF((SUM(F!D5:'F'!D10)=0),"",WS!G116)</f>
        <v/>
      </c>
      <c r="C20" s="1636" t="str">
        <f>IF((B20&lt;1),0,IF((B20=""),"",WS!G117))</f>
        <v/>
      </c>
      <c r="D20" s="1557" t="str">
        <f>IF((B20=""),"", IF((B20&lt;T20),0, IF((B20&gt;U20),10, 10*(B20-T20)/(U20-T20))))</f>
        <v/>
      </c>
      <c r="E20" s="1611" t="str">
        <f t="shared" ref="E20:E37" si="0">IF((D20=""),"",IF((D20&lt;=L20),"Lower",IF((D20&gt;M20),"Higher","Moderate")))</f>
        <v/>
      </c>
      <c r="F20" s="1559" t="str">
        <f t="shared" ref="F20:F26" si="1">IF((C20=""),"", IF((C20&lt;V20),0, IF((C20&gt;W20),10, 10*(C20-V20)/(W20-V20))))</f>
        <v/>
      </c>
      <c r="G20" s="1560" t="str">
        <f t="shared" ref="G20:G26" si="2">IF((F20=""),"",IF((F20&lt;=O20),"Lower",IF((F20&gt;P20),"Higher","Moderate")))</f>
        <v/>
      </c>
      <c r="H20" s="169" t="str">
        <f>IFERROR(AVERAGE(D20,F20),"")</f>
        <v/>
      </c>
      <c r="I20" s="169" t="str">
        <f t="shared" ref="I20:I43" si="3">IF((D20&gt;F20),D20,H20)</f>
        <v/>
      </c>
      <c r="J20" s="169" t="str">
        <f t="shared" ref="J20:J37" si="4">IF((H20=""),"", IF((I20&lt;Z20),0, IF((I20&gt;AA20),10, 10*(I20-Z20)/(AA20-Z20))))</f>
        <v/>
      </c>
      <c r="K20" s="1647">
        <v>2.8519855595667867</v>
      </c>
      <c r="L20" s="1648">
        <v>3.26</v>
      </c>
      <c r="M20" s="1648">
        <v>6.25</v>
      </c>
      <c r="N20" s="1647">
        <v>3.2352941176470584</v>
      </c>
      <c r="O20" s="1648">
        <v>2.25</v>
      </c>
      <c r="P20" s="1649">
        <v>5.29</v>
      </c>
      <c r="Q20" s="1650"/>
      <c r="R20" s="1650"/>
      <c r="S20" s="1650"/>
      <c r="T20" s="1651">
        <v>1.2063492063492063</v>
      </c>
      <c r="U20" s="1652">
        <v>10</v>
      </c>
      <c r="V20" s="1652">
        <v>0.55555555555555558</v>
      </c>
      <c r="W20" s="1653">
        <v>10</v>
      </c>
      <c r="Y20" s="1618"/>
      <c r="Z20" s="17"/>
      <c r="AA20" s="17"/>
    </row>
    <row r="21" spans="1:27" ht="18" customHeight="1" x14ac:dyDescent="0.2">
      <c r="A21" s="1552" t="s">
        <v>1106</v>
      </c>
      <c r="B21" s="1634" t="str">
        <f>IF((SUM(F!D5:'F'!D10)=0),"",SFS!G63)</f>
        <v/>
      </c>
      <c r="C21" s="1637" t="str">
        <f>IF((B21&lt;1),0,IF((B21=""),"",SFS!G64))</f>
        <v/>
      </c>
      <c r="D21" s="1561" t="str">
        <f t="shared" ref="D21:D37" si="5">IF((B21=""),"", IF((B21&lt;T21),0, IF((B21&gt;10),10, 10*(B21-T21)/(U21-T21))))</f>
        <v/>
      </c>
      <c r="E21" s="1612" t="str">
        <f t="shared" si="0"/>
        <v/>
      </c>
      <c r="F21" s="1562" t="str">
        <f t="shared" si="1"/>
        <v/>
      </c>
      <c r="G21" s="1563" t="str">
        <f t="shared" si="2"/>
        <v/>
      </c>
      <c r="H21" s="169" t="str">
        <f t="shared" ref="H21:H37" si="6">IFERROR(AVERAGE(D21,F21),"")</f>
        <v/>
      </c>
      <c r="I21" s="169" t="str">
        <f t="shared" si="3"/>
        <v/>
      </c>
      <c r="J21" s="169" t="str">
        <f t="shared" si="4"/>
        <v/>
      </c>
      <c r="K21" s="1654">
        <v>3.1666666666666661</v>
      </c>
      <c r="L21" s="1648">
        <v>2.75</v>
      </c>
      <c r="M21" s="1648">
        <v>6.1</v>
      </c>
      <c r="N21" s="1654">
        <v>3.7959169647936521</v>
      </c>
      <c r="O21" s="1648">
        <v>1.47</v>
      </c>
      <c r="P21" s="1649">
        <v>4.93</v>
      </c>
      <c r="Q21" s="1650"/>
      <c r="R21" s="1650"/>
      <c r="S21" s="1650"/>
      <c r="T21" s="1651">
        <v>0</v>
      </c>
      <c r="U21" s="1652">
        <v>8.3333333333333339</v>
      </c>
      <c r="V21" s="1652">
        <v>0</v>
      </c>
      <c r="W21" s="1653">
        <v>6.0628009259259263</v>
      </c>
      <c r="Y21" s="1618"/>
      <c r="Z21" s="1548"/>
      <c r="AA21" s="1548"/>
    </row>
    <row r="22" spans="1:27" ht="18" customHeight="1" x14ac:dyDescent="0.2">
      <c r="A22" s="1552" t="s">
        <v>1104</v>
      </c>
      <c r="B22" s="1634" t="str">
        <f>IF((SUM(F!D5:'F'!D10)=0),"",WC!G79)</f>
        <v/>
      </c>
      <c r="C22" s="1637" t="str">
        <f>IF((B22&lt;1),0,IF((B22=""),"",WC!G80))</f>
        <v/>
      </c>
      <c r="D22" s="1561" t="str">
        <f t="shared" si="5"/>
        <v/>
      </c>
      <c r="E22" s="1612" t="str">
        <f t="shared" si="0"/>
        <v/>
      </c>
      <c r="F22" s="1562" t="str">
        <f t="shared" si="1"/>
        <v/>
      </c>
      <c r="G22" s="1563" t="str">
        <f t="shared" si="2"/>
        <v/>
      </c>
      <c r="H22" s="169" t="str">
        <f t="shared" si="6"/>
        <v/>
      </c>
      <c r="I22" s="169" t="str">
        <f t="shared" si="3"/>
        <v/>
      </c>
      <c r="J22" s="169" t="str">
        <f t="shared" si="4"/>
        <v/>
      </c>
      <c r="K22" s="1654">
        <v>4</v>
      </c>
      <c r="L22" s="1648">
        <v>3.4</v>
      </c>
      <c r="M22" s="1648">
        <v>5.87</v>
      </c>
      <c r="N22" s="1654">
        <v>1.8390804597701151</v>
      </c>
      <c r="O22" s="1648">
        <v>1.87</v>
      </c>
      <c r="P22" s="1649">
        <v>5.25</v>
      </c>
      <c r="Q22" s="1650"/>
      <c r="R22" s="1650"/>
      <c r="S22" s="1650"/>
      <c r="T22" s="1655">
        <v>0</v>
      </c>
      <c r="U22" s="1656">
        <v>10</v>
      </c>
      <c r="V22" s="1652">
        <v>0</v>
      </c>
      <c r="W22" s="1653">
        <v>7.0083333333333346</v>
      </c>
      <c r="Y22" s="1618"/>
      <c r="Z22" s="17"/>
      <c r="AA22" s="17"/>
    </row>
    <row r="23" spans="1:27" ht="18" customHeight="1" thickBot="1" x14ac:dyDescent="0.25">
      <c r="A23" s="1553" t="s">
        <v>1105</v>
      </c>
      <c r="B23" s="1635" t="str">
        <f>IF((SUM(F!D5:'F'!D10)=0),"",WW!G82)</f>
        <v/>
      </c>
      <c r="C23" s="1638" t="str">
        <f>IF((B23&lt;1),0,IF((B23=""),"",WW!G83))</f>
        <v/>
      </c>
      <c r="D23" s="1564" t="str">
        <f t="shared" si="5"/>
        <v/>
      </c>
      <c r="E23" s="1613" t="str">
        <f t="shared" si="0"/>
        <v/>
      </c>
      <c r="F23" s="1565" t="str">
        <f t="shared" si="1"/>
        <v/>
      </c>
      <c r="G23" s="1566" t="str">
        <f t="shared" si="2"/>
        <v/>
      </c>
      <c r="H23" s="169" t="str">
        <f t="shared" si="6"/>
        <v/>
      </c>
      <c r="I23" s="169" t="str">
        <f t="shared" si="3"/>
        <v/>
      </c>
      <c r="J23" s="169" t="str">
        <f t="shared" si="4"/>
        <v/>
      </c>
      <c r="K23" s="1654">
        <v>5.9</v>
      </c>
      <c r="L23" s="1648">
        <v>2</v>
      </c>
      <c r="M23" s="1648">
        <v>5.57</v>
      </c>
      <c r="N23" s="1654">
        <v>2.8286213689204565</v>
      </c>
      <c r="O23" s="1648">
        <v>2.83</v>
      </c>
      <c r="P23" s="1649">
        <v>6.71</v>
      </c>
      <c r="Q23" s="1650"/>
      <c r="R23" s="1650"/>
      <c r="S23" s="1650"/>
      <c r="T23" s="1655">
        <v>0</v>
      </c>
      <c r="U23" s="1656">
        <v>10</v>
      </c>
      <c r="V23" s="1652">
        <v>0</v>
      </c>
      <c r="W23" s="1653">
        <v>5.10813492063492</v>
      </c>
      <c r="Y23" s="1618"/>
      <c r="Z23" s="17"/>
      <c r="AA23" s="17"/>
    </row>
    <row r="24" spans="1:27" ht="18" customHeight="1" x14ac:dyDescent="0.2">
      <c r="A24" s="1554" t="s">
        <v>23</v>
      </c>
      <c r="B24" s="1633" t="str">
        <f>IF((SUM(F!D5:'F'!D10)=0),"",SR!G189)</f>
        <v/>
      </c>
      <c r="C24" s="1636" t="str">
        <f>IF((B24&lt;1),0,IF((B24=""),"",SR!G190))</f>
        <v/>
      </c>
      <c r="D24" s="1557" t="str">
        <f t="shared" si="5"/>
        <v/>
      </c>
      <c r="E24" s="1611" t="str">
        <f t="shared" si="0"/>
        <v/>
      </c>
      <c r="F24" s="1559" t="str">
        <f t="shared" si="1"/>
        <v/>
      </c>
      <c r="G24" s="1560" t="str">
        <f t="shared" si="2"/>
        <v/>
      </c>
      <c r="H24" s="169" t="str">
        <f t="shared" si="6"/>
        <v/>
      </c>
      <c r="I24" s="169" t="str">
        <f t="shared" si="3"/>
        <v/>
      </c>
      <c r="J24" s="169" t="str">
        <f t="shared" si="4"/>
        <v/>
      </c>
      <c r="K24" s="1654">
        <v>3.0769230769230762</v>
      </c>
      <c r="L24" s="1648">
        <v>3.36</v>
      </c>
      <c r="M24" s="1648">
        <v>6.52</v>
      </c>
      <c r="N24" s="1654">
        <v>2.2158113345266859</v>
      </c>
      <c r="O24" s="1648">
        <v>2.5499999999999998</v>
      </c>
      <c r="P24" s="1649">
        <v>4.76</v>
      </c>
      <c r="Q24" s="1650"/>
      <c r="R24" s="1650"/>
      <c r="S24" s="1650"/>
      <c r="T24" s="1651">
        <v>1.6342592592592595</v>
      </c>
      <c r="U24" s="1652">
        <v>10</v>
      </c>
      <c r="V24" s="1652">
        <v>0.33950617283950624</v>
      </c>
      <c r="W24" s="1653">
        <v>7.4433333333333334</v>
      </c>
      <c r="Y24" s="1618"/>
      <c r="Z24" s="1548"/>
      <c r="AA24" s="1548"/>
    </row>
    <row r="25" spans="1:27" ht="18" customHeight="1" x14ac:dyDescent="0.2">
      <c r="A25" s="1552" t="s">
        <v>1075</v>
      </c>
      <c r="B25" s="1634" t="str">
        <f>IF((SUM(F!D5:'F'!D10)=0),"",PR!G183)</f>
        <v/>
      </c>
      <c r="C25" s="1637" t="str">
        <f>IF((B25&lt;1),0,IF((B25=""),"",PR!G184))</f>
        <v/>
      </c>
      <c r="D25" s="1561" t="str">
        <f t="shared" si="5"/>
        <v/>
      </c>
      <c r="E25" s="1612" t="str">
        <f t="shared" si="0"/>
        <v/>
      </c>
      <c r="F25" s="1562" t="str">
        <f t="shared" si="1"/>
        <v/>
      </c>
      <c r="G25" s="1563" t="str">
        <f t="shared" si="2"/>
        <v/>
      </c>
      <c r="H25" s="169" t="str">
        <f t="shared" si="6"/>
        <v/>
      </c>
      <c r="I25" s="169" t="str">
        <f t="shared" si="3"/>
        <v/>
      </c>
      <c r="J25" s="169" t="str">
        <f t="shared" si="4"/>
        <v/>
      </c>
      <c r="K25" s="1654">
        <v>3.2841598040958178</v>
      </c>
      <c r="L25" s="1648">
        <v>3.36</v>
      </c>
      <c r="M25" s="1648">
        <v>6.86</v>
      </c>
      <c r="N25" s="1654">
        <v>1.4662148143025109</v>
      </c>
      <c r="O25" s="1648">
        <v>2.63</v>
      </c>
      <c r="P25" s="1649">
        <v>5.81</v>
      </c>
      <c r="Q25" s="1650"/>
      <c r="R25" s="1650"/>
      <c r="S25" s="1650"/>
      <c r="T25" s="1651">
        <v>3.3019841269841272</v>
      </c>
      <c r="U25" s="1652">
        <v>10</v>
      </c>
      <c r="V25" s="1652">
        <v>0.38518518518518513</v>
      </c>
      <c r="W25" s="1653">
        <v>7.0791666666666666</v>
      </c>
      <c r="Y25" s="1618"/>
      <c r="Z25" s="1548"/>
      <c r="AA25" s="1548"/>
    </row>
    <row r="26" spans="1:27" ht="18" customHeight="1" thickBot="1" x14ac:dyDescent="0.25">
      <c r="A26" s="1553" t="s">
        <v>192</v>
      </c>
      <c r="B26" s="1635" t="str">
        <f>IF((SUM(F!D5:'F'!D10)=0),"",NR!G228)</f>
        <v/>
      </c>
      <c r="C26" s="1638" t="str">
        <f>IF((B26&lt;1),0,IF((B26=""),"",NR!G229))</f>
        <v/>
      </c>
      <c r="D26" s="1564" t="str">
        <f t="shared" si="5"/>
        <v/>
      </c>
      <c r="E26" s="1613" t="str">
        <f t="shared" si="0"/>
        <v/>
      </c>
      <c r="F26" s="1565" t="str">
        <f t="shared" si="1"/>
        <v/>
      </c>
      <c r="G26" s="1566" t="str">
        <f t="shared" si="2"/>
        <v/>
      </c>
      <c r="H26" s="169" t="str">
        <f t="shared" si="6"/>
        <v/>
      </c>
      <c r="I26" s="169" t="str">
        <f t="shared" si="3"/>
        <v/>
      </c>
      <c r="J26" s="169" t="str">
        <f t="shared" si="4"/>
        <v/>
      </c>
      <c r="K26" s="1654">
        <v>2.2386598498857841</v>
      </c>
      <c r="L26" s="1648">
        <v>2.4</v>
      </c>
      <c r="M26" s="1648">
        <v>5.14</v>
      </c>
      <c r="N26" s="1654">
        <v>3.377049180327869</v>
      </c>
      <c r="O26" s="1648">
        <v>2.23</v>
      </c>
      <c r="P26" s="1649">
        <v>4.8899999999999997</v>
      </c>
      <c r="Q26" s="1650"/>
      <c r="R26" s="1650"/>
      <c r="S26" s="1650"/>
      <c r="T26" s="1651">
        <v>3.6159722222222217</v>
      </c>
      <c r="U26" s="1652">
        <v>10</v>
      </c>
      <c r="V26" s="1652">
        <v>0.55555555555555558</v>
      </c>
      <c r="W26" s="1653">
        <v>9.0277777777777786</v>
      </c>
      <c r="X26" s="1484"/>
      <c r="Y26" s="1618"/>
      <c r="Z26" s="1548"/>
      <c r="AA26" s="1548"/>
    </row>
    <row r="27" spans="1:27" ht="18" customHeight="1" x14ac:dyDescent="0.2">
      <c r="A27" s="1554" t="s">
        <v>46</v>
      </c>
      <c r="B27" s="1633" t="str">
        <f>IF((SUM(F!D5:'F'!D10)=0),"",CS!G138)</f>
        <v/>
      </c>
      <c r="C27" s="1567"/>
      <c r="D27" s="1557" t="str">
        <f t="shared" si="5"/>
        <v/>
      </c>
      <c r="E27" s="1611" t="str">
        <f t="shared" si="0"/>
        <v/>
      </c>
      <c r="F27" s="1568"/>
      <c r="G27" s="1569"/>
      <c r="H27" s="169" t="str">
        <f>IFERROR(D27,"")</f>
        <v/>
      </c>
      <c r="I27" s="169" t="str">
        <f t="shared" si="3"/>
        <v/>
      </c>
      <c r="J27" s="169" t="str">
        <f t="shared" si="4"/>
        <v/>
      </c>
      <c r="K27" s="1657">
        <v>6.3703443932323749</v>
      </c>
      <c r="L27" s="1652">
        <v>3.93</v>
      </c>
      <c r="M27" s="1652">
        <v>6.55</v>
      </c>
      <c r="N27" s="1657" t="s">
        <v>5816</v>
      </c>
      <c r="O27" s="1652" t="s">
        <v>5816</v>
      </c>
      <c r="P27" s="1658" t="s">
        <v>5816</v>
      </c>
      <c r="Q27" s="1650"/>
      <c r="R27" s="1650"/>
      <c r="S27" s="1650"/>
      <c r="T27" s="1651">
        <v>4.4304232804232804</v>
      </c>
      <c r="U27" s="1652">
        <v>9.0509259259259256</v>
      </c>
      <c r="V27" s="1652" t="s">
        <v>5816</v>
      </c>
      <c r="W27" s="1653" t="s">
        <v>5816</v>
      </c>
      <c r="Y27" s="1618"/>
      <c r="Z27" s="17"/>
      <c r="AA27" s="17"/>
    </row>
    <row r="28" spans="1:27" ht="18" customHeight="1" thickBot="1" x14ac:dyDescent="0.25">
      <c r="A28" s="1553" t="s">
        <v>820</v>
      </c>
      <c r="B28" s="1635" t="str">
        <f>IF((SUM(F!D5:'F'!D10)=0),"",OE!G164)</f>
        <v/>
      </c>
      <c r="C28" s="1638" t="str">
        <f>IF((B28&lt;1),0,IF((B28=""),"",OE!G165))</f>
        <v/>
      </c>
      <c r="D28" s="1564" t="str">
        <f t="shared" si="5"/>
        <v/>
      </c>
      <c r="E28" s="1613" t="str">
        <f t="shared" si="0"/>
        <v/>
      </c>
      <c r="F28" s="1565" t="str">
        <f t="shared" ref="F28:F37" si="7">IF((C28=""),"", IF((C28&lt;V28),0, IF((C28&gt;W28),10, 10*(C28-V28)/(W28-V28))))</f>
        <v/>
      </c>
      <c r="G28" s="1566" t="str">
        <f t="shared" ref="G28:G43" si="8">IF((F28=""),"",IF((F28&lt;=O28),"Lower",IF((F28&gt;P28),"Higher","Moderate")))</f>
        <v/>
      </c>
      <c r="H28" s="169" t="str">
        <f t="shared" si="6"/>
        <v/>
      </c>
      <c r="I28" s="169" t="str">
        <f t="shared" si="3"/>
        <v/>
      </c>
      <c r="J28" s="169" t="str">
        <f t="shared" si="4"/>
        <v/>
      </c>
      <c r="K28" s="1654">
        <v>7.4566473988439315</v>
      </c>
      <c r="L28" s="1648">
        <v>0</v>
      </c>
      <c r="M28" s="1648">
        <v>6.91</v>
      </c>
      <c r="N28" s="1654">
        <v>7.0020120724346073</v>
      </c>
      <c r="O28" s="1648">
        <v>4</v>
      </c>
      <c r="P28" s="1649">
        <v>7.39</v>
      </c>
      <c r="Q28" s="1650"/>
      <c r="R28" s="1650"/>
      <c r="S28" s="1650"/>
      <c r="T28" s="1651">
        <v>0</v>
      </c>
      <c r="U28" s="1652">
        <v>7.0481481481481483</v>
      </c>
      <c r="V28" s="1656">
        <v>0</v>
      </c>
      <c r="W28" s="1659">
        <v>9.94</v>
      </c>
      <c r="Y28" s="1618"/>
      <c r="Z28" s="1548"/>
      <c r="AA28" s="1548"/>
    </row>
    <row r="29" spans="1:27" ht="18" customHeight="1" x14ac:dyDescent="0.2">
      <c r="A29" s="1554" t="s">
        <v>48</v>
      </c>
      <c r="B29" s="1633" t="str">
        <f>IF((SUM(F!D5:'F'!D10)=0),"",FA!G168)</f>
        <v/>
      </c>
      <c r="C29" s="1636" t="str">
        <f>IF((B29&lt;1),0,IF((B29=""),"",FA!G169))</f>
        <v/>
      </c>
      <c r="D29" s="1557" t="str">
        <f t="shared" si="5"/>
        <v/>
      </c>
      <c r="E29" s="1611" t="str">
        <f t="shared" si="0"/>
        <v/>
      </c>
      <c r="F29" s="1559" t="str">
        <f t="shared" si="7"/>
        <v/>
      </c>
      <c r="G29" s="1560" t="str">
        <f t="shared" si="8"/>
        <v/>
      </c>
      <c r="H29" s="169" t="str">
        <f t="shared" si="6"/>
        <v/>
      </c>
      <c r="I29" s="169" t="str">
        <f t="shared" si="3"/>
        <v/>
      </c>
      <c r="J29" s="169" t="str">
        <f t="shared" si="4"/>
        <v/>
      </c>
      <c r="K29" s="1654">
        <v>0</v>
      </c>
      <c r="L29" s="1648">
        <v>3.02</v>
      </c>
      <c r="M29" s="1648">
        <v>7.21</v>
      </c>
      <c r="N29" s="1654">
        <v>0</v>
      </c>
      <c r="O29" s="1648">
        <v>0.63</v>
      </c>
      <c r="P29" s="1649">
        <v>7.32</v>
      </c>
      <c r="Q29" s="1650"/>
      <c r="R29" s="1650"/>
      <c r="S29" s="1650"/>
      <c r="T29" s="1651">
        <v>0</v>
      </c>
      <c r="U29" s="1652">
        <v>8.1666666666666679</v>
      </c>
      <c r="V29" s="1656">
        <v>0</v>
      </c>
      <c r="W29" s="1659">
        <v>10</v>
      </c>
      <c r="Y29" s="1618"/>
      <c r="Z29" s="1548"/>
      <c r="AA29" s="1548"/>
    </row>
    <row r="30" spans="1:27" ht="18" customHeight="1" thickBot="1" x14ac:dyDescent="0.25">
      <c r="A30" s="1553" t="s">
        <v>559</v>
      </c>
      <c r="B30" s="1635" t="str">
        <f>IF((SUM(F!D5:'F'!D10)=0),"",FR!G160)</f>
        <v/>
      </c>
      <c r="C30" s="1638" t="str">
        <f>IF((B30&lt;1),0,IF((B30=""),"",FR!G161))</f>
        <v/>
      </c>
      <c r="D30" s="1564" t="str">
        <f t="shared" si="5"/>
        <v/>
      </c>
      <c r="E30" s="1613" t="str">
        <f t="shared" si="0"/>
        <v/>
      </c>
      <c r="F30" s="1565" t="str">
        <f t="shared" si="7"/>
        <v/>
      </c>
      <c r="G30" s="1566" t="str">
        <f t="shared" si="8"/>
        <v/>
      </c>
      <c r="H30" s="169" t="str">
        <f t="shared" si="6"/>
        <v/>
      </c>
      <c r="I30" s="169" t="str">
        <f t="shared" si="3"/>
        <v/>
      </c>
      <c r="J30" s="169" t="str">
        <f t="shared" si="4"/>
        <v/>
      </c>
      <c r="K30" s="1654">
        <v>0</v>
      </c>
      <c r="L30" s="1648">
        <v>0</v>
      </c>
      <c r="M30" s="1648">
        <v>7.39</v>
      </c>
      <c r="N30" s="1654">
        <v>0</v>
      </c>
      <c r="O30" s="1648">
        <v>1.5</v>
      </c>
      <c r="P30" s="1649">
        <v>7.62</v>
      </c>
      <c r="Q30" s="1650"/>
      <c r="R30" s="1650"/>
      <c r="S30" s="1650"/>
      <c r="T30" s="1651">
        <v>0</v>
      </c>
      <c r="U30" s="1652">
        <v>7.2507936507936517</v>
      </c>
      <c r="V30" s="1656">
        <v>0</v>
      </c>
      <c r="W30" s="1659">
        <v>10</v>
      </c>
      <c r="Y30" s="1618"/>
      <c r="Z30" s="1548"/>
      <c r="AA30" s="1548"/>
    </row>
    <row r="31" spans="1:27" ht="18" customHeight="1" x14ac:dyDescent="0.2">
      <c r="A31" s="1554" t="s">
        <v>47</v>
      </c>
      <c r="B31" s="1633" t="str">
        <f>IF((SUM(F!D5:'F'!D10)=0),"",INV!G189)</f>
        <v/>
      </c>
      <c r="C31" s="1636" t="str">
        <f>IF((B31&lt;1),0,IF((B31=""),"",INV!G190))</f>
        <v/>
      </c>
      <c r="D31" s="1557" t="str">
        <f t="shared" si="5"/>
        <v/>
      </c>
      <c r="E31" s="1611" t="str">
        <f t="shared" si="0"/>
        <v/>
      </c>
      <c r="F31" s="1559" t="str">
        <f t="shared" si="7"/>
        <v/>
      </c>
      <c r="G31" s="1560" t="str">
        <f t="shared" si="8"/>
        <v/>
      </c>
      <c r="H31" s="169" t="str">
        <f t="shared" si="6"/>
        <v/>
      </c>
      <c r="I31" s="169" t="str">
        <f t="shared" si="3"/>
        <v/>
      </c>
      <c r="J31" s="169" t="str">
        <f t="shared" si="4"/>
        <v/>
      </c>
      <c r="K31" s="1654">
        <v>4.2556683484286681</v>
      </c>
      <c r="L31" s="1648">
        <v>2.84</v>
      </c>
      <c r="M31" s="1648">
        <v>5.43</v>
      </c>
      <c r="N31" s="1654">
        <v>2.2189198818213418</v>
      </c>
      <c r="O31" s="1648">
        <v>2.69</v>
      </c>
      <c r="P31" s="1649">
        <v>6.66</v>
      </c>
      <c r="Q31" s="1650"/>
      <c r="R31" s="1650"/>
      <c r="S31" s="1650"/>
      <c r="T31" s="1651">
        <v>3.3967592592592588</v>
      </c>
      <c r="U31" s="1652">
        <v>7.2048611111111116</v>
      </c>
      <c r="V31" s="1652">
        <v>1.5432098765432098</v>
      </c>
      <c r="W31" s="1653">
        <v>10</v>
      </c>
      <c r="Y31" s="1618"/>
      <c r="Z31" s="1548"/>
      <c r="AA31" s="1548"/>
    </row>
    <row r="32" spans="1:27" ht="18" customHeight="1" x14ac:dyDescent="0.2">
      <c r="A32" s="1552" t="s">
        <v>244</v>
      </c>
      <c r="B32" s="1634" t="str">
        <f>IF((SUM(F!D5:'F'!D10)=0),"",AM!G251)</f>
        <v/>
      </c>
      <c r="C32" s="1637" t="str">
        <f>IF((B32&lt;1),0,IF((B32=""),"",AM!G252))</f>
        <v/>
      </c>
      <c r="D32" s="1561" t="str">
        <f t="shared" si="5"/>
        <v/>
      </c>
      <c r="E32" s="1612" t="str">
        <f t="shared" si="0"/>
        <v/>
      </c>
      <c r="F32" s="1562" t="str">
        <f t="shared" si="7"/>
        <v/>
      </c>
      <c r="G32" s="1563" t="str">
        <f t="shared" si="8"/>
        <v/>
      </c>
      <c r="H32" s="169" t="str">
        <f t="shared" si="6"/>
        <v/>
      </c>
      <c r="I32" s="169" t="str">
        <f t="shared" si="3"/>
        <v/>
      </c>
      <c r="J32" s="169" t="str">
        <f t="shared" si="4"/>
        <v/>
      </c>
      <c r="K32" s="1654">
        <v>4.2888494977631479</v>
      </c>
      <c r="L32" s="1648">
        <v>3.55</v>
      </c>
      <c r="M32" s="1648">
        <v>6.32</v>
      </c>
      <c r="N32" s="1654">
        <v>4.0480811403508765</v>
      </c>
      <c r="O32" s="1648">
        <v>2.4300000000000002</v>
      </c>
      <c r="P32" s="1649">
        <v>5.18</v>
      </c>
      <c r="Q32" s="1650"/>
      <c r="R32" s="1650"/>
      <c r="S32" s="1650"/>
      <c r="T32" s="1651">
        <v>3.2673611111111112</v>
      </c>
      <c r="U32" s="1652">
        <v>9.1438492063492056</v>
      </c>
      <c r="V32" s="1652">
        <v>2.2222222222222223</v>
      </c>
      <c r="W32" s="1653">
        <v>7.5</v>
      </c>
      <c r="Y32" s="1618"/>
      <c r="Z32" s="1548"/>
      <c r="AA32" s="1548"/>
    </row>
    <row r="33" spans="1:27" ht="18" customHeight="1" x14ac:dyDescent="0.2">
      <c r="A33" s="1552" t="s">
        <v>49</v>
      </c>
      <c r="B33" s="1634" t="str">
        <f>IF((SUM(F!D5:'F'!D10)=0),"",WBF!G193)</f>
        <v/>
      </c>
      <c r="C33" s="1637" t="str">
        <f>IF((B33&lt;1),0,IF((B33=""),"",WBF!G194))</f>
        <v/>
      </c>
      <c r="D33" s="1561" t="str">
        <f t="shared" si="5"/>
        <v/>
      </c>
      <c r="E33" s="1612" t="str">
        <f t="shared" si="0"/>
        <v/>
      </c>
      <c r="F33" s="1562" t="str">
        <f t="shared" si="7"/>
        <v/>
      </c>
      <c r="G33" s="1563" t="str">
        <f t="shared" si="8"/>
        <v/>
      </c>
      <c r="H33" s="169" t="str">
        <f t="shared" si="6"/>
        <v/>
      </c>
      <c r="I33" s="169" t="str">
        <f t="shared" si="3"/>
        <v/>
      </c>
      <c r="J33" s="169" t="str">
        <f t="shared" si="4"/>
        <v/>
      </c>
      <c r="K33" s="1654">
        <v>4.6602700337542187</v>
      </c>
      <c r="L33" s="1648">
        <v>0</v>
      </c>
      <c r="M33" s="1648">
        <v>5.99</v>
      </c>
      <c r="N33" s="1654">
        <v>2.531320836798518</v>
      </c>
      <c r="O33" s="1648">
        <v>0.85</v>
      </c>
      <c r="P33" s="1649">
        <v>4.07</v>
      </c>
      <c r="Q33" s="1650"/>
      <c r="R33" s="1650"/>
      <c r="S33" s="1650"/>
      <c r="T33" s="1651">
        <v>0</v>
      </c>
      <c r="U33" s="1652">
        <v>7.6180952380952371</v>
      </c>
      <c r="V33" s="1656">
        <v>0</v>
      </c>
      <c r="W33" s="1659">
        <v>10</v>
      </c>
      <c r="Y33" s="1618"/>
      <c r="Z33" s="1548"/>
      <c r="AA33" s="1548"/>
    </row>
    <row r="34" spans="1:27" ht="18" customHeight="1" thickBot="1" x14ac:dyDescent="0.25">
      <c r="A34" s="1553" t="s">
        <v>50</v>
      </c>
      <c r="B34" s="1635" t="str">
        <f>IF((SUM(F!D5:'F'!D10)=0),"",WBN!G215)</f>
        <v/>
      </c>
      <c r="C34" s="1638" t="str">
        <f>IF((B34&lt;1),0,IF((B34=""),"",WBN!G216))</f>
        <v/>
      </c>
      <c r="D34" s="1564" t="str">
        <f t="shared" si="5"/>
        <v/>
      </c>
      <c r="E34" s="1613" t="str">
        <f t="shared" si="0"/>
        <v/>
      </c>
      <c r="F34" s="1565" t="str">
        <f t="shared" si="7"/>
        <v/>
      </c>
      <c r="G34" s="1566" t="str">
        <f t="shared" si="8"/>
        <v/>
      </c>
      <c r="H34" s="169" t="str">
        <f t="shared" si="6"/>
        <v/>
      </c>
      <c r="I34" s="169" t="str">
        <f t="shared" si="3"/>
        <v/>
      </c>
      <c r="J34" s="169" t="str">
        <f t="shared" si="4"/>
        <v/>
      </c>
      <c r="K34" s="1654">
        <v>4.8407881221402569</v>
      </c>
      <c r="L34" s="1648">
        <v>0</v>
      </c>
      <c r="M34" s="1648">
        <v>6.04</v>
      </c>
      <c r="N34" s="1654">
        <v>6.9</v>
      </c>
      <c r="O34" s="1648">
        <v>1.67</v>
      </c>
      <c r="P34" s="1649">
        <v>8.6999999999999993</v>
      </c>
      <c r="Q34" s="1650"/>
      <c r="R34" s="1650"/>
      <c r="S34" s="1650"/>
      <c r="T34" s="1651">
        <v>0</v>
      </c>
      <c r="U34" s="1652">
        <v>7.0826719576719563</v>
      </c>
      <c r="V34" s="1656">
        <v>0</v>
      </c>
      <c r="W34" s="1659">
        <v>10</v>
      </c>
      <c r="Y34" s="1618"/>
      <c r="Z34" s="1548"/>
      <c r="AA34" s="1548"/>
    </row>
    <row r="35" spans="1:27" ht="18" customHeight="1" x14ac:dyDescent="0.2">
      <c r="A35" s="1554" t="s">
        <v>525</v>
      </c>
      <c r="B35" s="1633" t="str">
        <f>IF((SUM(F!D5:'F'!D10)=0),"",SBM!G250)</f>
        <v/>
      </c>
      <c r="C35" s="1636" t="str">
        <f>IF((B35&lt;1),0,IF((B35=""),"",SBM!G251))</f>
        <v/>
      </c>
      <c r="D35" s="1557" t="str">
        <f t="shared" si="5"/>
        <v/>
      </c>
      <c r="E35" s="1611" t="str">
        <f t="shared" si="0"/>
        <v/>
      </c>
      <c r="F35" s="1559" t="str">
        <f t="shared" si="7"/>
        <v/>
      </c>
      <c r="G35" s="1560" t="str">
        <f t="shared" si="8"/>
        <v/>
      </c>
      <c r="H35" s="169" t="str">
        <f t="shared" si="6"/>
        <v/>
      </c>
      <c r="I35" s="169" t="str">
        <f t="shared" si="3"/>
        <v/>
      </c>
      <c r="J35" s="169" t="str">
        <f t="shared" si="4"/>
        <v/>
      </c>
      <c r="K35" s="1654">
        <v>8.0527930370264684</v>
      </c>
      <c r="L35" s="1648">
        <v>0</v>
      </c>
      <c r="M35" s="1648">
        <v>7.35</v>
      </c>
      <c r="N35" s="1654">
        <v>4.2188680613308636</v>
      </c>
      <c r="O35" s="1648">
        <v>2.5</v>
      </c>
      <c r="P35" s="1649">
        <v>5.63</v>
      </c>
      <c r="Q35" s="1650"/>
      <c r="R35" s="1650"/>
      <c r="S35" s="1650"/>
      <c r="T35" s="1655">
        <v>0</v>
      </c>
      <c r="U35" s="1652">
        <v>8.1116898148148149</v>
      </c>
      <c r="V35" s="1656">
        <v>0</v>
      </c>
      <c r="W35" s="1659">
        <v>10</v>
      </c>
      <c r="Y35" s="1618"/>
      <c r="Z35" s="1548"/>
      <c r="AA35" s="1548"/>
    </row>
    <row r="36" spans="1:27" ht="18" customHeight="1" x14ac:dyDescent="0.2">
      <c r="A36" s="1552" t="s">
        <v>51</v>
      </c>
      <c r="B36" s="1634" t="str">
        <f>IF((SUM(F!D5:'F'!D10)=0),"",POL!G104)</f>
        <v/>
      </c>
      <c r="C36" s="1637" t="str">
        <f>IF((B36&lt;1),0,IF((B36=""),"",POL!G105))</f>
        <v/>
      </c>
      <c r="D36" s="1561" t="str">
        <f t="shared" si="5"/>
        <v/>
      </c>
      <c r="E36" s="1612" t="str">
        <f t="shared" si="0"/>
        <v/>
      </c>
      <c r="F36" s="1562" t="str">
        <f t="shared" si="7"/>
        <v/>
      </c>
      <c r="G36" s="1563" t="str">
        <f t="shared" si="8"/>
        <v/>
      </c>
      <c r="H36" s="169" t="str">
        <f t="shared" si="6"/>
        <v/>
      </c>
      <c r="I36" s="169" t="str">
        <f t="shared" si="3"/>
        <v/>
      </c>
      <c r="J36" s="169" t="str">
        <f t="shared" si="4"/>
        <v/>
      </c>
      <c r="K36" s="1654">
        <v>5.6204379562043814</v>
      </c>
      <c r="L36" s="1648">
        <v>3.74</v>
      </c>
      <c r="M36" s="1648">
        <v>6.28</v>
      </c>
      <c r="N36" s="1654">
        <v>4.0969795481519737</v>
      </c>
      <c r="O36" s="1648">
        <v>2.48</v>
      </c>
      <c r="P36" s="1649">
        <v>5.83</v>
      </c>
      <c r="Q36" s="1650"/>
      <c r="R36" s="1650"/>
      <c r="S36" s="1650"/>
      <c r="T36" s="1651">
        <v>0.58080808080808088</v>
      </c>
      <c r="U36" s="1652">
        <v>6.2891414141414135</v>
      </c>
      <c r="V36" s="1656">
        <v>0</v>
      </c>
      <c r="W36" s="1659">
        <v>7.4651195592085955</v>
      </c>
      <c r="Y36" s="1618"/>
      <c r="Z36" s="1548"/>
      <c r="AA36" s="1548"/>
    </row>
    <row r="37" spans="1:27" ht="18" customHeight="1" thickBot="1" x14ac:dyDescent="0.25">
      <c r="A37" s="1553" t="s">
        <v>1076</v>
      </c>
      <c r="B37" s="1635" t="str">
        <f>IF((SUM(F!D5:'F'!D10)=0),"",PH!G252)</f>
        <v/>
      </c>
      <c r="C37" s="1638" t="str">
        <f>IF((B37&lt;1),0,IF((B37=""),"",PH!G253))</f>
        <v/>
      </c>
      <c r="D37" s="1564" t="str">
        <f t="shared" si="5"/>
        <v/>
      </c>
      <c r="E37" s="1613" t="str">
        <f t="shared" si="0"/>
        <v/>
      </c>
      <c r="F37" s="1565" t="str">
        <f t="shared" si="7"/>
        <v/>
      </c>
      <c r="G37" s="1566" t="str">
        <f t="shared" si="8"/>
        <v/>
      </c>
      <c r="H37" s="169" t="str">
        <f t="shared" si="6"/>
        <v/>
      </c>
      <c r="I37" s="169" t="str">
        <f t="shared" si="3"/>
        <v/>
      </c>
      <c r="J37" s="169" t="str">
        <f t="shared" si="4"/>
        <v/>
      </c>
      <c r="K37" s="1660">
        <v>5.654539272356339</v>
      </c>
      <c r="L37" s="1648">
        <v>4.57</v>
      </c>
      <c r="M37" s="1648">
        <v>6.32</v>
      </c>
      <c r="N37" s="1660">
        <v>3.8140725805328919</v>
      </c>
      <c r="O37" s="1661">
        <v>3.59</v>
      </c>
      <c r="P37" s="1662">
        <v>6.25</v>
      </c>
      <c r="Q37" s="1650"/>
      <c r="R37" s="1650"/>
      <c r="S37" s="1650"/>
      <c r="T37" s="1651">
        <v>3.2337606837606838</v>
      </c>
      <c r="U37" s="1652">
        <v>7.0042735042735051</v>
      </c>
      <c r="V37" s="1652">
        <v>2.5797413620330283</v>
      </c>
      <c r="W37" s="1653">
        <v>9.9534927456114595</v>
      </c>
      <c r="Y37" s="1618"/>
      <c r="Z37" s="1548"/>
      <c r="AA37" s="1548"/>
    </row>
    <row r="38" spans="1:27" ht="18" customHeight="1" thickBot="1" x14ac:dyDescent="0.25">
      <c r="A38" s="1580" t="s">
        <v>5773</v>
      </c>
      <c r="B38" s="1570"/>
      <c r="C38" s="1570"/>
      <c r="D38" s="1570"/>
      <c r="E38" s="1570"/>
      <c r="F38" s="1570"/>
      <c r="G38" s="1621"/>
      <c r="H38" s="169"/>
      <c r="I38" s="169"/>
      <c r="J38" s="169"/>
      <c r="K38" s="1663"/>
      <c r="L38" s="1664"/>
      <c r="M38" s="1664"/>
      <c r="N38" s="1665"/>
      <c r="O38" s="1665"/>
      <c r="P38" s="1665"/>
      <c r="Q38" s="1650"/>
      <c r="R38" s="1650"/>
      <c r="S38" s="1650"/>
      <c r="T38" s="1655"/>
      <c r="U38" s="1656"/>
      <c r="V38" s="1656"/>
      <c r="W38" s="1659"/>
      <c r="Y38" s="1618"/>
      <c r="Z38" s="1548"/>
      <c r="AA38" s="1548"/>
    </row>
    <row r="39" spans="1:27" ht="18" customHeight="1" x14ac:dyDescent="0.2">
      <c r="A39" s="1554" t="s">
        <v>578</v>
      </c>
      <c r="B39" s="1570"/>
      <c r="C39" s="1636" t="str">
        <f>IF((SUM(F!D5:'F'!D10)=0),"",PU!G61)</f>
        <v/>
      </c>
      <c r="D39" s="1570"/>
      <c r="E39" s="1575"/>
      <c r="F39" s="1559" t="str">
        <f>IF((C39=""),"", IF((C39&lt;V39),0, IF((C39&gt;W39),10, 10*(C39-V39)/(W39-V39))))</f>
        <v/>
      </c>
      <c r="G39" s="1560" t="str">
        <f t="shared" si="8"/>
        <v/>
      </c>
      <c r="H39" s="169" t="str">
        <f>IFERROR(F39,"")</f>
        <v/>
      </c>
      <c r="I39" s="169" t="str">
        <f t="shared" si="3"/>
        <v/>
      </c>
      <c r="J39" s="169" t="str">
        <f>IF((H39=""),"", IF((I39&lt;Z39),0, IF((I39&gt;AA39),10, 10*(I39-Z39)/(AA39-Z39))))</f>
        <v/>
      </c>
      <c r="K39" s="1666"/>
      <c r="L39" s="1667"/>
      <c r="M39" s="1668"/>
      <c r="N39" s="1647">
        <v>2.9087193460490468</v>
      </c>
      <c r="O39" s="1669">
        <v>2.3199999999999998</v>
      </c>
      <c r="P39" s="1670">
        <v>5.59</v>
      </c>
      <c r="Q39" s="1650"/>
      <c r="R39" s="1650"/>
      <c r="S39" s="1650"/>
      <c r="T39" s="1655"/>
      <c r="U39" s="1656"/>
      <c r="V39" s="1652">
        <v>0.83333333333333326</v>
      </c>
      <c r="W39" s="1653">
        <v>5.9305555555555554</v>
      </c>
      <c r="Y39" s="1619"/>
      <c r="Z39" s="17"/>
      <c r="AA39" s="17"/>
    </row>
    <row r="40" spans="1:27" ht="18" customHeight="1" thickBot="1" x14ac:dyDescent="0.25">
      <c r="A40" s="1553" t="s">
        <v>1077</v>
      </c>
      <c r="B40" s="1573"/>
      <c r="C40" s="1638" t="str">
        <f>IF((SUM(F!D5:'F'!D10)=0),"",SubSis!G37)</f>
        <v/>
      </c>
      <c r="D40" s="1573"/>
      <c r="E40" s="1574"/>
      <c r="F40" s="1565" t="str">
        <f>IF((C40=""),"", IF((C40&lt;V40),0, IF((C40&gt;W40),10, 10*(C40-V40)/(W40-V40))))</f>
        <v/>
      </c>
      <c r="G40" s="1566" t="str">
        <f t="shared" si="8"/>
        <v/>
      </c>
      <c r="H40" s="169" t="str">
        <f t="shared" ref="H40:H43" si="9">IFERROR(F40,"")</f>
        <v/>
      </c>
      <c r="I40" s="169" t="str">
        <f t="shared" si="3"/>
        <v/>
      </c>
      <c r="J40" s="169" t="str">
        <f>IF((H40=""),"", IF((I40&lt;Z40),0, IF((I40&gt;AA40),10, 10*(I40-Z40)/(AA40-Z40))))</f>
        <v/>
      </c>
      <c r="K40" s="1671"/>
      <c r="L40" s="1672"/>
      <c r="M40" s="1673"/>
      <c r="N40" s="1654">
        <v>5</v>
      </c>
      <c r="O40" s="1648">
        <v>0</v>
      </c>
      <c r="P40" s="1649">
        <v>6.67</v>
      </c>
      <c r="Q40" s="1650"/>
      <c r="R40" s="1650"/>
      <c r="S40" s="1650"/>
      <c r="T40" s="1655"/>
      <c r="U40" s="1656"/>
      <c r="V40" s="1656">
        <v>0</v>
      </c>
      <c r="W40" s="1659">
        <v>10</v>
      </c>
      <c r="Y40" s="1619"/>
      <c r="Z40" s="1549"/>
      <c r="AA40" s="1549"/>
    </row>
    <row r="41" spans="1:27" ht="30" customHeight="1" x14ac:dyDescent="0.2">
      <c r="A41" s="1581" t="s">
        <v>5770</v>
      </c>
      <c r="B41" s="1571"/>
      <c r="C41" s="1639" t="str">
        <f>IF((SUM(F!D5:'F'!D10)=0),"",Sen!G248)</f>
        <v/>
      </c>
      <c r="D41" s="1571"/>
      <c r="E41" s="1572"/>
      <c r="F41" s="1583" t="str">
        <f>IF((C41=""),"", IF((C41&lt;V41),0, IF((C41&gt;W41),10, 10*(C41-V41)/(W41-V41))))</f>
        <v/>
      </c>
      <c r="G41" s="1584" t="str">
        <f t="shared" si="8"/>
        <v/>
      </c>
      <c r="H41" s="169" t="str">
        <f t="shared" si="9"/>
        <v/>
      </c>
      <c r="I41" s="169" t="str">
        <f t="shared" si="3"/>
        <v/>
      </c>
      <c r="J41" s="169" t="str">
        <f>IF((H41=""),"", IF((I41&lt;Z41),0, IF((I41&gt;AA41),10, 10*(I41-Z41)/(AA41-Z41))))</f>
        <v/>
      </c>
      <c r="K41" s="1674"/>
      <c r="L41" s="1675"/>
      <c r="M41" s="1676"/>
      <c r="N41" s="1654">
        <v>3.9886153105107254</v>
      </c>
      <c r="O41" s="1648">
        <v>3.05</v>
      </c>
      <c r="P41" s="1649">
        <v>5.83</v>
      </c>
      <c r="Q41" s="1650"/>
      <c r="R41" s="1650"/>
      <c r="S41" s="1650"/>
      <c r="T41" s="1655"/>
      <c r="U41" s="1656"/>
      <c r="V41" s="1652">
        <v>2.6552236049189077</v>
      </c>
      <c r="W41" s="1653">
        <v>5.3583349080372891</v>
      </c>
      <c r="Y41" s="1619"/>
      <c r="Z41" s="1549"/>
      <c r="AA41" s="1549"/>
    </row>
    <row r="42" spans="1:27" ht="30" customHeight="1" x14ac:dyDescent="0.2">
      <c r="A42" s="1555" t="s">
        <v>5771</v>
      </c>
      <c r="B42" s="1571"/>
      <c r="C42" s="1637" t="str">
        <f>IF((SUM(F!D5:'F'!D10)=0),"",EC!G33)</f>
        <v/>
      </c>
      <c r="D42" s="1571"/>
      <c r="E42" s="1576"/>
      <c r="F42" s="1562" t="str">
        <f>IF((C42=""),"", IF((C42&lt;V42),0, IF((C42&gt;W42),10, 10*(C42-V42)/(W42-V42))))</f>
        <v/>
      </c>
      <c r="G42" s="1563" t="str">
        <f t="shared" si="8"/>
        <v/>
      </c>
      <c r="H42" s="169" t="str">
        <f t="shared" si="9"/>
        <v/>
      </c>
      <c r="I42" s="169" t="str">
        <f t="shared" si="3"/>
        <v/>
      </c>
      <c r="J42" s="169" t="str">
        <f>IF((H42=""),"", IF((I42&lt;Z42),0, IF((I42&gt;AA42),10, 10*(I42-Z42)/(AA42-Z42))))</f>
        <v/>
      </c>
      <c r="K42" s="1674"/>
      <c r="L42" s="1675"/>
      <c r="M42" s="1676"/>
      <c r="N42" s="1654">
        <v>4.3214285714285712</v>
      </c>
      <c r="O42" s="1648">
        <v>3.66</v>
      </c>
      <c r="P42" s="1649">
        <v>6.25</v>
      </c>
      <c r="Q42" s="1650"/>
      <c r="R42" s="1650"/>
      <c r="S42" s="1650"/>
      <c r="T42" s="1655"/>
      <c r="U42" s="1656"/>
      <c r="V42" s="1656">
        <v>0</v>
      </c>
      <c r="W42" s="1659">
        <v>9.5</v>
      </c>
      <c r="Y42" s="1619"/>
      <c r="Z42" s="1549"/>
      <c r="AA42" s="1549"/>
    </row>
    <row r="43" spans="1:27" ht="31.9" customHeight="1" thickBot="1" x14ac:dyDescent="0.25">
      <c r="A43" s="1556" t="s">
        <v>5772</v>
      </c>
      <c r="B43" s="1573"/>
      <c r="C43" s="1638" t="str">
        <f>IF((SUM(F!D5:'F'!D10)=0),"",STR!G84)</f>
        <v/>
      </c>
      <c r="D43" s="1573"/>
      <c r="E43" s="1574"/>
      <c r="F43" s="1565" t="str">
        <f>IF((C43=""),"", IF((C43&lt;V43),0, IF((C43&gt;W43),10, 10*(C43-V43)/(W43-V43))))</f>
        <v/>
      </c>
      <c r="G43" s="1566" t="str">
        <f t="shared" si="8"/>
        <v/>
      </c>
      <c r="H43" s="169" t="str">
        <f t="shared" si="9"/>
        <v/>
      </c>
      <c r="I43" s="169" t="str">
        <f t="shared" si="3"/>
        <v/>
      </c>
      <c r="J43" s="169" t="str">
        <f>IF((H43=""),"", IF((I43&lt;Z43),0, IF((I43&gt;AA43),10, 10*(I43-Z43)/(AA43-Z43))))</f>
        <v/>
      </c>
      <c r="K43" s="1671"/>
      <c r="L43" s="1672"/>
      <c r="M43" s="1673"/>
      <c r="N43" s="1660">
        <v>6.6044668290467721</v>
      </c>
      <c r="O43" s="1661">
        <v>4.1100000000000003</v>
      </c>
      <c r="P43" s="1662">
        <v>7.22</v>
      </c>
      <c r="Q43" s="1650"/>
      <c r="R43" s="1650"/>
      <c r="S43" s="1650"/>
      <c r="T43" s="1677"/>
      <c r="U43" s="1678"/>
      <c r="V43" s="1679">
        <v>1.2603174603174605</v>
      </c>
      <c r="W43" s="1680">
        <v>6.0664682539682548</v>
      </c>
      <c r="Y43" s="1619"/>
      <c r="Z43" s="1549"/>
      <c r="AA43" s="1549"/>
    </row>
    <row r="44" spans="1:27" s="1427" customFormat="1" ht="22.5" customHeight="1" thickBot="1" x14ac:dyDescent="0.35">
      <c r="A44" s="1550" t="s">
        <v>5745</v>
      </c>
      <c r="B44" s="1632"/>
      <c r="C44" s="1578"/>
      <c r="D44" s="1579"/>
      <c r="E44" s="1607"/>
      <c r="F44" s="1622"/>
      <c r="G44" s="1623"/>
      <c r="H44" s="169"/>
      <c r="I44" s="1608"/>
      <c r="J44" s="1608"/>
      <c r="K44" s="1608"/>
      <c r="L44" s="169"/>
      <c r="M44" s="169"/>
      <c r="N44" s="169"/>
      <c r="O44" s="169"/>
      <c r="P44" s="169"/>
      <c r="T44" s="1485"/>
      <c r="U44" s="1485"/>
      <c r="V44" s="1485"/>
      <c r="W44" s="1485"/>
    </row>
    <row r="45" spans="1:27" ht="16.5" customHeight="1" x14ac:dyDescent="0.2">
      <c r="A45" s="1628" t="s">
        <v>5767</v>
      </c>
      <c r="B45" s="1571"/>
      <c r="C45" s="1571"/>
      <c r="D45" s="1558" t="str">
        <f>IF((D20=""),"",D20)</f>
        <v/>
      </c>
      <c r="E45" s="1558" t="str">
        <f>E20</f>
        <v/>
      </c>
      <c r="F45" s="1557" t="str">
        <f>IF((F20=""),"",F20)</f>
        <v/>
      </c>
      <c r="G45" s="1604" t="str">
        <f>G20</f>
        <v/>
      </c>
      <c r="H45" s="169"/>
      <c r="I45" s="169"/>
      <c r="J45" s="169"/>
      <c r="K45" s="1609"/>
      <c r="L45" s="1610"/>
      <c r="M45" s="1610"/>
      <c r="N45" s="169"/>
      <c r="O45" s="169"/>
      <c r="P45" s="169"/>
      <c r="Y45" s="1485"/>
      <c r="Z45" s="1602"/>
      <c r="AA45" s="1602"/>
    </row>
    <row r="46" spans="1:27" ht="16.5" customHeight="1" x14ac:dyDescent="0.2">
      <c r="A46" s="1629" t="s">
        <v>5809</v>
      </c>
      <c r="B46" s="1571"/>
      <c r="C46" s="1571"/>
      <c r="D46" s="1582" t="str">
        <f>IF((D24=""),"",(MAX(D24:D27)+AVERAGE(D24:D27))/2)</f>
        <v/>
      </c>
      <c r="E46" s="1582" t="str">
        <f>IF((SUM(E24:E26)=0),"",IF((OR(E24="Higher",E25="Higher",E26="Higher")),"Higher",IF((OR(E24="Moderate",E25="Moderate",E26="Moderate")),"Moderate","Lower")))</f>
        <v/>
      </c>
      <c r="F46" s="1624" t="str">
        <f>IF((F24=""),"",(MAX(F24:F26)+AVERAGE(F24:F26))/2)</f>
        <v/>
      </c>
      <c r="G46" s="1605" t="str">
        <f>IF((SUM(G24:G26)=0),"",IF((OR(G24="Higher",G25="Higher",G26="Higher")),"Higher",IF((OR(G24="Moderate",G25="Moderate",G26="Moderate")),"Moderate","Lower")))</f>
        <v/>
      </c>
      <c r="H46" s="169"/>
      <c r="I46" s="169"/>
      <c r="J46" s="169"/>
      <c r="K46" s="1609"/>
      <c r="L46" s="1610"/>
      <c r="M46" s="1610"/>
      <c r="N46" s="169"/>
      <c r="O46" s="169"/>
      <c r="P46" s="169"/>
      <c r="Y46" s="1485"/>
      <c r="Z46" s="1602"/>
      <c r="AA46" s="1602"/>
    </row>
    <row r="47" spans="1:27" ht="16.5" customHeight="1" x14ac:dyDescent="0.2">
      <c r="A47" s="1629" t="s">
        <v>5815</v>
      </c>
      <c r="B47" s="1571"/>
      <c r="C47" s="1571"/>
      <c r="D47" s="1582" t="str">
        <f>IF((D21=""),"",(MAX(D21, D22, D23, D28, D31)+AVERAGE(D21, D22, D23, D28, D31))/2)</f>
        <v/>
      </c>
      <c r="E47" s="1582" t="str">
        <f>IF((SUM(E21:E23,E28,E31)=0),"",IF((OR(E21="Higher",E22="Higher",E23="Higher",E28="Higher",E31="Higher")),"Higher",IF((OR(E21="Moderate",E22="Moderate",E23="Moderate",E28="Moderate",E31="Moderate")),"Moderate","Lower")))</f>
        <v/>
      </c>
      <c r="F47" s="1624" t="str">
        <f>IF((F21=""),"",(MAX(F21,F31,F28,F22,F23)+AVERAGE(F21,F31,F28,F22,F23))/2)</f>
        <v/>
      </c>
      <c r="G47" s="1605" t="str">
        <f>IF((SUM(G21:G23,G28,G31)=0),"",IF((OR(G21="Higher",G22="Higher",G23="Higher",G28="Higher",G31="Higher")),"Higher",IF((OR(G21="Moderate",G22="Moderate",G23="Moderate",G28="Moderate",G31="Moderate")),"Moderate","Lower")))</f>
        <v/>
      </c>
      <c r="H47" s="169"/>
      <c r="I47" s="169"/>
      <c r="J47" s="169"/>
      <c r="K47" s="1609"/>
      <c r="L47" s="1610"/>
      <c r="M47" s="1610"/>
      <c r="N47" s="169"/>
      <c r="O47" s="169"/>
      <c r="P47" s="169"/>
      <c r="Y47" s="1485"/>
      <c r="Z47" s="1602"/>
      <c r="AA47" s="1602"/>
    </row>
    <row r="48" spans="1:27" ht="16.5" customHeight="1" x14ac:dyDescent="0.2">
      <c r="A48" s="1629" t="s">
        <v>5810</v>
      </c>
      <c r="B48" s="1571"/>
      <c r="C48" s="1571"/>
      <c r="D48" s="1582" t="str">
        <f>IF((D29=""),"",(MAX(D29,D30)+AVERAGE(D29,D30))/2)</f>
        <v/>
      </c>
      <c r="E48" s="1582" t="str">
        <f>IF((SUM(E29:E30)=0),"",IF((OR(E29="Higher",E30="Higher")),"Higher",IF((OR(E29="Moderate",E30="Moderate")),"Moderate","Lower")))</f>
        <v/>
      </c>
      <c r="F48" s="1624" t="str">
        <f>IF((F29=""),"",(MAX(F29,F30)+AVERAGE(F29,F30))/2)</f>
        <v/>
      </c>
      <c r="G48" s="1605" t="str">
        <f>IF((SUM(G29:G30)=0),"",IF((OR(G29="Higher",G30="Higher")),"Higher",IF((OR(G29="Moderate",G30="Moderate")),"Moderate","Lower")))</f>
        <v/>
      </c>
      <c r="H48" s="169"/>
      <c r="I48" s="169"/>
      <c r="J48" s="169"/>
      <c r="K48" s="1609"/>
      <c r="L48" s="1610"/>
      <c r="M48" s="1610"/>
      <c r="N48" s="169"/>
      <c r="O48" s="169"/>
      <c r="P48" s="169"/>
      <c r="Y48" s="1485"/>
      <c r="Z48" s="1602"/>
      <c r="AA48" s="1602"/>
    </row>
    <row r="49" spans="1:27" ht="16.5" customHeight="1" x14ac:dyDescent="0.2">
      <c r="A49" s="1629" t="s">
        <v>5811</v>
      </c>
      <c r="B49" s="1571"/>
      <c r="C49" s="1571"/>
      <c r="D49" s="1582" t="str">
        <f>IF((D32=""),"",(MAX(D32,D33,D34)+AVERAGE(D32,D33,D34))/2)</f>
        <v/>
      </c>
      <c r="E49" s="1582" t="str">
        <f>IF((SUM(E32:E34)=0),"",IF((OR(E32="Higher",E33="Higher",E34="Higher")),"Higher",IF((OR(E32="Moderate",E33="Moderate",E34="Moderate")),"Moderate","Lower")))</f>
        <v/>
      </c>
      <c r="F49" s="1624" t="str">
        <f>IF((F32=""),"",(MAX(F32,F33,F34)+AVERAGE(F32,F33,F34))/2)</f>
        <v/>
      </c>
      <c r="G49" s="1605" t="str">
        <f>IF((SUM(G32:G34)=0),"",IF((OR(G32="Higher",G33="Higher",G34="Higher")),"Higher",IF((OR(G32="Moderate",G33="Moderate",G34="Moderate")),"Moderate","Lower")))</f>
        <v/>
      </c>
      <c r="H49" s="169"/>
      <c r="I49" s="169"/>
      <c r="J49" s="169"/>
      <c r="K49" s="1609"/>
      <c r="L49" s="1610"/>
      <c r="M49" s="1610"/>
      <c r="N49" s="169"/>
      <c r="O49" s="169"/>
      <c r="P49" s="169"/>
      <c r="Y49" s="1485"/>
      <c r="Z49" s="1602"/>
      <c r="AA49" s="1602"/>
    </row>
    <row r="50" spans="1:27" ht="16.5" customHeight="1" thickBot="1" x14ac:dyDescent="0.25">
      <c r="A50" s="1630" t="s">
        <v>5812</v>
      </c>
      <c r="B50" s="1571"/>
      <c r="C50" s="1571"/>
      <c r="D50" s="1603" t="str">
        <f>IF((D35=""),"",(MAX(D35,D36,D37)+AVERAGE(D35,D36,D37))/2)</f>
        <v/>
      </c>
      <c r="E50" s="1582" t="str">
        <f>IF((SUM(E35:E37)=0),"",IF((OR(E35="Higher",E36="Higher",E37="Higher")),"Higher",IF((OR(E35="Moderate",E36="Moderate",E37="Moderate")),"Moderate","Lower")))</f>
        <v/>
      </c>
      <c r="F50" s="1625" t="str">
        <f>IF((F35=""),"",(MAX(F35,F36,F37)+AVERAGE(F35,F36,F37))/2)</f>
        <v/>
      </c>
      <c r="G50" s="1606" t="str">
        <f>IF((SUM(G35:G37)=0),"",IF((OR(G35="Higher",G36="Higher",G37="Higher")),"Higher",IF((OR(G35="Moderate",G36="Moderate",G37="Moderate")),"Moderate","Lower")))</f>
        <v/>
      </c>
      <c r="H50" s="169"/>
      <c r="I50" s="169"/>
      <c r="J50" s="169"/>
      <c r="K50" s="1609"/>
      <c r="L50" s="1610"/>
      <c r="M50" s="1610"/>
      <c r="N50" s="169"/>
      <c r="O50" s="169"/>
      <c r="P50" s="169"/>
      <c r="Y50" s="1485"/>
      <c r="Z50" s="1602"/>
      <c r="AA50" s="1602"/>
    </row>
    <row r="51" spans="1:27" ht="16.5" customHeight="1" thickBot="1" x14ac:dyDescent="0.25">
      <c r="A51" s="1631" t="s">
        <v>5813</v>
      </c>
      <c r="B51" s="1571"/>
      <c r="C51" s="1571"/>
      <c r="D51" s="1577"/>
      <c r="E51" s="1577"/>
      <c r="F51" s="1626" t="str">
        <f>IF((F39=""),"",(MAX(F39:F40)+AVERAGE(F39:F40))/2)</f>
        <v/>
      </c>
      <c r="G51" s="1627" t="str">
        <f>IF((SUM(G39:G40)=0),"",IF((OR(G39="Higher",G40="Higher")),"Higher",IF((OR(G39="Moderate",G40="Moderate")),"Moderate","Lower")))</f>
        <v/>
      </c>
      <c r="H51" s="169"/>
      <c r="I51" s="169"/>
      <c r="J51" s="169"/>
      <c r="K51" s="1609"/>
      <c r="L51" s="1610"/>
      <c r="M51" s="1610"/>
      <c r="N51" s="169"/>
      <c r="O51" s="169"/>
      <c r="P51" s="169"/>
      <c r="Y51" s="1485"/>
      <c r="Z51" s="1602"/>
      <c r="AA51" s="1602"/>
    </row>
  </sheetData>
  <sheetProtection algorithmName="SHA-512" hashValue="AdbSrQsqC93gbufXdYoupqYHpGVN+WWqQ9pqNjE920OzlE8QxfddFTqeXDB1ZjvdXcfQ+zHIF/Xgkwwn6e4i0A==" saltValue="oLqaHJM04cL+MTNbNBr8Ig==" spinCount="100000" sheet="1" formatCells="0" formatColumns="0" formatRows="0"/>
  <customSheetViews>
    <customSheetView guid="{B8E02330-2419-4DE6-AD01-7ACC7A5D18DD}" hiddenColumns="1">
      <selection sqref="A1:I1"/>
      <pageMargins left="0.25" right="0.25" top="0.75" bottom="0.75" header="0.3" footer="0.3"/>
      <pageSetup orientation="portrait" r:id="rId1"/>
      <headerFooter alignWithMargins="0"/>
    </customSheetView>
  </customSheetViews>
  <mergeCells count="23">
    <mergeCell ref="B11:N11"/>
    <mergeCell ref="B12:N12"/>
    <mergeCell ref="B13:N13"/>
    <mergeCell ref="B14:N14"/>
    <mergeCell ref="A18:C18"/>
    <mergeCell ref="K16:P16"/>
    <mergeCell ref="N18:N19"/>
    <mergeCell ref="L18:M18"/>
    <mergeCell ref="O18:P18"/>
    <mergeCell ref="A16:I16"/>
    <mergeCell ref="K18:K19"/>
    <mergeCell ref="K17:M17"/>
    <mergeCell ref="N17:P17"/>
    <mergeCell ref="B6:N6"/>
    <mergeCell ref="B7:N7"/>
    <mergeCell ref="B8:N8"/>
    <mergeCell ref="B9:N9"/>
    <mergeCell ref="B10:N10"/>
    <mergeCell ref="B1:N1"/>
    <mergeCell ref="B2:N2"/>
    <mergeCell ref="B3:N3"/>
    <mergeCell ref="B4:N4"/>
    <mergeCell ref="B5:N5"/>
  </mergeCells>
  <phoneticPr fontId="3" type="noConversion"/>
  <conditionalFormatting sqref="F39:F44 B44:C51 H39:H44 J51:M51 L44:P51 O39:P40 J39:J43 K39:M44 J20:J37 H20:H37 F20:F37 B20:D37 B39:D44 L27:M27 J46:K51 B45:H51">
    <cfRule type="expression" dxfId="1" priority="24">
      <formula>"enter =ISERROR(B8:C31)"</formula>
    </cfRule>
  </conditionalFormatting>
  <conditionalFormatting sqref="B38:P38">
    <cfRule type="expression" dxfId="0" priority="1">
      <formula>"enter =ISERROR(B8:C31)"</formula>
    </cfRule>
  </conditionalFormatting>
  <pageMargins left="0.25" right="0.25" top="0.75" bottom="0.75" header="0.3" footer="0.3"/>
  <pageSetup scale="70" orientation="portrait" r:id="rId2"/>
  <headerFooter alignWithMargins="0"/>
  <ignoredErrors>
    <ignoredError sqref="H2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139"/>
  <sheetViews>
    <sheetView topLeftCell="A74" zoomScaleNormal="100" workbookViewId="0">
      <selection activeCell="L88" sqref="L88"/>
    </sheetView>
  </sheetViews>
  <sheetFormatPr defaultColWidth="9.33203125" defaultRowHeight="15" customHeight="1" x14ac:dyDescent="0.2"/>
  <cols>
    <col min="1" max="1" width="5.83203125" style="40" customWidth="1"/>
    <col min="2" max="2" width="18.83203125" style="40" customWidth="1"/>
    <col min="3" max="3" width="75.83203125" style="39" customWidth="1"/>
    <col min="4" max="4" width="6.83203125" style="536" customWidth="1"/>
    <col min="5" max="5" width="8" style="490" customWidth="1"/>
    <col min="6" max="6" width="7.6640625" style="491" customWidth="1"/>
    <col min="7" max="7" width="9.83203125" style="492" customWidth="1"/>
    <col min="8" max="8" width="75.83203125" style="39" customWidth="1"/>
    <col min="9" max="9" width="11.1640625" style="39" customWidth="1"/>
    <col min="10" max="16384" width="9.33203125" style="39"/>
  </cols>
  <sheetData>
    <row r="1" spans="1:9" ht="39" customHeight="1" thickBot="1" x14ac:dyDescent="0.25">
      <c r="A1" s="1853" t="s">
        <v>5795</v>
      </c>
      <c r="B1" s="1854"/>
      <c r="C1" s="88" t="s">
        <v>2128</v>
      </c>
      <c r="D1" s="129" t="s">
        <v>2129</v>
      </c>
      <c r="E1" s="1827"/>
      <c r="F1" s="1828"/>
      <c r="G1" s="1828"/>
      <c r="H1" s="1828"/>
    </row>
    <row r="2" spans="1:9" s="123" customFormat="1" ht="30" customHeight="1" thickBot="1" x14ac:dyDescent="0.25">
      <c r="A2" s="451" t="s">
        <v>290</v>
      </c>
      <c r="B2" s="450" t="s">
        <v>5435</v>
      </c>
      <c r="C2" s="480" t="s">
        <v>2606</v>
      </c>
      <c r="D2" s="450" t="s">
        <v>117</v>
      </c>
      <c r="E2" s="471" t="s">
        <v>5438</v>
      </c>
      <c r="F2" s="472" t="s">
        <v>5439</v>
      </c>
      <c r="G2" s="975" t="s">
        <v>5825</v>
      </c>
      <c r="H2" s="473" t="s">
        <v>2349</v>
      </c>
      <c r="I2" s="122"/>
    </row>
    <row r="3" spans="1:9" ht="21" customHeight="1" thickBot="1" x14ac:dyDescent="0.25">
      <c r="A3" s="1831" t="str">
        <f>OF!A80</f>
        <v>OF13</v>
      </c>
      <c r="B3" s="1836" t="str">
        <f>OF!B80</f>
        <v>Tidal Proximity</v>
      </c>
      <c r="C3" s="454" t="str">
        <f>OF!C80</f>
        <v>The distance from the AA edge to the closest tidal water body is:</v>
      </c>
      <c r="D3" s="494"/>
      <c r="E3" s="494"/>
      <c r="F3" s="495"/>
      <c r="G3" s="496">
        <f>MAX(F4:F8)/MAX(E4:E8)</f>
        <v>0</v>
      </c>
      <c r="H3" s="1687" t="s">
        <v>1863</v>
      </c>
      <c r="I3" s="39" t="s">
        <v>552</v>
      </c>
    </row>
    <row r="4" spans="1:9" ht="15" customHeight="1" x14ac:dyDescent="0.2">
      <c r="A4" s="1832"/>
      <c r="B4" s="1837"/>
      <c r="C4" s="144" t="str">
        <f>OF!C81</f>
        <v>&lt;300 ft</v>
      </c>
      <c r="D4" s="286">
        <f>OF!D81</f>
        <v>0</v>
      </c>
      <c r="E4" s="497">
        <v>4</v>
      </c>
      <c r="F4" s="498">
        <f>D4*E4</f>
        <v>0</v>
      </c>
      <c r="G4" s="499"/>
      <c r="H4" s="1837"/>
    </row>
    <row r="5" spans="1:9" ht="15" customHeight="1" x14ac:dyDescent="0.2">
      <c r="A5" s="1832"/>
      <c r="B5" s="1837"/>
      <c r="C5" s="144" t="str">
        <f>OF!C82</f>
        <v>300-1000 ft</v>
      </c>
      <c r="D5" s="286">
        <f>OF!D82</f>
        <v>0</v>
      </c>
      <c r="E5" s="497">
        <v>4</v>
      </c>
      <c r="F5" s="498">
        <f>D5*E5</f>
        <v>0</v>
      </c>
      <c r="G5" s="500"/>
      <c r="H5" s="1837"/>
    </row>
    <row r="6" spans="1:9" ht="15" customHeight="1" x14ac:dyDescent="0.2">
      <c r="A6" s="1832"/>
      <c r="B6" s="1837"/>
      <c r="C6" s="144" t="str">
        <f>OF!C83</f>
        <v>1000 ft - 1 mile</v>
      </c>
      <c r="D6" s="286">
        <f>OF!D83</f>
        <v>0</v>
      </c>
      <c r="E6" s="501">
        <v>3</v>
      </c>
      <c r="F6" s="498">
        <f>D6*E6</f>
        <v>0</v>
      </c>
      <c r="G6" s="500"/>
      <c r="H6" s="1837"/>
    </row>
    <row r="7" spans="1:9" ht="15" customHeight="1" x14ac:dyDescent="0.2">
      <c r="A7" s="1832"/>
      <c r="B7" s="1837"/>
      <c r="C7" s="144" t="str">
        <f>OF!C84</f>
        <v>1-5 miles</v>
      </c>
      <c r="D7" s="286">
        <f>OF!D84</f>
        <v>0</v>
      </c>
      <c r="E7" s="497">
        <v>2</v>
      </c>
      <c r="F7" s="498">
        <f>D7*E7</f>
        <v>0</v>
      </c>
      <c r="G7" s="500"/>
      <c r="H7" s="1837"/>
    </row>
    <row r="8" spans="1:9" ht="15" customHeight="1" thickBot="1" x14ac:dyDescent="0.25">
      <c r="A8" s="1833"/>
      <c r="B8" s="1838"/>
      <c r="C8" s="455" t="str">
        <f>OF!C85</f>
        <v>&gt;5 miles</v>
      </c>
      <c r="D8" s="359">
        <f>OF!D85</f>
        <v>0</v>
      </c>
      <c r="E8" s="502">
        <v>0</v>
      </c>
      <c r="F8" s="503">
        <f>D8*E8</f>
        <v>0</v>
      </c>
      <c r="G8" s="504"/>
      <c r="H8" s="1838"/>
    </row>
    <row r="9" spans="1:9" ht="30" customHeight="1" thickBot="1" x14ac:dyDescent="0.25">
      <c r="A9" s="1831" t="str">
        <f>OF!A113</f>
        <v>OF21</v>
      </c>
      <c r="B9" s="1836" t="str">
        <f>OF!B113</f>
        <v>Temperature, Mean Annual</v>
      </c>
      <c r="C9" s="456" t="str">
        <f>OF!C113</f>
        <v>Refer to the Temperature layer in the online WESPAK-SE Wetlands Module. The mean annual temperature in the vicinity of the AA was modeled as (rounded to the nearest whole number):</v>
      </c>
      <c r="D9" s="494"/>
      <c r="E9" s="494"/>
      <c r="F9" s="495"/>
      <c r="G9" s="505">
        <f>IF((D15=1),"",MAX(F10:F14)/MAX(E10:E14))</f>
        <v>0</v>
      </c>
      <c r="H9" s="1687" t="s">
        <v>1890</v>
      </c>
      <c r="I9" s="39" t="s">
        <v>553</v>
      </c>
    </row>
    <row r="10" spans="1:9" ht="15" customHeight="1" x14ac:dyDescent="0.2">
      <c r="A10" s="1832"/>
      <c r="B10" s="1837"/>
      <c r="C10" s="457" t="str">
        <f>OF!C114</f>
        <v>&lt;38 degrees F</v>
      </c>
      <c r="D10" s="286">
        <f>OF!D114</f>
        <v>0</v>
      </c>
      <c r="E10" s="497">
        <v>0</v>
      </c>
      <c r="F10" s="498">
        <f>D10*E10</f>
        <v>0</v>
      </c>
      <c r="G10" s="506"/>
      <c r="H10" s="1837"/>
    </row>
    <row r="11" spans="1:9" ht="15" customHeight="1" x14ac:dyDescent="0.2">
      <c r="A11" s="1832"/>
      <c r="B11" s="1837"/>
      <c r="C11" s="458" t="str">
        <f>OF!C115</f>
        <v>38-40 degrees F</v>
      </c>
      <c r="D11" s="271">
        <f>OF!D115</f>
        <v>0</v>
      </c>
      <c r="E11" s="497">
        <v>1</v>
      </c>
      <c r="F11" s="498">
        <f>D11*E11</f>
        <v>0</v>
      </c>
      <c r="G11" s="507"/>
      <c r="H11" s="1837"/>
    </row>
    <row r="12" spans="1:9" ht="15" customHeight="1" x14ac:dyDescent="0.2">
      <c r="A12" s="1832"/>
      <c r="B12" s="1837"/>
      <c r="C12" s="458" t="str">
        <f>OF!C116</f>
        <v>41-42 degrees F</v>
      </c>
      <c r="D12" s="271">
        <f>OF!D116</f>
        <v>0</v>
      </c>
      <c r="E12" s="497">
        <v>2</v>
      </c>
      <c r="F12" s="498">
        <f>D12*E12</f>
        <v>0</v>
      </c>
      <c r="G12" s="507"/>
      <c r="H12" s="1837"/>
    </row>
    <row r="13" spans="1:9" ht="15" customHeight="1" x14ac:dyDescent="0.2">
      <c r="A13" s="1832"/>
      <c r="B13" s="1837"/>
      <c r="C13" s="458" t="str">
        <f>OF!C117</f>
        <v>43-44 degrees F</v>
      </c>
      <c r="D13" s="271">
        <f>OF!D117</f>
        <v>0</v>
      </c>
      <c r="E13" s="497">
        <v>3</v>
      </c>
      <c r="F13" s="498">
        <f>D13*E13</f>
        <v>0</v>
      </c>
      <c r="G13" s="506"/>
      <c r="H13" s="1837"/>
    </row>
    <row r="14" spans="1:9" ht="15" customHeight="1" x14ac:dyDescent="0.2">
      <c r="A14" s="1832"/>
      <c r="B14" s="1837"/>
      <c r="C14" s="458" t="str">
        <f>OF!C118</f>
        <v>&gt; 44 degrees F</v>
      </c>
      <c r="D14" s="271">
        <f>OF!D118</f>
        <v>0</v>
      </c>
      <c r="E14" s="497">
        <v>4</v>
      </c>
      <c r="F14" s="498">
        <f>D14*E14</f>
        <v>0</v>
      </c>
      <c r="G14" s="508"/>
      <c r="H14" s="1837"/>
    </row>
    <row r="15" spans="1:9" ht="15" customHeight="1" thickBot="1" x14ac:dyDescent="0.25">
      <c r="A15" s="1833"/>
      <c r="B15" s="1838"/>
      <c r="C15" s="459" t="str">
        <f>OF!C119</f>
        <v>no information available</v>
      </c>
      <c r="D15" s="272">
        <f>OF!D119</f>
        <v>0</v>
      </c>
      <c r="E15" s="502"/>
      <c r="F15" s="503"/>
      <c r="G15" s="509"/>
      <c r="H15" s="1838"/>
    </row>
    <row r="16" spans="1:9" ht="81.75" customHeight="1" thickBot="1" x14ac:dyDescent="0.25">
      <c r="A16" s="1839" t="str">
        <f>OF!A147</f>
        <v>OF28</v>
      </c>
      <c r="B16" s="1837" t="str">
        <f>OF!B147</f>
        <v>Elevation in Multi-scale Watersheds</v>
      </c>
      <c r="C16" s="45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6" s="494"/>
      <c r="E16" s="510"/>
      <c r="F16" s="511"/>
      <c r="G16" s="512" t="str">
        <f>IF((D17=0),"",(D17*3+D18*2+D19)/18)</f>
        <v/>
      </c>
      <c r="H16" s="1688" t="s">
        <v>1864</v>
      </c>
      <c r="I16" s="39" t="s">
        <v>551</v>
      </c>
    </row>
    <row r="17" spans="1:9" ht="27" customHeight="1" x14ac:dyDescent="0.2">
      <c r="A17" s="1839"/>
      <c r="B17" s="1837"/>
      <c r="C17" s="144" t="str">
        <f>OF!C148</f>
        <v>In its HUC8 (the watershed with a 12-digit code), the AA's elevation puts it in (enter one of the following): 3= upper one-third, 2= middle one-third, 1= lower one-third, 0= no data.</v>
      </c>
      <c r="D17" s="286">
        <f>OF!D148</f>
        <v>0</v>
      </c>
      <c r="E17" s="497"/>
      <c r="F17" s="498"/>
      <c r="G17" s="499"/>
      <c r="H17" s="1837"/>
    </row>
    <row r="18" spans="1:9" ht="42" customHeight="1" x14ac:dyDescent="0.2">
      <c r="A18" s="1839"/>
      <c r="B18" s="1837"/>
      <c r="C18" s="144" t="str">
        <f>OF!C149</f>
        <v>In its HUC7 (the 10-digit* watershed), the AA's elevation puts it in (enter one of the following): 3= upper one-third, 2= middle one-third, 1= lower one-third, 0= no data.  [The 10-digit HUC is obtained by deleting the last 2 digits of the 12-digit HUC code]</v>
      </c>
      <c r="D18" s="286">
        <f>OF!D149</f>
        <v>0</v>
      </c>
      <c r="E18" s="497"/>
      <c r="F18" s="498"/>
      <c r="G18" s="500"/>
      <c r="H18" s="1837"/>
    </row>
    <row r="19" spans="1:9" ht="42" customHeight="1" thickBot="1" x14ac:dyDescent="0.25">
      <c r="A19" s="1839"/>
      <c r="B19" s="1837"/>
      <c r="C19" s="460" t="str">
        <f>OF!C150</f>
        <v>In its HUC6 (the 8-digit* watershed) the AA's elevation puts it in (enter one of the following): 3= upper one-third, 2= middle one-third, 1= lower one-third, 0= no data.  [The 8-digit HUC is obtained by deleting the last 4 digits of the 12-digit HUC code]</v>
      </c>
      <c r="D19" s="287">
        <f>OF!D150</f>
        <v>0</v>
      </c>
      <c r="E19" s="501"/>
      <c r="F19" s="513"/>
      <c r="G19" s="500"/>
      <c r="H19" s="1837"/>
    </row>
    <row r="20" spans="1:9" ht="21" customHeight="1" thickBot="1" x14ac:dyDescent="0.25">
      <c r="A20" s="1831" t="str">
        <f>OF!A165</f>
        <v>OF33</v>
      </c>
      <c r="B20" s="1836" t="str">
        <f>OF!B165</f>
        <v>Aspect</v>
      </c>
      <c r="C20" s="456" t="str">
        <f>OF!C165</f>
        <v>The overland flow direction of most surface water (in streams or runoff) that enters the AA is:</v>
      </c>
      <c r="D20" s="494"/>
      <c r="E20" s="494"/>
      <c r="F20" s="514"/>
      <c r="G20" s="505">
        <f>MAX(F21:F23)/MAX(E21:E23)</f>
        <v>0</v>
      </c>
      <c r="H20" s="1687" t="s">
        <v>1092</v>
      </c>
      <c r="I20" s="3" t="s">
        <v>168</v>
      </c>
    </row>
    <row r="21" spans="1:9" ht="15" customHeight="1" x14ac:dyDescent="0.2">
      <c r="A21" s="1832"/>
      <c r="B21" s="1837"/>
      <c r="C21" s="457" t="str">
        <f>OF!C166</f>
        <v>Northward (N, NE).  north-facing CA.</v>
      </c>
      <c r="D21" s="286">
        <f>OF!D166</f>
        <v>0</v>
      </c>
      <c r="E21" s="497">
        <v>0</v>
      </c>
      <c r="F21" s="498">
        <f>D21*E21</f>
        <v>0</v>
      </c>
      <c r="G21" s="506"/>
      <c r="H21" s="1837"/>
    </row>
    <row r="22" spans="1:9" ht="15" customHeight="1" x14ac:dyDescent="0.2">
      <c r="A22" s="1832"/>
      <c r="B22" s="1837"/>
      <c r="C22" s="457" t="str">
        <f>OF!C167</f>
        <v>Southward (S, SW).  south-facing CA.</v>
      </c>
      <c r="D22" s="286">
        <f>OF!D167</f>
        <v>0</v>
      </c>
      <c r="E22" s="497">
        <v>2</v>
      </c>
      <c r="F22" s="498">
        <f>D22*E22</f>
        <v>0</v>
      </c>
      <c r="G22" s="508"/>
      <c r="H22" s="1837"/>
    </row>
    <row r="23" spans="1:9" ht="15" customHeight="1" thickBot="1" x14ac:dyDescent="0.25">
      <c r="A23" s="1833"/>
      <c r="B23" s="1838"/>
      <c r="C23" s="461" t="str">
        <f>OF!C168</f>
        <v>other (E, SE, W, NW), or no detectable uphill slope or input channel (flat)</v>
      </c>
      <c r="D23" s="359">
        <f>OF!D168</f>
        <v>0</v>
      </c>
      <c r="E23" s="502">
        <v>1</v>
      </c>
      <c r="F23" s="503">
        <f>D23*E23</f>
        <v>0</v>
      </c>
      <c r="G23" s="509"/>
      <c r="H23" s="1838"/>
    </row>
    <row r="24" spans="1:9" ht="21" customHeight="1" thickBot="1" x14ac:dyDescent="0.25">
      <c r="A24" s="1845" t="str">
        <f>OF!A169</f>
        <v>OF34</v>
      </c>
      <c r="B24" s="1837" t="str">
        <f>OF!B169</f>
        <v>Internal Gradient</v>
      </c>
      <c r="C24" s="454" t="str">
        <f>OF!C169</f>
        <v>The gradient along most of the flow path within the AA is:</v>
      </c>
      <c r="D24" s="494"/>
      <c r="E24" s="510"/>
      <c r="F24" s="520"/>
      <c r="G24" s="512">
        <f>MAX(F25:F28)/MAX(E25:E28)</f>
        <v>0</v>
      </c>
      <c r="H24" s="1834" t="s">
        <v>76</v>
      </c>
      <c r="I24" s="39" t="s">
        <v>550</v>
      </c>
    </row>
    <row r="25" spans="1:9" ht="15" customHeight="1" x14ac:dyDescent="0.2">
      <c r="A25" s="1845"/>
      <c r="B25" s="1837"/>
      <c r="C25" s="144" t="str">
        <f>OF!C170</f>
        <v>&lt;2%, or, no slope is ever apparent (i.e., flat).  Includes most depressional sites and ponds.</v>
      </c>
      <c r="D25" s="286">
        <f>OF!D170</f>
        <v>0</v>
      </c>
      <c r="E25" s="497">
        <v>4</v>
      </c>
      <c r="F25" s="498">
        <f>D25*E25</f>
        <v>0</v>
      </c>
      <c r="G25" s="521"/>
      <c r="H25" s="1834"/>
    </row>
    <row r="26" spans="1:9" ht="15" customHeight="1" x14ac:dyDescent="0.2">
      <c r="A26" s="1845"/>
      <c r="B26" s="1837"/>
      <c r="C26" s="50" t="str">
        <f>OF!C171</f>
        <v>2-5%</v>
      </c>
      <c r="D26" s="271">
        <f>OF!D171</f>
        <v>0</v>
      </c>
      <c r="E26" s="497">
        <v>3</v>
      </c>
      <c r="F26" s="498">
        <f>D26*E26</f>
        <v>0</v>
      </c>
      <c r="G26" s="515"/>
      <c r="H26" s="1834"/>
    </row>
    <row r="27" spans="1:9" ht="15" customHeight="1" x14ac:dyDescent="0.2">
      <c r="A27" s="1845"/>
      <c r="B27" s="1837"/>
      <c r="C27" s="50" t="str">
        <f>OF!C172</f>
        <v>6-10%</v>
      </c>
      <c r="D27" s="271">
        <f>OF!D172</f>
        <v>0</v>
      </c>
      <c r="E27" s="497">
        <v>2</v>
      </c>
      <c r="F27" s="498">
        <f>D27*E27</f>
        <v>0</v>
      </c>
      <c r="G27" s="515"/>
      <c r="H27" s="1834"/>
    </row>
    <row r="28" spans="1:9" ht="15" customHeight="1" thickBot="1" x14ac:dyDescent="0.25">
      <c r="A28" s="1845"/>
      <c r="B28" s="1837"/>
      <c r="C28" s="204" t="str">
        <f>OF!C173</f>
        <v>&gt;10%</v>
      </c>
      <c r="D28" s="288">
        <f>OF!D173</f>
        <v>0</v>
      </c>
      <c r="E28" s="501">
        <v>0</v>
      </c>
      <c r="F28" s="513">
        <f>D28*E28</f>
        <v>0</v>
      </c>
      <c r="G28" s="500"/>
      <c r="H28" s="1834"/>
    </row>
    <row r="29" spans="1:9" ht="45" customHeight="1" thickBot="1" x14ac:dyDescent="0.25">
      <c r="A29" s="1831" t="str">
        <f>OF!A174</f>
        <v>OF35</v>
      </c>
      <c r="B29" s="1836" t="str">
        <f>OF!B174</f>
        <v>Internal Flow Distance (Path Length)</v>
      </c>
      <c r="C29" s="456" t="str">
        <f>OF!C174</f>
        <v>From measurement of wetland polygon width or intersected stream length in the online WESPAK-SE Wetlands Module:  The straight-line horizontal distance from the wetland's inlet to outlet is:  [Note: If inlet and/or outlet are lacking, see guidance in last column]</v>
      </c>
      <c r="D29" s="494"/>
      <c r="E29" s="494"/>
      <c r="F29" s="495"/>
      <c r="G29" s="496">
        <f>MAX(F30:F35)/MAX(E30:E35)</f>
        <v>0</v>
      </c>
      <c r="H29" s="1687" t="s">
        <v>1979</v>
      </c>
      <c r="I29" s="3" t="s">
        <v>2213</v>
      </c>
    </row>
    <row r="30" spans="1:9" ht="15" customHeight="1" x14ac:dyDescent="0.2">
      <c r="A30" s="1832"/>
      <c r="B30" s="1837"/>
      <c r="C30" s="457" t="str">
        <f>OF!C175</f>
        <v>&lt;150 ft</v>
      </c>
      <c r="D30" s="286">
        <f>OF!D175</f>
        <v>0</v>
      </c>
      <c r="E30" s="497">
        <v>0</v>
      </c>
      <c r="F30" s="498">
        <f t="shared" ref="F30:F35" si="0">D30*E30</f>
        <v>0</v>
      </c>
      <c r="G30" s="515"/>
      <c r="H30" s="1837"/>
    </row>
    <row r="31" spans="1:9" ht="15" customHeight="1" x14ac:dyDescent="0.2">
      <c r="A31" s="1832"/>
      <c r="B31" s="1837"/>
      <c r="C31" s="458" t="str">
        <f>OF!C176</f>
        <v>150-300 ft</v>
      </c>
      <c r="D31" s="271">
        <f>OF!D176</f>
        <v>0</v>
      </c>
      <c r="E31" s="497">
        <v>1</v>
      </c>
      <c r="F31" s="498">
        <f t="shared" si="0"/>
        <v>0</v>
      </c>
      <c r="G31" s="515"/>
      <c r="H31" s="1837"/>
    </row>
    <row r="32" spans="1:9" ht="15" customHeight="1" x14ac:dyDescent="0.2">
      <c r="A32" s="1832"/>
      <c r="B32" s="1837"/>
      <c r="C32" s="458" t="str">
        <f>OF!C177</f>
        <v>300-800 ft</v>
      </c>
      <c r="D32" s="271">
        <f>OF!D177</f>
        <v>0</v>
      </c>
      <c r="E32" s="497">
        <v>2</v>
      </c>
      <c r="F32" s="498">
        <f t="shared" si="0"/>
        <v>0</v>
      </c>
      <c r="G32" s="515"/>
      <c r="H32" s="1837"/>
    </row>
    <row r="33" spans="1:9" ht="15" customHeight="1" x14ac:dyDescent="0.2">
      <c r="A33" s="1832"/>
      <c r="B33" s="1837"/>
      <c r="C33" s="458" t="str">
        <f>OF!C178</f>
        <v>800-2000 ft</v>
      </c>
      <c r="D33" s="271">
        <f>OF!D178</f>
        <v>0</v>
      </c>
      <c r="E33" s="497">
        <v>3</v>
      </c>
      <c r="F33" s="498">
        <f t="shared" si="0"/>
        <v>0</v>
      </c>
      <c r="G33" s="515"/>
      <c r="H33" s="1837"/>
    </row>
    <row r="34" spans="1:9" ht="15" customHeight="1" x14ac:dyDescent="0.2">
      <c r="A34" s="1832"/>
      <c r="B34" s="1837"/>
      <c r="C34" s="458" t="str">
        <f>OF!C179</f>
        <v>2000 ft - 1 mile</v>
      </c>
      <c r="D34" s="271">
        <f>OF!D179</f>
        <v>0</v>
      </c>
      <c r="E34" s="497">
        <v>4</v>
      </c>
      <c r="F34" s="498">
        <f t="shared" si="0"/>
        <v>0</v>
      </c>
      <c r="G34" s="515"/>
      <c r="H34" s="1837"/>
    </row>
    <row r="35" spans="1:9" ht="15" customHeight="1" thickBot="1" x14ac:dyDescent="0.25">
      <c r="A35" s="1833"/>
      <c r="B35" s="1838"/>
      <c r="C35" s="459" t="str">
        <f>OF!C180</f>
        <v>&gt;1 mile</v>
      </c>
      <c r="D35" s="272">
        <f>OF!D180</f>
        <v>0</v>
      </c>
      <c r="E35" s="502">
        <v>6</v>
      </c>
      <c r="F35" s="503">
        <f t="shared" si="0"/>
        <v>0</v>
      </c>
      <c r="G35" s="504"/>
      <c r="H35" s="1838"/>
    </row>
    <row r="36" spans="1:9" ht="30" customHeight="1" thickBot="1" x14ac:dyDescent="0.25">
      <c r="A36" s="1839" t="str">
        <f>F!A33</f>
        <v>F7</v>
      </c>
      <c r="B36" s="1837" t="str">
        <f>F!B33</f>
        <v>% Flooded Only Seasonally</v>
      </c>
      <c r="C36" s="454" t="str">
        <f>F!C33</f>
        <v>The percentage of the AA soil that is covered by surface water only during the wettest time of year, and for &gt;2 continuous weeks during that time, is:</v>
      </c>
      <c r="D36" s="494"/>
      <c r="E36" s="510"/>
      <c r="F36" s="516"/>
      <c r="G36" s="512">
        <f>IF((AllSat+AllSat1&gt;0),"",MAX(F37:F41)/MAX(E37:E41))</f>
        <v>0</v>
      </c>
      <c r="H36" s="1710" t="s">
        <v>5257</v>
      </c>
      <c r="I36" s="39" t="s">
        <v>543</v>
      </c>
    </row>
    <row r="37" spans="1:9" ht="15" customHeight="1" x14ac:dyDescent="0.2">
      <c r="A37" s="1839"/>
      <c r="B37" s="1837"/>
      <c r="C37" s="460" t="str">
        <f>F!C34</f>
        <v>&lt;1% or &lt;0.01 acre, whichever is less.  SKIP to F9.</v>
      </c>
      <c r="D37" s="287">
        <f>F!D34</f>
        <v>0</v>
      </c>
      <c r="E37" s="497">
        <v>0</v>
      </c>
      <c r="F37" s="513">
        <f>D37*E37</f>
        <v>0</v>
      </c>
      <c r="G37" s="499"/>
      <c r="H37" s="1834"/>
    </row>
    <row r="38" spans="1:9" ht="15" customHeight="1" x14ac:dyDescent="0.2">
      <c r="A38" s="1839"/>
      <c r="B38" s="1837"/>
      <c r="C38" s="204" t="str">
        <f>F!C35</f>
        <v xml:space="preserve">1-25% </v>
      </c>
      <c r="D38" s="288">
        <f>F!D35</f>
        <v>0</v>
      </c>
      <c r="E38" s="497">
        <v>1</v>
      </c>
      <c r="F38" s="513">
        <f>D38*E38</f>
        <v>0</v>
      </c>
      <c r="G38" s="500"/>
      <c r="H38" s="1834"/>
    </row>
    <row r="39" spans="1:9" ht="15" customHeight="1" x14ac:dyDescent="0.2">
      <c r="A39" s="1839"/>
      <c r="B39" s="1837"/>
      <c r="C39" s="204" t="str">
        <f>F!C36</f>
        <v xml:space="preserve">25-50% </v>
      </c>
      <c r="D39" s="288">
        <f>F!D36</f>
        <v>0</v>
      </c>
      <c r="E39" s="497">
        <v>2</v>
      </c>
      <c r="F39" s="513">
        <f>D39*E39</f>
        <v>0</v>
      </c>
      <c r="G39" s="500"/>
      <c r="H39" s="1834"/>
    </row>
    <row r="40" spans="1:9" ht="15" customHeight="1" x14ac:dyDescent="0.2">
      <c r="A40" s="1839"/>
      <c r="B40" s="1837"/>
      <c r="C40" s="204" t="str">
        <f>F!C37</f>
        <v xml:space="preserve">50-95% </v>
      </c>
      <c r="D40" s="288">
        <f>F!D37</f>
        <v>0</v>
      </c>
      <c r="E40" s="497">
        <v>3</v>
      </c>
      <c r="F40" s="513">
        <f>D40*E40</f>
        <v>0</v>
      </c>
      <c r="G40" s="500"/>
      <c r="H40" s="1834"/>
    </row>
    <row r="41" spans="1:9" ht="15" customHeight="1" thickBot="1" x14ac:dyDescent="0.25">
      <c r="A41" s="1839"/>
      <c r="B41" s="1837"/>
      <c r="C41" s="204" t="str">
        <f>F!C38</f>
        <v xml:space="preserve">&gt;95% </v>
      </c>
      <c r="D41" s="288">
        <f>F!D38</f>
        <v>0</v>
      </c>
      <c r="E41" s="501">
        <v>4</v>
      </c>
      <c r="F41" s="513">
        <f>D41*E41</f>
        <v>0</v>
      </c>
      <c r="G41" s="500"/>
      <c r="H41" s="1834"/>
    </row>
    <row r="42" spans="1:9" ht="21" customHeight="1" thickBot="1" x14ac:dyDescent="0.25">
      <c r="A42" s="1831" t="str">
        <f>F!A39</f>
        <v>F8</v>
      </c>
      <c r="B42" s="1836" t="str">
        <f>F!B39</f>
        <v>Annual Water Fluctuation Range</v>
      </c>
      <c r="C42" s="454" t="str">
        <f>F!C39</f>
        <v>The maximum annual fluctuation in surface water within the AA is:</v>
      </c>
      <c r="D42" s="494"/>
      <c r="E42" s="494"/>
      <c r="F42" s="517"/>
      <c r="G42" s="505">
        <f>IF((AllSat+AllSat1&gt;0),"",IF((NoSeasonal=1),"",MAX(F43:F46)/MAX(E43:E46)))</f>
        <v>0</v>
      </c>
      <c r="H42" s="1709" t="s">
        <v>5258</v>
      </c>
      <c r="I42" s="39" t="s">
        <v>545</v>
      </c>
    </row>
    <row r="43" spans="1:9" ht="15" customHeight="1" x14ac:dyDescent="0.2">
      <c r="A43" s="1832"/>
      <c r="B43" s="1837"/>
      <c r="C43" s="144" t="str">
        <f>F!C40</f>
        <v xml:space="preserve">&lt;0.5 ft </v>
      </c>
      <c r="D43" s="286">
        <f>F!D40</f>
        <v>0</v>
      </c>
      <c r="E43" s="497">
        <v>1</v>
      </c>
      <c r="F43" s="513">
        <f>D43*E43</f>
        <v>0</v>
      </c>
      <c r="G43" s="506"/>
      <c r="H43" s="1834"/>
    </row>
    <row r="44" spans="1:9" ht="15" customHeight="1" x14ac:dyDescent="0.2">
      <c r="A44" s="1832"/>
      <c r="B44" s="1837"/>
      <c r="C44" s="50" t="str">
        <f>F!C41</f>
        <v>0.5 - 1 ft</v>
      </c>
      <c r="D44" s="271">
        <f>F!D41</f>
        <v>0</v>
      </c>
      <c r="E44" s="497">
        <v>2</v>
      </c>
      <c r="F44" s="513">
        <f>D44*E44</f>
        <v>0</v>
      </c>
      <c r="G44" s="508"/>
      <c r="H44" s="1834"/>
    </row>
    <row r="45" spans="1:9" ht="15" customHeight="1" x14ac:dyDescent="0.2">
      <c r="A45" s="1832"/>
      <c r="B45" s="1837"/>
      <c r="C45" s="50" t="str">
        <f>F!C42</f>
        <v>1-3 ft</v>
      </c>
      <c r="D45" s="271">
        <f>F!D42</f>
        <v>0</v>
      </c>
      <c r="E45" s="497">
        <v>3</v>
      </c>
      <c r="F45" s="513">
        <f>D45*E45</f>
        <v>0</v>
      </c>
      <c r="G45" s="508"/>
      <c r="H45" s="1834"/>
    </row>
    <row r="46" spans="1:9" ht="15" customHeight="1" thickBot="1" x14ac:dyDescent="0.25">
      <c r="A46" s="1833"/>
      <c r="B46" s="1838"/>
      <c r="C46" s="462" t="str">
        <f>F!C43</f>
        <v xml:space="preserve">&gt; 3 ft </v>
      </c>
      <c r="D46" s="272">
        <f>F!D43</f>
        <v>0</v>
      </c>
      <c r="E46" s="502">
        <v>4</v>
      </c>
      <c r="F46" s="503">
        <f>D46*E46</f>
        <v>0</v>
      </c>
      <c r="G46" s="509"/>
      <c r="H46" s="1835"/>
    </row>
    <row r="47" spans="1:9" ht="45" customHeight="1" thickBot="1" x14ac:dyDescent="0.25">
      <c r="A47" s="1840" t="str">
        <f>F!A71</f>
        <v>F15</v>
      </c>
      <c r="B47" s="1837" t="str">
        <f>F!B71</f>
        <v>All Ponded Water - Extent</v>
      </c>
      <c r="C47" s="454" t="str">
        <f>F!C71</f>
        <v>During most of the growing season, the percentage of the AA that has ponded surface water (stagnant, or flows so slowly that fine sediment is not held in suspension) which is either open or shaded by emergent vegetation is:</v>
      </c>
      <c r="D47" s="494"/>
      <c r="E47" s="510"/>
      <c r="F47" s="511"/>
      <c r="G47" s="512">
        <f>IF((AllSat+AllSat1&gt;0),"",MAX(F48:F54)/MAX(E48:E54))</f>
        <v>0</v>
      </c>
      <c r="H47" s="1709" t="s">
        <v>5259</v>
      </c>
      <c r="I47" s="39" t="s">
        <v>544</v>
      </c>
    </row>
    <row r="48" spans="1:9" ht="15" customHeight="1" x14ac:dyDescent="0.2">
      <c r="A48" s="1839"/>
      <c r="B48" s="1837"/>
      <c r="C48" s="144" t="str">
        <f>F!C72</f>
        <v>&lt;1% or none, or occupies &lt;100 sq. ft cumulatively.  Enter "1" and SKIP to F19.</v>
      </c>
      <c r="D48" s="286">
        <f>F!D72</f>
        <v>0</v>
      </c>
      <c r="E48" s="497">
        <v>0</v>
      </c>
      <c r="F48" s="513">
        <f t="shared" ref="F48:F54" si="1">D48*E48</f>
        <v>0</v>
      </c>
      <c r="G48" s="500"/>
      <c r="H48" s="1834"/>
    </row>
    <row r="49" spans="1:9" ht="15" customHeight="1" x14ac:dyDescent="0.2">
      <c r="A49" s="1839"/>
      <c r="B49" s="1837"/>
      <c r="C49" s="50" t="str">
        <f>F!C73</f>
        <v>1-25% of the AA, and mainly in small fishless pools. Enter "1" and SKIP to F19.</v>
      </c>
      <c r="D49" s="271">
        <f>F!D73</f>
        <v>0</v>
      </c>
      <c r="E49" s="497">
        <v>2</v>
      </c>
      <c r="F49" s="513">
        <f t="shared" si="1"/>
        <v>0</v>
      </c>
      <c r="G49" s="500"/>
      <c r="H49" s="1834"/>
    </row>
    <row r="50" spans="1:9" ht="15" customHeight="1" x14ac:dyDescent="0.2">
      <c r="A50" s="1839"/>
      <c r="B50" s="1837"/>
      <c r="C50" s="50" t="str">
        <f>F!C74</f>
        <v>1-25% of the AA, and mainly in a single large pool or pond, with or without fish access.</v>
      </c>
      <c r="D50" s="271">
        <f>F!D74</f>
        <v>0</v>
      </c>
      <c r="E50" s="497">
        <v>1</v>
      </c>
      <c r="F50" s="513">
        <f t="shared" si="1"/>
        <v>0</v>
      </c>
      <c r="G50" s="500"/>
      <c r="H50" s="1834"/>
    </row>
    <row r="51" spans="1:9" ht="15" customHeight="1" x14ac:dyDescent="0.2">
      <c r="A51" s="1839"/>
      <c r="B51" s="1837"/>
      <c r="C51" s="50" t="str">
        <f>F!C75</f>
        <v>5-30% of the AA.</v>
      </c>
      <c r="D51" s="271">
        <f>F!D75</f>
        <v>0</v>
      </c>
      <c r="E51" s="497">
        <v>3</v>
      </c>
      <c r="F51" s="513">
        <f t="shared" si="1"/>
        <v>0</v>
      </c>
      <c r="G51" s="500"/>
      <c r="H51" s="1834"/>
    </row>
    <row r="52" spans="1:9" ht="15" customHeight="1" x14ac:dyDescent="0.2">
      <c r="A52" s="1839"/>
      <c r="B52" s="1837"/>
      <c r="C52" s="50" t="str">
        <f>F!C76</f>
        <v>30-70% of the AA.</v>
      </c>
      <c r="D52" s="271">
        <f>F!D76</f>
        <v>0</v>
      </c>
      <c r="E52" s="497">
        <v>4</v>
      </c>
      <c r="F52" s="513">
        <f t="shared" si="1"/>
        <v>0</v>
      </c>
      <c r="G52" s="500"/>
      <c r="H52" s="1834"/>
    </row>
    <row r="53" spans="1:9" ht="15" customHeight="1" x14ac:dyDescent="0.2">
      <c r="A53" s="1839"/>
      <c r="B53" s="1837"/>
      <c r="C53" s="50" t="str">
        <f>F!C77</f>
        <v>70-95% of the AA.</v>
      </c>
      <c r="D53" s="271">
        <f>F!D77</f>
        <v>0</v>
      </c>
      <c r="E53" s="497">
        <v>5</v>
      </c>
      <c r="F53" s="513">
        <f t="shared" si="1"/>
        <v>0</v>
      </c>
      <c r="G53" s="500"/>
      <c r="H53" s="1834"/>
    </row>
    <row r="54" spans="1:9" ht="15" customHeight="1" thickBot="1" x14ac:dyDescent="0.25">
      <c r="A54" s="1839"/>
      <c r="B54" s="1837"/>
      <c r="C54" s="204" t="str">
        <f>F!C78</f>
        <v>&gt;95% of the AA.</v>
      </c>
      <c r="D54" s="288">
        <f>F!D78</f>
        <v>0</v>
      </c>
      <c r="E54" s="501">
        <v>6</v>
      </c>
      <c r="F54" s="513">
        <f t="shared" si="1"/>
        <v>0</v>
      </c>
      <c r="G54" s="500"/>
      <c r="H54" s="1835"/>
    </row>
    <row r="55" spans="1:9" ht="80.25" customHeight="1" thickBot="1" x14ac:dyDescent="0.25">
      <c r="A55" s="452" t="str">
        <f>F!A91</f>
        <v>F19</v>
      </c>
      <c r="B55" s="125" t="str">
        <f>F!B91</f>
        <v>Ice Cover</v>
      </c>
      <c r="C55" s="463" t="str">
        <f>F!C91</f>
        <v>Ice (not just snow) covers nearly all of the AA's water surface for more than 4 continuous weeks during most years, potentially altering the air-water exchange.  If true, enter "1" in next column.  If untrue, enter "0".</v>
      </c>
      <c r="D55" s="292">
        <f>F!D91</f>
        <v>0</v>
      </c>
      <c r="E55" s="518">
        <v>1</v>
      </c>
      <c r="F55" s="519">
        <f>D55*E55</f>
        <v>0</v>
      </c>
      <c r="G55" s="505">
        <f>IF((AllSat+AllSat1&gt;0),"",1-D55)</f>
        <v>1</v>
      </c>
      <c r="H55" s="121" t="s">
        <v>5260</v>
      </c>
      <c r="I55" s="39" t="s">
        <v>542</v>
      </c>
    </row>
    <row r="56" spans="1:9" ht="28.5" customHeight="1" thickBot="1" x14ac:dyDescent="0.25">
      <c r="A56" s="1839" t="str">
        <f>F!A114</f>
        <v>F27</v>
      </c>
      <c r="B56" s="1837" t="str">
        <f>F!B114</f>
        <v>Throughflow Complexity</v>
      </c>
      <c r="C56" s="454" t="str">
        <f>F!C114</f>
        <v xml:space="preserve">During its travel through the AA at the time of peak annual flow, most of the flowing water [select ONE]: </v>
      </c>
      <c r="D56" s="494"/>
      <c r="E56" s="510"/>
      <c r="F56" s="520"/>
      <c r="G56" s="512" t="str">
        <f>IF((AllSat+AllSat1&gt;0),"", IF((Inflows=0),"",MAX(F57:F61)/MAX(E57:E61)))</f>
        <v/>
      </c>
      <c r="H56" s="1710" t="s">
        <v>5261</v>
      </c>
      <c r="I56" s="39" t="s">
        <v>548</v>
      </c>
    </row>
    <row r="57" spans="1:9" ht="42" customHeight="1" x14ac:dyDescent="0.2">
      <c r="A57" s="1839"/>
      <c r="B57" s="1837"/>
      <c r="C57" s="144" t="str">
        <f>F!C115</f>
        <v>Does not bump into plant stems.  Nearly all the water travels in unvegetated (often incised) channels that have little contact with wetland vegetation, or through a zone of open water such as an instream pond or lake.</v>
      </c>
      <c r="D57" s="286">
        <f>F!D115</f>
        <v>0</v>
      </c>
      <c r="E57" s="497">
        <v>0</v>
      </c>
      <c r="F57" s="498">
        <f>D57*E57</f>
        <v>0</v>
      </c>
      <c r="G57" s="521"/>
      <c r="H57" s="1710"/>
    </row>
    <row r="58" spans="1:9" ht="27" customHeight="1" x14ac:dyDescent="0.2">
      <c r="A58" s="1839"/>
      <c r="B58" s="1837"/>
      <c r="C58" s="50" t="str">
        <f>F!C116</f>
        <v>bumps into herbaceous vegetation and follows a fairly straight path from entrance to exit (branched channels few or none, meandering slight or none).</v>
      </c>
      <c r="D58" s="271">
        <f>F!D116</f>
        <v>0</v>
      </c>
      <c r="E58" s="497">
        <v>3</v>
      </c>
      <c r="F58" s="498">
        <f>D58*E58</f>
        <v>0</v>
      </c>
      <c r="G58" s="515"/>
      <c r="H58" s="1710"/>
    </row>
    <row r="59" spans="1:9" ht="27" customHeight="1" x14ac:dyDescent="0.2">
      <c r="A59" s="1839"/>
      <c r="B59" s="1837"/>
      <c r="C59" s="50" t="str">
        <f>F!C117</f>
        <v>bumps into herbaceous vegetation and follows a fairly indirect path from entrance to exit (meandering, multi-branched, or braided).</v>
      </c>
      <c r="D59" s="271">
        <f>F!D117</f>
        <v>0</v>
      </c>
      <c r="E59" s="497">
        <v>4</v>
      </c>
      <c r="F59" s="498">
        <f>D59*E59</f>
        <v>0</v>
      </c>
      <c r="G59" s="515"/>
      <c r="H59" s="1710"/>
    </row>
    <row r="60" spans="1:9" ht="27" customHeight="1" x14ac:dyDescent="0.2">
      <c r="A60" s="1839"/>
      <c r="B60" s="1837"/>
      <c r="C60" s="50" t="str">
        <f>F!C118</f>
        <v>bumps into tree trunks and/or shrub stems and follows a fairly straight path from entrance to exit (branched channels few or none, meandering slight or none).</v>
      </c>
      <c r="D60" s="271">
        <f>F!D118</f>
        <v>0</v>
      </c>
      <c r="E60" s="497">
        <v>6</v>
      </c>
      <c r="F60" s="498">
        <f>D60*E60</f>
        <v>0</v>
      </c>
      <c r="G60" s="515"/>
      <c r="H60" s="1710"/>
    </row>
    <row r="61" spans="1:9" ht="27" customHeight="1" thickBot="1" x14ac:dyDescent="0.25">
      <c r="A61" s="1839"/>
      <c r="B61" s="1837"/>
      <c r="C61" s="204" t="str">
        <f>F!C119</f>
        <v>bumps into tree trunks and/or shrub stems and follows a fairly indirect path from entrance to exit (meandering, multi-branched, or braided).</v>
      </c>
      <c r="D61" s="288">
        <f>F!D119</f>
        <v>0</v>
      </c>
      <c r="E61" s="501">
        <v>8</v>
      </c>
      <c r="F61" s="513">
        <f>D61*E61</f>
        <v>0</v>
      </c>
      <c r="G61" s="500"/>
      <c r="H61" s="1710"/>
    </row>
    <row r="62" spans="1:9" ht="30" customHeight="1" thickBot="1" x14ac:dyDescent="0.25">
      <c r="A62" s="1831" t="str">
        <f>F!A120</f>
        <v>F28</v>
      </c>
      <c r="B62" s="1836" t="str">
        <f>F!B120</f>
        <v>Outflow Duration</v>
      </c>
      <c r="C62" s="454" t="str">
        <f>F!C120</f>
        <v>The most persistent surface water connection (outlet channel or pipe, ditch, or overbank water exchange) between the AA and the closest off-site downslope water body is:</v>
      </c>
      <c r="D62" s="494"/>
      <c r="E62" s="494"/>
      <c r="F62" s="517"/>
      <c r="G62" s="505">
        <f>MAX(F63:F67)/MAX(E63:E67)</f>
        <v>0</v>
      </c>
      <c r="H62" s="1709" t="s">
        <v>5262</v>
      </c>
      <c r="I62" s="39" t="s">
        <v>546</v>
      </c>
    </row>
    <row r="63" spans="1:9" ht="27" customHeight="1" x14ac:dyDescent="0.2">
      <c r="A63" s="1832"/>
      <c r="B63" s="1837"/>
      <c r="C63" s="144" t="str">
        <f>F!C121</f>
        <v>persistent (&gt;9 months/year); almost always shown on stream maps, or determine from your dry-season observation.</v>
      </c>
      <c r="D63" s="286">
        <f>F!D121</f>
        <v>0</v>
      </c>
      <c r="E63" s="497">
        <v>1</v>
      </c>
      <c r="F63" s="513">
        <f>D63*E63</f>
        <v>0</v>
      </c>
      <c r="G63" s="506"/>
      <c r="H63" s="1834"/>
    </row>
    <row r="64" spans="1:9" ht="15" customHeight="1" x14ac:dyDescent="0.2">
      <c r="A64" s="1832"/>
      <c r="B64" s="1837"/>
      <c r="C64" s="50" t="str">
        <f>F!C122</f>
        <v>seasonal (14 days to 9 months/year, not necessarily consecutive); sometimes shown on stream maps.</v>
      </c>
      <c r="D64" s="271">
        <f>F!D122</f>
        <v>0</v>
      </c>
      <c r="E64" s="497">
        <v>2</v>
      </c>
      <c r="F64" s="513">
        <f>D64*E64</f>
        <v>0</v>
      </c>
      <c r="G64" s="508"/>
      <c r="H64" s="1834"/>
    </row>
    <row r="65" spans="1:9" ht="15" customHeight="1" x14ac:dyDescent="0.2">
      <c r="A65" s="1832"/>
      <c r="B65" s="1837"/>
      <c r="C65" s="50" t="str">
        <f>F!C123</f>
        <v>temporary (&lt;14 days, not necessarily consecutive); seldom shown on stream maps.</v>
      </c>
      <c r="D65" s="271">
        <f>F!D123</f>
        <v>0</v>
      </c>
      <c r="E65" s="497">
        <v>3</v>
      </c>
      <c r="F65" s="513">
        <f>D65*E65</f>
        <v>0</v>
      </c>
      <c r="G65" s="508"/>
      <c r="H65" s="1834"/>
    </row>
    <row r="66" spans="1:9" ht="27" customHeight="1" x14ac:dyDescent="0.2">
      <c r="A66" s="1832"/>
      <c r="B66" s="1837"/>
      <c r="C66" s="464" t="str">
        <f>F!C124</f>
        <v xml:space="preserve">none -- but maps show a stream or other water body that is downslope from the AA and within a distance that is less than the AA's path length (see definition, OF35).  If so, mark "1" here and SKIP TO F30. </v>
      </c>
      <c r="D66" s="360">
        <f>F!D124</f>
        <v>0</v>
      </c>
      <c r="E66" s="522">
        <v>9</v>
      </c>
      <c r="F66" s="513">
        <f>D66*E66</f>
        <v>0</v>
      </c>
      <c r="G66" s="508"/>
      <c r="H66" s="1834"/>
    </row>
    <row r="67" spans="1:9" ht="42" customHeight="1" thickBot="1" x14ac:dyDescent="0.25">
      <c r="A67" s="1833"/>
      <c r="B67" s="1838"/>
      <c r="C67" s="465" t="str">
        <f>F!C125</f>
        <v xml:space="preserve">no surface water flows out of the wetland except possibly during extreme events (less than once per 10 years). Or, water flows only into a wetland, ditch, or lake that lacks an outlet.  If so, mark "1" here and SKIP TO F30. </v>
      </c>
      <c r="D67" s="293">
        <f>F!D125</f>
        <v>0</v>
      </c>
      <c r="E67" s="502">
        <v>10</v>
      </c>
      <c r="F67" s="503">
        <f>D67*E67</f>
        <v>0</v>
      </c>
      <c r="G67" s="509"/>
      <c r="H67" s="1835"/>
    </row>
    <row r="68" spans="1:9" ht="30" customHeight="1" thickBot="1" x14ac:dyDescent="0.25">
      <c r="A68" s="1839" t="str">
        <f>F!A126</f>
        <v>F29</v>
      </c>
      <c r="B68" s="1837" t="str">
        <f>F!B126</f>
        <v>Outflow Confinement</v>
      </c>
      <c r="C68" s="454" t="str">
        <f>F!C126</f>
        <v>During major runoff events, in the places where surface water in a channel exits the AA or connected waters nearby, it:</v>
      </c>
      <c r="D68" s="494"/>
      <c r="E68" s="510"/>
      <c r="F68" s="520"/>
      <c r="G68" s="512">
        <f>IF((OutNone + OutNone1&gt;0),"",IF((D71=1),0,IF((D69=1),1,0.5)))</f>
        <v>0.5</v>
      </c>
      <c r="H68" s="1710" t="s">
        <v>5263</v>
      </c>
      <c r="I68" s="39" t="s">
        <v>547</v>
      </c>
    </row>
    <row r="69" spans="1:9" ht="42" customHeight="1" x14ac:dyDescent="0.2">
      <c r="A69" s="1839"/>
      <c r="B69" s="1837"/>
      <c r="C69" s="460" t="str">
        <f>F!C127</f>
        <v>mostly passes through a pipe, culvert, narrowly breached dike, berm, beaver dam, or other partial obstruction (other than natural topography) that does not appear to drain the wetland artificially during most of the growing season.</v>
      </c>
      <c r="D69" s="287">
        <f>F!D127</f>
        <v>0</v>
      </c>
      <c r="E69" s="497">
        <v>2</v>
      </c>
      <c r="F69" s="498">
        <f>D69*E69</f>
        <v>0</v>
      </c>
      <c r="G69" s="521"/>
      <c r="H69" s="1834"/>
    </row>
    <row r="70" spans="1:9" ht="15" customHeight="1" x14ac:dyDescent="0.2">
      <c r="A70" s="1839"/>
      <c r="B70" s="1837"/>
      <c r="C70" s="204" t="str">
        <f>F!C128</f>
        <v>leaves through natural exits, not mainly through artificial or temporary features.</v>
      </c>
      <c r="D70" s="288">
        <f>F!D128</f>
        <v>0</v>
      </c>
      <c r="E70" s="497">
        <v>1</v>
      </c>
      <c r="F70" s="498">
        <f>D70*E70</f>
        <v>0</v>
      </c>
      <c r="G70" s="499"/>
      <c r="H70" s="1834"/>
    </row>
    <row r="71" spans="1:9" ht="27" customHeight="1" thickBot="1" x14ac:dyDescent="0.25">
      <c r="A71" s="1839"/>
      <c r="B71" s="1837"/>
      <c r="C71" s="204" t="str">
        <f>F!C129</f>
        <v>exported more quickly than usual due to ditches or pipes within the AA (or connected to its outlet or within 10 m of the AA's edge) which drain the wetland artificially, or water is pumped out of the AA.</v>
      </c>
      <c r="D71" s="288">
        <f>F!D129</f>
        <v>0</v>
      </c>
      <c r="E71" s="501">
        <v>0</v>
      </c>
      <c r="F71" s="513">
        <f>D71*E71</f>
        <v>0</v>
      </c>
      <c r="G71" s="500"/>
      <c r="H71" s="1834"/>
    </row>
    <row r="72" spans="1:9" ht="21" customHeight="1" thickBot="1" x14ac:dyDescent="0.25">
      <c r="A72" s="1859" t="str">
        <f>F!A130</f>
        <v>F30</v>
      </c>
      <c r="B72" s="1855" t="str">
        <f>F!B130</f>
        <v>Groundwater: Strength of Evidence</v>
      </c>
      <c r="C72" s="466" t="str">
        <f>F!C130</f>
        <v>Select first applicable choice.  In the AA:</v>
      </c>
      <c r="D72" s="494"/>
      <c r="E72" s="494"/>
      <c r="F72" s="495"/>
      <c r="G72" s="496">
        <f>IF((D75=1),"",MAX(F73:F75)/MAX(E73:E75))</f>
        <v>0</v>
      </c>
      <c r="H72" s="1687" t="s">
        <v>5264</v>
      </c>
      <c r="I72" s="3" t="s">
        <v>1113</v>
      </c>
    </row>
    <row r="73" spans="1:9" ht="15" customHeight="1" x14ac:dyDescent="0.2">
      <c r="A73" s="1860"/>
      <c r="B73" s="1856"/>
      <c r="C73" s="467"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73" s="289">
        <f>F!D131</f>
        <v>0</v>
      </c>
      <c r="E73" s="497">
        <v>0</v>
      </c>
      <c r="F73" s="498">
        <f>D73*E73</f>
        <v>0</v>
      </c>
      <c r="G73" s="521"/>
      <c r="H73" s="1837"/>
    </row>
    <row r="74" spans="1:9" ht="15" customHeight="1" x14ac:dyDescent="0.2">
      <c r="A74" s="1860"/>
      <c r="B74" s="1856"/>
      <c r="C74" s="468"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74" s="290">
        <f>F!D132</f>
        <v>0</v>
      </c>
      <c r="E74" s="497">
        <v>1</v>
      </c>
      <c r="F74" s="498">
        <f>D74*E74</f>
        <v>0</v>
      </c>
      <c r="G74" s="515"/>
      <c r="H74" s="1837"/>
    </row>
    <row r="75" spans="1:9" ht="15" customHeight="1" thickBot="1" x14ac:dyDescent="0.25">
      <c r="A75" s="1861"/>
      <c r="B75" s="1857"/>
      <c r="C75" s="469" t="str">
        <f>F!C133</f>
        <v>Neither of above is true, although some groundwater may discharge to or flow through the AA, or groundwater influx is unknown.</v>
      </c>
      <c r="D75" s="291">
        <f>F!D133</f>
        <v>0</v>
      </c>
      <c r="E75" s="502">
        <v>2</v>
      </c>
      <c r="F75" s="503">
        <f>D75*E75</f>
        <v>0</v>
      </c>
      <c r="G75" s="504"/>
      <c r="H75" s="1838"/>
    </row>
    <row r="76" spans="1:9" ht="45" customHeight="1" thickBot="1" x14ac:dyDescent="0.25">
      <c r="A76" s="1831" t="str">
        <f>F!A206</f>
        <v>F44</v>
      </c>
      <c r="B76" s="1836" t="str">
        <f>F!B206</f>
        <v>Ground Irregularity</v>
      </c>
      <c r="C76" s="454"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76" s="494"/>
      <c r="E76" s="494"/>
      <c r="F76" s="514"/>
      <c r="G76" s="505">
        <f>MAX(F77:F79)/MAX(E77:E79)</f>
        <v>0</v>
      </c>
      <c r="H76" s="1709" t="s">
        <v>2577</v>
      </c>
      <c r="I76" s="39" t="s">
        <v>549</v>
      </c>
    </row>
    <row r="77" spans="1:9" ht="15" customHeight="1" x14ac:dyDescent="0.2">
      <c r="A77" s="1832"/>
      <c r="B77" s="1837"/>
      <c r="C77" s="144" t="str">
        <f>F!C207</f>
        <v xml:space="preserve">Few or none (minimal microtopography; &lt;1% of that area) </v>
      </c>
      <c r="D77" s="286">
        <f>F!D207</f>
        <v>0</v>
      </c>
      <c r="E77" s="497">
        <v>0</v>
      </c>
      <c r="F77" s="513">
        <f>D77*E77</f>
        <v>0</v>
      </c>
      <c r="G77" s="523"/>
      <c r="H77" s="1710"/>
    </row>
    <row r="78" spans="1:9" ht="15" customHeight="1" x14ac:dyDescent="0.2">
      <c r="A78" s="1832"/>
      <c r="B78" s="1837"/>
      <c r="C78" s="50" t="str">
        <f>F!C208</f>
        <v>Intermediate</v>
      </c>
      <c r="D78" s="271">
        <f>F!D208</f>
        <v>0</v>
      </c>
      <c r="E78" s="497">
        <v>1</v>
      </c>
      <c r="F78" s="513">
        <f>D78*E78</f>
        <v>0</v>
      </c>
      <c r="G78" s="507"/>
      <c r="H78" s="1710"/>
    </row>
    <row r="79" spans="1:9" ht="15" customHeight="1" thickBot="1" x14ac:dyDescent="0.25">
      <c r="A79" s="1833"/>
      <c r="B79" s="1838"/>
      <c r="C79" s="462" t="str">
        <f>F!C209</f>
        <v>Several (extensive micro-topography)</v>
      </c>
      <c r="D79" s="272">
        <f>F!D209</f>
        <v>0</v>
      </c>
      <c r="E79" s="502">
        <v>2</v>
      </c>
      <c r="F79" s="503">
        <f>D79*E79</f>
        <v>0</v>
      </c>
      <c r="G79" s="509"/>
      <c r="H79" s="1711"/>
    </row>
    <row r="80" spans="1:9" ht="60" customHeight="1" thickBot="1" x14ac:dyDescent="0.25">
      <c r="A80" s="1840" t="str">
        <f>F!A214</f>
        <v>F46</v>
      </c>
      <c r="B80" s="1856" t="str">
        <f>F!B214</f>
        <v>Soil Texture</v>
      </c>
      <c r="C80" s="466"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80" s="494"/>
      <c r="E80" s="510"/>
      <c r="F80" s="520"/>
      <c r="G80" s="512">
        <f>MAX(F81:F86)/MAX(E81:E86)</f>
        <v>0</v>
      </c>
      <c r="H80" s="1710" t="s">
        <v>5265</v>
      </c>
      <c r="I80" s="3" t="s">
        <v>1112</v>
      </c>
    </row>
    <row r="81" spans="1:9" ht="15" customHeight="1" x14ac:dyDescent="0.2">
      <c r="A81" s="1840"/>
      <c r="B81" s="1856"/>
      <c r="C81" s="467" t="str">
        <f>F!C215</f>
        <v>Loamy: includes loam, sandy loam</v>
      </c>
      <c r="D81" s="289">
        <f>F!D215</f>
        <v>0</v>
      </c>
      <c r="E81" s="497">
        <v>1</v>
      </c>
      <c r="F81" s="498">
        <f t="shared" ref="F81:F86" si="2">D81*E81</f>
        <v>0</v>
      </c>
      <c r="G81" s="521"/>
      <c r="H81" s="1710"/>
    </row>
    <row r="82" spans="1:9" ht="24" customHeight="1" x14ac:dyDescent="0.2">
      <c r="A82" s="1840"/>
      <c r="B82" s="1856"/>
      <c r="C82" s="468" t="str">
        <f>F!C216</f>
        <v>Fines: includes silt, glacial flour, clay, clay loam, silty clay, silty clay loam, sandy clay, sandy clay loam.</v>
      </c>
      <c r="D82" s="290">
        <f>F!D216</f>
        <v>0</v>
      </c>
      <c r="E82" s="497">
        <v>0</v>
      </c>
      <c r="F82" s="498">
        <f t="shared" si="2"/>
        <v>0</v>
      </c>
      <c r="G82" s="515"/>
      <c r="H82" s="1710"/>
    </row>
    <row r="83" spans="1:9" ht="15" customHeight="1" x14ac:dyDescent="0.2">
      <c r="A83" s="1840"/>
      <c r="B83" s="1856"/>
      <c r="C83" s="468" t="str">
        <f>F!C217</f>
        <v>Organic, from surface to within 4 inches of surface only.  Exclude live roots unless from moss.</v>
      </c>
      <c r="D83" s="290">
        <f>F!D217</f>
        <v>0</v>
      </c>
      <c r="E83" s="497">
        <v>3</v>
      </c>
      <c r="F83" s="498">
        <f t="shared" si="2"/>
        <v>0</v>
      </c>
      <c r="G83" s="515"/>
      <c r="H83" s="1710"/>
    </row>
    <row r="84" spans="1:9" ht="15" customHeight="1" x14ac:dyDescent="0.2">
      <c r="A84" s="1840"/>
      <c r="B84" s="1856"/>
      <c r="C84" s="468" t="str">
        <f>F!C218</f>
        <v>Organic, from surface to within 16 inches of surface only. Exclude live roots unless from moss.</v>
      </c>
      <c r="D84" s="290">
        <f>F!D218</f>
        <v>0</v>
      </c>
      <c r="E84" s="497">
        <v>4</v>
      </c>
      <c r="F84" s="498">
        <f t="shared" si="2"/>
        <v>0</v>
      </c>
      <c r="G84" s="515"/>
      <c r="H84" s="1710"/>
    </row>
    <row r="85" spans="1:9" ht="15" customHeight="1" x14ac:dyDescent="0.2">
      <c r="A85" s="1840"/>
      <c r="B85" s="1856"/>
      <c r="C85" s="468" t="str">
        <f>F!C219</f>
        <v>Organic, from surface to greater than 16 inch depth. Exclude live roots unless from moss.</v>
      </c>
      <c r="D85" s="290">
        <f>F!D219</f>
        <v>0</v>
      </c>
      <c r="E85" s="497">
        <v>6</v>
      </c>
      <c r="F85" s="498">
        <f t="shared" si="2"/>
        <v>0</v>
      </c>
      <c r="G85" s="515"/>
      <c r="H85" s="1710"/>
    </row>
    <row r="86" spans="1:9" ht="26.25" customHeight="1" thickBot="1" x14ac:dyDescent="0.25">
      <c r="A86" s="1841"/>
      <c r="B86" s="1858"/>
      <c r="C86" s="468" t="str">
        <f>F!C220</f>
        <v>Coarse: includes sand, loamy sand, gravel, cobble, stones, boulders, fluvents, fluvaquents, riverwash.</v>
      </c>
      <c r="D86" s="290">
        <f>F!D220</f>
        <v>0</v>
      </c>
      <c r="E86" s="497">
        <v>2</v>
      </c>
      <c r="F86" s="498">
        <f t="shared" si="2"/>
        <v>0</v>
      </c>
      <c r="G86" s="500"/>
      <c r="H86" s="1711"/>
    </row>
    <row r="87" spans="1:9" ht="30" customHeight="1" thickBot="1" x14ac:dyDescent="0.25">
      <c r="A87" s="483" t="s">
        <v>290</v>
      </c>
      <c r="B87" s="488" t="s">
        <v>2612</v>
      </c>
      <c r="C87" s="474" t="s">
        <v>2606</v>
      </c>
      <c r="D87" s="475" t="s">
        <v>117</v>
      </c>
      <c r="E87" s="476" t="s">
        <v>5438</v>
      </c>
      <c r="F87" s="477" t="s">
        <v>5439</v>
      </c>
      <c r="G87" s="974" t="s">
        <v>5825</v>
      </c>
      <c r="H87" s="478" t="s">
        <v>919</v>
      </c>
    </row>
    <row r="88" spans="1:9" ht="114" customHeight="1" thickBot="1" x14ac:dyDescent="0.25">
      <c r="A88" s="453" t="str">
        <f>OF!A92</f>
        <v>OF15</v>
      </c>
      <c r="B88" s="125" t="str">
        <f>OF!B92</f>
        <v>Floodable Property</v>
      </c>
      <c r="C88" s="463" t="str">
        <f>OF!C92</f>
        <v>From floodplain maps, topographic maps, aerial imagery, and/or contacts with FEMA and public works departments, determine IF:  downslope from the AA and within 2 miles, structures are within a mapped 100-year floodplain or flood damage to structures has been documented, and BOTH the following are true:
(a) The downslope flood damages were (or would be) caused mainly by rising river levels associated with precipitation and snow or glacier melt, not by high tides, hillslope runoff, or sudden icefalls AND
(b) Between the AA and the downslope damage area, peak flow in a connecting channel (if any) is NOT regulated by dams.
If true, enter “1” in next column.  If false, enter “0”.</v>
      </c>
      <c r="D88" s="292">
        <f>OF!D92</f>
        <v>0</v>
      </c>
      <c r="E88" s="518"/>
      <c r="F88" s="519"/>
      <c r="G88" s="527">
        <f>D88</f>
        <v>0</v>
      </c>
      <c r="H88" s="124" t="s">
        <v>1155</v>
      </c>
      <c r="I88" s="39" t="s">
        <v>554</v>
      </c>
    </row>
    <row r="89" spans="1:9" s="3" customFormat="1" ht="30" customHeight="1" thickBot="1" x14ac:dyDescent="0.25">
      <c r="A89" s="1845" t="str">
        <f>OF!A93</f>
        <v>OF16</v>
      </c>
      <c r="B89" s="1688" t="str">
        <f>OF!B93</f>
        <v>Glacier Fed</v>
      </c>
      <c r="C89" s="231" t="str">
        <f>OF!C93</f>
        <v>Refer to the Glaciers map in the online WESPAK-SE Wetlands Module.  Select the first applicable choice:</v>
      </c>
      <c r="D89" s="494"/>
      <c r="E89" s="528"/>
      <c r="F89" s="529"/>
      <c r="G89" s="530">
        <f>IF((D90=1),"",MAX(F90:F92)/MAX(E90:E92))</f>
        <v>0</v>
      </c>
      <c r="H89" s="1688" t="s">
        <v>5309</v>
      </c>
      <c r="I89" s="3" t="s">
        <v>663</v>
      </c>
    </row>
    <row r="90" spans="1:9" s="3" customFormat="1" ht="15" customHeight="1" x14ac:dyDescent="0.2">
      <c r="A90" s="1845"/>
      <c r="B90" s="1688"/>
      <c r="C90" s="19" t="str">
        <f>OF!C94</f>
        <v>No upstream glacier feeds surface water to the AA, not even seasonally.</v>
      </c>
      <c r="D90" s="380">
        <f>OF!D94</f>
        <v>0</v>
      </c>
      <c r="E90" s="510">
        <v>0</v>
      </c>
      <c r="F90" s="498">
        <f>D90*E90</f>
        <v>0</v>
      </c>
      <c r="G90" s="521"/>
      <c r="H90" s="1688"/>
    </row>
    <row r="91" spans="1:9" s="3" customFormat="1" ht="42" customHeight="1" x14ac:dyDescent="0.2">
      <c r="A91" s="1845"/>
      <c r="B91" s="1688"/>
      <c r="C91" s="470"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91" s="20">
        <f>OF!D95</f>
        <v>0</v>
      </c>
      <c r="E91" s="510">
        <v>2</v>
      </c>
      <c r="F91" s="498">
        <f>D91*E91</f>
        <v>0</v>
      </c>
      <c r="G91" s="521"/>
      <c r="H91" s="1688"/>
    </row>
    <row r="92" spans="1:9" s="3" customFormat="1" ht="27" customHeight="1" thickBot="1" x14ac:dyDescent="0.25">
      <c r="A92" s="1845"/>
      <c r="B92" s="1688"/>
      <c r="C92" s="470" t="str">
        <f>OF!C96</f>
        <v>A glacier feeds streamflow or other surface water to the AA, but there is little or no resultant reduction in water clarity.</v>
      </c>
      <c r="D92" s="20">
        <f>OF!D96</f>
        <v>0</v>
      </c>
      <c r="E92" s="531">
        <v>1</v>
      </c>
      <c r="F92" s="513">
        <f>D92*E92</f>
        <v>0</v>
      </c>
      <c r="G92" s="499"/>
      <c r="H92" s="1688"/>
    </row>
    <row r="93" spans="1:9" ht="78" customHeight="1" thickBot="1" x14ac:dyDescent="0.25">
      <c r="A93" s="1831" t="str">
        <f>OF!A147</f>
        <v>OF28</v>
      </c>
      <c r="B93" s="1836" t="str">
        <f>OF!B147</f>
        <v>Elevation in Multi-scale Watersheds</v>
      </c>
      <c r="C93" s="45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93" s="494"/>
      <c r="E93" s="494"/>
      <c r="F93" s="517"/>
      <c r="G93" s="527" t="str">
        <f>IF((D94=0),"", (3*D94 + 2*D95 + D96)/18)</f>
        <v/>
      </c>
      <c r="H93" s="1709" t="s">
        <v>5276</v>
      </c>
      <c r="I93" s="39" t="s">
        <v>555</v>
      </c>
    </row>
    <row r="94" spans="1:9" ht="27" customHeight="1" x14ac:dyDescent="0.2">
      <c r="A94" s="1832"/>
      <c r="B94" s="1837"/>
      <c r="C94" s="144" t="str">
        <f>OF!C148</f>
        <v>In its HUC8 (the watershed with a 12-digit code), the AA's elevation puts it in (enter one of the following): 3= upper one-third, 2= middle one-third, 1= lower one-third, 0= no data.</v>
      </c>
      <c r="D94" s="286">
        <f>OF!D148</f>
        <v>0</v>
      </c>
      <c r="E94" s="497"/>
      <c r="F94" s="498"/>
      <c r="G94" s="499"/>
      <c r="H94" s="1834"/>
    </row>
    <row r="95" spans="1:9" ht="42" customHeight="1" x14ac:dyDescent="0.2">
      <c r="A95" s="1832"/>
      <c r="B95" s="1837"/>
      <c r="C95" s="50" t="str">
        <f>OF!C149</f>
        <v>In its HUC7 (the 10-digit* watershed), the AA's elevation puts it in (enter one of the following): 3= upper one-third, 2= middle one-third, 1= lower one-third, 0= no data.  [The 10-digit HUC is obtained by deleting the last 2 digits of the 12-digit HUC code]</v>
      </c>
      <c r="D95" s="271">
        <f>OF!D149</f>
        <v>0</v>
      </c>
      <c r="E95" s="497"/>
      <c r="F95" s="498"/>
      <c r="G95" s="500"/>
      <c r="H95" s="1834"/>
    </row>
    <row r="96" spans="1:9" ht="42" customHeight="1" thickBot="1" x14ac:dyDescent="0.25">
      <c r="A96" s="1833"/>
      <c r="B96" s="1838"/>
      <c r="C96" s="462" t="str">
        <f>OF!C150</f>
        <v>In its HUC6 (the 8-digit* watershed) the AA's elevation puts it in (enter one of the following): 3= upper one-third, 2= middle one-third, 1= lower one-third, 0= no data.  [The 8-digit HUC is obtained by deleting the last 4 digits of the 12-digit HUC code]</v>
      </c>
      <c r="D96" s="272">
        <f>OF!D150</f>
        <v>0</v>
      </c>
      <c r="E96" s="502"/>
      <c r="F96" s="503"/>
      <c r="G96" s="504"/>
      <c r="H96" s="1835"/>
    </row>
    <row r="97" spans="1:9" ht="30" customHeight="1" thickBot="1" x14ac:dyDescent="0.25">
      <c r="A97" s="1839" t="str">
        <f>OF!A152</f>
        <v>OF30</v>
      </c>
      <c r="B97" s="1837" t="str">
        <f>OF!B152</f>
        <v>Contributing Area (CA) Percent</v>
      </c>
      <c r="C97" s="454" t="str">
        <f>OF!C152</f>
        <v>On a topographic map, draw the approximate bounds of this AA's contributing area  (see Manual).  Relative to the extent of this contributing area (CA), the AA comprises:</v>
      </c>
      <c r="D97" s="494"/>
      <c r="E97" s="510"/>
      <c r="F97" s="520"/>
      <c r="G97" s="530">
        <f>MAX(F98:F101)/MAX(E98:E101)</f>
        <v>0</v>
      </c>
      <c r="H97" s="1709" t="s">
        <v>1156</v>
      </c>
      <c r="I97" s="39" t="s">
        <v>556</v>
      </c>
    </row>
    <row r="98" spans="1:9" ht="27" customHeight="1" x14ac:dyDescent="0.2">
      <c r="A98" s="1839"/>
      <c r="B98" s="1837"/>
      <c r="C98" s="144" t="str">
        <f>OF!C153</f>
        <v>&lt;1% of its CA  (including but not limited to most wetlands flooded annually by a major river, many in karst landscapes, and most that have multiple tributaries).</v>
      </c>
      <c r="D98" s="286">
        <f>OF!D153</f>
        <v>0</v>
      </c>
      <c r="E98" s="497">
        <v>0</v>
      </c>
      <c r="F98" s="498">
        <f>D98*E98</f>
        <v>0</v>
      </c>
      <c r="G98" s="521"/>
      <c r="H98" s="1710"/>
    </row>
    <row r="99" spans="1:9" ht="15" customHeight="1" x14ac:dyDescent="0.2">
      <c r="A99" s="1839"/>
      <c r="B99" s="1837"/>
      <c r="C99" s="50" t="str">
        <f>OF!C154</f>
        <v>1 to 10% of its CA</v>
      </c>
      <c r="D99" s="271">
        <f>OF!D154</f>
        <v>0</v>
      </c>
      <c r="E99" s="497">
        <v>1</v>
      </c>
      <c r="F99" s="498">
        <f>D99*E99</f>
        <v>0</v>
      </c>
      <c r="G99" s="515"/>
      <c r="H99" s="1710"/>
    </row>
    <row r="100" spans="1:9" ht="15" customHeight="1" x14ac:dyDescent="0.2">
      <c r="A100" s="1839"/>
      <c r="B100" s="1837"/>
      <c r="C100" s="50" t="str">
        <f>OF!C155</f>
        <v>10 to 100%  of its CA</v>
      </c>
      <c r="D100" s="271">
        <f>OF!D155</f>
        <v>0</v>
      </c>
      <c r="E100" s="497">
        <v>2</v>
      </c>
      <c r="F100" s="498">
        <f>D100*E100</f>
        <v>0</v>
      </c>
      <c r="G100" s="515"/>
      <c r="H100" s="1710"/>
    </row>
    <row r="101" spans="1:9" ht="27" customHeight="1" thickBot="1" x14ac:dyDescent="0.25">
      <c r="A101" s="1839"/>
      <c r="B101" s="1837"/>
      <c r="C101" s="204" t="str">
        <f>OF!C156</f>
        <v>Wetland has essentially no CA, e.g., isolated by dikes with no input channels, or is in terrain so flat that a CA can't be delineated. SKIP TO OF34.</v>
      </c>
      <c r="D101" s="288">
        <f>OF!D156</f>
        <v>0</v>
      </c>
      <c r="E101" s="501">
        <v>3</v>
      </c>
      <c r="F101" s="513">
        <f>D101*E101</f>
        <v>0</v>
      </c>
      <c r="G101" s="500"/>
      <c r="H101" s="1711"/>
    </row>
    <row r="102" spans="1:9" ht="75" customHeight="1" thickBot="1" x14ac:dyDescent="0.25">
      <c r="A102" s="1831" t="str">
        <f>OF!A157</f>
        <v>OF31</v>
      </c>
      <c r="B102" s="1836" t="str">
        <f>OF!B157</f>
        <v>Unvegetated Surface in the Contributing Area</v>
      </c>
      <c r="C102" s="454" t="str">
        <f>OF!C157</f>
        <v>The proportion of the AA's contributing area (measured to no more than 1000 ft upslope) that is comprised of buildings, roads, parking lots, other pavement, exposed bedrock, debris flows, and other mostly-bare (but unfrozen) surface is about :</v>
      </c>
      <c r="D102" s="494"/>
      <c r="E102" s="494"/>
      <c r="F102" s="514"/>
      <c r="G102" s="527">
        <f>IF((NoCA=1),"",MAX(F103:F105)/MAX(E103:E105))</f>
        <v>0</v>
      </c>
      <c r="H102" s="1852" t="s">
        <v>1157</v>
      </c>
      <c r="I102" s="39" t="s">
        <v>557</v>
      </c>
    </row>
    <row r="103" spans="1:9" ht="21" customHeight="1" x14ac:dyDescent="0.2">
      <c r="A103" s="1832"/>
      <c r="B103" s="1837"/>
      <c r="C103" s="144" t="str">
        <f>OF!C158</f>
        <v>&lt;10%</v>
      </c>
      <c r="D103" s="286">
        <f>OF!D158</f>
        <v>0</v>
      </c>
      <c r="E103" s="497">
        <v>0</v>
      </c>
      <c r="F103" s="498">
        <f>D103*E103</f>
        <v>0</v>
      </c>
      <c r="G103" s="521"/>
      <c r="H103" s="1834"/>
    </row>
    <row r="104" spans="1:9" ht="21" customHeight="1" x14ac:dyDescent="0.2">
      <c r="A104" s="1832"/>
      <c r="B104" s="1837"/>
      <c r="C104" s="50" t="str">
        <f>OF!C159</f>
        <v>10 to 25%</v>
      </c>
      <c r="D104" s="271">
        <f>OF!D159</f>
        <v>0</v>
      </c>
      <c r="E104" s="497">
        <v>3</v>
      </c>
      <c r="F104" s="498">
        <f>D104*E104</f>
        <v>0</v>
      </c>
      <c r="G104" s="515"/>
      <c r="H104" s="1834"/>
    </row>
    <row r="105" spans="1:9" ht="26.25" customHeight="1" thickBot="1" x14ac:dyDescent="0.25">
      <c r="A105" s="1833"/>
      <c r="B105" s="1838"/>
      <c r="C105" s="462" t="str">
        <f>OF!C160</f>
        <v>&gt;25%</v>
      </c>
      <c r="D105" s="272">
        <f>OF!D160</f>
        <v>0</v>
      </c>
      <c r="E105" s="502">
        <v>4</v>
      </c>
      <c r="F105" s="503">
        <f>D105*E105</f>
        <v>0</v>
      </c>
      <c r="G105" s="504"/>
      <c r="H105" s="1835"/>
    </row>
    <row r="106" spans="1:9" ht="30" customHeight="1" thickBot="1" x14ac:dyDescent="0.25">
      <c r="A106" s="1831" t="str">
        <f>OF!A161</f>
        <v>OF32</v>
      </c>
      <c r="B106" s="1836" t="str">
        <f>OF!B161</f>
        <v>Transport From Upslope</v>
      </c>
      <c r="C106" s="454" t="str">
        <f>OF!C161</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This statement is:</v>
      </c>
      <c r="D106" s="494"/>
      <c r="E106" s="494"/>
      <c r="F106" s="514"/>
      <c r="G106" s="527">
        <f>IF((NoCA=1),"",MAX(F107:F109)/MAX(E107:E109))</f>
        <v>0</v>
      </c>
      <c r="H106" s="1852" t="s">
        <v>1158</v>
      </c>
      <c r="I106" s="39" t="s">
        <v>558</v>
      </c>
    </row>
    <row r="107" spans="1:9" ht="15" customHeight="1" x14ac:dyDescent="0.2">
      <c r="A107" s="1832"/>
      <c r="B107" s="1837"/>
      <c r="C107" s="144" t="str">
        <f>OF!C162</f>
        <v>Mostly true</v>
      </c>
      <c r="D107" s="286">
        <f>OF!D162</f>
        <v>0</v>
      </c>
      <c r="E107" s="497">
        <v>2</v>
      </c>
      <c r="F107" s="498">
        <f>D107*E107</f>
        <v>0</v>
      </c>
      <c r="G107" s="521"/>
      <c r="H107" s="1834"/>
    </row>
    <row r="108" spans="1:9" ht="15" customHeight="1" x14ac:dyDescent="0.2">
      <c r="A108" s="1832"/>
      <c r="B108" s="1837"/>
      <c r="C108" s="50" t="str">
        <f>OF!C163</f>
        <v>Somewhat true</v>
      </c>
      <c r="D108" s="271">
        <f>OF!D163</f>
        <v>0</v>
      </c>
      <c r="E108" s="497">
        <v>1</v>
      </c>
      <c r="F108" s="498">
        <f>D108*E108</f>
        <v>0</v>
      </c>
      <c r="G108" s="515"/>
      <c r="H108" s="1834"/>
    </row>
    <row r="109" spans="1:9" ht="15" customHeight="1" thickBot="1" x14ac:dyDescent="0.25">
      <c r="A109" s="1833"/>
      <c r="B109" s="1838"/>
      <c r="C109" s="462" t="str">
        <f>OF!C164</f>
        <v>Mostly untrue</v>
      </c>
      <c r="D109" s="272">
        <f>OF!D164</f>
        <v>0</v>
      </c>
      <c r="E109" s="502">
        <v>0</v>
      </c>
      <c r="F109" s="503">
        <f>D109*E109</f>
        <v>0</v>
      </c>
      <c r="G109" s="504"/>
      <c r="H109" s="1835"/>
    </row>
    <row r="110" spans="1:9" ht="21" customHeight="1" thickBot="1" x14ac:dyDescent="0.25">
      <c r="A110" s="1829"/>
      <c r="B110" s="1829"/>
      <c r="C110" s="1829"/>
      <c r="D110" s="1829"/>
      <c r="E110" s="1829"/>
      <c r="F110" s="1829"/>
      <c r="G110" s="1829"/>
      <c r="H110" s="1829"/>
    </row>
    <row r="111" spans="1:9" ht="21" customHeight="1" x14ac:dyDescent="0.2">
      <c r="A111" s="1826"/>
      <c r="B111" s="1826"/>
      <c r="C111" s="1830"/>
      <c r="D111" s="1850" t="s">
        <v>1114</v>
      </c>
      <c r="E111" s="1851"/>
      <c r="F111" s="1851"/>
      <c r="G111" s="532">
        <f>AVERAGE(SoilTex1,Groundw1)</f>
        <v>0</v>
      </c>
      <c r="H111" s="228" t="s">
        <v>1115</v>
      </c>
    </row>
    <row r="112" spans="1:9" ht="21" customHeight="1" x14ac:dyDescent="0.2">
      <c r="A112" s="1826"/>
      <c r="B112" s="1826"/>
      <c r="C112" s="1830"/>
      <c r="D112" s="1846" t="s">
        <v>2391</v>
      </c>
      <c r="E112" s="1847"/>
      <c r="F112" s="1847"/>
      <c r="G112" s="533">
        <f>AVERAGE(Freeze1, Elev1,_GDD1,TidalProx1,Aspect1)</f>
        <v>0.25</v>
      </c>
      <c r="H112" s="216" t="s">
        <v>2084</v>
      </c>
    </row>
    <row r="113" spans="1:8" ht="21" customHeight="1" x14ac:dyDescent="0.2">
      <c r="A113" s="1826"/>
      <c r="B113" s="1826"/>
      <c r="C113" s="1830"/>
      <c r="D113" s="1846" t="s">
        <v>2352</v>
      </c>
      <c r="E113" s="1847"/>
      <c r="F113" s="1847"/>
      <c r="G113" s="534">
        <f>IFERROR(IF((AllSat=1),"",AVERAGE(Fluctua1,SeasPct1)),"")</f>
        <v>0</v>
      </c>
      <c r="H113" s="216" t="s">
        <v>5800</v>
      </c>
    </row>
    <row r="114" spans="1:8" ht="30" customHeight="1" thickBot="1" x14ac:dyDescent="0.25">
      <c r="A114" s="1826"/>
      <c r="B114" s="1826"/>
      <c r="C114" s="1830"/>
      <c r="D114" s="1848" t="s">
        <v>662</v>
      </c>
      <c r="E114" s="1849"/>
      <c r="F114" s="1849"/>
      <c r="G114" s="535">
        <f>IF((AllSat+AllSat1&gt;0),(3*Gradient1 + Girreg1)/4, AVERAGE(OutDura1,Gradient1, AVERAGE(Constric1,ThruFlo1,FloDist1,IsoDry1)))</f>
        <v>5.5555555555555552E-2</v>
      </c>
      <c r="H114" s="229" t="s">
        <v>5799</v>
      </c>
    </row>
    <row r="115" spans="1:8" ht="21" customHeight="1" thickBot="1" x14ac:dyDescent="0.25">
      <c r="A115" s="1826"/>
      <c r="B115" s="1826"/>
      <c r="C115" s="1826"/>
      <c r="D115" s="1826"/>
      <c r="E115" s="1826"/>
      <c r="F115" s="1826"/>
      <c r="G115" s="1826"/>
      <c r="H115" s="1826"/>
    </row>
    <row r="116" spans="1:8" s="536" customFormat="1" ht="30" customHeight="1" thickBot="1" x14ac:dyDescent="0.25">
      <c r="A116" s="1826"/>
      <c r="B116" s="1830"/>
      <c r="C116" s="1842" t="s">
        <v>255</v>
      </c>
      <c r="D116" s="1843"/>
      <c r="E116" s="1844"/>
      <c r="F116" s="537" t="s">
        <v>141</v>
      </c>
      <c r="G116" s="505">
        <f>10*(IF((OutNone=1), 1, IF((AllSat+AllSat1&gt;0), AVERAGE(Gradient1, AVERAGE(Friction,Freezing),Subsurf),
(4*LiveStore+2*Friction+Subsurf)/7)))</f>
        <v>0.15873015873015872</v>
      </c>
      <c r="H116" s="49" t="s">
        <v>5801</v>
      </c>
    </row>
    <row r="117" spans="1:8" s="536" customFormat="1" ht="30" customHeight="1" thickBot="1" x14ac:dyDescent="0.25">
      <c r="A117" s="1826"/>
      <c r="B117" s="1830"/>
      <c r="C117" s="1842" t="s">
        <v>185</v>
      </c>
      <c r="D117" s="1843"/>
      <c r="E117" s="1844"/>
      <c r="F117" s="537" t="s">
        <v>142</v>
      </c>
      <c r="G117" s="538">
        <f>10*(IF((FloodBdg1=1), 1,AVERAGE(AVERAGE(CAunveg1,Glacier1, ShedPos1,CApct1),Transport1)))</f>
        <v>0</v>
      </c>
      <c r="H117" s="110" t="s">
        <v>5802</v>
      </c>
    </row>
    <row r="118" spans="1:8" ht="21" customHeight="1" thickBot="1" x14ac:dyDescent="0.25">
      <c r="A118" s="1826"/>
      <c r="B118" s="1826"/>
      <c r="C118" s="1826"/>
      <c r="D118" s="1826"/>
      <c r="E118" s="1826"/>
      <c r="F118" s="1826"/>
      <c r="G118" s="1826"/>
      <c r="H118" s="1826"/>
    </row>
    <row r="119" spans="1:8" ht="21" customHeight="1" thickBot="1" x14ac:dyDescent="0.25">
      <c r="A119" s="39"/>
      <c r="B119" s="39"/>
      <c r="D119" s="39"/>
      <c r="E119" s="39"/>
      <c r="F119" s="39"/>
      <c r="G119" s="1437"/>
      <c r="H119" s="80" t="s">
        <v>1345</v>
      </c>
    </row>
    <row r="120" spans="1:8" ht="27" customHeight="1" x14ac:dyDescent="0.2">
      <c r="A120" s="39"/>
      <c r="B120" s="39"/>
      <c r="D120" s="39"/>
      <c r="E120" s="39"/>
      <c r="F120" s="39"/>
      <c r="G120" s="1437"/>
      <c r="H120" s="141" t="s">
        <v>1346</v>
      </c>
    </row>
    <row r="121" spans="1:8" ht="42" customHeight="1" x14ac:dyDescent="0.2">
      <c r="A121" s="39"/>
      <c r="B121" s="39"/>
      <c r="D121" s="39"/>
      <c r="E121" s="39"/>
      <c r="F121" s="39"/>
      <c r="G121" s="1437"/>
      <c r="H121" s="118" t="s">
        <v>1347</v>
      </c>
    </row>
    <row r="122" spans="1:8" ht="42" customHeight="1" x14ac:dyDescent="0.2">
      <c r="A122" s="39"/>
      <c r="B122" s="39"/>
      <c r="D122" s="39"/>
      <c r="E122" s="39"/>
      <c r="F122" s="39"/>
      <c r="G122" s="1437"/>
      <c r="H122" s="118" t="s">
        <v>1348</v>
      </c>
    </row>
    <row r="123" spans="1:8" ht="42" customHeight="1" x14ac:dyDescent="0.2">
      <c r="A123" s="39"/>
      <c r="B123" s="39"/>
      <c r="D123" s="39"/>
      <c r="E123" s="39"/>
      <c r="F123" s="39"/>
      <c r="G123" s="1437"/>
      <c r="H123" s="118" t="s">
        <v>1349</v>
      </c>
    </row>
    <row r="124" spans="1:8" ht="42" customHeight="1" x14ac:dyDescent="0.2">
      <c r="A124" s="39"/>
      <c r="B124" s="39"/>
      <c r="D124" s="39"/>
      <c r="E124" s="39"/>
      <c r="F124" s="39"/>
      <c r="G124" s="1437"/>
      <c r="H124" s="118" t="s">
        <v>2351</v>
      </c>
    </row>
    <row r="125" spans="1:8" ht="42" customHeight="1" x14ac:dyDescent="0.2">
      <c r="A125" s="39"/>
      <c r="B125" s="39"/>
      <c r="D125" s="39"/>
      <c r="E125" s="39"/>
      <c r="F125" s="39"/>
      <c r="G125" s="1437"/>
      <c r="H125" s="118" t="s">
        <v>1350</v>
      </c>
    </row>
    <row r="126" spans="1:8" ht="27" customHeight="1" x14ac:dyDescent="0.2">
      <c r="A126" s="39"/>
      <c r="B126" s="39"/>
      <c r="D126" s="39"/>
      <c r="E126" s="39"/>
      <c r="F126" s="39"/>
      <c r="G126" s="1437"/>
      <c r="H126" s="118" t="s">
        <v>1351</v>
      </c>
    </row>
    <row r="127" spans="1:8" ht="27" customHeight="1" x14ac:dyDescent="0.2">
      <c r="A127" s="39"/>
      <c r="B127" s="39"/>
      <c r="D127" s="39"/>
      <c r="E127" s="39"/>
      <c r="F127" s="39"/>
      <c r="G127" s="1437"/>
      <c r="H127" s="118" t="s">
        <v>1352</v>
      </c>
    </row>
    <row r="128" spans="1:8" ht="27" customHeight="1" x14ac:dyDescent="0.2">
      <c r="A128" s="39"/>
      <c r="B128" s="39"/>
      <c r="D128" s="39"/>
      <c r="E128" s="39"/>
      <c r="F128" s="39"/>
      <c r="G128" s="1437"/>
      <c r="H128" s="118" t="s">
        <v>1353</v>
      </c>
    </row>
    <row r="129" spans="1:8" ht="27" customHeight="1" x14ac:dyDescent="0.2">
      <c r="A129" s="39"/>
      <c r="B129" s="39"/>
      <c r="D129" s="39"/>
      <c r="E129" s="39"/>
      <c r="F129" s="39"/>
      <c r="G129" s="1437"/>
      <c r="H129" s="118" t="s">
        <v>1354</v>
      </c>
    </row>
    <row r="130" spans="1:8" ht="27" customHeight="1" x14ac:dyDescent="0.2">
      <c r="A130" s="39"/>
      <c r="B130" s="39"/>
      <c r="D130" s="39"/>
      <c r="E130" s="39"/>
      <c r="F130" s="39"/>
      <c r="G130" s="1437"/>
      <c r="H130" s="118" t="s">
        <v>1355</v>
      </c>
    </row>
    <row r="131" spans="1:8" ht="27" customHeight="1" x14ac:dyDescent="0.2">
      <c r="A131" s="39"/>
      <c r="B131" s="39"/>
      <c r="D131" s="39"/>
      <c r="E131" s="39"/>
      <c r="F131" s="39"/>
      <c r="G131" s="1437"/>
      <c r="H131" s="118" t="s">
        <v>1356</v>
      </c>
    </row>
    <row r="132" spans="1:8" ht="27" customHeight="1" thickBot="1" x14ac:dyDescent="0.25">
      <c r="A132" s="39"/>
      <c r="B132" s="39"/>
      <c r="D132" s="39"/>
      <c r="E132" s="39"/>
      <c r="F132" s="39"/>
      <c r="G132" s="1437"/>
      <c r="H132" s="142" t="s">
        <v>1357</v>
      </c>
    </row>
    <row r="139" spans="1:8" ht="15" customHeight="1" x14ac:dyDescent="0.2">
      <c r="H139" s="3" t="s">
        <v>1712</v>
      </c>
    </row>
  </sheetData>
  <sheetProtection algorithmName="SHA-512" hashValue="8Cc3TBd0LBj0C1rwxzwwbtIFBk02cadf93Tfz7uaNHN8NlmnluK5BbPDlzCMi1G7AslqaVsdS3powiny4Cq9qw==" saltValue="4D2kbCJW7nPz3Nq/Pj/x1w==" spinCount="100000" sheet="1" formatCells="0" formatColumns="0" formatRows="0"/>
  <customSheetViews>
    <customSheetView guid="{B8E02330-2419-4DE6-AD01-7ACC7A5D18DD}" scale="75" topLeftCell="A108">
      <selection activeCell="F120" sqref="F120"/>
      <pageMargins left="0.75" right="0.75" top="1" bottom="1" header="0.5" footer="0.5"/>
      <pageSetup orientation="portrait" horizontalDpi="4294967294" verticalDpi="300" r:id="rId1"/>
      <headerFooter alignWithMargins="0"/>
    </customSheetView>
  </customSheetViews>
  <mergeCells count="73">
    <mergeCell ref="B3:B8"/>
    <mergeCell ref="H47:H54"/>
    <mergeCell ref="H20:H23"/>
    <mergeCell ref="B16:B19"/>
    <mergeCell ref="A72:A75"/>
    <mergeCell ref="A42:A46"/>
    <mergeCell ref="A62:A67"/>
    <mergeCell ref="A56:A61"/>
    <mergeCell ref="H16:H19"/>
    <mergeCell ref="B20:B23"/>
    <mergeCell ref="A3:A8"/>
    <mergeCell ref="A16:A19"/>
    <mergeCell ref="A36:A41"/>
    <mergeCell ref="A68:A71"/>
    <mergeCell ref="A20:A23"/>
    <mergeCell ref="A9:A15"/>
    <mergeCell ref="H102:H105"/>
    <mergeCell ref="B102:B105"/>
    <mergeCell ref="B80:B86"/>
    <mergeCell ref="H56:H61"/>
    <mergeCell ref="B36:B41"/>
    <mergeCell ref="H36:H41"/>
    <mergeCell ref="B89:B92"/>
    <mergeCell ref="H93:H96"/>
    <mergeCell ref="H9:H15"/>
    <mergeCell ref="H24:H28"/>
    <mergeCell ref="B9:B15"/>
    <mergeCell ref="B68:B71"/>
    <mergeCell ref="H68:H71"/>
    <mergeCell ref="B29:B35"/>
    <mergeCell ref="H29:H35"/>
    <mergeCell ref="H106:H109"/>
    <mergeCell ref="B42:B46"/>
    <mergeCell ref="A1:B1"/>
    <mergeCell ref="C116:E116"/>
    <mergeCell ref="A93:A96"/>
    <mergeCell ref="H72:H75"/>
    <mergeCell ref="H76:H79"/>
    <mergeCell ref="B72:B75"/>
    <mergeCell ref="A102:A105"/>
    <mergeCell ref="B97:B101"/>
    <mergeCell ref="B47:B54"/>
    <mergeCell ref="B76:B79"/>
    <mergeCell ref="H3:H8"/>
    <mergeCell ref="B56:B61"/>
    <mergeCell ref="B93:B96"/>
    <mergeCell ref="B62:B67"/>
    <mergeCell ref="D113:F113"/>
    <mergeCell ref="D114:F114"/>
    <mergeCell ref="B24:B28"/>
    <mergeCell ref="D111:F111"/>
    <mergeCell ref="D112:F112"/>
    <mergeCell ref="A89:A92"/>
    <mergeCell ref="A47:A54"/>
    <mergeCell ref="H62:H67"/>
    <mergeCell ref="A24:A28"/>
    <mergeCell ref="H80:H86"/>
    <mergeCell ref="A118:H118"/>
    <mergeCell ref="E1:H1"/>
    <mergeCell ref="A110:H110"/>
    <mergeCell ref="A111:C114"/>
    <mergeCell ref="A115:H115"/>
    <mergeCell ref="A116:B117"/>
    <mergeCell ref="A76:A79"/>
    <mergeCell ref="H42:H46"/>
    <mergeCell ref="B106:B109"/>
    <mergeCell ref="H97:H101"/>
    <mergeCell ref="A106:A109"/>
    <mergeCell ref="A97:A101"/>
    <mergeCell ref="H89:H92"/>
    <mergeCell ref="A80:A86"/>
    <mergeCell ref="C117:E117"/>
    <mergeCell ref="A29:A35"/>
  </mergeCells>
  <phoneticPr fontId="3" type="noConversion"/>
  <pageMargins left="0.75" right="0.75" top="1" bottom="1" header="0.5" footer="0.5"/>
  <pageSetup orientation="portrait" horizontalDpi="4294967294"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dimension ref="A1:I74"/>
  <sheetViews>
    <sheetView zoomScaleNormal="100" workbookViewId="0">
      <selection sqref="A1:B1"/>
    </sheetView>
  </sheetViews>
  <sheetFormatPr defaultColWidth="9.33203125" defaultRowHeight="12.75" x14ac:dyDescent="0.2"/>
  <cols>
    <col min="1" max="1" width="5.83203125" style="15" customWidth="1"/>
    <col min="2" max="2" width="18.83203125" style="15" customWidth="1"/>
    <col min="3" max="3" width="75.83203125" style="3" customWidth="1"/>
    <col min="4" max="4" width="6.83203125" style="200" customWidth="1"/>
    <col min="5" max="5" width="7.6640625" style="200" customWidth="1"/>
    <col min="6" max="6" width="8" style="200" customWidth="1"/>
    <col min="7" max="7" width="9.83203125" style="134" customWidth="1"/>
    <col min="8" max="8" width="75.83203125" style="3" customWidth="1"/>
    <col min="9" max="9" width="15.5" style="3" customWidth="1"/>
    <col min="10" max="16384" width="9.33203125" style="3"/>
  </cols>
  <sheetData>
    <row r="1" spans="1:9" ht="60" customHeight="1" thickBot="1" x14ac:dyDescent="0.25">
      <c r="A1" s="1866" t="s">
        <v>5550</v>
      </c>
      <c r="B1" s="1867"/>
      <c r="C1" s="87" t="s">
        <v>2155</v>
      </c>
      <c r="D1" s="609" t="s">
        <v>2156</v>
      </c>
      <c r="E1" s="1864"/>
      <c r="F1" s="1865"/>
      <c r="G1" s="1865"/>
      <c r="H1" s="1865"/>
    </row>
    <row r="2" spans="1:9" ht="30" customHeight="1" thickBot="1" x14ac:dyDescent="0.25">
      <c r="A2" s="450" t="s">
        <v>290</v>
      </c>
      <c r="B2" s="450" t="s">
        <v>2616</v>
      </c>
      <c r="C2" s="480" t="s">
        <v>2606</v>
      </c>
      <c r="D2" s="479" t="s">
        <v>117</v>
      </c>
      <c r="E2" s="471" t="s">
        <v>5438</v>
      </c>
      <c r="F2" s="481" t="s">
        <v>5439</v>
      </c>
      <c r="G2" s="482" t="s">
        <v>5825</v>
      </c>
      <c r="H2" s="473" t="s">
        <v>919</v>
      </c>
      <c r="I2" s="1"/>
    </row>
    <row r="3" spans="1:9" ht="21" customHeight="1" thickBot="1" x14ac:dyDescent="0.25">
      <c r="A3" s="1868" t="str">
        <f>OF!A165</f>
        <v>OF33</v>
      </c>
      <c r="B3" s="1701" t="str">
        <f>OF!B165</f>
        <v>Aspect</v>
      </c>
      <c r="C3" s="231" t="str">
        <f>OF!C165</f>
        <v>The overland flow direction of most surface water (in streams or runoff) that enters the AA is:</v>
      </c>
      <c r="D3" s="570"/>
      <c r="E3" s="570"/>
      <c r="F3" s="571"/>
      <c r="G3" s="600">
        <f>MAX(F4:F6)/MAX(E4:E6)</f>
        <v>0</v>
      </c>
      <c r="H3" s="1709" t="s">
        <v>5789</v>
      </c>
      <c r="I3" s="3" t="s">
        <v>673</v>
      </c>
    </row>
    <row r="4" spans="1:9" ht="15" customHeight="1" x14ac:dyDescent="0.2">
      <c r="A4" s="1869"/>
      <c r="B4" s="1702"/>
      <c r="C4" s="21" t="str">
        <f>OF!C166</f>
        <v>Northward (N, NE).  north-facing CA.</v>
      </c>
      <c r="D4" s="280">
        <f>OF!D166</f>
        <v>0</v>
      </c>
      <c r="E4" s="567">
        <v>2</v>
      </c>
      <c r="F4" s="567">
        <f>D4*E4</f>
        <v>0</v>
      </c>
      <c r="G4" s="568"/>
      <c r="H4" s="1710"/>
    </row>
    <row r="5" spans="1:9" ht="15" customHeight="1" x14ac:dyDescent="0.2">
      <c r="A5" s="1869"/>
      <c r="B5" s="1702"/>
      <c r="C5" s="6" t="str">
        <f>OF!C167</f>
        <v>Southward (S, SW).  south-facing CA.</v>
      </c>
      <c r="D5" s="46">
        <f>OF!D167</f>
        <v>0</v>
      </c>
      <c r="E5" s="567">
        <v>0</v>
      </c>
      <c r="F5" s="567">
        <f>D5*E5</f>
        <v>0</v>
      </c>
      <c r="G5" s="559"/>
      <c r="H5" s="1710"/>
    </row>
    <row r="6" spans="1:9" ht="15" customHeight="1" thickBot="1" x14ac:dyDescent="0.25">
      <c r="A6" s="1870"/>
      <c r="B6" s="1712"/>
      <c r="C6" s="214" t="str">
        <f>OF!C168</f>
        <v>other (E, SE, W, NW), or no detectable uphill slope or input channel (flat)</v>
      </c>
      <c r="D6" s="213">
        <f>OF!D168</f>
        <v>0</v>
      </c>
      <c r="E6" s="573">
        <v>1</v>
      </c>
      <c r="F6" s="573">
        <f>D6*E6</f>
        <v>0</v>
      </c>
      <c r="G6" s="574"/>
      <c r="H6" s="1711"/>
    </row>
    <row r="7" spans="1:9" ht="21" customHeight="1" thickBot="1" x14ac:dyDescent="0.25">
      <c r="A7" s="42" t="str">
        <f>F!A4</f>
        <v>F1</v>
      </c>
      <c r="B7" s="1688" t="str">
        <f>F!B4</f>
        <v>Wetland Type</v>
      </c>
      <c r="C7" s="381" t="str">
        <f>F!C4</f>
        <v>Most of the vegetated part of the AA (wetland Assessment Area) is a (select ONE):</v>
      </c>
      <c r="D7" s="570"/>
      <c r="E7" s="555"/>
      <c r="F7" s="565"/>
      <c r="G7" s="601">
        <f>IF((D13=1),"",MAX(F8:F12)/MAX(E8:E12))</f>
        <v>0</v>
      </c>
      <c r="H7" s="1710" t="s">
        <v>2608</v>
      </c>
      <c r="I7" s="3" t="s">
        <v>818</v>
      </c>
    </row>
    <row r="8" spans="1:9" ht="15" customHeight="1" x14ac:dyDescent="0.2">
      <c r="A8" s="147" t="str">
        <f>F!A5</f>
        <v>F1.1</v>
      </c>
      <c r="B8" s="1688"/>
      <c r="C8" s="383" t="str">
        <f>F!C5</f>
        <v>Forested Peatland</v>
      </c>
      <c r="D8" s="380">
        <f>F!D5</f>
        <v>0</v>
      </c>
      <c r="E8" s="557">
        <v>2</v>
      </c>
      <c r="F8" s="567">
        <f>D8*E8</f>
        <v>0</v>
      </c>
      <c r="G8" s="568"/>
      <c r="H8" s="1710"/>
    </row>
    <row r="9" spans="1:9" ht="15" customHeight="1" x14ac:dyDescent="0.2">
      <c r="A9" s="147" t="str">
        <f>F!A6</f>
        <v>F1.2</v>
      </c>
      <c r="B9" s="1688"/>
      <c r="C9" s="379" t="str">
        <f>F!C6</f>
        <v>Open Peatland</v>
      </c>
      <c r="D9" s="20">
        <f>F!D6</f>
        <v>0</v>
      </c>
      <c r="E9" s="557">
        <v>3</v>
      </c>
      <c r="F9" s="567">
        <f>D9*E9</f>
        <v>0</v>
      </c>
      <c r="G9" s="559"/>
      <c r="H9" s="1710"/>
    </row>
    <row r="10" spans="1:9" ht="15" customHeight="1" x14ac:dyDescent="0.2">
      <c r="A10" s="147" t="str">
        <f>F!A7</f>
        <v>F1.3</v>
      </c>
      <c r="B10" s="1688"/>
      <c r="C10" s="485" t="str">
        <f>F!C7</f>
        <v>Fen/ Marsh</v>
      </c>
      <c r="D10" s="271">
        <f>F!D7</f>
        <v>0</v>
      </c>
      <c r="E10" s="557">
        <v>4</v>
      </c>
      <c r="F10" s="567">
        <f>D10*E10</f>
        <v>0</v>
      </c>
      <c r="G10" s="559"/>
      <c r="H10" s="1710"/>
    </row>
    <row r="11" spans="1:9" ht="15" customHeight="1" x14ac:dyDescent="0.2">
      <c r="A11" s="147" t="str">
        <f>F!A8</f>
        <v>F1.4</v>
      </c>
      <c r="B11" s="1688"/>
      <c r="C11" s="485" t="str">
        <f>F!C8</f>
        <v>Floodplain Wetland</v>
      </c>
      <c r="D11" s="271">
        <f>F!D8</f>
        <v>0</v>
      </c>
      <c r="E11" s="557">
        <v>1</v>
      </c>
      <c r="F11" s="567">
        <f>D11*E11</f>
        <v>0</v>
      </c>
      <c r="G11" s="562"/>
      <c r="H11" s="1710"/>
    </row>
    <row r="12" spans="1:9" ht="15" customHeight="1" x14ac:dyDescent="0.2">
      <c r="A12" s="147" t="str">
        <f>F!A9</f>
        <v>F1.5</v>
      </c>
      <c r="B12" s="1688"/>
      <c r="C12" s="485" t="str">
        <f>F!C9</f>
        <v>Uplift Meadow</v>
      </c>
      <c r="D12" s="271">
        <f>F!D9</f>
        <v>0</v>
      </c>
      <c r="E12" s="557">
        <v>0</v>
      </c>
      <c r="F12" s="567">
        <f>D12*E12</f>
        <v>0</v>
      </c>
      <c r="G12" s="562"/>
      <c r="H12" s="1710"/>
    </row>
    <row r="13" spans="1:9" ht="15" customHeight="1" thickBot="1" x14ac:dyDescent="0.25">
      <c r="A13" s="147" t="str">
        <f>F!A10</f>
        <v>F1.6</v>
      </c>
      <c r="B13" s="1688"/>
      <c r="C13" s="485" t="str">
        <f>F!C10</f>
        <v>Tidal Marsh or Tidal Swamp.  Do not continue.  Use other spreadsheet.</v>
      </c>
      <c r="D13" s="361">
        <f>F!D10</f>
        <v>0</v>
      </c>
      <c r="E13" s="569">
        <v>0</v>
      </c>
      <c r="F13" s="569"/>
      <c r="G13" s="562"/>
      <c r="H13" s="1710"/>
    </row>
    <row r="14" spans="1:9" ht="30" customHeight="1" thickBot="1" x14ac:dyDescent="0.25">
      <c r="A14" s="1868" t="str">
        <f>F!A44</f>
        <v>F9</v>
      </c>
      <c r="B14" s="1687" t="str">
        <f>F!B44</f>
        <v>Predominant Depth Class</v>
      </c>
      <c r="C14" s="111" t="str">
        <f>F!C44</f>
        <v>During most of the growing season, surface water depth in most of the area where it is present is: [Note: This is not asking for the maximum depth.]</v>
      </c>
      <c r="D14" s="570"/>
      <c r="E14" s="602"/>
      <c r="F14" s="571"/>
      <c r="G14" s="600">
        <f>IF((AllSat+AllSat1&gt;0),"",MAX(F15:F19)/MAX(E15:E19))</f>
        <v>0</v>
      </c>
      <c r="H14" s="1709" t="s">
        <v>5266</v>
      </c>
      <c r="I14" s="3" t="s">
        <v>668</v>
      </c>
    </row>
    <row r="15" spans="1:9" ht="15" customHeight="1" x14ac:dyDescent="0.2">
      <c r="A15" s="1869"/>
      <c r="B15" s="1688"/>
      <c r="C15" s="383" t="str">
        <f>F!C45</f>
        <v>&lt;0.5 ft deep (but &gt;0)</v>
      </c>
      <c r="D15" s="380">
        <f>F!D45</f>
        <v>0</v>
      </c>
      <c r="E15" s="557">
        <v>0</v>
      </c>
      <c r="F15" s="567">
        <f>D15*E15</f>
        <v>0</v>
      </c>
      <c r="G15" s="568"/>
      <c r="H15" s="1710"/>
    </row>
    <row r="16" spans="1:9" ht="15" customHeight="1" x14ac:dyDescent="0.2">
      <c r="A16" s="1869"/>
      <c r="B16" s="1688"/>
      <c r="C16" s="379" t="str">
        <f>F!C46</f>
        <v>0.5 - 1 ft deep</v>
      </c>
      <c r="D16" s="20">
        <f>F!D46</f>
        <v>0</v>
      </c>
      <c r="E16" s="557">
        <v>1</v>
      </c>
      <c r="F16" s="567">
        <f>D16*E16</f>
        <v>0</v>
      </c>
      <c r="G16" s="559"/>
      <c r="H16" s="1710"/>
    </row>
    <row r="17" spans="1:9" ht="15" customHeight="1" x14ac:dyDescent="0.2">
      <c r="A17" s="1869"/>
      <c r="B17" s="1688"/>
      <c r="C17" s="379" t="str">
        <f>F!C47</f>
        <v>1-2 ft deep</v>
      </c>
      <c r="D17" s="20">
        <f>F!D47</f>
        <v>0</v>
      </c>
      <c r="E17" s="557">
        <v>2</v>
      </c>
      <c r="F17" s="567">
        <f>D17*E17</f>
        <v>0</v>
      </c>
      <c r="G17" s="559"/>
      <c r="H17" s="1710"/>
    </row>
    <row r="18" spans="1:9" ht="15" customHeight="1" x14ac:dyDescent="0.2">
      <c r="A18" s="1869"/>
      <c r="B18" s="1688"/>
      <c r="C18" s="379" t="str">
        <f>F!C48</f>
        <v>2-6 ft deep</v>
      </c>
      <c r="D18" s="20">
        <f>F!D48</f>
        <v>0</v>
      </c>
      <c r="E18" s="557">
        <v>3</v>
      </c>
      <c r="F18" s="567">
        <f>D18*E18</f>
        <v>0</v>
      </c>
      <c r="G18" s="559"/>
      <c r="H18" s="1710"/>
    </row>
    <row r="19" spans="1:9" ht="15" customHeight="1" thickBot="1" x14ac:dyDescent="0.25">
      <c r="A19" s="1870"/>
      <c r="B19" s="1689"/>
      <c r="C19" s="486" t="str">
        <f>F!C49</f>
        <v>&gt;6 ft deep.  True for many fringe wetlands.</v>
      </c>
      <c r="D19" s="213">
        <f>F!D49</f>
        <v>0</v>
      </c>
      <c r="E19" s="603">
        <v>4</v>
      </c>
      <c r="F19" s="573">
        <f>D19*E19</f>
        <v>0</v>
      </c>
      <c r="G19" s="574"/>
      <c r="H19" s="1711"/>
    </row>
    <row r="20" spans="1:9" ht="45" customHeight="1" thickBot="1" x14ac:dyDescent="0.25">
      <c r="A20" s="541" t="str">
        <f>F!A91</f>
        <v>F19</v>
      </c>
      <c r="B20" s="49" t="str">
        <f>F!B91</f>
        <v>Ice Cover</v>
      </c>
      <c r="C20" s="222" t="str">
        <f>F!C91</f>
        <v>Ice (not just snow) covers nearly all of the AA's water surface for more than 4 continuous weeks during most years, potentially altering the air-water exchange.  If true, enter "1" in next column.  If untrue, enter "0".</v>
      </c>
      <c r="D20" s="258">
        <f>F!D91</f>
        <v>0</v>
      </c>
      <c r="E20" s="1353"/>
      <c r="F20" s="579"/>
      <c r="G20" s="600">
        <f>IF((AllSat+AllSat1&gt;0),"",D20)</f>
        <v>0</v>
      </c>
      <c r="H20" s="5" t="s">
        <v>5267</v>
      </c>
      <c r="I20" s="3" t="s">
        <v>805</v>
      </c>
    </row>
    <row r="21" spans="1:9" ht="30" customHeight="1" thickBot="1" x14ac:dyDescent="0.25">
      <c r="A21" s="1869" t="str">
        <f>F!A120</f>
        <v>F28</v>
      </c>
      <c r="B21" s="1688" t="str">
        <f>F!B120</f>
        <v>Outflow Duration</v>
      </c>
      <c r="C21" s="385" t="str">
        <f>F!C120</f>
        <v>The most persistent surface water connection (outlet channel or pipe, ditch, or overbank water exchange) between the AA and the closest off-site downslope water body is:</v>
      </c>
      <c r="D21" s="555"/>
      <c r="E21" s="554"/>
      <c r="F21" s="565"/>
      <c r="G21" s="604">
        <f>MAX(F22:F26)/MAX(E22:E26)</f>
        <v>0</v>
      </c>
      <c r="H21" s="1710" t="s">
        <v>1091</v>
      </c>
      <c r="I21" s="3" t="s">
        <v>671</v>
      </c>
    </row>
    <row r="22" spans="1:9" ht="27" customHeight="1" x14ac:dyDescent="0.2">
      <c r="A22" s="1869"/>
      <c r="B22" s="1688"/>
      <c r="C22" s="21" t="str">
        <f>F!C121</f>
        <v>persistent (&gt;9 months/year); almost always shown on stream maps, or determine from your dry-season observation.</v>
      </c>
      <c r="D22" s="280">
        <f>F!D121</f>
        <v>0</v>
      </c>
      <c r="E22" s="567">
        <v>6</v>
      </c>
      <c r="F22" s="567">
        <f>D22*E22</f>
        <v>0</v>
      </c>
      <c r="G22" s="568"/>
      <c r="H22" s="1710"/>
    </row>
    <row r="23" spans="1:9" ht="15" customHeight="1" x14ac:dyDescent="0.2">
      <c r="A23" s="1869"/>
      <c r="B23" s="1688"/>
      <c r="C23" s="6" t="str">
        <f>F!C122</f>
        <v>seasonal (14 days to 9 months/year, not necessarily consecutive); sometimes shown on stream maps.</v>
      </c>
      <c r="D23" s="46">
        <f>F!D122</f>
        <v>0</v>
      </c>
      <c r="E23" s="567">
        <v>3</v>
      </c>
      <c r="F23" s="567">
        <f>D23*E23</f>
        <v>0</v>
      </c>
      <c r="G23" s="559"/>
      <c r="H23" s="1710"/>
    </row>
    <row r="24" spans="1:9" ht="15" customHeight="1" x14ac:dyDescent="0.2">
      <c r="A24" s="1869"/>
      <c r="B24" s="1688"/>
      <c r="C24" s="6" t="str">
        <f>F!C123</f>
        <v>temporary (&lt;14 days, not necessarily consecutive); seldom shown on stream maps.</v>
      </c>
      <c r="D24" s="46">
        <f>F!D123</f>
        <v>0</v>
      </c>
      <c r="E24" s="567">
        <v>2</v>
      </c>
      <c r="F24" s="567">
        <f>D24*E24</f>
        <v>0</v>
      </c>
      <c r="G24" s="559"/>
      <c r="H24" s="1710"/>
    </row>
    <row r="25" spans="1:9" ht="27" customHeight="1" x14ac:dyDescent="0.2">
      <c r="A25" s="1869"/>
      <c r="B25" s="1688"/>
      <c r="C25" s="6" t="str">
        <f>F!C124</f>
        <v xml:space="preserve">none -- but maps show a stream or other water body that is downslope from the AA and within a distance that is less than the AA's path length (see definition, OF35).  If so, mark "1" here and SKIP TO F30. </v>
      </c>
      <c r="D25" s="46">
        <f>F!D124</f>
        <v>0</v>
      </c>
      <c r="E25" s="567">
        <v>1</v>
      </c>
      <c r="F25" s="567">
        <f>D25*E25</f>
        <v>0</v>
      </c>
      <c r="G25" s="562"/>
      <c r="H25" s="1710"/>
    </row>
    <row r="26" spans="1:9" ht="42" customHeight="1" thickBot="1" x14ac:dyDescent="0.25">
      <c r="A26" s="1870"/>
      <c r="B26" s="1689"/>
      <c r="C26" s="214" t="str">
        <f>F!C125</f>
        <v xml:space="preserve">no surface water flows out of the wetland except possibly during extreme events (less than once per 10 years). Or, water flows only into a wetland, ditch, or lake that lacks an outlet.  If so, mark "1" here and SKIP TO F30. </v>
      </c>
      <c r="D26" s="213">
        <f>F!D125</f>
        <v>0</v>
      </c>
      <c r="E26" s="573">
        <v>0</v>
      </c>
      <c r="F26" s="573">
        <f>D26*E26</f>
        <v>0</v>
      </c>
      <c r="G26" s="574"/>
      <c r="H26" s="1711"/>
    </row>
    <row r="27" spans="1:9" ht="21" customHeight="1" thickBot="1" x14ac:dyDescent="0.25">
      <c r="A27" s="1845" t="str">
        <f>F!A130</f>
        <v>F30</v>
      </c>
      <c r="B27" s="1688" t="str">
        <f>F!B130</f>
        <v>Groundwater: Strength of Evidence</v>
      </c>
      <c r="C27" s="381" t="str">
        <f>F!C130</f>
        <v>Select first applicable choice.  In the AA:</v>
      </c>
      <c r="D27" s="570"/>
      <c r="E27" s="555"/>
      <c r="F27" s="565"/>
      <c r="G27" s="604">
        <f>MAX(F28:F30)/MAX(E28:E30)</f>
        <v>0</v>
      </c>
      <c r="H27" s="1710" t="s">
        <v>1090</v>
      </c>
      <c r="I27" s="3" t="s">
        <v>670</v>
      </c>
    </row>
    <row r="28" spans="1:9" ht="69" customHeight="1" x14ac:dyDescent="0.2">
      <c r="A28" s="1845"/>
      <c r="B28" s="1688"/>
      <c r="C28" s="384"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28" s="280">
        <f>F!D131</f>
        <v>0</v>
      </c>
      <c r="E28" s="567">
        <v>3</v>
      </c>
      <c r="F28" s="567">
        <f>D28*E28</f>
        <v>0</v>
      </c>
      <c r="G28" s="568"/>
      <c r="H28" s="1710"/>
    </row>
    <row r="29" spans="1:9" ht="84" customHeight="1" x14ac:dyDescent="0.2">
      <c r="A29" s="1845"/>
      <c r="B29" s="1688"/>
      <c r="C29" s="487"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29" s="46">
        <f>F!D132</f>
        <v>0</v>
      </c>
      <c r="E29" s="567">
        <v>2</v>
      </c>
      <c r="F29" s="567">
        <f>D29*E29</f>
        <v>0</v>
      </c>
      <c r="G29" s="559"/>
      <c r="H29" s="1710"/>
    </row>
    <row r="30" spans="1:9" ht="27" customHeight="1" thickBot="1" x14ac:dyDescent="0.25">
      <c r="A30" s="1845"/>
      <c r="B30" s="1688"/>
      <c r="C30" s="379" t="str">
        <f>F!C133</f>
        <v>Neither of above is true, although some groundwater may discharge to or flow through the AA, or groundwater influx is unknown.</v>
      </c>
      <c r="D30" s="20">
        <f>F!D133</f>
        <v>0</v>
      </c>
      <c r="E30" s="569">
        <v>0</v>
      </c>
      <c r="F30" s="569">
        <f>D30*E30</f>
        <v>0</v>
      </c>
      <c r="G30" s="562"/>
      <c r="H30" s="1710"/>
    </row>
    <row r="31" spans="1:9" ht="57" customHeight="1" thickBot="1" x14ac:dyDescent="0.25">
      <c r="A31" s="1868" t="str">
        <f>F!A214</f>
        <v>F46</v>
      </c>
      <c r="B31" s="1687" t="str">
        <f>F!B214</f>
        <v>Soil Texture</v>
      </c>
      <c r="C31" s="111"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31" s="570"/>
      <c r="E31" s="570"/>
      <c r="F31" s="571"/>
      <c r="G31" s="600">
        <f>MAX(F32:F37)/MAX(E32:E37)</f>
        <v>0</v>
      </c>
      <c r="H31" s="1709" t="s">
        <v>5268</v>
      </c>
      <c r="I31" s="3" t="s">
        <v>669</v>
      </c>
    </row>
    <row r="32" spans="1:9" ht="15" customHeight="1" x14ac:dyDescent="0.2">
      <c r="A32" s="1869"/>
      <c r="B32" s="1688"/>
      <c r="C32" s="384" t="str">
        <f>F!C215</f>
        <v>Loamy: includes loam, sandy loam</v>
      </c>
      <c r="D32" s="280">
        <f>F!D215</f>
        <v>0</v>
      </c>
      <c r="E32" s="567">
        <v>1</v>
      </c>
      <c r="F32" s="567">
        <f t="shared" ref="F32:F37" si="0">D32*E32</f>
        <v>0</v>
      </c>
      <c r="G32" s="568"/>
      <c r="H32" s="1710"/>
    </row>
    <row r="33" spans="1:9" ht="15" customHeight="1" x14ac:dyDescent="0.2">
      <c r="A33" s="1869"/>
      <c r="B33" s="1688"/>
      <c r="C33" s="487" t="str">
        <f>F!C216</f>
        <v>Fines: includes silt, glacial flour, clay, clay loam, silty clay, silty clay loam, sandy clay, sandy clay loam.</v>
      </c>
      <c r="D33" s="46">
        <f>F!D216</f>
        <v>0</v>
      </c>
      <c r="E33" s="567">
        <v>0</v>
      </c>
      <c r="F33" s="567">
        <f t="shared" si="0"/>
        <v>0</v>
      </c>
      <c r="G33" s="559"/>
      <c r="H33" s="1710"/>
    </row>
    <row r="34" spans="1:9" ht="15" customHeight="1" x14ac:dyDescent="0.2">
      <c r="A34" s="1869"/>
      <c r="B34" s="1688"/>
      <c r="C34" s="487" t="str">
        <f>F!C217</f>
        <v>Organic, from surface to within 4 inches of surface only.  Exclude live roots unless from moss.</v>
      </c>
      <c r="D34" s="46">
        <f>F!D217</f>
        <v>0</v>
      </c>
      <c r="E34" s="567">
        <v>3</v>
      </c>
      <c r="F34" s="567">
        <f t="shared" si="0"/>
        <v>0</v>
      </c>
      <c r="G34" s="559"/>
      <c r="H34" s="1710"/>
    </row>
    <row r="35" spans="1:9" ht="15" customHeight="1" x14ac:dyDescent="0.2">
      <c r="A35" s="1869"/>
      <c r="B35" s="1688"/>
      <c r="C35" s="487" t="str">
        <f>F!C218</f>
        <v>Organic, from surface to within 16 inches of surface only. Exclude live roots unless from moss.</v>
      </c>
      <c r="D35" s="46">
        <f>F!D218</f>
        <v>0</v>
      </c>
      <c r="E35" s="567">
        <v>4</v>
      </c>
      <c r="F35" s="567">
        <f t="shared" si="0"/>
        <v>0</v>
      </c>
      <c r="G35" s="559"/>
      <c r="H35" s="1710"/>
    </row>
    <row r="36" spans="1:9" ht="15" customHeight="1" x14ac:dyDescent="0.2">
      <c r="A36" s="1869"/>
      <c r="B36" s="1688"/>
      <c r="C36" s="487" t="str">
        <f>F!C219</f>
        <v>Organic, from surface to greater than 16 inch depth. Exclude live roots unless from moss.</v>
      </c>
      <c r="D36" s="46">
        <f>F!D219</f>
        <v>0</v>
      </c>
      <c r="E36" s="567">
        <v>5</v>
      </c>
      <c r="F36" s="567">
        <f t="shared" si="0"/>
        <v>0</v>
      </c>
      <c r="G36" s="559"/>
      <c r="H36" s="1710"/>
    </row>
    <row r="37" spans="1:9" ht="15" customHeight="1" thickBot="1" x14ac:dyDescent="0.25">
      <c r="A37" s="1870"/>
      <c r="B37" s="1689"/>
      <c r="C37" s="486" t="str">
        <f>F!C220</f>
        <v>Coarse: includes sand, loamy sand, gravel, cobble, stones, boulders, fluvents, fluvaquents, riverwash.</v>
      </c>
      <c r="D37" s="213">
        <f>F!D220</f>
        <v>0</v>
      </c>
      <c r="E37" s="573">
        <v>1</v>
      </c>
      <c r="F37" s="573">
        <f t="shared" si="0"/>
        <v>0</v>
      </c>
      <c r="G37" s="574"/>
      <c r="H37" s="1711"/>
    </row>
    <row r="38" spans="1:9" s="39" customFormat="1" ht="30" customHeight="1" thickBot="1" x14ac:dyDescent="0.25">
      <c r="A38" s="483" t="s">
        <v>290</v>
      </c>
      <c r="B38" s="488" t="s">
        <v>2615</v>
      </c>
      <c r="C38" s="474" t="s">
        <v>2606</v>
      </c>
      <c r="D38" s="475" t="s">
        <v>117</v>
      </c>
      <c r="E38" s="476" t="s">
        <v>5438</v>
      </c>
      <c r="F38" s="477" t="s">
        <v>5439</v>
      </c>
      <c r="G38" s="489" t="s">
        <v>5825</v>
      </c>
      <c r="H38" s="478" t="s">
        <v>919</v>
      </c>
    </row>
    <row r="39" spans="1:9" ht="21" customHeight="1" thickBot="1" x14ac:dyDescent="0.25">
      <c r="A39" s="1871" t="str">
        <f>OF!A93</f>
        <v>OF16</v>
      </c>
      <c r="B39" s="1703" t="str">
        <f>OF!B93</f>
        <v>Glacier Fed</v>
      </c>
      <c r="C39" s="231" t="str">
        <f>OF!C93</f>
        <v>Refer to the Glaciers map in the online WESPAK-SE Wetlands Module.  Select the first applicable choice:</v>
      </c>
      <c r="D39" s="570"/>
      <c r="E39" s="567"/>
      <c r="F39" s="605"/>
      <c r="G39" s="580">
        <f>IF((D40=1),"",MAX(F40:F42)/MAX(E40:E42))</f>
        <v>0</v>
      </c>
      <c r="H39" s="1709" t="s">
        <v>5308</v>
      </c>
      <c r="I39" s="3" t="s">
        <v>686</v>
      </c>
    </row>
    <row r="40" spans="1:9" ht="15" customHeight="1" x14ac:dyDescent="0.2">
      <c r="A40" s="1872"/>
      <c r="B40" s="1688"/>
      <c r="C40" s="21" t="str">
        <f>OF!C94</f>
        <v>No upstream glacier feeds surface water to the AA, not even seasonally.</v>
      </c>
      <c r="D40" s="280">
        <f>OF!D94</f>
        <v>0</v>
      </c>
      <c r="E40" s="567">
        <v>2</v>
      </c>
      <c r="F40" s="567">
        <f>D40*E40</f>
        <v>0</v>
      </c>
      <c r="G40" s="568"/>
      <c r="H40" s="1710"/>
    </row>
    <row r="41" spans="1:9" ht="42" customHeight="1" x14ac:dyDescent="0.2">
      <c r="A41" s="1872"/>
      <c r="B41" s="1688"/>
      <c r="C41" s="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41" s="46">
        <f>OF!D95</f>
        <v>0</v>
      </c>
      <c r="E41" s="567">
        <v>0</v>
      </c>
      <c r="F41" s="567">
        <f>D41*E41</f>
        <v>0</v>
      </c>
      <c r="G41" s="559"/>
      <c r="H41" s="1710"/>
    </row>
    <row r="42" spans="1:9" ht="27" customHeight="1" thickBot="1" x14ac:dyDescent="0.25">
      <c r="A42" s="1872"/>
      <c r="B42" s="1688"/>
      <c r="C42" s="470" t="str">
        <f>OF!C96</f>
        <v>A glacier feeds streamflow or other surface water to the AA, but there is little or no resultant reduction in water clarity.</v>
      </c>
      <c r="D42" s="20">
        <f>OF!D96</f>
        <v>0</v>
      </c>
      <c r="E42" s="569">
        <v>1</v>
      </c>
      <c r="F42" s="569">
        <f>D42*E42</f>
        <v>0</v>
      </c>
      <c r="G42" s="562"/>
      <c r="H42" s="1710"/>
    </row>
    <row r="43" spans="1:9" ht="30" customHeight="1" thickBot="1" x14ac:dyDescent="0.25">
      <c r="A43" s="1868" t="str">
        <f>OF!A105</f>
        <v>OF20</v>
      </c>
      <c r="B43" s="1687" t="str">
        <f>OF!B105</f>
        <v>Precipitation, Mean Annual</v>
      </c>
      <c r="C43" s="231" t="str">
        <f>OF!C105</f>
        <v>Refer to the Precipitation layer in the online WESPAK-SE Wetlands Module. The mean annual precipitation in the vicinity of the AA was modeled as (rounded to the nearest whole number):</v>
      </c>
      <c r="D43" s="570"/>
      <c r="E43" s="570"/>
      <c r="F43" s="571"/>
      <c r="G43" s="580">
        <f>IF((D50=1),"",MAX(F44:F49)/MAX(E44:E49))</f>
        <v>0</v>
      </c>
      <c r="H43" s="1709" t="s">
        <v>1891</v>
      </c>
      <c r="I43" s="3" t="s">
        <v>672</v>
      </c>
    </row>
    <row r="44" spans="1:9" ht="15" customHeight="1" x14ac:dyDescent="0.2">
      <c r="A44" s="1869"/>
      <c r="B44" s="1688"/>
      <c r="C44" s="21" t="str">
        <f>OF!C106</f>
        <v>&lt;67 inches</v>
      </c>
      <c r="D44" s="280">
        <f>OF!D106</f>
        <v>0</v>
      </c>
      <c r="E44" s="567">
        <v>6</v>
      </c>
      <c r="F44" s="567">
        <f t="shared" ref="F44:F49" si="1">D44*E44</f>
        <v>0</v>
      </c>
      <c r="G44" s="568"/>
      <c r="H44" s="1710"/>
    </row>
    <row r="45" spans="1:9" ht="15" customHeight="1" x14ac:dyDescent="0.2">
      <c r="A45" s="1869"/>
      <c r="B45" s="1688"/>
      <c r="C45" s="6" t="str">
        <f>OF!C107</f>
        <v>67-87 inches</v>
      </c>
      <c r="D45" s="46">
        <f>OF!D107</f>
        <v>0</v>
      </c>
      <c r="E45" s="567">
        <v>5</v>
      </c>
      <c r="F45" s="567">
        <f t="shared" si="1"/>
        <v>0</v>
      </c>
      <c r="G45" s="559"/>
      <c r="H45" s="1710"/>
    </row>
    <row r="46" spans="1:9" ht="15" customHeight="1" x14ac:dyDescent="0.2">
      <c r="A46" s="1869"/>
      <c r="B46" s="1688"/>
      <c r="C46" s="6" t="str">
        <f>OF!C108</f>
        <v>88-112 inches</v>
      </c>
      <c r="D46" s="46">
        <f>OF!D108</f>
        <v>0</v>
      </c>
      <c r="E46" s="567">
        <v>4</v>
      </c>
      <c r="F46" s="567">
        <f t="shared" si="1"/>
        <v>0</v>
      </c>
      <c r="G46" s="559"/>
      <c r="H46" s="1710"/>
    </row>
    <row r="47" spans="1:9" ht="15" customHeight="1" x14ac:dyDescent="0.2">
      <c r="A47" s="1869"/>
      <c r="B47" s="1688"/>
      <c r="C47" s="6" t="str">
        <f>OF!C109</f>
        <v>113-139 inches</v>
      </c>
      <c r="D47" s="46">
        <f>OF!D109</f>
        <v>0</v>
      </c>
      <c r="E47" s="567">
        <v>3</v>
      </c>
      <c r="F47" s="567">
        <f t="shared" si="1"/>
        <v>0</v>
      </c>
      <c r="G47" s="559"/>
      <c r="H47" s="1710"/>
    </row>
    <row r="48" spans="1:9" ht="15" customHeight="1" x14ac:dyDescent="0.2">
      <c r="A48" s="1869"/>
      <c r="B48" s="1688"/>
      <c r="C48" s="6" t="str">
        <f>OF!C110</f>
        <v>140-165 inches</v>
      </c>
      <c r="D48" s="46">
        <f>OF!D110</f>
        <v>0</v>
      </c>
      <c r="E48" s="567">
        <v>2</v>
      </c>
      <c r="F48" s="567">
        <f t="shared" si="1"/>
        <v>0</v>
      </c>
      <c r="G48" s="559"/>
      <c r="H48" s="1710"/>
    </row>
    <row r="49" spans="1:9" ht="15" customHeight="1" x14ac:dyDescent="0.2">
      <c r="A49" s="1869"/>
      <c r="B49" s="1688"/>
      <c r="C49" s="6" t="str">
        <f>OF!C111</f>
        <v>&gt;165 inches</v>
      </c>
      <c r="D49" s="46">
        <f>OF!D111</f>
        <v>0</v>
      </c>
      <c r="E49" s="567">
        <v>1</v>
      </c>
      <c r="F49" s="567">
        <f t="shared" si="1"/>
        <v>0</v>
      </c>
      <c r="G49" s="559"/>
      <c r="H49" s="1710"/>
    </row>
    <row r="50" spans="1:9" ht="15.6" customHeight="1" thickBot="1" x14ac:dyDescent="0.25">
      <c r="A50" s="1870"/>
      <c r="B50" s="1689"/>
      <c r="C50" s="214" t="str">
        <f>OF!C112</f>
        <v>no information available</v>
      </c>
      <c r="D50" s="213">
        <f>OF!D112</f>
        <v>0</v>
      </c>
      <c r="E50" s="573"/>
      <c r="F50" s="573"/>
      <c r="G50" s="574"/>
      <c r="H50" s="1711"/>
    </row>
    <row r="51" spans="1:9" ht="79.5" customHeight="1" thickBot="1" x14ac:dyDescent="0.25">
      <c r="A51" s="1845" t="str">
        <f>OF!A$147</f>
        <v>OF28</v>
      </c>
      <c r="B51" s="1873" t="str">
        <f>OF!B147</f>
        <v>Elevation in Multi-scale Watersheds</v>
      </c>
      <c r="C51" s="38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51" s="570"/>
      <c r="E51" s="555"/>
      <c r="F51" s="565"/>
      <c r="G51" s="606" t="str">
        <f>IF((D52=0),"", (3*D52 + 2*D53 + D54)/18)</f>
        <v/>
      </c>
      <c r="H51" s="1710" t="s">
        <v>5275</v>
      </c>
      <c r="I51" s="3" t="s">
        <v>1181</v>
      </c>
    </row>
    <row r="52" spans="1:9" ht="27" customHeight="1" x14ac:dyDescent="0.2">
      <c r="A52" s="1845"/>
      <c r="B52" s="1702"/>
      <c r="C52" s="21" t="str">
        <f>OF!C148</f>
        <v>In its HUC8 (the watershed with a 12-digit code), the AA's elevation puts it in (enter one of the following): 3= upper one-third, 2= middle one-third, 1= lower one-third, 0= no data.</v>
      </c>
      <c r="D52" s="280">
        <f>OF!D148</f>
        <v>0</v>
      </c>
      <c r="E52" s="567"/>
      <c r="F52" s="567"/>
      <c r="G52" s="568"/>
      <c r="H52" s="1710"/>
    </row>
    <row r="53" spans="1:9" ht="42" customHeight="1" x14ac:dyDescent="0.2">
      <c r="A53" s="1845"/>
      <c r="B53" s="1702"/>
      <c r="C53" s="6" t="str">
        <f>OF!C149</f>
        <v>In its HUC7 (the 10-digit* watershed), the AA's elevation puts it in (enter one of the following): 3= upper one-third, 2= middle one-third, 1= lower one-third, 0= no data.  [The 10-digit HUC is obtained by deleting the last 2 digits of the 12-digit HUC code]</v>
      </c>
      <c r="D53" s="46">
        <f>OF!D149</f>
        <v>0</v>
      </c>
      <c r="E53" s="567"/>
      <c r="F53" s="567"/>
      <c r="G53" s="559"/>
      <c r="H53" s="1710"/>
    </row>
    <row r="54" spans="1:9" ht="42" customHeight="1" thickBot="1" x14ac:dyDescent="0.25">
      <c r="A54" s="1845"/>
      <c r="B54" s="1703"/>
      <c r="C54" s="470" t="str">
        <f>OF!C150</f>
        <v>In its HUC6 (the 8-digit* watershed) the AA's elevation puts it in (enter one of the following): 3= upper one-third, 2= middle one-third, 1= lower one-third, 0= no data.  [The 8-digit HUC is obtained by deleting the last 4 digits of the 12-digit HUC code]</v>
      </c>
      <c r="D54" s="20">
        <f>OF!D150</f>
        <v>0</v>
      </c>
      <c r="E54" s="569"/>
      <c r="F54" s="569"/>
      <c r="G54" s="562"/>
      <c r="H54" s="1710"/>
    </row>
    <row r="55" spans="1:9" ht="30" customHeight="1" thickBot="1" x14ac:dyDescent="0.25">
      <c r="A55" s="1877"/>
      <c r="B55" s="1886" t="s">
        <v>948</v>
      </c>
      <c r="C55" s="231" t="s">
        <v>949</v>
      </c>
      <c r="D55" s="281"/>
      <c r="E55" s="570"/>
      <c r="F55" s="571"/>
      <c r="G55" s="580">
        <f>INV!G189/10</f>
        <v>0</v>
      </c>
      <c r="H55" s="141" t="s">
        <v>951</v>
      </c>
      <c r="I55" s="3" t="s">
        <v>683</v>
      </c>
    </row>
    <row r="56" spans="1:9" ht="30" customHeight="1" thickBot="1" x14ac:dyDescent="0.25">
      <c r="A56" s="1878"/>
      <c r="B56" s="1887"/>
      <c r="C56" s="231" t="s">
        <v>278</v>
      </c>
      <c r="D56" s="281"/>
      <c r="E56" s="567"/>
      <c r="F56" s="605"/>
      <c r="G56" s="580">
        <f>FA!G168/10</f>
        <v>0</v>
      </c>
      <c r="H56" s="118" t="s">
        <v>951</v>
      </c>
      <c r="I56" s="3" t="s">
        <v>684</v>
      </c>
    </row>
    <row r="57" spans="1:9" ht="30" customHeight="1" thickBot="1" x14ac:dyDescent="0.25">
      <c r="A57" s="1879"/>
      <c r="B57" s="1888"/>
      <c r="C57" s="231" t="s">
        <v>280</v>
      </c>
      <c r="D57" s="281"/>
      <c r="E57" s="573"/>
      <c r="F57" s="569"/>
      <c r="G57" s="580">
        <f>FR!G160/10</f>
        <v>6.6666666666666666E-2</v>
      </c>
      <c r="H57" s="142" t="s">
        <v>951</v>
      </c>
      <c r="I57" s="3" t="s">
        <v>685</v>
      </c>
    </row>
    <row r="58" spans="1:9" ht="21" customHeight="1" thickBot="1" x14ac:dyDescent="0.25">
      <c r="A58" s="1889"/>
      <c r="B58" s="1889"/>
      <c r="C58" s="1889"/>
      <c r="D58" s="1889"/>
      <c r="E58" s="1889"/>
      <c r="F58" s="1889"/>
      <c r="G58" s="1889"/>
      <c r="H58" s="1889"/>
    </row>
    <row r="59" spans="1:9" ht="21" customHeight="1" x14ac:dyDescent="0.2">
      <c r="A59" s="1862"/>
      <c r="B59" s="1862"/>
      <c r="C59" s="1863"/>
      <c r="D59" s="1883" t="s">
        <v>329</v>
      </c>
      <c r="E59" s="1884"/>
      <c r="F59" s="1885"/>
      <c r="G59" s="539">
        <f>OutDur2_</f>
        <v>0</v>
      </c>
      <c r="H59" s="228" t="s">
        <v>665</v>
      </c>
    </row>
    <row r="60" spans="1:9" ht="21" customHeight="1" x14ac:dyDescent="0.2">
      <c r="A60" s="1862"/>
      <c r="B60" s="1862"/>
      <c r="C60" s="1863"/>
      <c r="D60" s="597" t="s">
        <v>425</v>
      </c>
      <c r="E60" s="598"/>
      <c r="F60" s="599"/>
      <c r="G60" s="540">
        <f>AVERAGE(IceDur2, Aspect2_,Depth2_,Soil2_)</f>
        <v>0</v>
      </c>
      <c r="H60" s="216" t="s">
        <v>2392</v>
      </c>
    </row>
    <row r="61" spans="1:9" ht="21" customHeight="1" thickBot="1" x14ac:dyDescent="0.25">
      <c r="A61" s="1862"/>
      <c r="B61" s="1862"/>
      <c r="C61" s="1863"/>
      <c r="D61" s="1880" t="s">
        <v>664</v>
      </c>
      <c r="E61" s="1881"/>
      <c r="F61" s="1882"/>
      <c r="G61" s="535">
        <f>AVERAGE(Wettype2,Groundw2_)</f>
        <v>0</v>
      </c>
      <c r="H61" s="229" t="s">
        <v>819</v>
      </c>
    </row>
    <row r="62" spans="1:9" ht="21" customHeight="1" thickBot="1" x14ac:dyDescent="0.25">
      <c r="A62" s="1862"/>
      <c r="B62" s="1862"/>
      <c r="C62" s="1862"/>
      <c r="D62" s="1862"/>
      <c r="E62" s="1862"/>
      <c r="F62" s="1862"/>
      <c r="G62" s="1862"/>
      <c r="H62" s="1862"/>
    </row>
    <row r="63" spans="1:9" ht="30" customHeight="1" thickBot="1" x14ac:dyDescent="0.25">
      <c r="A63" s="1826"/>
      <c r="B63" s="1830"/>
      <c r="C63" s="1874" t="s">
        <v>946</v>
      </c>
      <c r="D63" s="1875"/>
      <c r="E63" s="1876"/>
      <c r="F63" s="537" t="s">
        <v>141</v>
      </c>
      <c r="G63" s="505">
        <f>10*ConnectivLF*((ClimateLF + 2*GroundwDisch)/ 3)</f>
        <v>0</v>
      </c>
      <c r="H63" s="5" t="s">
        <v>5269</v>
      </c>
    </row>
    <row r="64" spans="1:9" ht="30" customHeight="1" thickBot="1" x14ac:dyDescent="0.25">
      <c r="A64" s="1826"/>
      <c r="B64" s="1830"/>
      <c r="C64" s="1874" t="s">
        <v>947</v>
      </c>
      <c r="D64" s="1875"/>
      <c r="E64" s="1876"/>
      <c r="F64" s="537" t="s">
        <v>142</v>
      </c>
      <c r="G64" s="538">
        <f>10*(AVERAGE(InvScore2_,AnadScore2_,ResFishScore2_,glacier2_,Elevatn2))</f>
        <v>0.16666666666666666</v>
      </c>
      <c r="H64" s="5" t="s">
        <v>954</v>
      </c>
    </row>
    <row r="65" spans="1:8" ht="21" customHeight="1" thickBot="1" x14ac:dyDescent="0.25">
      <c r="A65" s="1862"/>
      <c r="B65" s="1862"/>
      <c r="C65" s="1862"/>
      <c r="D65" s="1862"/>
      <c r="E65" s="1862"/>
      <c r="F65" s="1862"/>
      <c r="G65" s="1862"/>
      <c r="H65" s="1862"/>
    </row>
    <row r="66" spans="1:8" ht="27" customHeight="1" thickBot="1" x14ac:dyDescent="0.25">
      <c r="A66" s="1862"/>
      <c r="B66" s="1862"/>
      <c r="C66" s="1862"/>
      <c r="D66" s="1862"/>
      <c r="E66" s="1862"/>
      <c r="F66" s="1862"/>
      <c r="G66" s="1863"/>
      <c r="H66" s="80" t="s">
        <v>1345</v>
      </c>
    </row>
    <row r="67" spans="1:8" ht="42" customHeight="1" x14ac:dyDescent="0.2">
      <c r="A67" s="1862"/>
      <c r="B67" s="1862"/>
      <c r="C67" s="1862"/>
      <c r="D67" s="1862"/>
      <c r="E67" s="1862"/>
      <c r="F67" s="1862"/>
      <c r="G67" s="1863"/>
      <c r="H67" s="141" t="s">
        <v>1909</v>
      </c>
    </row>
    <row r="68" spans="1:8" ht="42" customHeight="1" x14ac:dyDescent="0.2">
      <c r="A68" s="1862"/>
      <c r="B68" s="1862"/>
      <c r="C68" s="1862"/>
      <c r="D68" s="1862"/>
      <c r="E68" s="1862"/>
      <c r="F68" s="1862"/>
      <c r="G68" s="1863"/>
      <c r="H68" s="118" t="s">
        <v>1358</v>
      </c>
    </row>
    <row r="69" spans="1:8" ht="27" customHeight="1" x14ac:dyDescent="0.2">
      <c r="A69" s="1862"/>
      <c r="B69" s="1862"/>
      <c r="C69" s="1862"/>
      <c r="D69" s="1862"/>
      <c r="E69" s="1862"/>
      <c r="F69" s="1862"/>
      <c r="G69" s="1863"/>
      <c r="H69" s="118" t="s">
        <v>1359</v>
      </c>
    </row>
    <row r="70" spans="1:8" ht="27" customHeight="1" x14ac:dyDescent="0.2">
      <c r="A70" s="1862"/>
      <c r="B70" s="1862"/>
      <c r="C70" s="1862"/>
      <c r="D70" s="1862"/>
      <c r="E70" s="1862"/>
      <c r="F70" s="1862"/>
      <c r="G70" s="1863"/>
      <c r="H70" s="118" t="s">
        <v>1360</v>
      </c>
    </row>
    <row r="71" spans="1:8" ht="57" customHeight="1" x14ac:dyDescent="0.2">
      <c r="A71" s="1862"/>
      <c r="B71" s="1862"/>
      <c r="C71" s="1862"/>
      <c r="D71" s="1862"/>
      <c r="E71" s="1862"/>
      <c r="F71" s="1862"/>
      <c r="G71" s="1863"/>
      <c r="H71" s="118" t="s">
        <v>1361</v>
      </c>
    </row>
    <row r="72" spans="1:8" ht="27" customHeight="1" x14ac:dyDescent="0.2">
      <c r="A72" s="1862"/>
      <c r="B72" s="1862"/>
      <c r="C72" s="1862"/>
      <c r="D72" s="1862"/>
      <c r="E72" s="1862"/>
      <c r="F72" s="1862"/>
      <c r="G72" s="1863"/>
      <c r="H72" s="118" t="s">
        <v>1362</v>
      </c>
    </row>
    <row r="73" spans="1:8" ht="27" customHeight="1" x14ac:dyDescent="0.2">
      <c r="A73" s="1862"/>
      <c r="B73" s="1862"/>
      <c r="C73" s="1862"/>
      <c r="D73" s="1862"/>
      <c r="E73" s="1862"/>
      <c r="F73" s="1862"/>
      <c r="G73" s="1863"/>
      <c r="H73" s="382" t="s">
        <v>2607</v>
      </c>
    </row>
    <row r="74" spans="1:8" ht="57" customHeight="1" thickBot="1" x14ac:dyDescent="0.25">
      <c r="A74" s="1862"/>
      <c r="B74" s="1862"/>
      <c r="C74" s="1862"/>
      <c r="D74" s="1862"/>
      <c r="E74" s="1862"/>
      <c r="F74" s="1862"/>
      <c r="G74" s="1863"/>
      <c r="H74" s="142" t="s">
        <v>1363</v>
      </c>
    </row>
  </sheetData>
  <sheetProtection algorithmName="SHA-512" hashValue="WIcJVvZN2k5SfI3xnjwQA4VMZSJLnXaRcsn6hJAXmLeyK8yF2jmhKiwqaJ9S61ksX0mfvC1Ld2496DGGZklHVg==" saltValue="V1s+oZwa0XfF5S23yE86AA==" spinCount="100000" sheet="1" formatCells="0" formatColumns="0" formatRows="0" insertColumns="0" insertRows="0" insertHyperlinks="0"/>
  <mergeCells count="40">
    <mergeCell ref="A62:H62"/>
    <mergeCell ref="A59:C61"/>
    <mergeCell ref="A63:B64"/>
    <mergeCell ref="A55:A57"/>
    <mergeCell ref="D61:F61"/>
    <mergeCell ref="D59:F59"/>
    <mergeCell ref="B55:B57"/>
    <mergeCell ref="A58:H58"/>
    <mergeCell ref="A31:A37"/>
    <mergeCell ref="A27:A30"/>
    <mergeCell ref="A21:A26"/>
    <mergeCell ref="A65:H65"/>
    <mergeCell ref="H3:H6"/>
    <mergeCell ref="H27:H30"/>
    <mergeCell ref="B14:B19"/>
    <mergeCell ref="H14:H19"/>
    <mergeCell ref="H31:H37"/>
    <mergeCell ref="B3:B6"/>
    <mergeCell ref="H7:H13"/>
    <mergeCell ref="H21:H26"/>
    <mergeCell ref="B21:B26"/>
    <mergeCell ref="B31:B37"/>
    <mergeCell ref="C63:E63"/>
    <mergeCell ref="C64:E64"/>
    <mergeCell ref="A66:G74"/>
    <mergeCell ref="E1:H1"/>
    <mergeCell ref="H51:H54"/>
    <mergeCell ref="H43:H50"/>
    <mergeCell ref="B39:B42"/>
    <mergeCell ref="H39:H42"/>
    <mergeCell ref="A1:B1"/>
    <mergeCell ref="A43:A50"/>
    <mergeCell ref="B27:B30"/>
    <mergeCell ref="B43:B50"/>
    <mergeCell ref="A51:A54"/>
    <mergeCell ref="B7:B13"/>
    <mergeCell ref="A3:A6"/>
    <mergeCell ref="A14:A19"/>
    <mergeCell ref="A39:A42"/>
    <mergeCell ref="B51:B54"/>
  </mergeCells>
  <phoneticPr fontId="39" type="noConversion"/>
  <pageMargins left="0.7" right="0.7" top="0.75" bottom="0.75" header="0.3" footer="0.3"/>
  <pageSetup orientation="portrait" r:id="rId1"/>
  <ignoredErrors>
    <ignoredError sqref="G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I91"/>
  <sheetViews>
    <sheetView zoomScaleNormal="100" workbookViewId="0">
      <selection sqref="A1:B1"/>
    </sheetView>
  </sheetViews>
  <sheetFormatPr defaultColWidth="9.33203125" defaultRowHeight="12.75" x14ac:dyDescent="0.2"/>
  <cols>
    <col min="1" max="1" width="5.83203125" style="15" customWidth="1"/>
    <col min="2" max="2" width="18.83203125" style="15" customWidth="1"/>
    <col min="3" max="3" width="75.83203125" style="3" customWidth="1"/>
    <col min="4" max="4" width="6.83203125" style="187" customWidth="1"/>
    <col min="5" max="5" width="7.6640625" style="187" customWidth="1"/>
    <col min="6" max="6" width="8.1640625" style="187" customWidth="1"/>
    <col min="7" max="7" width="9.83203125" style="169" customWidth="1"/>
    <col min="8" max="8" width="75.83203125" style="3" customWidth="1"/>
    <col min="9" max="9" width="11.83203125" style="4" customWidth="1"/>
    <col min="10" max="16384" width="9.33203125" style="4"/>
  </cols>
  <sheetData>
    <row r="1" spans="1:9" ht="45" customHeight="1" thickBot="1" x14ac:dyDescent="0.25">
      <c r="A1" s="1893" t="s">
        <v>5436</v>
      </c>
      <c r="B1" s="1894"/>
      <c r="C1" s="87" t="s">
        <v>2154</v>
      </c>
      <c r="D1" s="609" t="s">
        <v>2130</v>
      </c>
      <c r="E1" s="1890"/>
      <c r="F1" s="1891"/>
      <c r="G1" s="1891"/>
      <c r="H1" s="1891"/>
    </row>
    <row r="2" spans="1:9" s="377" customFormat="1" ht="30" customHeight="1" thickBot="1" x14ac:dyDescent="0.25">
      <c r="A2" s="451" t="s">
        <v>290</v>
      </c>
      <c r="B2" s="450" t="s">
        <v>5434</v>
      </c>
      <c r="C2" s="484" t="s">
        <v>2606</v>
      </c>
      <c r="D2" s="479" t="s">
        <v>117</v>
      </c>
      <c r="E2" s="471" t="s">
        <v>5438</v>
      </c>
      <c r="F2" s="481" t="s">
        <v>5439</v>
      </c>
      <c r="G2" s="482" t="s">
        <v>5825</v>
      </c>
      <c r="H2" s="473" t="s">
        <v>919</v>
      </c>
    </row>
    <row r="3" spans="1:9" ht="21" customHeight="1" thickBot="1" x14ac:dyDescent="0.25">
      <c r="A3" s="1868" t="str">
        <f>OF!A165</f>
        <v>OF33</v>
      </c>
      <c r="B3" s="1687" t="str">
        <f>OF!B165</f>
        <v>Aspect</v>
      </c>
      <c r="C3" s="231" t="str">
        <f>OF!C165</f>
        <v>The overland flow direction of most surface water (in streams or runoff) that enters the AA is:</v>
      </c>
      <c r="D3" s="549"/>
      <c r="E3" s="549"/>
      <c r="F3" s="410"/>
      <c r="G3" s="550">
        <f>IF((NoCA=1),"", MAX(F4:F6)/MAX(E4:E6))</f>
        <v>0</v>
      </c>
      <c r="H3" s="1687" t="s">
        <v>1915</v>
      </c>
      <c r="I3" s="4" t="s">
        <v>691</v>
      </c>
    </row>
    <row r="4" spans="1:9" ht="15" customHeight="1" x14ac:dyDescent="0.2">
      <c r="A4" s="1869"/>
      <c r="B4" s="1688"/>
      <c r="C4" s="21" t="str">
        <f>OF!C166</f>
        <v>Northward (N, NE).  north-facing CA.</v>
      </c>
      <c r="D4" s="280">
        <f>OF!D166</f>
        <v>0</v>
      </c>
      <c r="E4" s="412">
        <v>2</v>
      </c>
      <c r="F4" s="412">
        <f>D4*E4</f>
        <v>0</v>
      </c>
      <c r="G4" s="551"/>
      <c r="H4" s="1688"/>
    </row>
    <row r="5" spans="1:9" ht="15" customHeight="1" x14ac:dyDescent="0.2">
      <c r="A5" s="1869"/>
      <c r="B5" s="1688"/>
      <c r="C5" s="6" t="str">
        <f>OF!C167</f>
        <v>Southward (S, SW).  south-facing CA.</v>
      </c>
      <c r="D5" s="46">
        <f>OF!D167</f>
        <v>0</v>
      </c>
      <c r="E5" s="412">
        <v>0</v>
      </c>
      <c r="F5" s="412">
        <f>D5*E5</f>
        <v>0</v>
      </c>
      <c r="G5" s="552"/>
      <c r="H5" s="1688"/>
    </row>
    <row r="6" spans="1:9" ht="15" customHeight="1" thickBot="1" x14ac:dyDescent="0.25">
      <c r="A6" s="1870"/>
      <c r="B6" s="1689"/>
      <c r="C6" s="214" t="str">
        <f>OF!C168</f>
        <v>other (E, SE, W, NW), or no detectable uphill slope or input channel (flat)</v>
      </c>
      <c r="D6" s="213">
        <f>OF!D168</f>
        <v>0</v>
      </c>
      <c r="E6" s="416">
        <v>1</v>
      </c>
      <c r="F6" s="416">
        <f>D6*E6</f>
        <v>0</v>
      </c>
      <c r="G6" s="553"/>
      <c r="H6" s="1689"/>
    </row>
    <row r="7" spans="1:9" s="3" customFormat="1" ht="30" customHeight="1" thickBot="1" x14ac:dyDescent="0.25">
      <c r="A7" s="1845" t="str">
        <f>F!A11</f>
        <v>F2</v>
      </c>
      <c r="B7" s="1688" t="str">
        <f>F!B11</f>
        <v>% Saturated Only</v>
      </c>
      <c r="C7" s="385" t="str">
        <f>F!C11</f>
        <v>The percentage of the AA that lacks surface water during an average year (that is, except perhaps for a few hours after snowmelt or rainstorms), but which is still a wetland, is:</v>
      </c>
      <c r="D7" s="549"/>
      <c r="E7" s="554"/>
      <c r="F7" s="555"/>
      <c r="G7" s="556">
        <f>MAX(F8:F13)/MAX(E8:E13)</f>
        <v>0</v>
      </c>
      <c r="H7" s="1688" t="s">
        <v>1334</v>
      </c>
      <c r="I7" s="3" t="s">
        <v>1333</v>
      </c>
    </row>
    <row r="8" spans="1:9" s="3" customFormat="1" ht="27" customHeight="1" x14ac:dyDescent="0.2">
      <c r="A8" s="1845"/>
      <c r="B8" s="1688"/>
      <c r="C8" s="19" t="str">
        <f>F!C12</f>
        <v>less than 1%, or &lt;0.01 acre (about 20 ft on a side) never has surface water.  In other words, all or nearly all of the AA is inundated permanently or at least seasonally.</v>
      </c>
      <c r="D8" s="380">
        <f>F!D12</f>
        <v>0</v>
      </c>
      <c r="E8" s="557">
        <v>0</v>
      </c>
      <c r="F8" s="558">
        <f t="shared" ref="F8:F13" si="0">D8*E8</f>
        <v>0</v>
      </c>
      <c r="G8" s="559"/>
      <c r="H8" s="1688"/>
    </row>
    <row r="9" spans="1:9" s="3" customFormat="1" ht="15" customHeight="1" x14ac:dyDescent="0.2">
      <c r="A9" s="1845"/>
      <c r="B9" s="1688"/>
      <c r="C9" s="470" t="str">
        <f>F!C13</f>
        <v xml:space="preserve">1-25% of the AA never contains surface water.  </v>
      </c>
      <c r="D9" s="20">
        <f>F!D13</f>
        <v>0</v>
      </c>
      <c r="E9" s="557">
        <v>1</v>
      </c>
      <c r="F9" s="558">
        <f t="shared" si="0"/>
        <v>0</v>
      </c>
      <c r="G9" s="559"/>
      <c r="H9" s="1688"/>
    </row>
    <row r="10" spans="1:9" s="3" customFormat="1" ht="15" customHeight="1" x14ac:dyDescent="0.2">
      <c r="A10" s="1845"/>
      <c r="B10" s="1688"/>
      <c r="C10" s="470" t="str">
        <f>F!C14</f>
        <v>25-50% of the AA never contains surface water.</v>
      </c>
      <c r="D10" s="20">
        <f>F!D14</f>
        <v>0</v>
      </c>
      <c r="E10" s="557">
        <v>2</v>
      </c>
      <c r="F10" s="558">
        <f t="shared" si="0"/>
        <v>0</v>
      </c>
      <c r="G10" s="559"/>
      <c r="H10" s="1688"/>
    </row>
    <row r="11" spans="1:9" s="3" customFormat="1" ht="15" customHeight="1" x14ac:dyDescent="0.2">
      <c r="A11" s="1845"/>
      <c r="B11" s="1688"/>
      <c r="C11" s="470" t="str">
        <f>F!C15</f>
        <v>50-99% of the AA never contains surface water.</v>
      </c>
      <c r="D11" s="20">
        <f>F!D15</f>
        <v>0</v>
      </c>
      <c r="E11" s="557">
        <v>3</v>
      </c>
      <c r="F11" s="558">
        <f t="shared" si="0"/>
        <v>0</v>
      </c>
      <c r="G11" s="559"/>
      <c r="H11" s="1688"/>
    </row>
    <row r="12" spans="1:9" s="3" customFormat="1" ht="27" customHeight="1" x14ac:dyDescent="0.2">
      <c r="A12" s="1845"/>
      <c r="B12" s="1688"/>
      <c r="C12" s="470" t="str">
        <f>F!C16</f>
        <v>&gt;99% of the AA never contains surface water, except for water flowing in channels and/or in pools that occupy &lt;1% of the AA. SKIP to F30.</v>
      </c>
      <c r="D12" s="20">
        <f>F!D16</f>
        <v>0</v>
      </c>
      <c r="E12" s="557">
        <v>4</v>
      </c>
      <c r="F12" s="558">
        <f t="shared" si="0"/>
        <v>0</v>
      </c>
      <c r="G12" s="559"/>
      <c r="H12" s="1688"/>
    </row>
    <row r="13" spans="1:9" s="3" customFormat="1" ht="30" customHeight="1" thickBot="1" x14ac:dyDescent="0.25">
      <c r="A13" s="1845"/>
      <c r="B13" s="1688"/>
      <c r="C13" s="470" t="str">
        <f>F!C17</f>
        <v>&gt;99% of the AA never contains surface water, and AA is not intersected by channels that have flow, not even for a few days per year. SKIP to F28.</v>
      </c>
      <c r="D13" s="20">
        <f>F!D17</f>
        <v>0</v>
      </c>
      <c r="E13" s="560">
        <v>5</v>
      </c>
      <c r="F13" s="561">
        <f t="shared" si="0"/>
        <v>0</v>
      </c>
      <c r="G13" s="562"/>
      <c r="H13" s="1688"/>
    </row>
    <row r="14" spans="1:9" ht="30" customHeight="1" thickBot="1" x14ac:dyDescent="0.25">
      <c r="A14" s="1868" t="str">
        <f>F!A25</f>
        <v>F4</v>
      </c>
      <c r="B14" s="1687" t="str">
        <f>F!B25</f>
        <v>Summertime Shading of Water</v>
      </c>
      <c r="C14" s="231" t="str">
        <f>F!C25</f>
        <v>At mid-day during the warmest time when surface water is present, the area of water within the AA that is shaded by vegetation, incised channels, streambanks, or other features also present within the AA is:</v>
      </c>
      <c r="D14" s="549"/>
      <c r="E14" s="549"/>
      <c r="F14" s="410"/>
      <c r="G14" s="550">
        <f>IF((AllSat+AllSat1&gt;0),"",IF((NoPersis=1),"",(MAX(F15:F19)/MAX(E15:E19))))</f>
        <v>0</v>
      </c>
      <c r="H14" s="1709" t="s">
        <v>5271</v>
      </c>
      <c r="I14" s="4" t="s">
        <v>688</v>
      </c>
    </row>
    <row r="15" spans="1:9" ht="15" customHeight="1" x14ac:dyDescent="0.2">
      <c r="A15" s="1869"/>
      <c r="B15" s="1688"/>
      <c r="C15" s="21" t="str">
        <f>F!C26</f>
        <v>&lt;5% of the water is shaded</v>
      </c>
      <c r="D15" s="280">
        <f>F!D26</f>
        <v>0</v>
      </c>
      <c r="E15" s="412">
        <v>0</v>
      </c>
      <c r="F15" s="412">
        <f>D15*E15</f>
        <v>0</v>
      </c>
      <c r="G15" s="551"/>
      <c r="H15" s="1710"/>
    </row>
    <row r="16" spans="1:9" ht="15" customHeight="1" x14ac:dyDescent="0.2">
      <c r="A16" s="1869"/>
      <c r="B16" s="1688"/>
      <c r="C16" s="6" t="str">
        <f>F!C27</f>
        <v>5-25% of the water is shaded</v>
      </c>
      <c r="D16" s="46">
        <f>F!D27</f>
        <v>0</v>
      </c>
      <c r="E16" s="412">
        <v>1</v>
      </c>
      <c r="F16" s="412">
        <f>D16*E16</f>
        <v>0</v>
      </c>
      <c r="G16" s="552"/>
      <c r="H16" s="1710"/>
    </row>
    <row r="17" spans="1:9" ht="15" customHeight="1" x14ac:dyDescent="0.2">
      <c r="A17" s="1869"/>
      <c r="B17" s="1688"/>
      <c r="C17" s="6" t="str">
        <f>F!C28</f>
        <v>25-50% of the water is shaded</v>
      </c>
      <c r="D17" s="46">
        <f>F!D28</f>
        <v>0</v>
      </c>
      <c r="E17" s="412">
        <v>2</v>
      </c>
      <c r="F17" s="412">
        <f>D17*E17</f>
        <v>0</v>
      </c>
      <c r="G17" s="552"/>
      <c r="H17" s="1710"/>
    </row>
    <row r="18" spans="1:9" ht="15" customHeight="1" x14ac:dyDescent="0.2">
      <c r="A18" s="1869"/>
      <c r="B18" s="1688"/>
      <c r="C18" s="6" t="str">
        <f>F!C29</f>
        <v>50-75% of the water is shaded</v>
      </c>
      <c r="D18" s="46">
        <f>F!D29</f>
        <v>0</v>
      </c>
      <c r="E18" s="412">
        <v>3</v>
      </c>
      <c r="F18" s="412">
        <f>D18*E18</f>
        <v>0</v>
      </c>
      <c r="G18" s="552"/>
      <c r="H18" s="1710"/>
    </row>
    <row r="19" spans="1:9" ht="15.6" customHeight="1" thickBot="1" x14ac:dyDescent="0.25">
      <c r="A19" s="1870"/>
      <c r="B19" s="1689"/>
      <c r="C19" s="214" t="str">
        <f>F!C30</f>
        <v>&gt;75% of the water is shaded</v>
      </c>
      <c r="D19" s="213">
        <f>F!D30</f>
        <v>0</v>
      </c>
      <c r="E19" s="416">
        <v>4</v>
      </c>
      <c r="F19" s="416">
        <f>D19*E19</f>
        <v>0</v>
      </c>
      <c r="G19" s="553"/>
      <c r="H19" s="1711"/>
    </row>
    <row r="20" spans="1:9" ht="30" customHeight="1" thickBot="1" x14ac:dyDescent="0.25">
      <c r="A20" s="1845" t="str">
        <f>F!A44</f>
        <v>F9</v>
      </c>
      <c r="B20" s="1688" t="str">
        <f>F!B44</f>
        <v>Predominant Depth Class</v>
      </c>
      <c r="C20" s="385" t="str">
        <f>F!C44</f>
        <v>During most of the growing season, surface water depth in most of the area where it is present is: [Note: This is not asking for the maximum depth.]</v>
      </c>
      <c r="D20" s="549"/>
      <c r="E20" s="418"/>
      <c r="F20" s="409"/>
      <c r="G20" s="556">
        <f>IF((AllSat+AllSat1&gt;0),"",MAX(F21:F25)/MAX(E21:E25))</f>
        <v>0</v>
      </c>
      <c r="H20" s="1710" t="s">
        <v>5272</v>
      </c>
      <c r="I20" s="4" t="s">
        <v>690</v>
      </c>
    </row>
    <row r="21" spans="1:9" ht="15" customHeight="1" x14ac:dyDescent="0.2">
      <c r="A21" s="1845"/>
      <c r="B21" s="1688"/>
      <c r="C21" s="21" t="str">
        <f>F!C45</f>
        <v>&lt;0.5 ft deep (but &gt;0)</v>
      </c>
      <c r="D21" s="280">
        <f>F!D45</f>
        <v>0</v>
      </c>
      <c r="E21" s="412">
        <v>0</v>
      </c>
      <c r="F21" s="412">
        <f>D21*E21</f>
        <v>0</v>
      </c>
      <c r="G21" s="551"/>
      <c r="H21" s="1710"/>
    </row>
    <row r="22" spans="1:9" ht="15" customHeight="1" x14ac:dyDescent="0.2">
      <c r="A22" s="1845"/>
      <c r="B22" s="1688"/>
      <c r="C22" s="6" t="str">
        <f>F!C46</f>
        <v>0.5 - 1 ft deep</v>
      </c>
      <c r="D22" s="46">
        <f>F!D46</f>
        <v>0</v>
      </c>
      <c r="E22" s="412">
        <v>1</v>
      </c>
      <c r="F22" s="412">
        <f>D22*E22</f>
        <v>0</v>
      </c>
      <c r="G22" s="552"/>
      <c r="H22" s="1710"/>
    </row>
    <row r="23" spans="1:9" ht="15" customHeight="1" x14ac:dyDescent="0.2">
      <c r="A23" s="1845"/>
      <c r="B23" s="1688"/>
      <c r="C23" s="6" t="str">
        <f>F!C47</f>
        <v>1-2 ft deep</v>
      </c>
      <c r="D23" s="46">
        <f>F!D47</f>
        <v>0</v>
      </c>
      <c r="E23" s="412">
        <v>2</v>
      </c>
      <c r="F23" s="412">
        <f>D23*E23</f>
        <v>0</v>
      </c>
      <c r="G23" s="552"/>
      <c r="H23" s="1710"/>
    </row>
    <row r="24" spans="1:9" ht="15" customHeight="1" x14ac:dyDescent="0.2">
      <c r="A24" s="1845"/>
      <c r="B24" s="1688"/>
      <c r="C24" s="6" t="str">
        <f>F!C48</f>
        <v>2-6 ft deep</v>
      </c>
      <c r="D24" s="46">
        <f>F!D48</f>
        <v>0</v>
      </c>
      <c r="E24" s="412">
        <v>4</v>
      </c>
      <c r="F24" s="412">
        <f>D24*E24</f>
        <v>0</v>
      </c>
      <c r="G24" s="552"/>
      <c r="H24" s="1710"/>
    </row>
    <row r="25" spans="1:9" ht="15.6" customHeight="1" thickBot="1" x14ac:dyDescent="0.25">
      <c r="A25" s="1845"/>
      <c r="B25" s="1688"/>
      <c r="C25" s="470" t="str">
        <f>F!C49</f>
        <v>&gt;6 ft deep.  True for many fringe wetlands.</v>
      </c>
      <c r="D25" s="20">
        <f>F!D49</f>
        <v>0</v>
      </c>
      <c r="E25" s="414">
        <v>6</v>
      </c>
      <c r="F25" s="414">
        <f>D25*E25</f>
        <v>0</v>
      </c>
      <c r="G25" s="563"/>
      <c r="H25" s="1710"/>
    </row>
    <row r="26" spans="1:9" ht="45" customHeight="1" thickBot="1" x14ac:dyDescent="0.25">
      <c r="A26" s="1896" t="str">
        <f>F!A71</f>
        <v>F15</v>
      </c>
      <c r="B26" s="1687" t="str">
        <f>F!B71</f>
        <v>All Ponded Water - Extent</v>
      </c>
      <c r="C26" s="231" t="str">
        <f>F!C71</f>
        <v>During most of the growing season, the percentage of the AA that has ponded surface water (stagnant, or flows so slowly that fine sediment is not held in suspension) which is either open or shaded by emergent vegetation is:</v>
      </c>
      <c r="D26" s="549"/>
      <c r="E26" s="392"/>
      <c r="F26" s="410"/>
      <c r="G26" s="550">
        <f>IF((AllSat+AllSat1&gt;0),"",MAX(F27:F33)/MAX(E27:E33))</f>
        <v>0</v>
      </c>
      <c r="H26" s="1687" t="s">
        <v>5273</v>
      </c>
      <c r="I26" s="4" t="s">
        <v>689</v>
      </c>
    </row>
    <row r="27" spans="1:9" ht="15" customHeight="1" x14ac:dyDescent="0.2">
      <c r="A27" s="1897"/>
      <c r="B27" s="1688"/>
      <c r="C27" s="21" t="str">
        <f>F!C72</f>
        <v>&lt;1% or none, or occupies &lt;100 sq. ft cumulatively.  Enter "1" and SKIP to F19.</v>
      </c>
      <c r="D27" s="280">
        <f>F!D72</f>
        <v>0</v>
      </c>
      <c r="E27" s="388">
        <v>6</v>
      </c>
      <c r="F27" s="412">
        <f t="shared" ref="F27:F40" si="1">D27*E27</f>
        <v>0</v>
      </c>
      <c r="G27" s="552"/>
      <c r="H27" s="1688"/>
    </row>
    <row r="28" spans="1:9" ht="15" customHeight="1" x14ac:dyDescent="0.2">
      <c r="A28" s="1897"/>
      <c r="B28" s="1688"/>
      <c r="C28" s="6" t="str">
        <f>F!C73</f>
        <v>1-25% of the AA, and mainly in small fishless pools. Enter "1" and SKIP to F19.</v>
      </c>
      <c r="D28" s="46">
        <f>F!D73</f>
        <v>0</v>
      </c>
      <c r="E28" s="388">
        <v>5</v>
      </c>
      <c r="F28" s="412">
        <f t="shared" si="1"/>
        <v>0</v>
      </c>
      <c r="G28" s="552"/>
      <c r="H28" s="1688"/>
    </row>
    <row r="29" spans="1:9" ht="15" customHeight="1" x14ac:dyDescent="0.2">
      <c r="A29" s="1897"/>
      <c r="B29" s="1688"/>
      <c r="C29" s="6" t="str">
        <f>F!C74</f>
        <v>1-25% of the AA, and mainly in a single large pool or pond, with or without fish access.</v>
      </c>
      <c r="D29" s="46">
        <f>F!D74</f>
        <v>0</v>
      </c>
      <c r="E29" s="388">
        <v>4</v>
      </c>
      <c r="F29" s="412">
        <f t="shared" si="1"/>
        <v>0</v>
      </c>
      <c r="G29" s="552"/>
      <c r="H29" s="1688"/>
    </row>
    <row r="30" spans="1:9" ht="15" customHeight="1" x14ac:dyDescent="0.2">
      <c r="A30" s="1897"/>
      <c r="B30" s="1688"/>
      <c r="C30" s="6" t="str">
        <f>F!C75</f>
        <v>5-30% of the AA.</v>
      </c>
      <c r="D30" s="46">
        <f>F!D75</f>
        <v>0</v>
      </c>
      <c r="E30" s="388">
        <v>3</v>
      </c>
      <c r="F30" s="412">
        <f t="shared" si="1"/>
        <v>0</v>
      </c>
      <c r="G30" s="552"/>
      <c r="H30" s="1688"/>
    </row>
    <row r="31" spans="1:9" ht="15" customHeight="1" x14ac:dyDescent="0.2">
      <c r="A31" s="1897"/>
      <c r="B31" s="1688"/>
      <c r="C31" s="6" t="str">
        <f>F!C76</f>
        <v>30-70% of the AA.</v>
      </c>
      <c r="D31" s="46">
        <f>F!D76</f>
        <v>0</v>
      </c>
      <c r="E31" s="388">
        <v>2</v>
      </c>
      <c r="F31" s="412">
        <f t="shared" si="1"/>
        <v>0</v>
      </c>
      <c r="G31" s="552"/>
      <c r="H31" s="1688"/>
    </row>
    <row r="32" spans="1:9" ht="15" customHeight="1" x14ac:dyDescent="0.2">
      <c r="A32" s="1897"/>
      <c r="B32" s="1688"/>
      <c r="C32" s="6" t="str">
        <f>F!C77</f>
        <v>70-95% of the AA.</v>
      </c>
      <c r="D32" s="46">
        <f>F!D77</f>
        <v>0</v>
      </c>
      <c r="E32" s="388">
        <v>1</v>
      </c>
      <c r="F32" s="412">
        <f t="shared" si="1"/>
        <v>0</v>
      </c>
      <c r="G32" s="552"/>
      <c r="H32" s="1688"/>
    </row>
    <row r="33" spans="1:9" ht="15.6" customHeight="1" thickBot="1" x14ac:dyDescent="0.25">
      <c r="A33" s="1898"/>
      <c r="B33" s="1689"/>
      <c r="C33" s="214" t="str">
        <f>F!C78</f>
        <v>&gt;95% of the AA.</v>
      </c>
      <c r="D33" s="213">
        <f>F!D78</f>
        <v>0</v>
      </c>
      <c r="E33" s="389">
        <v>0</v>
      </c>
      <c r="F33" s="416">
        <f t="shared" si="1"/>
        <v>0</v>
      </c>
      <c r="G33" s="553"/>
      <c r="H33" s="1689"/>
    </row>
    <row r="34" spans="1:9" ht="30" customHeight="1" thickBot="1" x14ac:dyDescent="0.25">
      <c r="A34" s="1845" t="str">
        <f>F!A79</f>
        <v>F16</v>
      </c>
      <c r="B34" s="1688" t="str">
        <f>F!B79</f>
        <v>Open Ponded Water - Extent</v>
      </c>
      <c r="C34" s="5" t="str">
        <f>F!C79</f>
        <v>The percentage of the ponded water that is open (lacking emergent vegetation during most of the growing season, and unhidden by a forest or shrub canopy) is:</v>
      </c>
      <c r="D34" s="419"/>
      <c r="E34" s="387"/>
      <c r="F34" s="418"/>
      <c r="G34" s="556">
        <f>IF((AllSat+AllSat1&gt;0),"",IF((OR(NoPonded=1, puddles=1)),"",MAX(F35:F40)/MAX(E35:E40)))</f>
        <v>0</v>
      </c>
      <c r="H34" s="1688" t="s">
        <v>5274</v>
      </c>
      <c r="I34" s="4" t="s">
        <v>1951</v>
      </c>
    </row>
    <row r="35" spans="1:9" ht="15" customHeight="1" x14ac:dyDescent="0.2">
      <c r="A35" s="1845"/>
      <c r="B35" s="1688"/>
      <c r="C35" s="19" t="str">
        <f>F!C80</f>
        <v>&lt;1% or none, or largest pool occupies &lt;100 sq. ft.  Enter "1" and SKIP to F19.</v>
      </c>
      <c r="D35" s="20">
        <f>F!D80</f>
        <v>0</v>
      </c>
      <c r="E35" s="388">
        <v>5</v>
      </c>
      <c r="F35" s="412">
        <f t="shared" si="1"/>
        <v>0</v>
      </c>
      <c r="G35" s="552"/>
      <c r="H35" s="1688"/>
    </row>
    <row r="36" spans="1:9" ht="15" customHeight="1" x14ac:dyDescent="0.2">
      <c r="A36" s="1845"/>
      <c r="B36" s="1688"/>
      <c r="C36" s="470" t="str">
        <f>F!C81</f>
        <v>1-5% of the ponded water.  Enter "1" and SKIP to F19.</v>
      </c>
      <c r="D36" s="20">
        <f>F!D81</f>
        <v>0</v>
      </c>
      <c r="E36" s="388">
        <v>4</v>
      </c>
      <c r="F36" s="412">
        <f t="shared" si="1"/>
        <v>0</v>
      </c>
      <c r="G36" s="552"/>
      <c r="H36" s="1688"/>
    </row>
    <row r="37" spans="1:9" ht="15" customHeight="1" x14ac:dyDescent="0.2">
      <c r="A37" s="1845"/>
      <c r="B37" s="1688"/>
      <c r="C37" s="470" t="str">
        <f>F!C82</f>
        <v>5-30% of the ponded water.</v>
      </c>
      <c r="D37" s="20">
        <f>F!D82</f>
        <v>0</v>
      </c>
      <c r="E37" s="388">
        <v>3</v>
      </c>
      <c r="F37" s="412">
        <f t="shared" si="1"/>
        <v>0</v>
      </c>
      <c r="G37" s="552"/>
      <c r="H37" s="1688"/>
    </row>
    <row r="38" spans="1:9" ht="15" customHeight="1" x14ac:dyDescent="0.2">
      <c r="A38" s="1845"/>
      <c r="B38" s="1688"/>
      <c r="C38" s="470" t="str">
        <f>F!C83</f>
        <v>30-70% of the ponded water.</v>
      </c>
      <c r="D38" s="20">
        <f>F!D83</f>
        <v>0</v>
      </c>
      <c r="E38" s="388">
        <v>2</v>
      </c>
      <c r="F38" s="412">
        <f t="shared" si="1"/>
        <v>0</v>
      </c>
      <c r="G38" s="552"/>
      <c r="H38" s="1688"/>
    </row>
    <row r="39" spans="1:9" ht="15" customHeight="1" x14ac:dyDescent="0.2">
      <c r="A39" s="1845"/>
      <c r="B39" s="1688"/>
      <c r="C39" s="470" t="str">
        <f>F!C84</f>
        <v>70-99% of the ponded water.</v>
      </c>
      <c r="D39" s="20">
        <f>F!D84</f>
        <v>0</v>
      </c>
      <c r="E39" s="388">
        <v>1</v>
      </c>
      <c r="F39" s="412">
        <f t="shared" si="1"/>
        <v>0</v>
      </c>
      <c r="G39" s="552"/>
      <c r="H39" s="1688"/>
    </row>
    <row r="40" spans="1:9" ht="15.6" customHeight="1" thickBot="1" x14ac:dyDescent="0.25">
      <c r="A40" s="1900"/>
      <c r="B40" s="1689"/>
      <c r="C40" s="470" t="str">
        <f>F!C85</f>
        <v>100% of the ponded water. SKIP to F18.</v>
      </c>
      <c r="D40" s="20">
        <f>F!D85</f>
        <v>0</v>
      </c>
      <c r="E40" s="389">
        <v>0</v>
      </c>
      <c r="F40" s="416">
        <f t="shared" si="1"/>
        <v>0</v>
      </c>
      <c r="G40" s="553"/>
      <c r="H40" s="1689"/>
    </row>
    <row r="41" spans="1:9" ht="21" customHeight="1" thickBot="1" x14ac:dyDescent="0.25">
      <c r="A41" s="1845" t="str">
        <f>F!A130</f>
        <v>F30</v>
      </c>
      <c r="B41" s="1688" t="str">
        <f>F!B130</f>
        <v>Groundwater: Strength of Evidence</v>
      </c>
      <c r="C41" s="5" t="str">
        <f>F!C130</f>
        <v>Select first applicable choice.  In the AA:</v>
      </c>
      <c r="D41" s="549"/>
      <c r="E41" s="418"/>
      <c r="F41" s="409"/>
      <c r="G41" s="556">
        <f>MAX(F42:F44)/MAX(E42:E44)</f>
        <v>0</v>
      </c>
      <c r="H41" s="1710" t="s">
        <v>959</v>
      </c>
      <c r="I41" s="4" t="s">
        <v>687</v>
      </c>
    </row>
    <row r="42" spans="1:9" ht="69" customHeight="1" x14ac:dyDescent="0.2">
      <c r="A42" s="1845"/>
      <c r="B42" s="1688"/>
      <c r="C42"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42" s="380">
        <f>F!D131</f>
        <v>0</v>
      </c>
      <c r="E42" s="412">
        <v>3</v>
      </c>
      <c r="F42" s="412">
        <f>D42*E42</f>
        <v>0</v>
      </c>
      <c r="G42" s="551"/>
      <c r="H42" s="1710"/>
    </row>
    <row r="43" spans="1:9" ht="84" customHeight="1" x14ac:dyDescent="0.2">
      <c r="A43" s="1845"/>
      <c r="B43" s="1688"/>
      <c r="C43" s="470"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43" s="20">
        <f>F!D132</f>
        <v>0</v>
      </c>
      <c r="E43" s="412">
        <v>2</v>
      </c>
      <c r="F43" s="412">
        <f>D43*E43</f>
        <v>0</v>
      </c>
      <c r="G43" s="552"/>
      <c r="H43" s="1710"/>
    </row>
    <row r="44" spans="1:9" ht="27.6" customHeight="1" thickBot="1" x14ac:dyDescent="0.25">
      <c r="A44" s="1901"/>
      <c r="B44" s="1873"/>
      <c r="C44" s="470" t="str">
        <f>F!C133</f>
        <v>Neither of above is true, although some groundwater may discharge to or flow through the AA, or groundwater influx is unknown.</v>
      </c>
      <c r="D44" s="20">
        <f>F!D133</f>
        <v>0</v>
      </c>
      <c r="E44" s="412">
        <v>0</v>
      </c>
      <c r="F44" s="412">
        <f>D44*E44</f>
        <v>0</v>
      </c>
      <c r="G44" s="552"/>
      <c r="H44" s="1711"/>
    </row>
    <row r="45" spans="1:9" s="82" customFormat="1" ht="30" customHeight="1" thickBot="1" x14ac:dyDescent="0.25">
      <c r="A45" s="483" t="s">
        <v>290</v>
      </c>
      <c r="B45" s="488" t="s">
        <v>2615</v>
      </c>
      <c r="C45" s="474" t="s">
        <v>2606</v>
      </c>
      <c r="D45" s="524" t="s">
        <v>117</v>
      </c>
      <c r="E45" s="525" t="s">
        <v>5438</v>
      </c>
      <c r="F45" s="526" t="s">
        <v>5439</v>
      </c>
      <c r="G45" s="564" t="s">
        <v>5825</v>
      </c>
      <c r="H45" s="488" t="s">
        <v>919</v>
      </c>
    </row>
    <row r="46" spans="1:9" ht="21" customHeight="1" thickBot="1" x14ac:dyDescent="0.25">
      <c r="A46" s="1895" t="str">
        <f>OF!A93</f>
        <v>OF16</v>
      </c>
      <c r="B46" s="1688" t="str">
        <f>OF!B93</f>
        <v>Glacier Fed</v>
      </c>
      <c r="C46" s="385" t="str">
        <f>OF!C93</f>
        <v>Refer to the Glaciers map in the online WESPAK-SE Wetlands Module.  Select the first applicable choice:</v>
      </c>
      <c r="D46" s="549"/>
      <c r="E46" s="555"/>
      <c r="F46" s="565"/>
      <c r="G46" s="566">
        <f>MAX(F47:F49)/MAX(E47:E49)</f>
        <v>0</v>
      </c>
      <c r="H46" s="1873" t="s">
        <v>952</v>
      </c>
      <c r="I46" s="4" t="s">
        <v>679</v>
      </c>
    </row>
    <row r="47" spans="1:9" ht="15" customHeight="1" x14ac:dyDescent="0.2">
      <c r="A47" s="1895"/>
      <c r="B47" s="1688"/>
      <c r="C47" s="21" t="str">
        <f>OF!C94</f>
        <v>No upstream glacier feeds surface water to the AA, not even seasonally.</v>
      </c>
      <c r="D47" s="280">
        <f>OF!D94</f>
        <v>0</v>
      </c>
      <c r="E47" s="567">
        <v>5</v>
      </c>
      <c r="F47" s="567">
        <f>D47*E47</f>
        <v>0</v>
      </c>
      <c r="G47" s="568"/>
      <c r="H47" s="1702"/>
    </row>
    <row r="48" spans="1:9" ht="42" customHeight="1" x14ac:dyDescent="0.2">
      <c r="A48" s="1895"/>
      <c r="B48" s="1688"/>
      <c r="C48" s="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48" s="46">
        <f>OF!D95</f>
        <v>0</v>
      </c>
      <c r="E48" s="567">
        <v>0</v>
      </c>
      <c r="F48" s="567">
        <f>D48*E48</f>
        <v>0</v>
      </c>
      <c r="G48" s="559"/>
      <c r="H48" s="1702"/>
    </row>
    <row r="49" spans="1:9" ht="27.6" customHeight="1" thickBot="1" x14ac:dyDescent="0.25">
      <c r="A49" s="1895"/>
      <c r="B49" s="1688"/>
      <c r="C49" s="470" t="str">
        <f>OF!C96</f>
        <v>A glacier feeds streamflow or other surface water to the AA, but there is little or no resultant reduction in water clarity.</v>
      </c>
      <c r="D49" s="20">
        <f>OF!D96</f>
        <v>0</v>
      </c>
      <c r="E49" s="569">
        <v>1</v>
      </c>
      <c r="F49" s="569">
        <f>D49*E49</f>
        <v>0</v>
      </c>
      <c r="G49" s="562"/>
      <c r="H49" s="1703"/>
    </row>
    <row r="50" spans="1:9" ht="30" customHeight="1" thickBot="1" x14ac:dyDescent="0.25">
      <c r="A50" s="1868" t="str">
        <f>OF!A113</f>
        <v>OF21</v>
      </c>
      <c r="B50" s="1687" t="str">
        <f>OF!B113</f>
        <v>Temperature, Mean Annual</v>
      </c>
      <c r="C50" s="111" t="str">
        <f>OF!C113</f>
        <v>Refer to the Temperature layer in the online WESPAK-SE Wetlands Module. The mean annual temperature in the vicinity of the AA was modeled as (rounded to the nearest whole number):</v>
      </c>
      <c r="D50" s="549"/>
      <c r="E50" s="570"/>
      <c r="F50" s="571"/>
      <c r="G50" s="572">
        <f>IF((D56=1),"",MAX(F51:F55)/MAX(E51:E55))</f>
        <v>0</v>
      </c>
      <c r="H50" s="1687" t="s">
        <v>1892</v>
      </c>
      <c r="I50" s="4" t="s">
        <v>2214</v>
      </c>
    </row>
    <row r="51" spans="1:9" ht="15" customHeight="1" x14ac:dyDescent="0.2">
      <c r="A51" s="1869"/>
      <c r="B51" s="1688"/>
      <c r="C51" s="384" t="str">
        <f>OF!C114</f>
        <v>&lt;38 degrees F</v>
      </c>
      <c r="D51" s="280">
        <f>OF!D114</f>
        <v>0</v>
      </c>
      <c r="E51" s="567">
        <v>0</v>
      </c>
      <c r="F51" s="567">
        <f>D51*E51</f>
        <v>0</v>
      </c>
      <c r="G51" s="559"/>
      <c r="H51" s="1688"/>
    </row>
    <row r="52" spans="1:9" ht="15" customHeight="1" x14ac:dyDescent="0.2">
      <c r="A52" s="1869"/>
      <c r="B52" s="1688"/>
      <c r="C52" s="487" t="str">
        <f>OF!C115</f>
        <v>38-40 degrees F</v>
      </c>
      <c r="D52" s="46">
        <f>OF!D115</f>
        <v>0</v>
      </c>
      <c r="E52" s="567">
        <v>1</v>
      </c>
      <c r="F52" s="567">
        <f>D52*E52</f>
        <v>0</v>
      </c>
      <c r="G52" s="559"/>
      <c r="H52" s="1688"/>
    </row>
    <row r="53" spans="1:9" ht="15" customHeight="1" x14ac:dyDescent="0.2">
      <c r="A53" s="1869"/>
      <c r="B53" s="1688"/>
      <c r="C53" s="487" t="str">
        <f>OF!C116</f>
        <v>41-42 degrees F</v>
      </c>
      <c r="D53" s="46">
        <f>OF!D116</f>
        <v>0</v>
      </c>
      <c r="E53" s="567">
        <v>2</v>
      </c>
      <c r="F53" s="567">
        <f>D53*E53</f>
        <v>0</v>
      </c>
      <c r="G53" s="559"/>
      <c r="H53" s="1688"/>
    </row>
    <row r="54" spans="1:9" ht="15" customHeight="1" x14ac:dyDescent="0.2">
      <c r="A54" s="1869"/>
      <c r="B54" s="1688"/>
      <c r="C54" s="487" t="str">
        <f>OF!C117</f>
        <v>43-44 degrees F</v>
      </c>
      <c r="D54" s="46">
        <f>OF!D117</f>
        <v>0</v>
      </c>
      <c r="E54" s="567">
        <v>3</v>
      </c>
      <c r="F54" s="567">
        <f>D54*E54</f>
        <v>0</v>
      </c>
      <c r="G54" s="559"/>
      <c r="H54" s="1688"/>
    </row>
    <row r="55" spans="1:9" ht="15" customHeight="1" x14ac:dyDescent="0.2">
      <c r="A55" s="1869"/>
      <c r="B55" s="1688"/>
      <c r="C55" s="487" t="str">
        <f>OF!C118</f>
        <v>&gt; 44 degrees F</v>
      </c>
      <c r="D55" s="46">
        <f>OF!D118</f>
        <v>0</v>
      </c>
      <c r="E55" s="567">
        <v>4</v>
      </c>
      <c r="F55" s="567">
        <f>D55*E55</f>
        <v>0</v>
      </c>
      <c r="G55" s="559"/>
      <c r="H55" s="1688"/>
    </row>
    <row r="56" spans="1:9" ht="15.6" customHeight="1" thickBot="1" x14ac:dyDescent="0.25">
      <c r="A56" s="1870"/>
      <c r="B56" s="1689"/>
      <c r="C56" s="486" t="str">
        <f>OF!C119</f>
        <v>no information available</v>
      </c>
      <c r="D56" s="213">
        <f>OF!D119</f>
        <v>0</v>
      </c>
      <c r="E56" s="573"/>
      <c r="F56" s="573"/>
      <c r="G56" s="574"/>
      <c r="H56" s="1689"/>
    </row>
    <row r="57" spans="1:9" s="3" customFormat="1" ht="82.5" customHeight="1" thickBot="1" x14ac:dyDescent="0.25">
      <c r="A57" s="1845" t="str">
        <f>OF!A$147</f>
        <v>OF28</v>
      </c>
      <c r="B57" s="1873" t="str">
        <f>OF!B147</f>
        <v>Elevation in Multi-scale Watersheds</v>
      </c>
      <c r="C57" s="38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57" s="549"/>
      <c r="E57" s="555"/>
      <c r="F57" s="565"/>
      <c r="G57" s="566" t="str">
        <f>IF((D58=0),"", 1-(3*D58 + 2*D59 + D60)/18)</f>
        <v/>
      </c>
      <c r="H57" s="1688" t="s">
        <v>5277</v>
      </c>
      <c r="I57" s="3" t="s">
        <v>680</v>
      </c>
    </row>
    <row r="58" spans="1:9" s="3" customFormat="1" ht="27" customHeight="1" x14ac:dyDescent="0.2">
      <c r="A58" s="1845"/>
      <c r="B58" s="1702"/>
      <c r="C58" s="21" t="str">
        <f>OF!C148</f>
        <v>In its HUC8 (the watershed with a 12-digit code), the AA's elevation puts it in (enter one of the following): 3= upper one-third, 2= middle one-third, 1= lower one-third, 0= no data.</v>
      </c>
      <c r="D58" s="280">
        <f>OF!D148</f>
        <v>0</v>
      </c>
      <c r="E58" s="567"/>
      <c r="F58" s="567"/>
      <c r="G58" s="568"/>
      <c r="H58" s="1688"/>
    </row>
    <row r="59" spans="1:9" s="3" customFormat="1" ht="42" customHeight="1" x14ac:dyDescent="0.2">
      <c r="A59" s="1845"/>
      <c r="B59" s="1702"/>
      <c r="C59" s="6" t="str">
        <f>OF!C149</f>
        <v>In its HUC7 (the 10-digit* watershed), the AA's elevation puts it in (enter one of the following): 3= upper one-third, 2= middle one-third, 1= lower one-third, 0= no data.  [The 10-digit HUC is obtained by deleting the last 2 digits of the 12-digit HUC code]</v>
      </c>
      <c r="D59" s="46">
        <f>OF!D149</f>
        <v>0</v>
      </c>
      <c r="E59" s="567"/>
      <c r="F59" s="567"/>
      <c r="G59" s="559"/>
      <c r="H59" s="1688"/>
    </row>
    <row r="60" spans="1:9" s="3" customFormat="1" ht="42" customHeight="1" thickBot="1" x14ac:dyDescent="0.25">
      <c r="A60" s="1845"/>
      <c r="B60" s="1703"/>
      <c r="C60" s="470" t="str">
        <f>OF!C150</f>
        <v>In its HUC6 (the 8-digit* watershed) the AA's elevation puts it in (enter one of the following): 3= upper one-third, 2= middle one-third, 1= lower one-third, 0= no data.  [The 8-digit HUC is obtained by deleting the last 4 digits of the 12-digit HUC code]</v>
      </c>
      <c r="D60" s="20">
        <f>OF!D150</f>
        <v>0</v>
      </c>
      <c r="E60" s="567"/>
      <c r="F60" s="569"/>
      <c r="G60" s="562"/>
      <c r="H60" s="1688"/>
    </row>
    <row r="61" spans="1:9" ht="21" customHeight="1" thickBot="1" x14ac:dyDescent="0.25">
      <c r="A61" s="1868" t="str">
        <f>OF!A$165</f>
        <v>OF33</v>
      </c>
      <c r="B61" s="1687" t="str">
        <f>OF!B$165</f>
        <v>Aspect</v>
      </c>
      <c r="C61" s="231" t="str">
        <f>OF!C165</f>
        <v>The overland flow direction of most surface water (in streams or runoff) that enters the AA is:</v>
      </c>
      <c r="D61" s="549"/>
      <c r="E61" s="575"/>
      <c r="F61" s="575"/>
      <c r="G61" s="572">
        <f>IF((NoCA=1),"", MAX(F62:F64)/MAX(E62:E64))</f>
        <v>0</v>
      </c>
      <c r="H61" s="1687" t="s">
        <v>5280</v>
      </c>
      <c r="I61" s="4" t="s">
        <v>681</v>
      </c>
    </row>
    <row r="62" spans="1:9" ht="15" customHeight="1" x14ac:dyDescent="0.2">
      <c r="A62" s="1869"/>
      <c r="B62" s="1688"/>
      <c r="C62" s="19" t="str">
        <f>OF!C166</f>
        <v>Northward (N, NE).  north-facing CA.</v>
      </c>
      <c r="D62" s="380">
        <f>OF!D166</f>
        <v>0</v>
      </c>
      <c r="E62" s="558">
        <v>0</v>
      </c>
      <c r="F62" s="558">
        <f>D62*E62</f>
        <v>0</v>
      </c>
      <c r="G62" s="576"/>
      <c r="H62" s="1688"/>
    </row>
    <row r="63" spans="1:9" ht="15" customHeight="1" x14ac:dyDescent="0.2">
      <c r="A63" s="1869"/>
      <c r="B63" s="1688"/>
      <c r="C63" s="470" t="str">
        <f>OF!C167</f>
        <v>Southward (S, SW).  south-facing CA.</v>
      </c>
      <c r="D63" s="20">
        <f>OF!D167</f>
        <v>0</v>
      </c>
      <c r="E63" s="558">
        <v>2</v>
      </c>
      <c r="F63" s="558">
        <f>D63*E63</f>
        <v>0</v>
      </c>
      <c r="G63" s="577"/>
      <c r="H63" s="1688"/>
    </row>
    <row r="64" spans="1:9" ht="15.6" customHeight="1" thickBot="1" x14ac:dyDescent="0.25">
      <c r="A64" s="1870"/>
      <c r="B64" s="1689"/>
      <c r="C64" s="214" t="str">
        <f>OF!C168</f>
        <v>other (E, SE, W, NW), or no detectable uphill slope or input channel (flat)</v>
      </c>
      <c r="D64" s="213">
        <f>OF!D168</f>
        <v>0</v>
      </c>
      <c r="E64" s="578">
        <v>1</v>
      </c>
      <c r="F64" s="578">
        <f>D64*E64</f>
        <v>0</v>
      </c>
      <c r="G64" s="569"/>
      <c r="H64" s="1689"/>
    </row>
    <row r="65" spans="1:9" ht="45" customHeight="1" thickBot="1" x14ac:dyDescent="0.25">
      <c r="A65" s="1845" t="str">
        <f>OF!A157</f>
        <v>OF31</v>
      </c>
      <c r="B65" s="1688" t="str">
        <f>OF!B157</f>
        <v>Unvegetated Surface in the Contributing Area</v>
      </c>
      <c r="C65" s="385" t="str">
        <f>OF!C157</f>
        <v>The proportion of the AA's contributing area (measured to no more than 1000 ft upslope) that is comprised of buildings, roads, parking lots, other pavement, exposed bedrock, debris flows, and other mostly-bare (but unfrozen) surface is about :</v>
      </c>
      <c r="D65" s="549"/>
      <c r="E65" s="555"/>
      <c r="F65" s="565"/>
      <c r="G65" s="548">
        <f>MAX(F66:F68)/MAX(E66:E68)</f>
        <v>0</v>
      </c>
      <c r="H65" s="1688" t="s">
        <v>953</v>
      </c>
      <c r="I65" s="4" t="s">
        <v>682</v>
      </c>
    </row>
    <row r="66" spans="1:9" ht="15" customHeight="1" x14ac:dyDescent="0.2">
      <c r="A66" s="1845"/>
      <c r="B66" s="1688"/>
      <c r="C66" s="21" t="str">
        <f>OF!C158</f>
        <v>&lt;10%</v>
      </c>
      <c r="D66" s="280">
        <f>OF!D158</f>
        <v>0</v>
      </c>
      <c r="E66" s="567">
        <v>0</v>
      </c>
      <c r="F66" s="567">
        <f>D66*E66</f>
        <v>0</v>
      </c>
      <c r="G66" s="568"/>
      <c r="H66" s="1688"/>
    </row>
    <row r="67" spans="1:9" ht="15" customHeight="1" x14ac:dyDescent="0.2">
      <c r="A67" s="1845"/>
      <c r="B67" s="1688"/>
      <c r="C67" s="6" t="str">
        <f>OF!C159</f>
        <v>10 to 25%</v>
      </c>
      <c r="D67" s="46">
        <f>OF!D159</f>
        <v>0</v>
      </c>
      <c r="E67" s="567">
        <v>2</v>
      </c>
      <c r="F67" s="567">
        <f>D67*E67</f>
        <v>0</v>
      </c>
      <c r="G67" s="559"/>
      <c r="H67" s="1688"/>
    </row>
    <row r="68" spans="1:9" ht="15.6" customHeight="1" thickBot="1" x14ac:dyDescent="0.25">
      <c r="A68" s="1845"/>
      <c r="B68" s="1688"/>
      <c r="C68" s="470" t="str">
        <f>OF!C160</f>
        <v>&gt;25%</v>
      </c>
      <c r="D68" s="20">
        <f>OF!D160</f>
        <v>0</v>
      </c>
      <c r="E68" s="569">
        <v>3</v>
      </c>
      <c r="F68" s="569">
        <f>D68*E68</f>
        <v>0</v>
      </c>
      <c r="G68" s="562"/>
      <c r="H68" s="1688"/>
    </row>
    <row r="69" spans="1:9" ht="52.5" customHeight="1" thickBot="1" x14ac:dyDescent="0.25">
      <c r="A69" s="541" t="str">
        <f>F!A31</f>
        <v>F5</v>
      </c>
      <c r="B69" s="49" t="str">
        <f>F!B31</f>
        <v>Fringe Wetland</v>
      </c>
      <c r="C69" s="222" t="str">
        <f>F!C31</f>
        <v>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v>
      </c>
      <c r="D69" s="314">
        <f>F!D31</f>
        <v>0</v>
      </c>
      <c r="E69" s="579"/>
      <c r="F69" s="579"/>
      <c r="G69" s="580" t="str">
        <f>IF((D69=1),0,"")</f>
        <v/>
      </c>
      <c r="H69" s="5" t="s">
        <v>0</v>
      </c>
      <c r="I69" s="4" t="s">
        <v>676</v>
      </c>
    </row>
    <row r="70" spans="1:9" ht="168" customHeight="1" thickBot="1" x14ac:dyDescent="0.25">
      <c r="A70" s="541" t="str">
        <f>F!A108</f>
        <v>F25</v>
      </c>
      <c r="B70" s="49" t="str">
        <f>F!B108</f>
        <v>Input Water Temperature</v>
      </c>
      <c r="C70" s="205" t="str">
        <f>F!C108</f>
        <v>Based on lack of shade upstream or source characteristics, the inflow is likely to be warmer than the AA's surface water during part of most years.  Enter 1= yes, 0= no.</v>
      </c>
      <c r="D70" s="258">
        <f>F!D108</f>
        <v>0</v>
      </c>
      <c r="E70" s="579"/>
      <c r="F70" s="579"/>
      <c r="G70" s="580" t="str">
        <f>IF((Inflows=0),"",1)</f>
        <v/>
      </c>
      <c r="H70" s="49" t="s">
        <v>5281</v>
      </c>
      <c r="I70" s="4" t="s">
        <v>677</v>
      </c>
    </row>
    <row r="71" spans="1:9" ht="30" customHeight="1" thickBot="1" x14ac:dyDescent="0.25">
      <c r="A71" s="1899" t="str">
        <f>F!A120</f>
        <v>F28</v>
      </c>
      <c r="B71" s="1713" t="str">
        <f>F!B120</f>
        <v>Outflow Duration</v>
      </c>
      <c r="C71" s="542" t="str">
        <f>F!C120</f>
        <v>The most persistent surface water connection (outlet channel or pipe, ditch, or overbank water exchange) between the AA and the closest off-site downslope water body is:</v>
      </c>
      <c r="D71" s="549"/>
      <c r="E71" s="581"/>
      <c r="F71" s="581"/>
      <c r="G71" s="566">
        <f>MAX(F72:F76)/MAX(E72:E76)</f>
        <v>0</v>
      </c>
      <c r="H71" s="1688" t="s">
        <v>956</v>
      </c>
      <c r="I71" s="4" t="s">
        <v>678</v>
      </c>
    </row>
    <row r="72" spans="1:9" ht="27" customHeight="1" x14ac:dyDescent="0.2">
      <c r="A72" s="1899"/>
      <c r="B72" s="1713"/>
      <c r="C72" s="543" t="str">
        <f>F!C121</f>
        <v>persistent (&gt;9 months/year); almost always shown on stream maps, or determine from your dry-season observation.</v>
      </c>
      <c r="D72" s="283">
        <f>F!D121</f>
        <v>0</v>
      </c>
      <c r="E72" s="404">
        <v>5</v>
      </c>
      <c r="F72" s="567">
        <f>D72*E72</f>
        <v>0</v>
      </c>
      <c r="G72" s="582"/>
      <c r="H72" s="1688"/>
    </row>
    <row r="73" spans="1:9" ht="15" customHeight="1" x14ac:dyDescent="0.2">
      <c r="A73" s="1899"/>
      <c r="B73" s="1713"/>
      <c r="C73" s="544" t="str">
        <f>F!C122</f>
        <v>seasonal (14 days to 9 months/year, not necessarily consecutive); sometimes shown on stream maps.</v>
      </c>
      <c r="D73" s="284">
        <f>F!D122</f>
        <v>0</v>
      </c>
      <c r="E73" s="404">
        <v>2</v>
      </c>
      <c r="F73" s="567">
        <f>D73*E73</f>
        <v>0</v>
      </c>
      <c r="G73" s="562"/>
      <c r="H73" s="1688"/>
    </row>
    <row r="74" spans="1:9" ht="15" customHeight="1" x14ac:dyDescent="0.2">
      <c r="A74" s="1899"/>
      <c r="B74" s="1713"/>
      <c r="C74" s="544" t="str">
        <f>F!C123</f>
        <v>temporary (&lt;14 days, not necessarily consecutive); seldom shown on stream maps.</v>
      </c>
      <c r="D74" s="284">
        <f>F!D123</f>
        <v>0</v>
      </c>
      <c r="E74" s="404">
        <v>1</v>
      </c>
      <c r="F74" s="567">
        <f>D74*E74</f>
        <v>0</v>
      </c>
      <c r="G74" s="562"/>
      <c r="H74" s="1688"/>
    </row>
    <row r="75" spans="1:9" ht="27" customHeight="1" x14ac:dyDescent="0.2">
      <c r="A75" s="1899"/>
      <c r="B75" s="1713"/>
      <c r="C75" s="544" t="str">
        <f>F!C124</f>
        <v xml:space="preserve">none -- but maps show a stream or other water body that is downslope from the AA and within a distance that is less than the AA's path length (see definition, OF35).  If so, mark "1" here and SKIP TO F30. </v>
      </c>
      <c r="D75" s="284">
        <f>F!D124</f>
        <v>0</v>
      </c>
      <c r="E75" s="404">
        <v>0</v>
      </c>
      <c r="F75" s="567">
        <f>D75*E75</f>
        <v>0</v>
      </c>
      <c r="G75" s="562"/>
      <c r="H75" s="1688"/>
    </row>
    <row r="76" spans="1:9" ht="42" customHeight="1" thickBot="1" x14ac:dyDescent="0.25">
      <c r="A76" s="1899"/>
      <c r="B76" s="1713"/>
      <c r="C76" s="545" t="str">
        <f>F!C125</f>
        <v xml:space="preserve">no surface water flows out of the wetland except possibly during extreme events (less than once per 10 years). Or, water flows only into a wetland, ditch, or lake that lacks an outlet.  If so, mark "1" here and SKIP TO F30. </v>
      </c>
      <c r="D76" s="285">
        <f>F!D125</f>
        <v>0</v>
      </c>
      <c r="E76" s="583">
        <v>0</v>
      </c>
      <c r="F76" s="569">
        <f>D76*E76</f>
        <v>0</v>
      </c>
      <c r="G76" s="562"/>
      <c r="H76" s="1688"/>
    </row>
    <row r="77" spans="1:9" s="3" customFormat="1" ht="30" customHeight="1" thickBot="1" x14ac:dyDescent="0.25">
      <c r="A77" s="541"/>
      <c r="B77" s="85" t="str">
        <f>FA!C168</f>
        <v>Function Score for Anadromous Fish Habitat</v>
      </c>
      <c r="C77" s="1354"/>
      <c r="D77" s="422"/>
      <c r="E77" s="584"/>
      <c r="F77" s="579"/>
      <c r="G77" s="580">
        <f>FA!G168/10</f>
        <v>0</v>
      </c>
      <c r="H77" s="5" t="s">
        <v>951</v>
      </c>
      <c r="I77" s="3" t="s">
        <v>675</v>
      </c>
    </row>
    <row r="78" spans="1:9" ht="21" customHeight="1" thickBot="1" x14ac:dyDescent="0.25">
      <c r="A78" s="1892"/>
      <c r="B78" s="1892"/>
      <c r="C78" s="1892"/>
      <c r="D78" s="1892"/>
      <c r="E78" s="1892"/>
      <c r="F78" s="1892"/>
      <c r="G78" s="1892"/>
      <c r="H78" s="1892"/>
    </row>
    <row r="79" spans="1:9" ht="30" customHeight="1" thickBot="1" x14ac:dyDescent="0.25">
      <c r="A79" s="1862"/>
      <c r="B79" s="1863"/>
      <c r="C79" s="1874" t="s">
        <v>950</v>
      </c>
      <c r="D79" s="1875"/>
      <c r="E79" s="1876"/>
      <c r="F79" s="546" t="s">
        <v>141</v>
      </c>
      <c r="G79" s="547">
        <f>10*(IF((AllSat=1),Gwater7, AVERAGE(Gwater7, Shade7,OpenPonded7, Depth7,ISOdry7,SatPct7)))</f>
        <v>0</v>
      </c>
      <c r="H79" s="49" t="s">
        <v>2110</v>
      </c>
    </row>
    <row r="80" spans="1:9" ht="30" customHeight="1" thickBot="1" x14ac:dyDescent="0.25">
      <c r="A80" s="1862"/>
      <c r="B80" s="1863"/>
      <c r="C80" s="1874" t="s">
        <v>955</v>
      </c>
      <c r="D80" s="1875"/>
      <c r="E80" s="1876"/>
      <c r="F80" s="546" t="s">
        <v>142</v>
      </c>
      <c r="G80" s="548">
        <f>10*(IF((Fringe7b=1),0, OutDur7 * ((AVERAGE(ShadeIn7,Glacier7,Elev7,Aspect7,Imperv7, Warmth7)+AnadFish7) /2)))</f>
        <v>0</v>
      </c>
      <c r="H80" s="49" t="s">
        <v>2215</v>
      </c>
    </row>
    <row r="81" spans="1:8" ht="21" customHeight="1" thickBot="1" x14ac:dyDescent="0.25">
      <c r="A81" s="1862"/>
      <c r="B81" s="1862"/>
      <c r="C81" s="1862"/>
      <c r="D81" s="1862"/>
      <c r="E81" s="1862"/>
      <c r="F81" s="1862"/>
      <c r="G81" s="1862"/>
      <c r="H81" s="1862"/>
    </row>
    <row r="82" spans="1:8" ht="21" customHeight="1" thickBot="1" x14ac:dyDescent="0.25">
      <c r="A82" s="1862"/>
      <c r="B82" s="1862"/>
      <c r="C82" s="1862"/>
      <c r="D82" s="1862"/>
      <c r="E82" s="1862"/>
      <c r="F82" s="1862"/>
      <c r="G82" s="1863"/>
      <c r="H82" s="80" t="s">
        <v>1345</v>
      </c>
    </row>
    <row r="83" spans="1:8" ht="27" customHeight="1" x14ac:dyDescent="0.2">
      <c r="A83" s="1862"/>
      <c r="B83" s="1862"/>
      <c r="C83" s="1862"/>
      <c r="D83" s="1862"/>
      <c r="E83" s="1862"/>
      <c r="F83" s="1862"/>
      <c r="G83" s="1863"/>
      <c r="H83" s="120" t="s">
        <v>1364</v>
      </c>
    </row>
    <row r="84" spans="1:8" ht="42" customHeight="1" x14ac:dyDescent="0.2">
      <c r="A84" s="1862"/>
      <c r="B84" s="1862"/>
      <c r="C84" s="1862"/>
      <c r="D84" s="1862"/>
      <c r="E84" s="1862"/>
      <c r="F84" s="1862"/>
      <c r="G84" s="1863"/>
      <c r="H84" s="116" t="s">
        <v>1365</v>
      </c>
    </row>
    <row r="85" spans="1:8" ht="42" customHeight="1" x14ac:dyDescent="0.2">
      <c r="A85" s="1862"/>
      <c r="B85" s="1862"/>
      <c r="C85" s="1862"/>
      <c r="D85" s="1862"/>
      <c r="E85" s="1862"/>
      <c r="F85" s="1862"/>
      <c r="G85" s="1863"/>
      <c r="H85" s="116" t="s">
        <v>1366</v>
      </c>
    </row>
    <row r="86" spans="1:8" ht="42" customHeight="1" x14ac:dyDescent="0.2">
      <c r="A86" s="1862"/>
      <c r="B86" s="1862"/>
      <c r="C86" s="1862"/>
      <c r="D86" s="1862"/>
      <c r="E86" s="1862"/>
      <c r="F86" s="1862"/>
      <c r="G86" s="1863"/>
      <c r="H86" s="116" t="s">
        <v>1367</v>
      </c>
    </row>
    <row r="87" spans="1:8" ht="42" customHeight="1" x14ac:dyDescent="0.2">
      <c r="A87" s="1862"/>
      <c r="B87" s="1862"/>
      <c r="C87" s="1862"/>
      <c r="D87" s="1862"/>
      <c r="E87" s="1862"/>
      <c r="F87" s="1862"/>
      <c r="G87" s="1863"/>
      <c r="H87" s="116" t="s">
        <v>1368</v>
      </c>
    </row>
    <row r="88" spans="1:8" ht="27" customHeight="1" x14ac:dyDescent="0.2">
      <c r="A88" s="1862"/>
      <c r="B88" s="1862"/>
      <c r="C88" s="1862"/>
      <c r="D88" s="1862"/>
      <c r="E88" s="1862"/>
      <c r="F88" s="1862"/>
      <c r="G88" s="1863"/>
      <c r="H88" s="116" t="s">
        <v>1369</v>
      </c>
    </row>
    <row r="89" spans="1:8" ht="42" customHeight="1" x14ac:dyDescent="0.2">
      <c r="A89" s="1862"/>
      <c r="B89" s="1862"/>
      <c r="C89" s="1862"/>
      <c r="D89" s="1862"/>
      <c r="E89" s="1862"/>
      <c r="F89" s="1862"/>
      <c r="G89" s="1863"/>
      <c r="H89" s="116" t="s">
        <v>2604</v>
      </c>
    </row>
    <row r="90" spans="1:8" ht="27" customHeight="1" x14ac:dyDescent="0.2">
      <c r="A90" s="1862"/>
      <c r="B90" s="1862"/>
      <c r="C90" s="1862"/>
      <c r="D90" s="1862"/>
      <c r="E90" s="1862"/>
      <c r="F90" s="1862"/>
      <c r="G90" s="1863"/>
      <c r="H90" s="116" t="s">
        <v>1370</v>
      </c>
    </row>
    <row r="91" spans="1:8" ht="27" customHeight="1" thickBot="1" x14ac:dyDescent="0.25">
      <c r="A91" s="1862"/>
      <c r="B91" s="1862"/>
      <c r="C91" s="1862"/>
      <c r="D91" s="1862"/>
      <c r="E91" s="1862"/>
      <c r="F91" s="1862"/>
      <c r="G91" s="1863"/>
      <c r="H91" s="119" t="s">
        <v>1371</v>
      </c>
    </row>
  </sheetData>
  <sheetProtection algorithmName="SHA-512" hashValue="8Az4eU6BFGJ5qJHSqrO6ByqzXrtMSg8ON7GKSg67i6/L7TL4VksHhGc4+Hh6MV2Y+LIqFkVfdw/PA8bB1Jmudg==" saltValue="eBdB/fIBPUXmJtCqstQvMg==" spinCount="100000" sheet="1" formatCells="0" formatColumns="0" formatRows="0" insertColumns="0" insertRows="0"/>
  <customSheetViews>
    <customSheetView guid="{B8E02330-2419-4DE6-AD01-7ACC7A5D18DD}" scale="75" topLeftCell="A35">
      <selection activeCell="A2" sqref="A2:H47"/>
      <pageMargins left="0.75" right="0.75" top="1" bottom="1" header="0.5" footer="0.5"/>
      <pageSetup orientation="portrait" r:id="rId1"/>
      <headerFooter alignWithMargins="0"/>
    </customSheetView>
  </customSheetViews>
  <mergeCells count="47">
    <mergeCell ref="H26:H33"/>
    <mergeCell ref="B57:B60"/>
    <mergeCell ref="C79:E79"/>
    <mergeCell ref="C80:E80"/>
    <mergeCell ref="A20:A25"/>
    <mergeCell ref="H65:H68"/>
    <mergeCell ref="B65:B68"/>
    <mergeCell ref="H46:H49"/>
    <mergeCell ref="H61:H64"/>
    <mergeCell ref="H20:H25"/>
    <mergeCell ref="A34:A40"/>
    <mergeCell ref="B34:B40"/>
    <mergeCell ref="A41:A44"/>
    <mergeCell ref="H34:H40"/>
    <mergeCell ref="B26:B33"/>
    <mergeCell ref="H71:H76"/>
    <mergeCell ref="A57:A60"/>
    <mergeCell ref="H57:H60"/>
    <mergeCell ref="B46:B49"/>
    <mergeCell ref="A71:A76"/>
    <mergeCell ref="B71:B76"/>
    <mergeCell ref="B61:B64"/>
    <mergeCell ref="B50:B56"/>
    <mergeCell ref="A61:A64"/>
    <mergeCell ref="A65:A68"/>
    <mergeCell ref="B7:B13"/>
    <mergeCell ref="A7:A13"/>
    <mergeCell ref="H14:H19"/>
    <mergeCell ref="A14:A19"/>
    <mergeCell ref="H7:H13"/>
    <mergeCell ref="B14:B19"/>
    <mergeCell ref="E1:H1"/>
    <mergeCell ref="A78:H78"/>
    <mergeCell ref="A79:B80"/>
    <mergeCell ref="A81:H81"/>
    <mergeCell ref="A82:G91"/>
    <mergeCell ref="A1:B1"/>
    <mergeCell ref="A50:A56"/>
    <mergeCell ref="H50:H56"/>
    <mergeCell ref="A46:A49"/>
    <mergeCell ref="A26:A33"/>
    <mergeCell ref="H41:H44"/>
    <mergeCell ref="B41:B44"/>
    <mergeCell ref="A3:A6"/>
    <mergeCell ref="B20:B25"/>
    <mergeCell ref="B3:B6"/>
    <mergeCell ref="H3:H6"/>
  </mergeCells>
  <phoneticPr fontId="3"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dimension ref="A1:I90"/>
  <sheetViews>
    <sheetView zoomScaleNormal="100" workbookViewId="0">
      <selection sqref="A1:B1"/>
    </sheetView>
  </sheetViews>
  <sheetFormatPr defaultColWidth="9.33203125" defaultRowHeight="12.75" x14ac:dyDescent="0.2"/>
  <cols>
    <col min="1" max="1" width="5.83203125" style="15" customWidth="1"/>
    <col min="2" max="2" width="18.83203125" style="3" customWidth="1"/>
    <col min="3" max="3" width="75.83203125" style="3" customWidth="1"/>
    <col min="4" max="4" width="6.83203125" style="187" customWidth="1"/>
    <col min="5" max="5" width="8.1640625" style="187" customWidth="1"/>
    <col min="6" max="6" width="8.5" style="187" customWidth="1"/>
    <col min="7" max="7" width="9.83203125" style="169" customWidth="1"/>
    <col min="8" max="8" width="75.83203125" style="3" customWidth="1"/>
    <col min="9" max="9" width="11.1640625" style="4" customWidth="1"/>
    <col min="10" max="16384" width="9.33203125" style="4"/>
  </cols>
  <sheetData>
    <row r="1" spans="1:9" s="92" customFormat="1" ht="45" customHeight="1" thickBot="1" x14ac:dyDescent="0.25">
      <c r="A1" s="1866" t="s">
        <v>2609</v>
      </c>
      <c r="B1" s="1867"/>
      <c r="C1" s="87" t="s">
        <v>2157</v>
      </c>
      <c r="D1" s="609" t="s">
        <v>2354</v>
      </c>
      <c r="E1" s="1902"/>
      <c r="F1" s="1903"/>
      <c r="G1" s="1903"/>
      <c r="H1" s="1903"/>
    </row>
    <row r="2" spans="1:9" ht="30" customHeight="1" thickBot="1" x14ac:dyDescent="0.25">
      <c r="A2" s="450" t="s">
        <v>290</v>
      </c>
      <c r="B2" s="450" t="s">
        <v>5437</v>
      </c>
      <c r="C2" s="484" t="s">
        <v>2606</v>
      </c>
      <c r="D2" s="450" t="s">
        <v>117</v>
      </c>
      <c r="E2" s="592" t="s">
        <v>5438</v>
      </c>
      <c r="F2" s="472" t="s">
        <v>5439</v>
      </c>
      <c r="G2" s="593" t="s">
        <v>5825</v>
      </c>
      <c r="H2" s="450" t="s">
        <v>919</v>
      </c>
    </row>
    <row r="3" spans="1:9" s="3" customFormat="1" ht="30" customHeight="1" thickBot="1" x14ac:dyDescent="0.25">
      <c r="A3" s="1868" t="str">
        <f>F!A11</f>
        <v>F2</v>
      </c>
      <c r="B3" s="1687" t="str">
        <f>F!B11</f>
        <v>% Saturated Only</v>
      </c>
      <c r="C3" s="231" t="str">
        <f>F!C11</f>
        <v>The percentage of the AA that lacks surface water during an average year (that is, except perhaps for a few hours after snowmelt or rainstorms), but which is still a wetland, is:</v>
      </c>
      <c r="D3" s="170"/>
      <c r="E3" s="188"/>
      <c r="F3" s="170"/>
      <c r="G3" s="152">
        <f>MAX(F4:F9)/MAX(E4:E9)</f>
        <v>0</v>
      </c>
      <c r="H3" s="1687" t="s">
        <v>1335</v>
      </c>
      <c r="I3" s="3" t="s">
        <v>692</v>
      </c>
    </row>
    <row r="4" spans="1:9" s="3" customFormat="1" ht="27" customHeight="1" x14ac:dyDescent="0.2">
      <c r="A4" s="1869"/>
      <c r="B4" s="1688"/>
      <c r="C4" s="19" t="str">
        <f>F!C12</f>
        <v>less than 1%, or &lt;0.01 acre (about 20 ft on a side) never has surface water.  In other words, all or nearly all of the AA is inundated permanently or at least seasonally.</v>
      </c>
      <c r="D4" s="46">
        <f>F!D12</f>
        <v>0</v>
      </c>
      <c r="E4" s="178">
        <v>5</v>
      </c>
      <c r="F4" s="171">
        <f t="shared" ref="F4:F9" si="0">D4*E4</f>
        <v>0</v>
      </c>
      <c r="G4" s="153"/>
      <c r="H4" s="1688"/>
    </row>
    <row r="5" spans="1:9" s="3" customFormat="1" ht="15" customHeight="1" x14ac:dyDescent="0.2">
      <c r="A5" s="1869"/>
      <c r="B5" s="1688"/>
      <c r="C5" s="470" t="str">
        <f>F!C13</f>
        <v xml:space="preserve">1-25% of the AA never contains surface water.  </v>
      </c>
      <c r="D5" s="20">
        <f>F!D13</f>
        <v>0</v>
      </c>
      <c r="E5" s="178">
        <v>4</v>
      </c>
      <c r="F5" s="171">
        <f t="shared" si="0"/>
        <v>0</v>
      </c>
      <c r="G5" s="153"/>
      <c r="H5" s="1688"/>
    </row>
    <row r="6" spans="1:9" s="3" customFormat="1" ht="15" customHeight="1" x14ac:dyDescent="0.2">
      <c r="A6" s="1869"/>
      <c r="B6" s="1688"/>
      <c r="C6" s="470" t="str">
        <f>F!C14</f>
        <v>25-50% of the AA never contains surface water.</v>
      </c>
      <c r="D6" s="20">
        <f>F!D14</f>
        <v>0</v>
      </c>
      <c r="E6" s="178">
        <v>3</v>
      </c>
      <c r="F6" s="171">
        <f t="shared" si="0"/>
        <v>0</v>
      </c>
      <c r="G6" s="153"/>
      <c r="H6" s="1688"/>
    </row>
    <row r="7" spans="1:9" s="3" customFormat="1" ht="15" customHeight="1" x14ac:dyDescent="0.2">
      <c r="A7" s="1869"/>
      <c r="B7" s="1688"/>
      <c r="C7" s="470" t="str">
        <f>F!C15</f>
        <v>50-99% of the AA never contains surface water.</v>
      </c>
      <c r="D7" s="20">
        <f>F!D15</f>
        <v>0</v>
      </c>
      <c r="E7" s="178">
        <v>2</v>
      </c>
      <c r="F7" s="171">
        <f t="shared" si="0"/>
        <v>0</v>
      </c>
      <c r="G7" s="153"/>
      <c r="H7" s="1688"/>
    </row>
    <row r="8" spans="1:9" s="3" customFormat="1" ht="27" customHeight="1" x14ac:dyDescent="0.2">
      <c r="A8" s="1869"/>
      <c r="B8" s="1688"/>
      <c r="C8" s="470" t="str">
        <f>F!C16</f>
        <v>&gt;99% of the AA never contains surface water, except for water flowing in channels and/or in pools that occupy &lt;1% of the AA. SKIP to F30.</v>
      </c>
      <c r="D8" s="20">
        <f>F!D16</f>
        <v>0</v>
      </c>
      <c r="E8" s="178">
        <v>1</v>
      </c>
      <c r="F8" s="171">
        <f t="shared" si="0"/>
        <v>0</v>
      </c>
      <c r="G8" s="153"/>
      <c r="H8" s="1688"/>
    </row>
    <row r="9" spans="1:9" s="3" customFormat="1" ht="27.6" customHeight="1" thickBot="1" x14ac:dyDescent="0.25">
      <c r="A9" s="1870"/>
      <c r="B9" s="1689"/>
      <c r="C9" s="214" t="str">
        <f>F!C17</f>
        <v>&gt;99% of the AA never contains surface water, and AA is not intersected by channels that have flow, not even for a few days per year. SKIP to F28.</v>
      </c>
      <c r="D9" s="213">
        <f>F!D17</f>
        <v>0</v>
      </c>
      <c r="E9" s="181">
        <v>0</v>
      </c>
      <c r="F9" s="172">
        <f t="shared" si="0"/>
        <v>0</v>
      </c>
      <c r="G9" s="154"/>
      <c r="H9" s="1689"/>
    </row>
    <row r="10" spans="1:9" ht="30" customHeight="1" thickBot="1" x14ac:dyDescent="0.25">
      <c r="A10" s="1868" t="str">
        <f>F!A25</f>
        <v>F4</v>
      </c>
      <c r="B10" s="1709" t="str">
        <f>F!B25</f>
        <v>Summertime Shading of Water</v>
      </c>
      <c r="C10" s="231" t="str">
        <f>F!C25</f>
        <v>At mid-day during the warmest time when surface water is present, the area of water within the AA that is shaded by vegetation, incised channels, streambanks, or other features also present within the AA is:</v>
      </c>
      <c r="D10" s="170"/>
      <c r="E10" s="191"/>
      <c r="F10" s="175"/>
      <c r="G10" s="152">
        <f>IF((AllSat+AllSat1&gt;0),"",IF((NoPersis=1),"",MAX(F11:F15)/MAX(E11:E15)))</f>
        <v>0</v>
      </c>
      <c r="H10" s="1709" t="s">
        <v>5282</v>
      </c>
      <c r="I10" s="4" t="s">
        <v>695</v>
      </c>
    </row>
    <row r="11" spans="1:9" ht="15" customHeight="1" x14ac:dyDescent="0.2">
      <c r="A11" s="1869"/>
      <c r="B11" s="1710"/>
      <c r="C11" s="21" t="str">
        <f>F!C26</f>
        <v>&lt;5% of the water is shaded</v>
      </c>
      <c r="D11" s="46">
        <f>F!D26</f>
        <v>0</v>
      </c>
      <c r="E11" s="190">
        <v>4</v>
      </c>
      <c r="F11" s="171">
        <f>D11*E11</f>
        <v>0</v>
      </c>
      <c r="G11" s="156"/>
      <c r="H11" s="1710"/>
    </row>
    <row r="12" spans="1:9" ht="15" customHeight="1" x14ac:dyDescent="0.2">
      <c r="A12" s="1869"/>
      <c r="B12" s="1710"/>
      <c r="C12" s="6" t="str">
        <f>F!C27</f>
        <v>5-25% of the water is shaded</v>
      </c>
      <c r="D12" s="46">
        <f>F!D27</f>
        <v>0</v>
      </c>
      <c r="E12" s="190">
        <v>3</v>
      </c>
      <c r="F12" s="171">
        <f>D12*E12</f>
        <v>0</v>
      </c>
      <c r="G12" s="157"/>
      <c r="H12" s="1710"/>
    </row>
    <row r="13" spans="1:9" ht="15" customHeight="1" x14ac:dyDescent="0.2">
      <c r="A13" s="1869"/>
      <c r="B13" s="1710"/>
      <c r="C13" s="6" t="str">
        <f>F!C28</f>
        <v>25-50% of the water is shaded</v>
      </c>
      <c r="D13" s="46">
        <f>F!D28</f>
        <v>0</v>
      </c>
      <c r="E13" s="190">
        <v>2</v>
      </c>
      <c r="F13" s="171">
        <f>D13*E13</f>
        <v>0</v>
      </c>
      <c r="G13" s="157"/>
      <c r="H13" s="1710"/>
    </row>
    <row r="14" spans="1:9" ht="15" customHeight="1" x14ac:dyDescent="0.2">
      <c r="A14" s="1869"/>
      <c r="B14" s="1710"/>
      <c r="C14" s="6" t="str">
        <f>F!C29</f>
        <v>50-75% of the water is shaded</v>
      </c>
      <c r="D14" s="46">
        <f>F!D29</f>
        <v>0</v>
      </c>
      <c r="E14" s="190">
        <v>1</v>
      </c>
      <c r="F14" s="171">
        <f>D14*E14</f>
        <v>0</v>
      </c>
      <c r="G14" s="157"/>
      <c r="H14" s="1710"/>
    </row>
    <row r="15" spans="1:9" ht="15.6" customHeight="1" thickBot="1" x14ac:dyDescent="0.25">
      <c r="A15" s="1870"/>
      <c r="B15" s="1711"/>
      <c r="C15" s="214" t="str">
        <f>F!C30</f>
        <v>&gt;75% of the water is shaded</v>
      </c>
      <c r="D15" s="213">
        <f>F!D30</f>
        <v>0</v>
      </c>
      <c r="E15" s="192">
        <v>0</v>
      </c>
      <c r="F15" s="172">
        <f>D15*E15</f>
        <v>0</v>
      </c>
      <c r="G15" s="159"/>
      <c r="H15" s="1711"/>
    </row>
    <row r="16" spans="1:9" ht="30" customHeight="1" thickBot="1" x14ac:dyDescent="0.25">
      <c r="A16" s="1868" t="str">
        <f>F!A44</f>
        <v>F9</v>
      </c>
      <c r="B16" s="1709" t="str">
        <f>F!B44</f>
        <v>Predominant Depth Class</v>
      </c>
      <c r="C16" s="231" t="str">
        <f>F!C44</f>
        <v>During most of the growing season, surface water depth in most of the area where it is present is: [Note: This is not asking for the maximum depth.]</v>
      </c>
      <c r="D16" s="170"/>
      <c r="E16" s="191"/>
      <c r="F16" s="175"/>
      <c r="G16" s="152">
        <f>IF((AllSat+AllSat1&gt;0),"",MAX(F17:F21)/MAX(E17:E21))</f>
        <v>0</v>
      </c>
      <c r="H16" s="1709" t="s">
        <v>5283</v>
      </c>
      <c r="I16" s="4" t="s">
        <v>697</v>
      </c>
    </row>
    <row r="17" spans="1:9" ht="15" customHeight="1" x14ac:dyDescent="0.2">
      <c r="A17" s="1869"/>
      <c r="B17" s="1710"/>
      <c r="C17" s="21" t="str">
        <f>F!C45</f>
        <v>&lt;0.5 ft deep (but &gt;0)</v>
      </c>
      <c r="D17" s="46">
        <f>F!D45</f>
        <v>0</v>
      </c>
      <c r="E17" s="190">
        <v>5</v>
      </c>
      <c r="F17" s="171">
        <f>D17*E17</f>
        <v>0</v>
      </c>
      <c r="G17" s="156"/>
      <c r="H17" s="1710"/>
    </row>
    <row r="18" spans="1:9" ht="15" customHeight="1" x14ac:dyDescent="0.2">
      <c r="A18" s="1869"/>
      <c r="B18" s="1710"/>
      <c r="C18" s="6" t="str">
        <f>F!C46</f>
        <v>0.5 - 1 ft deep</v>
      </c>
      <c r="D18" s="46">
        <f>F!D46</f>
        <v>0</v>
      </c>
      <c r="E18" s="190">
        <v>4</v>
      </c>
      <c r="F18" s="171">
        <f>D18*E18</f>
        <v>0</v>
      </c>
      <c r="G18" s="157"/>
      <c r="H18" s="1710"/>
    </row>
    <row r="19" spans="1:9" ht="15" customHeight="1" x14ac:dyDescent="0.2">
      <c r="A19" s="1869"/>
      <c r="B19" s="1710"/>
      <c r="C19" s="6" t="str">
        <f>F!C47</f>
        <v>1-2 ft deep</v>
      </c>
      <c r="D19" s="46">
        <f>F!D47</f>
        <v>0</v>
      </c>
      <c r="E19" s="190">
        <v>3</v>
      </c>
      <c r="F19" s="171">
        <f>D19*E19</f>
        <v>0</v>
      </c>
      <c r="G19" s="157"/>
      <c r="H19" s="1710"/>
    </row>
    <row r="20" spans="1:9" ht="15" customHeight="1" x14ac:dyDescent="0.2">
      <c r="A20" s="1869"/>
      <c r="B20" s="1710"/>
      <c r="C20" s="6" t="str">
        <f>F!C48</f>
        <v>2-6 ft deep</v>
      </c>
      <c r="D20" s="46">
        <f>F!D48</f>
        <v>0</v>
      </c>
      <c r="E20" s="190">
        <v>2</v>
      </c>
      <c r="F20" s="171">
        <f>D20*E20</f>
        <v>0</v>
      </c>
      <c r="G20" s="157"/>
      <c r="H20" s="1710"/>
    </row>
    <row r="21" spans="1:9" ht="15.6" customHeight="1" thickBot="1" x14ac:dyDescent="0.25">
      <c r="A21" s="1870"/>
      <c r="B21" s="1711"/>
      <c r="C21" s="214" t="str">
        <f>F!C49</f>
        <v>&gt;6 ft deep.  True for many fringe wetlands.</v>
      </c>
      <c r="D21" s="213">
        <f>F!D49</f>
        <v>0</v>
      </c>
      <c r="E21" s="192">
        <v>0</v>
      </c>
      <c r="F21" s="172">
        <f>D21*E21</f>
        <v>0</v>
      </c>
      <c r="G21" s="159"/>
      <c r="H21" s="1711"/>
    </row>
    <row r="22" spans="1:9" ht="45" customHeight="1" thickBot="1" x14ac:dyDescent="0.25">
      <c r="A22" s="1896" t="str">
        <f>F!A71</f>
        <v>F15</v>
      </c>
      <c r="B22" s="1692" t="str">
        <f>F!B71</f>
        <v>All Ponded Water - Extent</v>
      </c>
      <c r="C22" s="231" t="str">
        <f>F!C71</f>
        <v>During most of the growing season, the percentage of the AA that has ponded surface water (stagnant, or flows so slowly that fine sediment is not held in suspension) which is either open or shaded by emergent vegetation is:</v>
      </c>
      <c r="D22" s="170"/>
      <c r="E22" s="193"/>
      <c r="F22" s="175"/>
      <c r="G22" s="152">
        <f>IF((AllSat+AllSat1&gt;0),"",MAX(F23:F29)/MAX(E23:E29))</f>
        <v>0</v>
      </c>
      <c r="H22" s="1709" t="s">
        <v>5284</v>
      </c>
      <c r="I22" s="4" t="s">
        <v>696</v>
      </c>
    </row>
    <row r="23" spans="1:9" ht="15" customHeight="1" x14ac:dyDescent="0.2">
      <c r="A23" s="1897"/>
      <c r="B23" s="1713"/>
      <c r="C23" s="21" t="str">
        <f>F!C72</f>
        <v>&lt;1% or none, or occupies &lt;100 sq. ft cumulatively.  Enter "1" and SKIP to F19.</v>
      </c>
      <c r="D23" s="46">
        <f>F!D72</f>
        <v>0</v>
      </c>
      <c r="E23" s="136">
        <v>0</v>
      </c>
      <c r="F23" s="171">
        <f t="shared" ref="F23:F29" si="1">D23*E23</f>
        <v>0</v>
      </c>
      <c r="G23" s="157"/>
      <c r="H23" s="1710"/>
    </row>
    <row r="24" spans="1:9" ht="15" customHeight="1" x14ac:dyDescent="0.2">
      <c r="A24" s="1897"/>
      <c r="B24" s="1713"/>
      <c r="C24" s="6" t="str">
        <f>F!C73</f>
        <v>1-25% of the AA, and mainly in small fishless pools. Enter "1" and SKIP to F19.</v>
      </c>
      <c r="D24" s="46">
        <f>F!D73</f>
        <v>0</v>
      </c>
      <c r="E24" s="136">
        <v>1</v>
      </c>
      <c r="F24" s="171">
        <f t="shared" si="1"/>
        <v>0</v>
      </c>
      <c r="G24" s="157"/>
      <c r="H24" s="1710"/>
    </row>
    <row r="25" spans="1:9" ht="15" customHeight="1" x14ac:dyDescent="0.2">
      <c r="A25" s="1897"/>
      <c r="B25" s="1713"/>
      <c r="C25" s="6" t="str">
        <f>F!C74</f>
        <v>1-25% of the AA, and mainly in a single large pool or pond, with or without fish access.</v>
      </c>
      <c r="D25" s="46">
        <f>F!D74</f>
        <v>0</v>
      </c>
      <c r="E25" s="136">
        <v>2</v>
      </c>
      <c r="F25" s="171">
        <f t="shared" si="1"/>
        <v>0</v>
      </c>
      <c r="G25" s="157"/>
      <c r="H25" s="1710"/>
    </row>
    <row r="26" spans="1:9" ht="15" customHeight="1" x14ac:dyDescent="0.2">
      <c r="A26" s="1897"/>
      <c r="B26" s="1713"/>
      <c r="C26" s="6" t="str">
        <f>F!C75</f>
        <v>5-30% of the AA.</v>
      </c>
      <c r="D26" s="46">
        <f>F!D75</f>
        <v>0</v>
      </c>
      <c r="E26" s="136">
        <v>3</v>
      </c>
      <c r="F26" s="171">
        <f t="shared" si="1"/>
        <v>0</v>
      </c>
      <c r="G26" s="157"/>
      <c r="H26" s="1710"/>
    </row>
    <row r="27" spans="1:9" ht="15" customHeight="1" x14ac:dyDescent="0.2">
      <c r="A27" s="1897"/>
      <c r="B27" s="1713"/>
      <c r="C27" s="6" t="str">
        <f>F!C76</f>
        <v>30-70% of the AA.</v>
      </c>
      <c r="D27" s="46">
        <f>F!D76</f>
        <v>0</v>
      </c>
      <c r="E27" s="136">
        <v>4</v>
      </c>
      <c r="F27" s="171">
        <f t="shared" si="1"/>
        <v>0</v>
      </c>
      <c r="G27" s="157"/>
      <c r="H27" s="1710"/>
    </row>
    <row r="28" spans="1:9" ht="15" customHeight="1" x14ac:dyDescent="0.2">
      <c r="A28" s="1897"/>
      <c r="B28" s="1713"/>
      <c r="C28" s="6" t="str">
        <f>F!C77</f>
        <v>70-95% of the AA.</v>
      </c>
      <c r="D28" s="46">
        <f>F!D77</f>
        <v>0</v>
      </c>
      <c r="E28" s="136">
        <v>5</v>
      </c>
      <c r="F28" s="171">
        <f t="shared" si="1"/>
        <v>0</v>
      </c>
      <c r="G28" s="158"/>
      <c r="H28" s="1710"/>
    </row>
    <row r="29" spans="1:9" ht="15.6" customHeight="1" thickBot="1" x14ac:dyDescent="0.25">
      <c r="A29" s="1898"/>
      <c r="B29" s="1714"/>
      <c r="C29" s="214" t="str">
        <f>F!C78</f>
        <v>&gt;95% of the AA.</v>
      </c>
      <c r="D29" s="213">
        <f>F!D78</f>
        <v>0</v>
      </c>
      <c r="E29" s="194">
        <v>6</v>
      </c>
      <c r="F29" s="594">
        <f t="shared" si="1"/>
        <v>0</v>
      </c>
      <c r="G29" s="159"/>
      <c r="H29" s="1711"/>
    </row>
    <row r="30" spans="1:9" ht="30" customHeight="1" thickBot="1" x14ac:dyDescent="0.25">
      <c r="A30" s="1845" t="str">
        <f>F!A79</f>
        <v>F16</v>
      </c>
      <c r="B30" s="1688" t="str">
        <f>F!B79</f>
        <v>Open Ponded Water - Extent</v>
      </c>
      <c r="C30" s="5" t="str">
        <f>F!C79</f>
        <v>The percentage of the ponded water that is open (lacking emergent vegetation during most of the growing season, and unhidden by a forest or shrub canopy) is:</v>
      </c>
      <c r="D30" s="202"/>
      <c r="E30" s="140"/>
      <c r="F30" s="173"/>
      <c r="G30" s="155">
        <f>IF((AllSat+AllSat1&gt;0),"",IF((OR(puddles=1,NoPonded=1)),"",MAX(F31:F36)/MAX(E31:E36)))</f>
        <v>0</v>
      </c>
      <c r="H30" s="1688" t="s">
        <v>5285</v>
      </c>
      <c r="I30" s="4" t="s">
        <v>1995</v>
      </c>
    </row>
    <row r="31" spans="1:9" ht="15" customHeight="1" x14ac:dyDescent="0.2">
      <c r="A31" s="1845"/>
      <c r="B31" s="1688"/>
      <c r="C31" s="19" t="str">
        <f>F!C80</f>
        <v>&lt;1% or none, or largest pool occupies &lt;100 sq. ft.  Enter "1" and SKIP to F19.</v>
      </c>
      <c r="D31" s="20">
        <f>F!D80</f>
        <v>0</v>
      </c>
      <c r="E31" s="136">
        <v>0</v>
      </c>
      <c r="F31" s="171">
        <f t="shared" ref="F31:F36" si="2">D31*E31</f>
        <v>0</v>
      </c>
      <c r="G31" s="157"/>
      <c r="H31" s="1688"/>
    </row>
    <row r="32" spans="1:9" ht="15" customHeight="1" x14ac:dyDescent="0.2">
      <c r="A32" s="1845"/>
      <c r="B32" s="1688"/>
      <c r="C32" s="470" t="str">
        <f>F!C81</f>
        <v>1-5% of the ponded water.  Enter "1" and SKIP to F19.</v>
      </c>
      <c r="D32" s="20">
        <f>F!D81</f>
        <v>0</v>
      </c>
      <c r="E32" s="136">
        <v>1</v>
      </c>
      <c r="F32" s="171">
        <f t="shared" si="2"/>
        <v>0</v>
      </c>
      <c r="G32" s="157"/>
      <c r="H32" s="1688"/>
    </row>
    <row r="33" spans="1:9" ht="15" customHeight="1" x14ac:dyDescent="0.2">
      <c r="A33" s="1845"/>
      <c r="B33" s="1688"/>
      <c r="C33" s="470" t="str">
        <f>F!C82</f>
        <v>5-30% of the ponded water.</v>
      </c>
      <c r="D33" s="20">
        <f>F!D82</f>
        <v>0</v>
      </c>
      <c r="E33" s="136">
        <v>2</v>
      </c>
      <c r="F33" s="171">
        <f t="shared" si="2"/>
        <v>0</v>
      </c>
      <c r="G33" s="157"/>
      <c r="H33" s="1688"/>
    </row>
    <row r="34" spans="1:9" ht="15" customHeight="1" x14ac:dyDescent="0.2">
      <c r="A34" s="1845"/>
      <c r="B34" s="1688"/>
      <c r="C34" s="470" t="str">
        <f>F!C83</f>
        <v>30-70% of the ponded water.</v>
      </c>
      <c r="D34" s="20">
        <f>F!D83</f>
        <v>0</v>
      </c>
      <c r="E34" s="136">
        <v>3</v>
      </c>
      <c r="F34" s="171">
        <f t="shared" si="2"/>
        <v>0</v>
      </c>
      <c r="G34" s="157"/>
      <c r="H34" s="1688"/>
    </row>
    <row r="35" spans="1:9" ht="15" customHeight="1" x14ac:dyDescent="0.2">
      <c r="A35" s="1845"/>
      <c r="B35" s="1688"/>
      <c r="C35" s="470" t="str">
        <f>F!C84</f>
        <v>70-99% of the ponded water.</v>
      </c>
      <c r="D35" s="20">
        <f>F!D84</f>
        <v>0</v>
      </c>
      <c r="E35" s="136">
        <v>4</v>
      </c>
      <c r="F35" s="171">
        <f t="shared" si="2"/>
        <v>0</v>
      </c>
      <c r="G35" s="157"/>
      <c r="H35" s="1688"/>
    </row>
    <row r="36" spans="1:9" ht="15" customHeight="1" thickBot="1" x14ac:dyDescent="0.25">
      <c r="A36" s="1845"/>
      <c r="B36" s="1688"/>
      <c r="C36" s="470" t="str">
        <f>F!C85</f>
        <v>100% of the ponded water. SKIP to F18.</v>
      </c>
      <c r="D36" s="20">
        <f>F!D85</f>
        <v>0</v>
      </c>
      <c r="E36" s="137">
        <v>5</v>
      </c>
      <c r="F36" s="174">
        <f t="shared" si="2"/>
        <v>0</v>
      </c>
      <c r="G36" s="158"/>
      <c r="H36" s="1688"/>
    </row>
    <row r="37" spans="1:9" ht="60" customHeight="1" thickBot="1" x14ac:dyDescent="0.25">
      <c r="A37" s="541" t="str">
        <f>F!A92</f>
        <v>F20</v>
      </c>
      <c r="B37" s="5" t="str">
        <f>F!B92</f>
        <v>Stained Surface Water</v>
      </c>
      <c r="C37" s="222" t="str">
        <f>F!C92</f>
        <v xml:space="preserve">Most surface water is tea-colored (from tannins, not iron bacteria), and/or its pH is usually &lt;5.5.  If surface water not observed, enter "1" if organic soil depth exceeds 6 inches and vegetation is mostly moss and/or evergreens. </v>
      </c>
      <c r="D37" s="314">
        <f>F!D92</f>
        <v>0</v>
      </c>
      <c r="E37" s="1355"/>
      <c r="F37" s="595"/>
      <c r="G37" s="201" t="str">
        <f>IF((AllSat+AllSat1&gt;0),"",IF((D37=0),"",0))</f>
        <v/>
      </c>
      <c r="H37" s="5" t="s">
        <v>958</v>
      </c>
      <c r="I37" s="4" t="s">
        <v>693</v>
      </c>
    </row>
    <row r="38" spans="1:9" ht="21" customHeight="1" thickBot="1" x14ac:dyDescent="0.25">
      <c r="A38" s="1868" t="str">
        <f>F!A130</f>
        <v>F30</v>
      </c>
      <c r="B38" s="1687" t="str">
        <f>F!B130</f>
        <v>Groundwater: Strength of Evidence</v>
      </c>
      <c r="C38" s="231" t="str">
        <f>F!C130</f>
        <v>Select first applicable choice.  In the AA:</v>
      </c>
      <c r="D38" s="188"/>
      <c r="E38" s="191"/>
      <c r="F38" s="175"/>
      <c r="G38" s="152">
        <f>MAX(F39:F41)/MAX(E39:E41)</f>
        <v>0</v>
      </c>
      <c r="H38" s="1709" t="s">
        <v>1180</v>
      </c>
      <c r="I38" s="4" t="s">
        <v>694</v>
      </c>
    </row>
    <row r="39" spans="1:9" ht="72" customHeight="1" x14ac:dyDescent="0.2">
      <c r="A39" s="1869"/>
      <c r="B39" s="1688"/>
      <c r="C39"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39" s="46">
        <f>F!D131</f>
        <v>0</v>
      </c>
      <c r="E39" s="190">
        <v>3</v>
      </c>
      <c r="F39" s="176">
        <f>D39*E39</f>
        <v>0</v>
      </c>
      <c r="G39" s="156"/>
      <c r="H39" s="1710"/>
    </row>
    <row r="40" spans="1:9" ht="84" customHeight="1" x14ac:dyDescent="0.2">
      <c r="A40" s="1869"/>
      <c r="B40" s="1688"/>
      <c r="C40" s="470"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40" s="20">
        <f>F!D132</f>
        <v>0</v>
      </c>
      <c r="E40" s="190">
        <v>2</v>
      </c>
      <c r="F40" s="171">
        <f>D40*E40</f>
        <v>0</v>
      </c>
      <c r="G40" s="157"/>
      <c r="H40" s="1710"/>
    </row>
    <row r="41" spans="1:9" ht="27.6" customHeight="1" thickBot="1" x14ac:dyDescent="0.25">
      <c r="A41" s="1870"/>
      <c r="B41" s="1689"/>
      <c r="C41" s="214" t="str">
        <f>F!C133</f>
        <v>Neither of above is true, although some groundwater may discharge to or flow through the AA, or groundwater influx is unknown.</v>
      </c>
      <c r="D41" s="213">
        <f>F!D133</f>
        <v>0</v>
      </c>
      <c r="E41" s="192">
        <v>0</v>
      </c>
      <c r="F41" s="172">
        <f>D41*E41</f>
        <v>0</v>
      </c>
      <c r="G41" s="159"/>
      <c r="H41" s="1711"/>
    </row>
    <row r="42" spans="1:9" s="3" customFormat="1" ht="30" customHeight="1" thickBot="1" x14ac:dyDescent="0.25">
      <c r="A42" s="483" t="s">
        <v>290</v>
      </c>
      <c r="B42" s="488" t="s">
        <v>2613</v>
      </c>
      <c r="C42" s="475" t="s">
        <v>2606</v>
      </c>
      <c r="D42" s="474" t="s">
        <v>117</v>
      </c>
      <c r="E42" s="626" t="s">
        <v>5438</v>
      </c>
      <c r="F42" s="627" t="s">
        <v>5439</v>
      </c>
      <c r="G42" s="628" t="s">
        <v>5825</v>
      </c>
      <c r="H42" s="488" t="s">
        <v>919</v>
      </c>
    </row>
    <row r="43" spans="1:9" ht="21" customHeight="1" thickBot="1" x14ac:dyDescent="0.25">
      <c r="A43" s="1907" t="str">
        <f>OF!A80</f>
        <v>OF13</v>
      </c>
      <c r="B43" s="1906" t="str">
        <f>OF!B80</f>
        <v>Tidal Proximity</v>
      </c>
      <c r="C43" s="586" t="str">
        <f>OF!C80</f>
        <v>The distance from the AA edge to the closest tidal water body is:</v>
      </c>
      <c r="D43" s="188"/>
      <c r="E43" s="178"/>
      <c r="F43" s="177"/>
      <c r="G43" s="160">
        <f>MAX(F44:F48)/MAX(E44:E48)</f>
        <v>0</v>
      </c>
      <c r="H43" s="1701" t="s">
        <v>957</v>
      </c>
      <c r="I43" s="4" t="s">
        <v>699</v>
      </c>
    </row>
    <row r="44" spans="1:9" ht="15" customHeight="1" x14ac:dyDescent="0.2">
      <c r="A44" s="1899"/>
      <c r="B44" s="1713"/>
      <c r="C44" s="587" t="str">
        <f>OF!C81</f>
        <v>&lt;300 ft</v>
      </c>
      <c r="D44" s="284">
        <f>OF!D81</f>
        <v>0</v>
      </c>
      <c r="E44" s="178">
        <v>6</v>
      </c>
      <c r="F44" s="178">
        <f>D44*E44</f>
        <v>0</v>
      </c>
      <c r="G44" s="161"/>
      <c r="H44" s="1702"/>
    </row>
    <row r="45" spans="1:9" ht="15" customHeight="1" x14ac:dyDescent="0.2">
      <c r="A45" s="1899"/>
      <c r="B45" s="1713"/>
      <c r="C45" s="588" t="str">
        <f>OF!C82</f>
        <v>300-1000 ft</v>
      </c>
      <c r="D45" s="284">
        <f>OF!D82</f>
        <v>0</v>
      </c>
      <c r="E45" s="178">
        <v>4</v>
      </c>
      <c r="F45" s="178">
        <f>D45*E45</f>
        <v>0</v>
      </c>
      <c r="G45" s="162"/>
      <c r="H45" s="1702"/>
    </row>
    <row r="46" spans="1:9" ht="15" customHeight="1" x14ac:dyDescent="0.2">
      <c r="A46" s="1899"/>
      <c r="B46" s="1713"/>
      <c r="C46" s="588" t="str">
        <f>OF!C83</f>
        <v>1000 ft - 1 mile</v>
      </c>
      <c r="D46" s="284">
        <f>OF!D83</f>
        <v>0</v>
      </c>
      <c r="E46" s="178">
        <v>2</v>
      </c>
      <c r="F46" s="178">
        <f>D46*E46</f>
        <v>0</v>
      </c>
      <c r="G46" s="162"/>
      <c r="H46" s="1702"/>
    </row>
    <row r="47" spans="1:9" ht="15" customHeight="1" x14ac:dyDescent="0.2">
      <c r="A47" s="1899"/>
      <c r="B47" s="1713"/>
      <c r="C47" s="588" t="str">
        <f>OF!C84</f>
        <v>1-5 miles</v>
      </c>
      <c r="D47" s="284">
        <f>OF!D84</f>
        <v>0</v>
      </c>
      <c r="E47" s="178">
        <v>1</v>
      </c>
      <c r="F47" s="178">
        <f>D47*E47</f>
        <v>0</v>
      </c>
      <c r="G47" s="162"/>
      <c r="H47" s="1702"/>
    </row>
    <row r="48" spans="1:9" ht="15.6" customHeight="1" thickBot="1" x14ac:dyDescent="0.25">
      <c r="A48" s="1899"/>
      <c r="B48" s="1713"/>
      <c r="C48" s="589" t="str">
        <f>OF!C85</f>
        <v>&gt;5 miles</v>
      </c>
      <c r="D48" s="285">
        <f>OF!D85</f>
        <v>0</v>
      </c>
      <c r="E48" s="179">
        <v>0</v>
      </c>
      <c r="F48" s="179">
        <f>D48*E48</f>
        <v>0</v>
      </c>
      <c r="G48" s="162"/>
      <c r="H48" s="1703"/>
    </row>
    <row r="49" spans="1:9" ht="21" customHeight="1" thickBot="1" x14ac:dyDescent="0.25">
      <c r="A49" s="1868" t="str">
        <f>OF!A93</f>
        <v>OF16</v>
      </c>
      <c r="B49" s="1687" t="str">
        <f>OF!B93</f>
        <v>Glacier Fed</v>
      </c>
      <c r="C49" s="231" t="str">
        <f>OF!C93</f>
        <v>Refer to the Glaciers map in the online WESPAK-SE Wetlands Module.  Select the first applicable choice:</v>
      </c>
      <c r="D49" s="188"/>
      <c r="E49" s="195"/>
      <c r="F49" s="180"/>
      <c r="G49" s="160">
        <f>IF((AllSat=1),"",MAX(F50:F52)/MAX(E50:E52))</f>
        <v>0</v>
      </c>
      <c r="H49" s="1687" t="s">
        <v>5307</v>
      </c>
      <c r="I49" s="4" t="s">
        <v>700</v>
      </c>
    </row>
    <row r="50" spans="1:9" ht="15" customHeight="1" x14ac:dyDescent="0.2">
      <c r="A50" s="1869"/>
      <c r="B50" s="1688"/>
      <c r="C50" s="21" t="str">
        <f>OF!C94</f>
        <v>No upstream glacier feeds surface water to the AA, not even seasonally.</v>
      </c>
      <c r="D50" s="46">
        <f>OF!D94</f>
        <v>0</v>
      </c>
      <c r="E50" s="178">
        <v>0</v>
      </c>
      <c r="F50" s="178">
        <f>D50*E50</f>
        <v>0</v>
      </c>
      <c r="G50" s="163"/>
      <c r="H50" s="1688"/>
    </row>
    <row r="51" spans="1:9" ht="42" customHeight="1" x14ac:dyDescent="0.2">
      <c r="A51" s="1869"/>
      <c r="B51" s="1688"/>
      <c r="C51" s="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51" s="46">
        <f>OF!D95</f>
        <v>0</v>
      </c>
      <c r="E51" s="178">
        <v>3</v>
      </c>
      <c r="F51" s="178">
        <f>D51*E51</f>
        <v>0</v>
      </c>
      <c r="G51" s="153"/>
      <c r="H51" s="1688"/>
    </row>
    <row r="52" spans="1:9" ht="27.6" customHeight="1" thickBot="1" x14ac:dyDescent="0.25">
      <c r="A52" s="1870"/>
      <c r="B52" s="1689"/>
      <c r="C52" s="214" t="str">
        <f>OF!C96</f>
        <v>A glacier feeds streamflow or other surface water to the AA, but there is little or no resultant reduction in water clarity.</v>
      </c>
      <c r="D52" s="213">
        <f>OF!D96</f>
        <v>0</v>
      </c>
      <c r="E52" s="181">
        <v>2</v>
      </c>
      <c r="F52" s="181">
        <f>D52*E52</f>
        <v>0</v>
      </c>
      <c r="G52" s="154"/>
      <c r="H52" s="1689"/>
    </row>
    <row r="53" spans="1:9" ht="30" customHeight="1" thickBot="1" x14ac:dyDescent="0.25">
      <c r="A53" s="1845" t="str">
        <f>OF!A113</f>
        <v>OF21</v>
      </c>
      <c r="B53" s="1688" t="str">
        <f>OF!B113</f>
        <v>Temperature, Mean Annual</v>
      </c>
      <c r="C53" s="381" t="str">
        <f>OF!C113</f>
        <v>Refer to the Temperature layer in the online WESPAK-SE Wetlands Module. The mean annual temperature in the vicinity of the AA was modeled as (rounded to the nearest whole number):</v>
      </c>
      <c r="D53" s="188"/>
      <c r="E53" s="196"/>
      <c r="F53" s="182"/>
      <c r="G53" s="164">
        <f>IF((D59=1),"",MAX(F54:F58)/MAX(E54:E58))</f>
        <v>0</v>
      </c>
      <c r="H53" s="1688" t="s">
        <v>1893</v>
      </c>
      <c r="I53" s="4" t="s">
        <v>2398</v>
      </c>
    </row>
    <row r="54" spans="1:9" ht="15" customHeight="1" x14ac:dyDescent="0.2">
      <c r="A54" s="1845"/>
      <c r="B54" s="1688"/>
      <c r="C54" s="384" t="str">
        <f>OF!C114</f>
        <v>&lt;38 degrees F</v>
      </c>
      <c r="D54" s="46">
        <f>OF!D114</f>
        <v>0</v>
      </c>
      <c r="E54" s="178">
        <v>4</v>
      </c>
      <c r="F54" s="179">
        <f>D54*E54</f>
        <v>0</v>
      </c>
      <c r="G54" s="153"/>
      <c r="H54" s="1688"/>
    </row>
    <row r="55" spans="1:9" ht="15" customHeight="1" x14ac:dyDescent="0.2">
      <c r="A55" s="1845"/>
      <c r="B55" s="1688"/>
      <c r="C55" s="487" t="str">
        <f>OF!C115</f>
        <v>38-40 degrees F</v>
      </c>
      <c r="D55" s="46">
        <f>OF!D115</f>
        <v>0</v>
      </c>
      <c r="E55" s="178">
        <v>3</v>
      </c>
      <c r="F55" s="179">
        <f>D55*E55</f>
        <v>0</v>
      </c>
      <c r="G55" s="153"/>
      <c r="H55" s="1688"/>
    </row>
    <row r="56" spans="1:9" ht="15" customHeight="1" x14ac:dyDescent="0.2">
      <c r="A56" s="1845"/>
      <c r="B56" s="1688"/>
      <c r="C56" s="487" t="str">
        <f>OF!C116</f>
        <v>41-42 degrees F</v>
      </c>
      <c r="D56" s="46">
        <f>OF!D116</f>
        <v>0</v>
      </c>
      <c r="E56" s="178">
        <v>2</v>
      </c>
      <c r="F56" s="179">
        <f>D56*E56</f>
        <v>0</v>
      </c>
      <c r="G56" s="153"/>
      <c r="H56" s="1688"/>
    </row>
    <row r="57" spans="1:9" ht="15" customHeight="1" x14ac:dyDescent="0.2">
      <c r="A57" s="1845"/>
      <c r="B57" s="1688"/>
      <c r="C57" s="487" t="str">
        <f>OF!C117</f>
        <v>43-44 degrees F</v>
      </c>
      <c r="D57" s="46">
        <f>OF!D117</f>
        <v>0</v>
      </c>
      <c r="E57" s="178">
        <v>1</v>
      </c>
      <c r="F57" s="179">
        <f>D57*E57</f>
        <v>0</v>
      </c>
      <c r="G57" s="153"/>
      <c r="H57" s="1688"/>
    </row>
    <row r="58" spans="1:9" ht="15" customHeight="1" x14ac:dyDescent="0.2">
      <c r="A58" s="1845"/>
      <c r="B58" s="1688"/>
      <c r="C58" s="487" t="str">
        <f>OF!C118</f>
        <v>&gt; 44 degrees F</v>
      </c>
      <c r="D58" s="46">
        <f>OF!D118</f>
        <v>0</v>
      </c>
      <c r="E58" s="178">
        <v>0</v>
      </c>
      <c r="F58" s="179">
        <f>D58*E58</f>
        <v>0</v>
      </c>
      <c r="G58" s="153"/>
      <c r="H58" s="1688"/>
    </row>
    <row r="59" spans="1:9" ht="15.6" customHeight="1" thickBot="1" x14ac:dyDescent="0.25">
      <c r="A59" s="1845"/>
      <c r="B59" s="1688"/>
      <c r="C59" s="379" t="str">
        <f>OF!C119</f>
        <v>no information available</v>
      </c>
      <c r="D59" s="20">
        <f>OF!D119</f>
        <v>0</v>
      </c>
      <c r="E59" s="179"/>
      <c r="F59" s="183"/>
      <c r="G59" s="162"/>
      <c r="H59" s="1688"/>
    </row>
    <row r="60" spans="1:9" s="3" customFormat="1" ht="79.5" customHeight="1" thickBot="1" x14ac:dyDescent="0.25">
      <c r="A60" s="1868" t="str">
        <f>OF!A$147</f>
        <v>OF28</v>
      </c>
      <c r="B60" s="1701" t="str">
        <f>OF!B147</f>
        <v>Elevation in Multi-scale Watersheds</v>
      </c>
      <c r="C60" s="231"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60" s="188"/>
      <c r="E60" s="195"/>
      <c r="F60" s="180"/>
      <c r="G60" s="160" t="str">
        <f>IF((D61=0),"", (3*D61 + 2*D62 + D63)/18)</f>
        <v/>
      </c>
      <c r="H60" s="1687" t="s">
        <v>5278</v>
      </c>
      <c r="I60" s="3" t="s">
        <v>701</v>
      </c>
    </row>
    <row r="61" spans="1:9" s="3" customFormat="1" ht="27" customHeight="1" x14ac:dyDescent="0.2">
      <c r="A61" s="1869"/>
      <c r="B61" s="1702"/>
      <c r="C61" s="21" t="str">
        <f>OF!C148</f>
        <v>In its HUC8 (the watershed with a 12-digit code), the AA's elevation puts it in (enter one of the following): 3= upper one-third, 2= middle one-third, 1= lower one-third, 0= no data.</v>
      </c>
      <c r="D61" s="46">
        <f>OF!D148</f>
        <v>0</v>
      </c>
      <c r="E61" s="178"/>
      <c r="F61" s="178"/>
      <c r="G61" s="163"/>
      <c r="H61" s="1688"/>
    </row>
    <row r="62" spans="1:9" s="3" customFormat="1" ht="42" customHeight="1" x14ac:dyDescent="0.2">
      <c r="A62" s="1869"/>
      <c r="B62" s="1702"/>
      <c r="C62" s="6" t="str">
        <f>OF!C149</f>
        <v>In its HUC7 (the 10-digit* watershed), the AA's elevation puts it in (enter one of the following): 3= upper one-third, 2= middle one-third, 1= lower one-third, 0= no data.  [The 10-digit HUC is obtained by deleting the last 2 digits of the 12-digit HUC code]</v>
      </c>
      <c r="D62" s="46">
        <f>OF!D149</f>
        <v>0</v>
      </c>
      <c r="E62" s="178"/>
      <c r="F62" s="178"/>
      <c r="G62" s="153"/>
      <c r="H62" s="1688"/>
    </row>
    <row r="63" spans="1:9" s="3" customFormat="1" ht="42.6" customHeight="1" thickBot="1" x14ac:dyDescent="0.25">
      <c r="A63" s="1870"/>
      <c r="B63" s="1712"/>
      <c r="C63" s="214" t="str">
        <f>OF!C150</f>
        <v>In its HUC6 (the 8-digit* watershed) the AA's elevation puts it in (enter one of the following): 3= upper one-third, 2= middle one-third, 1= lower one-third, 0= no data.  [The 8-digit HUC is obtained by deleting the last 4 digits of the 12-digit HUC code]</v>
      </c>
      <c r="D63" s="213">
        <f>OF!D150</f>
        <v>0</v>
      </c>
      <c r="E63" s="181"/>
      <c r="F63" s="181"/>
      <c r="G63" s="154"/>
      <c r="H63" s="1689"/>
    </row>
    <row r="64" spans="1:9" ht="45" customHeight="1" thickBot="1" x14ac:dyDescent="0.25">
      <c r="A64" s="1868" t="str">
        <f>OF!A157</f>
        <v>OF31</v>
      </c>
      <c r="B64" s="1687" t="str">
        <f>OF!B157</f>
        <v>Unvegetated Surface in the Contributing Area</v>
      </c>
      <c r="C64" s="231" t="str">
        <f>OF!C157</f>
        <v>The proportion of the AA's contributing area (measured to no more than 1000 ft upslope) that is comprised of buildings, roads, parking lots, other pavement, exposed bedrock, debris flows, and other mostly-bare (but unfrozen) surface is about :</v>
      </c>
      <c r="D64" s="140"/>
      <c r="E64" s="195"/>
      <c r="F64" s="180"/>
      <c r="G64" s="160">
        <f>IF((NoCA=1),"", MAX(F65:F67)/MAX(E65:E67))</f>
        <v>0</v>
      </c>
      <c r="H64" s="1687" t="s">
        <v>1094</v>
      </c>
      <c r="I64" s="4" t="s">
        <v>703</v>
      </c>
    </row>
    <row r="65" spans="1:9" ht="15" customHeight="1" x14ac:dyDescent="0.2">
      <c r="A65" s="1869"/>
      <c r="B65" s="1688"/>
      <c r="C65" s="21" t="str">
        <f>OF!C158</f>
        <v>&lt;10%</v>
      </c>
      <c r="D65" s="280">
        <f>OF!D158</f>
        <v>0</v>
      </c>
      <c r="E65" s="178">
        <v>2</v>
      </c>
      <c r="F65" s="178">
        <f>D65*E65</f>
        <v>0</v>
      </c>
      <c r="G65" s="163"/>
      <c r="H65" s="1688"/>
    </row>
    <row r="66" spans="1:9" ht="15" customHeight="1" x14ac:dyDescent="0.2">
      <c r="A66" s="1869"/>
      <c r="B66" s="1688"/>
      <c r="C66" s="6" t="str">
        <f>OF!C159</f>
        <v>10 to 25%</v>
      </c>
      <c r="D66" s="46">
        <f>OF!D159</f>
        <v>0</v>
      </c>
      <c r="E66" s="178">
        <v>1</v>
      </c>
      <c r="F66" s="178">
        <f>D66*E66</f>
        <v>0</v>
      </c>
      <c r="G66" s="153"/>
      <c r="H66" s="1688"/>
    </row>
    <row r="67" spans="1:9" ht="15.6" customHeight="1" thickBot="1" x14ac:dyDescent="0.25">
      <c r="A67" s="1870"/>
      <c r="B67" s="1689"/>
      <c r="C67" s="214" t="str">
        <f>OF!C160</f>
        <v>&gt;25%</v>
      </c>
      <c r="D67" s="213">
        <f>OF!D160</f>
        <v>0</v>
      </c>
      <c r="E67" s="181">
        <v>0</v>
      </c>
      <c r="F67" s="181">
        <f>D67*E67</f>
        <v>0</v>
      </c>
      <c r="G67" s="154"/>
      <c r="H67" s="1689"/>
    </row>
    <row r="68" spans="1:9" ht="21" customHeight="1" thickBot="1" x14ac:dyDescent="0.25">
      <c r="A68" s="1868" t="str">
        <f>OF!A$165</f>
        <v>OF33</v>
      </c>
      <c r="B68" s="1687" t="str">
        <f>OF!B$165</f>
        <v>Aspect</v>
      </c>
      <c r="C68" s="231" t="str">
        <f>OF!C165</f>
        <v>The overland flow direction of most surface water (in streams or runoff) that enters the AA is:</v>
      </c>
      <c r="D68" s="193"/>
      <c r="E68" s="607"/>
      <c r="F68" s="175"/>
      <c r="G68" s="160">
        <f>IF((NoCA=1),"", MAX(F69:F71)/MAX(E69:E71))</f>
        <v>0</v>
      </c>
      <c r="H68" s="1687" t="s">
        <v>1093</v>
      </c>
      <c r="I68" s="4" t="s">
        <v>702</v>
      </c>
    </row>
    <row r="69" spans="1:9" ht="15" customHeight="1" x14ac:dyDescent="0.2">
      <c r="A69" s="1869"/>
      <c r="B69" s="1688"/>
      <c r="C69" s="19" t="str">
        <f>OF!C166</f>
        <v>Northward (N, NE).  north-facing CA.</v>
      </c>
      <c r="D69" s="380">
        <f>OF!D166</f>
        <v>0</v>
      </c>
      <c r="E69" s="171">
        <v>2</v>
      </c>
      <c r="F69" s="171">
        <f>D69*E69</f>
        <v>0</v>
      </c>
      <c r="G69" s="165"/>
      <c r="H69" s="1688"/>
    </row>
    <row r="70" spans="1:9" ht="15" customHeight="1" x14ac:dyDescent="0.2">
      <c r="A70" s="1869"/>
      <c r="B70" s="1688"/>
      <c r="C70" s="470" t="str">
        <f>OF!C167</f>
        <v>Southward (S, SW).  south-facing CA.</v>
      </c>
      <c r="D70" s="20">
        <f>OF!D167</f>
        <v>0</v>
      </c>
      <c r="E70" s="171">
        <v>0</v>
      </c>
      <c r="F70" s="171">
        <f>D70*E70</f>
        <v>0</v>
      </c>
      <c r="G70" s="166"/>
      <c r="H70" s="1688"/>
    </row>
    <row r="71" spans="1:9" ht="15.6" customHeight="1" thickBot="1" x14ac:dyDescent="0.25">
      <c r="A71" s="1870"/>
      <c r="B71" s="1689"/>
      <c r="C71" s="214" t="str">
        <f>OF!C168</f>
        <v>other (E, SE, W, NW), or no detectable uphill slope or input channel (flat)</v>
      </c>
      <c r="D71" s="213">
        <f>OF!D168</f>
        <v>0</v>
      </c>
      <c r="E71" s="172">
        <v>1</v>
      </c>
      <c r="F71" s="172">
        <f>D71*E71</f>
        <v>0</v>
      </c>
      <c r="G71" s="608"/>
      <c r="H71" s="1689"/>
    </row>
    <row r="72" spans="1:9" ht="51.75" customHeight="1" thickBot="1" x14ac:dyDescent="0.25">
      <c r="A72" s="42" t="str">
        <f>F!A31</f>
        <v>F5</v>
      </c>
      <c r="B72" s="143" t="str">
        <f>F!B31</f>
        <v>Fringe Wetland</v>
      </c>
      <c r="C72" s="3" t="str">
        <f>F!C31</f>
        <v>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v>
      </c>
      <c r="D72" s="282">
        <f>F!D31</f>
        <v>0</v>
      </c>
      <c r="E72" s="184"/>
      <c r="F72" s="184"/>
      <c r="G72" s="167" t="str">
        <f>IF((AllSat+AllSat1&gt;0),"",IF((NoPersis=1),"",IF((D42=1),0,"")))</f>
        <v/>
      </c>
      <c r="H72" s="143" t="s">
        <v>674</v>
      </c>
      <c r="I72" s="4" t="s">
        <v>698</v>
      </c>
    </row>
    <row r="73" spans="1:9" ht="30" customHeight="1" thickBot="1" x14ac:dyDescent="0.25">
      <c r="A73" s="585" t="str">
        <f>F!A108</f>
        <v>F25</v>
      </c>
      <c r="B73" s="148" t="str">
        <f>F!B108</f>
        <v>Input Water Temperature</v>
      </c>
      <c r="C73" s="590" t="str">
        <f>F!C108</f>
        <v>Based on lack of shade upstream or source characteristics, the inflow is likely to be warmer than the AA's surface water during part of most years.  Enter 1= yes, 0= no.</v>
      </c>
      <c r="D73" s="269">
        <f>F!D108</f>
        <v>0</v>
      </c>
      <c r="E73" s="185"/>
      <c r="F73" s="185"/>
      <c r="G73" s="168" t="str">
        <f>IF((AllSat+AllSat1&gt;0),"",IF((Inflows=0),"",1-D73))</f>
        <v/>
      </c>
      <c r="H73" s="5" t="s">
        <v>2399</v>
      </c>
      <c r="I73" s="4" t="s">
        <v>2112</v>
      </c>
    </row>
    <row r="74" spans="1:9" ht="30" customHeight="1" thickBot="1" x14ac:dyDescent="0.25">
      <c r="A74" s="1899" t="str">
        <f>F!A120</f>
        <v>F28</v>
      </c>
      <c r="B74" s="1713" t="str">
        <f>F!B120</f>
        <v>Outflow Duration</v>
      </c>
      <c r="C74" s="542" t="str">
        <f>F!C120</f>
        <v>The most persistent surface water connection (outlet channel or pipe, ditch, or overbank water exchange) between the AA and the closest off-site downslope water body is:</v>
      </c>
      <c r="D74" s="140"/>
      <c r="E74" s="184"/>
      <c r="F74" s="184"/>
      <c r="G74" s="164">
        <f>MAX(F75:F79)/MAX(E75:E79)</f>
        <v>0</v>
      </c>
      <c r="H74" s="1688" t="s">
        <v>956</v>
      </c>
      <c r="I74" s="4" t="s">
        <v>678</v>
      </c>
    </row>
    <row r="75" spans="1:9" ht="27" customHeight="1" x14ac:dyDescent="0.2">
      <c r="A75" s="1899"/>
      <c r="B75" s="1713"/>
      <c r="C75" s="543" t="str">
        <f>F!C121</f>
        <v>persistent (&gt;9 months/year); almost always shown on stream maps, or determine from your dry-season observation.</v>
      </c>
      <c r="D75" s="283">
        <f>F!D121</f>
        <v>0</v>
      </c>
      <c r="E75" s="197">
        <v>5</v>
      </c>
      <c r="F75" s="178">
        <f>D75*E75</f>
        <v>0</v>
      </c>
      <c r="G75" s="161"/>
      <c r="H75" s="1688"/>
    </row>
    <row r="76" spans="1:9" ht="15" customHeight="1" x14ac:dyDescent="0.2">
      <c r="A76" s="1899"/>
      <c r="B76" s="1713"/>
      <c r="C76" s="544" t="str">
        <f>F!C122</f>
        <v>seasonal (14 days to 9 months/year, not necessarily consecutive); sometimes shown on stream maps.</v>
      </c>
      <c r="D76" s="284">
        <f>F!D122</f>
        <v>0</v>
      </c>
      <c r="E76" s="197">
        <v>2</v>
      </c>
      <c r="F76" s="178">
        <f>D76*E76</f>
        <v>0</v>
      </c>
      <c r="G76" s="162"/>
      <c r="H76" s="1688"/>
    </row>
    <row r="77" spans="1:9" ht="15" customHeight="1" x14ac:dyDescent="0.2">
      <c r="A77" s="1899"/>
      <c r="B77" s="1713"/>
      <c r="C77" s="544" t="str">
        <f>F!C123</f>
        <v>temporary (&lt;14 days, not necessarily consecutive); seldom shown on stream maps.</v>
      </c>
      <c r="D77" s="284">
        <f>F!D123</f>
        <v>0</v>
      </c>
      <c r="E77" s="197">
        <v>1</v>
      </c>
      <c r="F77" s="178">
        <f>D77*E77</f>
        <v>0</v>
      </c>
      <c r="G77" s="162"/>
      <c r="H77" s="1688"/>
    </row>
    <row r="78" spans="1:9" ht="27" customHeight="1" x14ac:dyDescent="0.2">
      <c r="A78" s="1899"/>
      <c r="B78" s="1713"/>
      <c r="C78" s="544" t="str">
        <f>F!C124</f>
        <v xml:space="preserve">none -- but maps show a stream or other water body that is downslope from the AA and within a distance that is less than the AA's path length (see definition, OF35).  If so, mark "1" here and SKIP TO F30. </v>
      </c>
      <c r="D78" s="284">
        <f>F!D124</f>
        <v>0</v>
      </c>
      <c r="E78" s="197">
        <v>0</v>
      </c>
      <c r="F78" s="178">
        <f>D78*E78</f>
        <v>0</v>
      </c>
      <c r="G78" s="162"/>
      <c r="H78" s="1688"/>
    </row>
    <row r="79" spans="1:9" ht="42" customHeight="1" thickBot="1" x14ac:dyDescent="0.25">
      <c r="A79" s="1899"/>
      <c r="B79" s="1713"/>
      <c r="C79" s="545" t="str">
        <f>F!C125</f>
        <v xml:space="preserve">no surface water flows out of the wetland except possibly during extreme events (less than once per 10 years). Or, water flows only into a wetland, ditch, or lake that lacks an outlet.  If so, mark "1" here and SKIP TO F30. </v>
      </c>
      <c r="D79" s="285">
        <f>F!D125</f>
        <v>0</v>
      </c>
      <c r="E79" s="198">
        <v>0</v>
      </c>
      <c r="F79" s="179">
        <f>D79*E79</f>
        <v>0</v>
      </c>
      <c r="G79" s="162"/>
      <c r="H79" s="1688"/>
    </row>
    <row r="80" spans="1:9" ht="30" customHeight="1" thickBot="1" x14ac:dyDescent="0.25">
      <c r="A80" s="541"/>
      <c r="B80" s="591" t="str">
        <f>AM!C251</f>
        <v>Function Score for Amphibian Habitat</v>
      </c>
      <c r="C80" s="205"/>
      <c r="D80" s="596"/>
      <c r="E80" s="199"/>
      <c r="F80" s="185"/>
      <c r="G80" s="168">
        <f>AM!G251/10</f>
        <v>1.388888888888889E-2</v>
      </c>
      <c r="H80" s="49" t="s">
        <v>1182</v>
      </c>
      <c r="I80" s="4" t="s">
        <v>810</v>
      </c>
    </row>
    <row r="81" spans="1:8" ht="21" customHeight="1" thickBot="1" x14ac:dyDescent="0.25">
      <c r="A81" s="1905"/>
      <c r="B81" s="1905"/>
      <c r="C81" s="1905"/>
      <c r="D81" s="1905"/>
      <c r="E81" s="1905"/>
      <c r="F81" s="1905"/>
      <c r="G81" s="1905"/>
      <c r="H81" s="1905"/>
    </row>
    <row r="82" spans="1:8" ht="30" customHeight="1" thickBot="1" x14ac:dyDescent="0.25">
      <c r="A82" s="1862"/>
      <c r="B82" s="1863"/>
      <c r="C82" s="1874" t="s">
        <v>1102</v>
      </c>
      <c r="D82" s="1875"/>
      <c r="E82" s="1876"/>
      <c r="F82" s="546" t="s">
        <v>141</v>
      </c>
      <c r="G82" s="547">
        <f>10*(IF((AllSat=1),Gwater7w,  AVERAGE(Gwater7w,OpenPonded7a,Shade7w,Depth7w,ISOdry7w)))</f>
        <v>0</v>
      </c>
      <c r="H82" s="49" t="s">
        <v>1996</v>
      </c>
    </row>
    <row r="83" spans="1:8" ht="30" customHeight="1" thickBot="1" x14ac:dyDescent="0.25">
      <c r="A83" s="1862"/>
      <c r="B83" s="1863"/>
      <c r="C83" s="1874" t="s">
        <v>1103</v>
      </c>
      <c r="D83" s="1875"/>
      <c r="E83" s="1876"/>
      <c r="F83" s="546" t="s">
        <v>142</v>
      </c>
      <c r="G83" s="548">
        <f>10*(AVERAGE(InTemp7,OutDur7) * ((AVERAGE(AmphScore,Fringe7a,Glacier7w, Temp7w,TideProx7,Elev7w,Aspect7v,Imperv7w))))</f>
        <v>0</v>
      </c>
      <c r="H83" s="49" t="s">
        <v>2400</v>
      </c>
    </row>
    <row r="84" spans="1:8" ht="21" customHeight="1" thickBot="1" x14ac:dyDescent="0.25">
      <c r="A84" s="1862"/>
      <c r="B84" s="1862"/>
      <c r="C84" s="1862"/>
      <c r="D84" s="1862"/>
      <c r="E84" s="1862"/>
      <c r="F84" s="1862"/>
      <c r="G84" s="1862"/>
      <c r="H84" s="1862"/>
    </row>
    <row r="85" spans="1:8" ht="27" customHeight="1" thickBot="1" x14ac:dyDescent="0.25">
      <c r="A85" s="1892"/>
      <c r="B85" s="1892"/>
      <c r="C85" s="1892"/>
      <c r="D85" s="1892"/>
      <c r="E85" s="1892"/>
      <c r="F85" s="1892"/>
      <c r="G85" s="1904"/>
      <c r="H85" s="80" t="s">
        <v>1345</v>
      </c>
    </row>
    <row r="86" spans="1:8" ht="42" customHeight="1" x14ac:dyDescent="0.2">
      <c r="A86" s="1892"/>
      <c r="B86" s="1892"/>
      <c r="C86" s="1892"/>
      <c r="D86" s="1892"/>
      <c r="E86" s="1892"/>
      <c r="F86" s="1892"/>
      <c r="G86" s="1904"/>
      <c r="H86" s="145" t="s">
        <v>5549</v>
      </c>
    </row>
    <row r="87" spans="1:8" ht="42" customHeight="1" x14ac:dyDescent="0.2">
      <c r="A87" s="1892"/>
      <c r="B87" s="1892"/>
      <c r="C87" s="1892"/>
      <c r="D87" s="1892"/>
      <c r="E87" s="1892"/>
      <c r="F87" s="1892"/>
      <c r="G87" s="1904"/>
      <c r="H87" s="116" t="s">
        <v>1367</v>
      </c>
    </row>
    <row r="88" spans="1:8" ht="42" customHeight="1" x14ac:dyDescent="0.2">
      <c r="A88" s="1892"/>
      <c r="B88" s="1892"/>
      <c r="C88" s="1892"/>
      <c r="D88" s="1892"/>
      <c r="E88" s="1892"/>
      <c r="F88" s="1892"/>
      <c r="G88" s="1904"/>
      <c r="H88" s="116" t="s">
        <v>1372</v>
      </c>
    </row>
    <row r="89" spans="1:8" ht="27" customHeight="1" x14ac:dyDescent="0.2">
      <c r="A89" s="1892"/>
      <c r="B89" s="1892"/>
      <c r="C89" s="1892"/>
      <c r="D89" s="1892"/>
      <c r="E89" s="1892"/>
      <c r="F89" s="1892"/>
      <c r="G89" s="1904"/>
      <c r="H89" s="116" t="s">
        <v>1369</v>
      </c>
    </row>
    <row r="90" spans="1:8" ht="42.6" customHeight="1" thickBot="1" x14ac:dyDescent="0.25">
      <c r="A90" s="1892"/>
      <c r="B90" s="1892"/>
      <c r="C90" s="1892"/>
      <c r="D90" s="1892"/>
      <c r="E90" s="1892"/>
      <c r="F90" s="1892"/>
      <c r="G90" s="1904"/>
      <c r="H90" s="119" t="s">
        <v>2604</v>
      </c>
    </row>
  </sheetData>
  <sheetProtection algorithmName="SHA-512" hashValue="khQ8iufkmTUtNRMcOqM1qU/dtUWECvval0UMAoXEE321quvdm2UKuSmzijAEHfiZNF/4nELl2hTvSD44M5qY2w==" saltValue="TnsXWhZcyjxrDg6v7t7O9g==" spinCount="100000" sheet="1" formatCells="0" formatColumns="0" formatRows="0" insertColumns="0" insertRows="0"/>
  <mergeCells count="47">
    <mergeCell ref="H60:H63"/>
    <mergeCell ref="A68:A71"/>
    <mergeCell ref="A64:A67"/>
    <mergeCell ref="A60:A63"/>
    <mergeCell ref="A49:A52"/>
    <mergeCell ref="B49:B52"/>
    <mergeCell ref="H49:H52"/>
    <mergeCell ref="H53:H59"/>
    <mergeCell ref="B43:B48"/>
    <mergeCell ref="B38:B41"/>
    <mergeCell ref="H10:H15"/>
    <mergeCell ref="A10:A15"/>
    <mergeCell ref="B10:B15"/>
    <mergeCell ref="A16:A21"/>
    <mergeCell ref="B16:B21"/>
    <mergeCell ref="A43:A48"/>
    <mergeCell ref="A38:A41"/>
    <mergeCell ref="A30:A36"/>
    <mergeCell ref="H22:H29"/>
    <mergeCell ref="B30:B36"/>
    <mergeCell ref="A84:H84"/>
    <mergeCell ref="A85:G90"/>
    <mergeCell ref="A82:B83"/>
    <mergeCell ref="A81:H81"/>
    <mergeCell ref="H68:H71"/>
    <mergeCell ref="B68:B71"/>
    <mergeCell ref="C83:E83"/>
    <mergeCell ref="C82:E82"/>
    <mergeCell ref="A74:A79"/>
    <mergeCell ref="B74:B79"/>
    <mergeCell ref="H74:H79"/>
    <mergeCell ref="E1:H1"/>
    <mergeCell ref="A1:B1"/>
    <mergeCell ref="B64:B67"/>
    <mergeCell ref="H64:H67"/>
    <mergeCell ref="H43:H48"/>
    <mergeCell ref="H38:H41"/>
    <mergeCell ref="B53:B59"/>
    <mergeCell ref="B60:B63"/>
    <mergeCell ref="A53:A59"/>
    <mergeCell ref="B3:B9"/>
    <mergeCell ref="H16:H21"/>
    <mergeCell ref="A22:A29"/>
    <mergeCell ref="H30:H36"/>
    <mergeCell ref="H3:H9"/>
    <mergeCell ref="A3:A9"/>
    <mergeCell ref="B22:B29"/>
  </mergeCells>
  <phoneticPr fontId="39"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O218"/>
  <sheetViews>
    <sheetView zoomScaleNormal="100" workbookViewId="0">
      <selection sqref="A1:B1"/>
    </sheetView>
  </sheetViews>
  <sheetFormatPr defaultColWidth="9.33203125" defaultRowHeight="12.75" x14ac:dyDescent="0.2"/>
  <cols>
    <col min="1" max="1" width="5.83203125" style="40" customWidth="1"/>
    <col min="2" max="2" width="18.83203125" style="39" customWidth="1"/>
    <col min="3" max="3" width="75.83203125" style="39" customWidth="1"/>
    <col min="4" max="4" width="6.83203125" style="150" customWidth="1"/>
    <col min="5" max="5" width="8.1640625" style="150" customWidth="1"/>
    <col min="6" max="6" width="8.5" style="150" customWidth="1"/>
    <col min="7" max="7" width="9.83203125" style="151" customWidth="1"/>
    <col min="8" max="8" width="75.83203125" style="40" customWidth="1"/>
    <col min="9" max="9" width="13.6640625" style="39" customWidth="1"/>
    <col min="10" max="16384" width="9.33203125" style="39"/>
  </cols>
  <sheetData>
    <row r="1" spans="1:15" s="91" customFormat="1" ht="69" customHeight="1" thickBot="1" x14ac:dyDescent="0.25">
      <c r="A1" s="1893" t="s">
        <v>2131</v>
      </c>
      <c r="B1" s="1894"/>
      <c r="C1" s="87" t="s">
        <v>2132</v>
      </c>
      <c r="D1" s="127" t="s">
        <v>2133</v>
      </c>
      <c r="E1" s="1921"/>
      <c r="F1" s="1922"/>
      <c r="G1" s="1922"/>
      <c r="H1" s="1922"/>
    </row>
    <row r="2" spans="1:15" ht="30" customHeight="1" thickBot="1" x14ac:dyDescent="0.25">
      <c r="A2" s="451" t="s">
        <v>290</v>
      </c>
      <c r="B2" s="450" t="s">
        <v>5437</v>
      </c>
      <c r="C2" s="484" t="s">
        <v>2606</v>
      </c>
      <c r="D2" s="612" t="s">
        <v>117</v>
      </c>
      <c r="E2" s="471" t="s">
        <v>5438</v>
      </c>
      <c r="F2" s="481" t="s">
        <v>5439</v>
      </c>
      <c r="G2" s="482" t="s">
        <v>5825</v>
      </c>
      <c r="H2" s="473" t="s">
        <v>919</v>
      </c>
    </row>
    <row r="3" spans="1:15" ht="21" customHeight="1" thickBot="1" x14ac:dyDescent="0.25">
      <c r="A3" s="1831" t="str">
        <f>OF!A80</f>
        <v>OF13</v>
      </c>
      <c r="B3" s="1836" t="str">
        <f>OF!B80</f>
        <v>Tidal Proximity</v>
      </c>
      <c r="C3" s="454" t="str">
        <f>OF!C80</f>
        <v>The distance from the AA edge to the closest tidal water body is:</v>
      </c>
      <c r="D3" s="635"/>
      <c r="E3" s="635"/>
      <c r="F3" s="636"/>
      <c r="G3" s="496">
        <f>MAX(F4:F8)/MAX(E4:E8)</f>
        <v>0</v>
      </c>
      <c r="H3" s="1687" t="s">
        <v>1153</v>
      </c>
      <c r="I3" s="3" t="s">
        <v>718</v>
      </c>
    </row>
    <row r="4" spans="1:15" ht="15" customHeight="1" x14ac:dyDescent="0.2">
      <c r="A4" s="1832"/>
      <c r="B4" s="1837"/>
      <c r="C4" s="144" t="str">
        <f>OF!C81</f>
        <v>&lt;300 ft</v>
      </c>
      <c r="D4" s="286">
        <f>OF!D81</f>
        <v>0</v>
      </c>
      <c r="E4" s="396">
        <v>4</v>
      </c>
      <c r="F4" s="397">
        <f>D4*E4</f>
        <v>0</v>
      </c>
      <c r="G4" s="521"/>
      <c r="H4" s="1688"/>
    </row>
    <row r="5" spans="1:15" ht="15" customHeight="1" x14ac:dyDescent="0.2">
      <c r="A5" s="1832"/>
      <c r="B5" s="1837"/>
      <c r="C5" s="50" t="str">
        <f>OF!C82</f>
        <v>300-1000 ft</v>
      </c>
      <c r="D5" s="271">
        <f>OF!D82</f>
        <v>0</v>
      </c>
      <c r="E5" s="396">
        <v>4</v>
      </c>
      <c r="F5" s="397">
        <f>D5*E5</f>
        <v>0</v>
      </c>
      <c r="G5" s="515"/>
      <c r="H5" s="1688"/>
    </row>
    <row r="6" spans="1:15" ht="15" customHeight="1" x14ac:dyDescent="0.2">
      <c r="A6" s="1832"/>
      <c r="B6" s="1837"/>
      <c r="C6" s="50" t="str">
        <f>OF!C83</f>
        <v>1000 ft - 1 mile</v>
      </c>
      <c r="D6" s="271">
        <f>OF!D83</f>
        <v>0</v>
      </c>
      <c r="E6" s="396">
        <v>3</v>
      </c>
      <c r="F6" s="397">
        <f>D6*E6</f>
        <v>0</v>
      </c>
      <c r="G6" s="515"/>
      <c r="H6" s="1688"/>
    </row>
    <row r="7" spans="1:15" ht="15" customHeight="1" x14ac:dyDescent="0.2">
      <c r="A7" s="1832"/>
      <c r="B7" s="1837"/>
      <c r="C7" s="50" t="str">
        <f>OF!C84</f>
        <v>1-5 miles</v>
      </c>
      <c r="D7" s="271">
        <f>OF!D84</f>
        <v>0</v>
      </c>
      <c r="E7" s="396">
        <v>2</v>
      </c>
      <c r="F7" s="397">
        <f>D7*E7</f>
        <v>0</v>
      </c>
      <c r="G7" s="515"/>
      <c r="H7" s="1688"/>
    </row>
    <row r="8" spans="1:15" ht="15.6" customHeight="1" thickBot="1" x14ac:dyDescent="0.25">
      <c r="A8" s="1833"/>
      <c r="B8" s="1838"/>
      <c r="C8" s="462" t="str">
        <f>OF!C85</f>
        <v>&gt;5 miles</v>
      </c>
      <c r="D8" s="272">
        <f>OF!D85</f>
        <v>0</v>
      </c>
      <c r="E8" s="637">
        <v>0</v>
      </c>
      <c r="F8" s="638">
        <f>D8*E8</f>
        <v>0</v>
      </c>
      <c r="G8" s="504"/>
      <c r="H8" s="1689"/>
    </row>
    <row r="9" spans="1:15" s="52" customFormat="1" ht="30" customHeight="1" thickBot="1" x14ac:dyDescent="0.25">
      <c r="A9" s="1831" t="str">
        <f>OF!A113</f>
        <v>OF21</v>
      </c>
      <c r="B9" s="1836" t="str">
        <f>OF!B113</f>
        <v>Temperature, Mean Annual</v>
      </c>
      <c r="C9" s="454" t="str">
        <f>OF!C113</f>
        <v>Refer to the Temperature layer in the online WESPAK-SE Wetlands Module. The mean annual temperature in the vicinity of the AA was modeled as (rounded to the nearest whole number):</v>
      </c>
      <c r="D9" s="635"/>
      <c r="E9" s="635"/>
      <c r="F9" s="639"/>
      <c r="G9" s="496">
        <f>IF((D15=1),"",MAX(F10:F14)/MAX(E10:E14))</f>
        <v>0</v>
      </c>
      <c r="H9" s="1687" t="s">
        <v>2126</v>
      </c>
      <c r="I9" s="3" t="s">
        <v>719</v>
      </c>
      <c r="J9" s="39"/>
      <c r="K9" s="39"/>
      <c r="L9" s="39"/>
      <c r="M9" s="39"/>
      <c r="N9" s="39"/>
      <c r="O9" s="39"/>
    </row>
    <row r="10" spans="1:15" ht="15" customHeight="1" x14ac:dyDescent="0.2">
      <c r="A10" s="1832"/>
      <c r="B10" s="1837"/>
      <c r="C10" s="144" t="str">
        <f>OF!C114</f>
        <v>&lt;38 degrees F</v>
      </c>
      <c r="D10" s="286">
        <f>OF!D114</f>
        <v>0</v>
      </c>
      <c r="E10" s="396">
        <v>0</v>
      </c>
      <c r="F10" s="397">
        <f>D10*E10</f>
        <v>0</v>
      </c>
      <c r="G10" s="521"/>
      <c r="H10" s="1837"/>
    </row>
    <row r="11" spans="1:15" ht="15" customHeight="1" x14ac:dyDescent="0.2">
      <c r="A11" s="1832"/>
      <c r="B11" s="1837"/>
      <c r="C11" s="50" t="str">
        <f>OF!C115</f>
        <v>38-40 degrees F</v>
      </c>
      <c r="D11" s="271">
        <f>OF!D115</f>
        <v>0</v>
      </c>
      <c r="E11" s="396">
        <v>1</v>
      </c>
      <c r="F11" s="397">
        <f>D11*E11</f>
        <v>0</v>
      </c>
      <c r="G11" s="521"/>
      <c r="H11" s="1837"/>
    </row>
    <row r="12" spans="1:15" ht="15" customHeight="1" x14ac:dyDescent="0.2">
      <c r="A12" s="1832"/>
      <c r="B12" s="1837"/>
      <c r="C12" s="50" t="str">
        <f>OF!C116</f>
        <v>41-42 degrees F</v>
      </c>
      <c r="D12" s="271">
        <f>OF!D116</f>
        <v>0</v>
      </c>
      <c r="E12" s="396">
        <v>2</v>
      </c>
      <c r="F12" s="397">
        <f>D12*E12</f>
        <v>0</v>
      </c>
      <c r="G12" s="521"/>
      <c r="H12" s="1837"/>
    </row>
    <row r="13" spans="1:15" ht="15" customHeight="1" x14ac:dyDescent="0.2">
      <c r="A13" s="1832"/>
      <c r="B13" s="1837"/>
      <c r="C13" s="50" t="str">
        <f>OF!C117</f>
        <v>43-44 degrees F</v>
      </c>
      <c r="D13" s="271">
        <f>OF!D117</f>
        <v>0</v>
      </c>
      <c r="E13" s="396">
        <v>3</v>
      </c>
      <c r="F13" s="397">
        <f>D13*E13</f>
        <v>0</v>
      </c>
      <c r="G13" s="521"/>
      <c r="H13" s="1837"/>
    </row>
    <row r="14" spans="1:15" ht="15" customHeight="1" x14ac:dyDescent="0.2">
      <c r="A14" s="1832"/>
      <c r="B14" s="1837"/>
      <c r="C14" s="50" t="str">
        <f>OF!C118</f>
        <v>&gt; 44 degrees F</v>
      </c>
      <c r="D14" s="271">
        <f>OF!D118</f>
        <v>0</v>
      </c>
      <c r="E14" s="396">
        <v>4</v>
      </c>
      <c r="F14" s="397">
        <f>D14*E14</f>
        <v>0</v>
      </c>
      <c r="G14" s="515"/>
      <c r="H14" s="1837"/>
    </row>
    <row r="15" spans="1:15" ht="15.6" customHeight="1" thickBot="1" x14ac:dyDescent="0.25">
      <c r="A15" s="1833"/>
      <c r="B15" s="1838"/>
      <c r="C15" s="462" t="str">
        <f>OF!C119</f>
        <v>no information available</v>
      </c>
      <c r="D15" s="272">
        <f>OF!D119</f>
        <v>0</v>
      </c>
      <c r="E15" s="637"/>
      <c r="F15" s="638"/>
      <c r="G15" s="504"/>
      <c r="H15" s="1838"/>
    </row>
    <row r="16" spans="1:15" ht="80.25" customHeight="1" thickBot="1" x14ac:dyDescent="0.25">
      <c r="A16" s="1839" t="str">
        <f>OF!A147</f>
        <v>OF28</v>
      </c>
      <c r="B16" s="1837" t="str">
        <f>OF!B147</f>
        <v>Elevation in Multi-scale Watersheds</v>
      </c>
      <c r="C16" s="615"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6" s="635"/>
      <c r="E16" s="394"/>
      <c r="F16" s="640"/>
      <c r="G16" s="512" t="str">
        <f>IF((OutNone+OutNone1&gt;0),"",IF((D17=0),"", IF((D17=3),0, 1)))</f>
        <v/>
      </c>
      <c r="H16" s="1688" t="s">
        <v>1988</v>
      </c>
      <c r="I16" s="3" t="s">
        <v>720</v>
      </c>
    </row>
    <row r="17" spans="1:9" ht="42" customHeight="1" thickBot="1" x14ac:dyDescent="0.25">
      <c r="A17" s="1839"/>
      <c r="B17" s="1837"/>
      <c r="C17" s="460" t="str">
        <f>OF!C150</f>
        <v>In its HUC6 (the 8-digit* watershed) the AA's elevation puts it in (enter one of the following): 3= upper one-third, 2= middle one-third, 1= lower one-third, 0= no data.  [The 8-digit HUC is obtained by deleting the last 4 digits of the 12-digit HUC code]</v>
      </c>
      <c r="D17" s="287">
        <f>OF!D150</f>
        <v>0</v>
      </c>
      <c r="E17" s="641"/>
      <c r="F17" s="399"/>
      <c r="G17" s="500"/>
      <c r="H17" s="1837"/>
    </row>
    <row r="18" spans="1:9" ht="30" customHeight="1" thickBot="1" x14ac:dyDescent="0.25">
      <c r="A18" s="1831" t="str">
        <f>OF!A152</f>
        <v>OF30</v>
      </c>
      <c r="B18" s="1836" t="str">
        <f>OF!B152</f>
        <v>Contributing Area (CA) Percent</v>
      </c>
      <c r="C18" s="456" t="str">
        <f>OF!C152</f>
        <v>On a topographic map, draw the approximate bounds of this AA's contributing area  (see Manual).  Relative to the extent of this contributing area (CA), the AA comprises:</v>
      </c>
      <c r="D18" s="635"/>
      <c r="E18" s="642"/>
      <c r="F18" s="639"/>
      <c r="G18" s="643">
        <f>MAX(F19:F22)/MAX(E19:E22)</f>
        <v>0</v>
      </c>
      <c r="H18" s="1687" t="s">
        <v>2011</v>
      </c>
      <c r="I18" s="3" t="s">
        <v>2579</v>
      </c>
    </row>
    <row r="19" spans="1:9" ht="27" customHeight="1" x14ac:dyDescent="0.2">
      <c r="A19" s="1832"/>
      <c r="B19" s="1837"/>
      <c r="C19" s="457" t="str">
        <f>OF!C153</f>
        <v>&lt;1% of its CA  (including but not limited to most wetlands flooded annually by a major river, many in karst landscapes, and most that have multiple tributaries).</v>
      </c>
      <c r="D19" s="286">
        <f>OF!D153</f>
        <v>0</v>
      </c>
      <c r="E19" s="48">
        <v>0</v>
      </c>
      <c r="F19" s="397">
        <f>D19*E19</f>
        <v>0</v>
      </c>
      <c r="G19" s="521"/>
      <c r="H19" s="1837"/>
    </row>
    <row r="20" spans="1:9" ht="15" customHeight="1" x14ac:dyDescent="0.2">
      <c r="A20" s="1832"/>
      <c r="B20" s="1837"/>
      <c r="C20" s="458" t="str">
        <f>OF!C154</f>
        <v>1 to 10% of its CA</v>
      </c>
      <c r="D20" s="271">
        <f>OF!D154</f>
        <v>0</v>
      </c>
      <c r="E20" s="48">
        <v>1</v>
      </c>
      <c r="F20" s="397">
        <f>D20*E20</f>
        <v>0</v>
      </c>
      <c r="G20" s="515"/>
      <c r="H20" s="1837"/>
    </row>
    <row r="21" spans="1:9" ht="15" customHeight="1" x14ac:dyDescent="0.2">
      <c r="A21" s="1832"/>
      <c r="B21" s="1837"/>
      <c r="C21" s="458" t="str">
        <f>OF!C155</f>
        <v>10 to 100%  of its CA</v>
      </c>
      <c r="D21" s="271">
        <f>OF!D155</f>
        <v>0</v>
      </c>
      <c r="E21" s="48">
        <v>2</v>
      </c>
      <c r="F21" s="397">
        <f>D21*E21</f>
        <v>0</v>
      </c>
      <c r="G21" s="515"/>
      <c r="H21" s="1837"/>
    </row>
    <row r="22" spans="1:9" ht="27.6" customHeight="1" thickBot="1" x14ac:dyDescent="0.25">
      <c r="A22" s="1833"/>
      <c r="B22" s="1838"/>
      <c r="C22" s="459" t="str">
        <f>OF!C156</f>
        <v>Wetland has essentially no CA, e.g., isolated by dikes with no input channels, or is in terrain so flat that a CA can't be delineated. SKIP TO OF34.</v>
      </c>
      <c r="D22" s="272">
        <f>OF!D156</f>
        <v>0</v>
      </c>
      <c r="E22" s="255">
        <v>3</v>
      </c>
      <c r="F22" s="638">
        <f>D22*E22</f>
        <v>0</v>
      </c>
      <c r="G22" s="504"/>
      <c r="H22" s="1838"/>
    </row>
    <row r="23" spans="1:9" ht="21" customHeight="1" thickBot="1" x14ac:dyDescent="0.25">
      <c r="A23" s="1868" t="str">
        <f>OF!A169</f>
        <v>OF34</v>
      </c>
      <c r="B23" s="1836" t="str">
        <f>OF!B169</f>
        <v>Internal Gradient</v>
      </c>
      <c r="C23" s="454" t="str">
        <f>OF!C169</f>
        <v>The gradient along most of the flow path within the AA is:</v>
      </c>
      <c r="D23" s="635"/>
      <c r="E23" s="644"/>
      <c r="F23" s="639"/>
      <c r="G23" s="496">
        <f>MAX(F24:F27)/MAX(E24:E27)</f>
        <v>0</v>
      </c>
      <c r="H23" s="1709" t="s">
        <v>5286</v>
      </c>
      <c r="I23" s="3" t="s">
        <v>717</v>
      </c>
    </row>
    <row r="24" spans="1:9" ht="15" customHeight="1" x14ac:dyDescent="0.2">
      <c r="A24" s="1869"/>
      <c r="B24" s="1837"/>
      <c r="C24" s="144" t="str">
        <f>OF!C170</f>
        <v>&lt;2%, or, no slope is ever apparent (i.e., flat).  Includes most depressional sites and ponds.</v>
      </c>
      <c r="D24" s="286">
        <f>OF!D170</f>
        <v>0</v>
      </c>
      <c r="E24" s="397">
        <v>4</v>
      </c>
      <c r="F24" s="397">
        <f>D24*E24</f>
        <v>0</v>
      </c>
      <c r="G24" s="521"/>
      <c r="H24" s="1834"/>
    </row>
    <row r="25" spans="1:9" ht="15" customHeight="1" x14ac:dyDescent="0.2">
      <c r="A25" s="1869"/>
      <c r="B25" s="1837"/>
      <c r="C25" s="50" t="str">
        <f>OF!C171</f>
        <v>2-5%</v>
      </c>
      <c r="D25" s="271">
        <f>OF!D171</f>
        <v>0</v>
      </c>
      <c r="E25" s="397">
        <v>2</v>
      </c>
      <c r="F25" s="397">
        <f>D25*E25</f>
        <v>0</v>
      </c>
      <c r="G25" s="515"/>
      <c r="H25" s="1834"/>
    </row>
    <row r="26" spans="1:9" ht="15" customHeight="1" x14ac:dyDescent="0.2">
      <c r="A26" s="1869"/>
      <c r="B26" s="1837"/>
      <c r="C26" s="50" t="str">
        <f>OF!C172</f>
        <v>6-10%</v>
      </c>
      <c r="D26" s="271">
        <f>OF!D172</f>
        <v>0</v>
      </c>
      <c r="E26" s="397">
        <v>1</v>
      </c>
      <c r="F26" s="397">
        <f>D26*E26</f>
        <v>0</v>
      </c>
      <c r="G26" s="515"/>
      <c r="H26" s="1834"/>
    </row>
    <row r="27" spans="1:9" ht="15.6" customHeight="1" thickBot="1" x14ac:dyDescent="0.25">
      <c r="A27" s="1870"/>
      <c r="B27" s="1838"/>
      <c r="C27" s="462" t="str">
        <f>OF!C173</f>
        <v>&gt;10%</v>
      </c>
      <c r="D27" s="272">
        <f>OF!D173</f>
        <v>0</v>
      </c>
      <c r="E27" s="638">
        <v>0</v>
      </c>
      <c r="F27" s="638">
        <f>D27*E27</f>
        <v>0</v>
      </c>
      <c r="G27" s="504"/>
      <c r="H27" s="1835"/>
    </row>
    <row r="28" spans="1:9" ht="45" customHeight="1" thickBot="1" x14ac:dyDescent="0.25">
      <c r="A28" s="1831" t="str">
        <f>OF!A174</f>
        <v>OF35</v>
      </c>
      <c r="B28" s="1836" t="str">
        <f>OF!B174</f>
        <v>Internal Flow Distance (Path Length)</v>
      </c>
      <c r="C28" s="456" t="str">
        <f>OF!C174</f>
        <v>From measurement of wetland polygon width or intersected stream length in the online WESPAK-SE Wetlands Module:  The straight-line horizontal distance from the wetland's inlet to outlet is:  [Note: If inlet and/or outlet are lacking, see guidance in last column]</v>
      </c>
      <c r="D28" s="635"/>
      <c r="E28" s="635"/>
      <c r="F28" s="639"/>
      <c r="G28" s="496">
        <f>MAX(F29:F34)/MAX(E29:E34)</f>
        <v>0</v>
      </c>
      <c r="H28" s="1687" t="s">
        <v>1981</v>
      </c>
      <c r="I28" s="3" t="s">
        <v>1997</v>
      </c>
    </row>
    <row r="29" spans="1:9" ht="15" customHeight="1" x14ac:dyDescent="0.2">
      <c r="A29" s="1832"/>
      <c r="B29" s="1837"/>
      <c r="C29" s="457" t="str">
        <f>OF!C175</f>
        <v>&lt;150 ft</v>
      </c>
      <c r="D29" s="286">
        <f>OF!D175</f>
        <v>0</v>
      </c>
      <c r="E29" s="396">
        <v>0</v>
      </c>
      <c r="F29" s="397">
        <f t="shared" ref="F29:F34" si="0">D29*E29</f>
        <v>0</v>
      </c>
      <c r="G29" s="515"/>
      <c r="H29" s="1837"/>
    </row>
    <row r="30" spans="1:9" ht="15" customHeight="1" x14ac:dyDescent="0.2">
      <c r="A30" s="1832"/>
      <c r="B30" s="1837"/>
      <c r="C30" s="458" t="str">
        <f>OF!C176</f>
        <v>150-300 ft</v>
      </c>
      <c r="D30" s="271">
        <f>OF!D176</f>
        <v>0</v>
      </c>
      <c r="E30" s="396">
        <v>1</v>
      </c>
      <c r="F30" s="397">
        <f t="shared" si="0"/>
        <v>0</v>
      </c>
      <c r="G30" s="515"/>
      <c r="H30" s="1837"/>
    </row>
    <row r="31" spans="1:9" ht="15" customHeight="1" x14ac:dyDescent="0.2">
      <c r="A31" s="1832"/>
      <c r="B31" s="1837"/>
      <c r="C31" s="458" t="str">
        <f>OF!C177</f>
        <v>300-800 ft</v>
      </c>
      <c r="D31" s="271">
        <f>OF!D177</f>
        <v>0</v>
      </c>
      <c r="E31" s="396">
        <v>2</v>
      </c>
      <c r="F31" s="397">
        <f t="shared" si="0"/>
        <v>0</v>
      </c>
      <c r="G31" s="515"/>
      <c r="H31" s="1837"/>
    </row>
    <row r="32" spans="1:9" ht="15" customHeight="1" x14ac:dyDescent="0.2">
      <c r="A32" s="1832"/>
      <c r="B32" s="1837"/>
      <c r="C32" s="458" t="str">
        <f>OF!C178</f>
        <v>800-2000 ft</v>
      </c>
      <c r="D32" s="271">
        <f>OF!D178</f>
        <v>0</v>
      </c>
      <c r="E32" s="396">
        <v>3</v>
      </c>
      <c r="F32" s="397">
        <f t="shared" si="0"/>
        <v>0</v>
      </c>
      <c r="G32" s="515"/>
      <c r="H32" s="1837"/>
    </row>
    <row r="33" spans="1:9" ht="15" customHeight="1" x14ac:dyDescent="0.2">
      <c r="A33" s="1832"/>
      <c r="B33" s="1837"/>
      <c r="C33" s="458" t="str">
        <f>OF!C179</f>
        <v>2000 ft - 1 mile</v>
      </c>
      <c r="D33" s="271">
        <f>OF!D179</f>
        <v>0</v>
      </c>
      <c r="E33" s="396">
        <v>4</v>
      </c>
      <c r="F33" s="397">
        <f t="shared" si="0"/>
        <v>0</v>
      </c>
      <c r="G33" s="515"/>
      <c r="H33" s="1837"/>
    </row>
    <row r="34" spans="1:9" ht="15.6" customHeight="1" thickBot="1" x14ac:dyDescent="0.25">
      <c r="A34" s="1833"/>
      <c r="B34" s="1838"/>
      <c r="C34" s="459" t="str">
        <f>OF!C180</f>
        <v>&gt;1 mile</v>
      </c>
      <c r="D34" s="272">
        <f>OF!D180</f>
        <v>0</v>
      </c>
      <c r="E34" s="637">
        <v>5</v>
      </c>
      <c r="F34" s="638">
        <f t="shared" si="0"/>
        <v>0</v>
      </c>
      <c r="G34" s="504"/>
      <c r="H34" s="1838"/>
    </row>
    <row r="35" spans="1:9" ht="30" customHeight="1" thickBot="1" x14ac:dyDescent="0.25">
      <c r="A35" s="1839" t="str">
        <f>F!A33</f>
        <v>F7</v>
      </c>
      <c r="B35" s="1837" t="str">
        <f>F!B33</f>
        <v>% Flooded Only Seasonally</v>
      </c>
      <c r="C35" s="615" t="str">
        <f>F!C33</f>
        <v>The percentage of the AA soil that is covered by surface water only during the wettest time of year, and for &gt;2 continuous weeks during that time, is:</v>
      </c>
      <c r="D35" s="635"/>
      <c r="E35" s="645"/>
      <c r="F35" s="395"/>
      <c r="G35" s="512">
        <f>IF((AllSat+AllSat1&gt;0),"",MAX(F36:F40)/MAX(E36:E40))</f>
        <v>0</v>
      </c>
      <c r="H35" s="1688" t="s">
        <v>5287</v>
      </c>
      <c r="I35" s="3" t="s">
        <v>705</v>
      </c>
    </row>
    <row r="36" spans="1:9" ht="15" customHeight="1" x14ac:dyDescent="0.2">
      <c r="A36" s="1839"/>
      <c r="B36" s="1837"/>
      <c r="C36" s="144" t="str">
        <f>F!C34</f>
        <v>&lt;1% or &lt;0.01 acre, whichever is less.  SKIP to F9.</v>
      </c>
      <c r="D36" s="286">
        <f>F!D34</f>
        <v>0</v>
      </c>
      <c r="E36" s="397">
        <v>0</v>
      </c>
      <c r="F36" s="397">
        <f>D36*E36</f>
        <v>0</v>
      </c>
      <c r="G36" s="521"/>
      <c r="H36" s="1837"/>
    </row>
    <row r="37" spans="1:9" ht="15" customHeight="1" x14ac:dyDescent="0.2">
      <c r="A37" s="1839"/>
      <c r="B37" s="1837"/>
      <c r="C37" s="50" t="str">
        <f>F!C35</f>
        <v xml:space="preserve">1-25% </v>
      </c>
      <c r="D37" s="271">
        <f>F!D35</f>
        <v>0</v>
      </c>
      <c r="E37" s="397">
        <v>1</v>
      </c>
      <c r="F37" s="397">
        <f>D37*E37</f>
        <v>0</v>
      </c>
      <c r="G37" s="515"/>
      <c r="H37" s="1837"/>
    </row>
    <row r="38" spans="1:9" ht="15" customHeight="1" x14ac:dyDescent="0.2">
      <c r="A38" s="1839"/>
      <c r="B38" s="1837"/>
      <c r="C38" s="50" t="str">
        <f>F!C36</f>
        <v xml:space="preserve">25-50% </v>
      </c>
      <c r="D38" s="271">
        <f>F!D36</f>
        <v>0</v>
      </c>
      <c r="E38" s="397">
        <v>2</v>
      </c>
      <c r="F38" s="397">
        <f>D38*E38</f>
        <v>0</v>
      </c>
      <c r="G38" s="515"/>
      <c r="H38" s="1837"/>
    </row>
    <row r="39" spans="1:9" ht="15" customHeight="1" x14ac:dyDescent="0.2">
      <c r="A39" s="1839"/>
      <c r="B39" s="1837"/>
      <c r="C39" s="50" t="str">
        <f>F!C37</f>
        <v xml:space="preserve">50-95% </v>
      </c>
      <c r="D39" s="271">
        <f>F!D37</f>
        <v>0</v>
      </c>
      <c r="E39" s="397">
        <v>3</v>
      </c>
      <c r="F39" s="397">
        <f>D39*E39</f>
        <v>0</v>
      </c>
      <c r="G39" s="515"/>
      <c r="H39" s="1837"/>
    </row>
    <row r="40" spans="1:9" ht="15.6" customHeight="1" thickBot="1" x14ac:dyDescent="0.25">
      <c r="A40" s="1839"/>
      <c r="B40" s="1837"/>
      <c r="C40" s="204" t="str">
        <f>F!C38</f>
        <v xml:space="preserve">&gt;95% </v>
      </c>
      <c r="D40" s="288">
        <f>F!D38</f>
        <v>0</v>
      </c>
      <c r="E40" s="399">
        <v>4</v>
      </c>
      <c r="F40" s="399">
        <f>D40*E40</f>
        <v>0</v>
      </c>
      <c r="G40" s="500"/>
      <c r="H40" s="1837"/>
    </row>
    <row r="41" spans="1:9" ht="21" customHeight="1" thickBot="1" x14ac:dyDescent="0.25">
      <c r="A41" s="1859" t="str">
        <f>F!A39</f>
        <v>F8</v>
      </c>
      <c r="B41" s="1855" t="str">
        <f>F!B39</f>
        <v>Annual Water Fluctuation Range</v>
      </c>
      <c r="C41" s="616" t="str">
        <f>F!C39</f>
        <v>The maximum annual fluctuation in surface water within the AA is:</v>
      </c>
      <c r="D41" s="635"/>
      <c r="E41" s="644"/>
      <c r="F41" s="644"/>
      <c r="G41" s="496">
        <f>IF((AllSat+AllSat1&gt;0),"",IF((NoSeasonal=1),"",MAX(F42:F45)/MAX(E42:E45)))</f>
        <v>0</v>
      </c>
      <c r="H41" s="1687" t="s">
        <v>5288</v>
      </c>
      <c r="I41" s="3" t="s">
        <v>704</v>
      </c>
    </row>
    <row r="42" spans="1:9" ht="15" customHeight="1" x14ac:dyDescent="0.2">
      <c r="A42" s="1860"/>
      <c r="B42" s="1856"/>
      <c r="C42" s="617" t="str">
        <f>F!C40</f>
        <v xml:space="preserve">&lt;0.5 ft </v>
      </c>
      <c r="D42" s="289">
        <f>F!D40</f>
        <v>0</v>
      </c>
      <c r="E42" s="397">
        <v>1</v>
      </c>
      <c r="F42" s="397">
        <f>D42*E42</f>
        <v>0</v>
      </c>
      <c r="G42" s="515"/>
      <c r="H42" s="1688"/>
    </row>
    <row r="43" spans="1:9" ht="15" customHeight="1" x14ac:dyDescent="0.2">
      <c r="A43" s="1860"/>
      <c r="B43" s="1856"/>
      <c r="C43" s="618" t="str">
        <f>F!C41</f>
        <v>0.5 - 1 ft</v>
      </c>
      <c r="D43" s="290">
        <f>F!D41</f>
        <v>0</v>
      </c>
      <c r="E43" s="397">
        <v>2</v>
      </c>
      <c r="F43" s="397">
        <f>D43*E43</f>
        <v>0</v>
      </c>
      <c r="G43" s="515"/>
      <c r="H43" s="1688"/>
    </row>
    <row r="44" spans="1:9" ht="15" customHeight="1" x14ac:dyDescent="0.2">
      <c r="A44" s="1860"/>
      <c r="B44" s="1856"/>
      <c r="C44" s="618" t="str">
        <f>F!C42</f>
        <v>1-3 ft</v>
      </c>
      <c r="D44" s="290">
        <f>F!D42</f>
        <v>0</v>
      </c>
      <c r="E44" s="397">
        <v>3</v>
      </c>
      <c r="F44" s="397">
        <f>D44*E44</f>
        <v>0</v>
      </c>
      <c r="G44" s="515"/>
      <c r="H44" s="1688"/>
    </row>
    <row r="45" spans="1:9" ht="15.6" customHeight="1" thickBot="1" x14ac:dyDescent="0.25">
      <c r="A45" s="1861"/>
      <c r="B45" s="1857"/>
      <c r="C45" s="619" t="str">
        <f>F!C43</f>
        <v xml:space="preserve">&gt; 3 ft </v>
      </c>
      <c r="D45" s="291">
        <f>F!D43</f>
        <v>0</v>
      </c>
      <c r="E45" s="638">
        <v>4</v>
      </c>
      <c r="F45" s="638">
        <f>D45*E45</f>
        <v>0</v>
      </c>
      <c r="G45" s="504"/>
      <c r="H45" s="1689"/>
    </row>
    <row r="46" spans="1:9" ht="30" customHeight="1" thickBot="1" x14ac:dyDescent="0.25">
      <c r="A46" s="1839" t="str">
        <f>F!A44</f>
        <v>F9</v>
      </c>
      <c r="B46" s="1834" t="str">
        <f>F!B44</f>
        <v>Predominant Depth Class</v>
      </c>
      <c r="C46" s="615" t="str">
        <f>F!C44</f>
        <v>During most of the growing season, surface water depth in most of the area where it is present is: [Note: This is not asking for the maximum depth.]</v>
      </c>
      <c r="D46" s="635"/>
      <c r="E46" s="645"/>
      <c r="F46" s="395"/>
      <c r="G46" s="646">
        <f>IF((AllSat+AllSat1&gt;0),"",MAX(F47:F51)/MAX(E47:E51))</f>
        <v>0</v>
      </c>
      <c r="H46" s="1688" t="s">
        <v>5289</v>
      </c>
      <c r="I46" s="3" t="s">
        <v>709</v>
      </c>
    </row>
    <row r="47" spans="1:9" ht="15" customHeight="1" x14ac:dyDescent="0.2">
      <c r="A47" s="1839"/>
      <c r="B47" s="1834"/>
      <c r="C47" s="144" t="str">
        <f>F!C45</f>
        <v>&lt;0.5 ft deep (but &gt;0)</v>
      </c>
      <c r="D47" s="286">
        <f>F!D45</f>
        <v>0</v>
      </c>
      <c r="E47" s="397">
        <v>1</v>
      </c>
      <c r="F47" s="397">
        <f>D47*E47</f>
        <v>0</v>
      </c>
      <c r="G47" s="521"/>
      <c r="H47" s="1837"/>
    </row>
    <row r="48" spans="1:9" ht="15" customHeight="1" x14ac:dyDescent="0.2">
      <c r="A48" s="1839"/>
      <c r="B48" s="1834"/>
      <c r="C48" s="50" t="str">
        <f>F!C46</f>
        <v>0.5 - 1 ft deep</v>
      </c>
      <c r="D48" s="271">
        <f>F!D46</f>
        <v>0</v>
      </c>
      <c r="E48" s="397">
        <v>2</v>
      </c>
      <c r="F48" s="397">
        <f>D48*E48</f>
        <v>0</v>
      </c>
      <c r="G48" s="515"/>
      <c r="H48" s="1837"/>
    </row>
    <row r="49" spans="1:9" ht="15" customHeight="1" x14ac:dyDescent="0.2">
      <c r="A49" s="1839"/>
      <c r="B49" s="1834"/>
      <c r="C49" s="50" t="str">
        <f>F!C47</f>
        <v>1-2 ft deep</v>
      </c>
      <c r="D49" s="271">
        <f>F!D47</f>
        <v>0</v>
      </c>
      <c r="E49" s="397">
        <v>3</v>
      </c>
      <c r="F49" s="397">
        <f>D49*E49</f>
        <v>0</v>
      </c>
      <c r="G49" s="515"/>
      <c r="H49" s="1837"/>
    </row>
    <row r="50" spans="1:9" ht="15" customHeight="1" x14ac:dyDescent="0.2">
      <c r="A50" s="1839"/>
      <c r="B50" s="1834"/>
      <c r="C50" s="50" t="str">
        <f>F!C48</f>
        <v>2-6 ft deep</v>
      </c>
      <c r="D50" s="271">
        <f>F!D48</f>
        <v>0</v>
      </c>
      <c r="E50" s="397">
        <v>4</v>
      </c>
      <c r="F50" s="397">
        <f>D50*E50</f>
        <v>0</v>
      </c>
      <c r="G50" s="515"/>
      <c r="H50" s="1837"/>
    </row>
    <row r="51" spans="1:9" ht="15.6" customHeight="1" thickBot="1" x14ac:dyDescent="0.25">
      <c r="A51" s="1839"/>
      <c r="B51" s="1834"/>
      <c r="C51" s="204" t="str">
        <f>F!C49</f>
        <v>&gt;6 ft deep.  True for many fringe wetlands.</v>
      </c>
      <c r="D51" s="288">
        <f>F!D49</f>
        <v>0</v>
      </c>
      <c r="E51" s="399">
        <v>5</v>
      </c>
      <c r="F51" s="399">
        <f>D51*E51</f>
        <v>0</v>
      </c>
      <c r="G51" s="500"/>
      <c r="H51" s="1837"/>
    </row>
    <row r="52" spans="1:9" ht="30" customHeight="1" thickBot="1" x14ac:dyDescent="0.25">
      <c r="A52" s="1831" t="str">
        <f>F!A55</f>
        <v>F12</v>
      </c>
      <c r="B52" s="1836" t="str">
        <f>F!B55</f>
        <v>Flat Shoreline Extent</v>
      </c>
      <c r="C52" s="454" t="str">
        <f>F!C55</f>
        <v>The length of the AA's shoreline (along its ponded open water) that is bordered by areas that are nearly flat (a slope less than about 5%) is:</v>
      </c>
      <c r="D52" s="635"/>
      <c r="E52" s="644"/>
      <c r="F52" s="644"/>
      <c r="G52" s="630" t="str">
        <f>IF((AllSat+AllSat1&gt;0),"",IF((OpenW=0),"",MAX(F53:F57)/MAX(E53:E57)))</f>
        <v/>
      </c>
      <c r="H52" s="1687" t="s">
        <v>5396</v>
      </c>
      <c r="I52" s="39" t="s">
        <v>710</v>
      </c>
    </row>
    <row r="53" spans="1:9" ht="15" customHeight="1" x14ac:dyDescent="0.2">
      <c r="A53" s="1832"/>
      <c r="B53" s="1837"/>
      <c r="C53" s="144" t="str">
        <f>F!C56</f>
        <v>&lt;1% of the shore length</v>
      </c>
      <c r="D53" s="286">
        <f>F!D56</f>
        <v>0</v>
      </c>
      <c r="E53" s="397">
        <v>0</v>
      </c>
      <c r="F53" s="399">
        <f>D53*E53</f>
        <v>0</v>
      </c>
      <c r="G53" s="515"/>
      <c r="H53" s="1837"/>
    </row>
    <row r="54" spans="1:9" ht="15" customHeight="1" x14ac:dyDescent="0.2">
      <c r="A54" s="1832"/>
      <c r="B54" s="1837"/>
      <c r="C54" s="50" t="str">
        <f>F!C57</f>
        <v>1-25%</v>
      </c>
      <c r="D54" s="271">
        <f>F!D57</f>
        <v>0</v>
      </c>
      <c r="E54" s="397">
        <v>1</v>
      </c>
      <c r="F54" s="399">
        <f>D54*E54</f>
        <v>0</v>
      </c>
      <c r="G54" s="515"/>
      <c r="H54" s="1837"/>
    </row>
    <row r="55" spans="1:9" ht="15" customHeight="1" x14ac:dyDescent="0.2">
      <c r="A55" s="1832"/>
      <c r="B55" s="1837"/>
      <c r="C55" s="50" t="str">
        <f>F!C58</f>
        <v>25-50%</v>
      </c>
      <c r="D55" s="271">
        <f>F!D58</f>
        <v>0</v>
      </c>
      <c r="E55" s="397">
        <v>2</v>
      </c>
      <c r="F55" s="399">
        <f>D55*E55</f>
        <v>0</v>
      </c>
      <c r="G55" s="515"/>
      <c r="H55" s="1837"/>
    </row>
    <row r="56" spans="1:9" ht="15" customHeight="1" x14ac:dyDescent="0.2">
      <c r="A56" s="1832"/>
      <c r="B56" s="1837"/>
      <c r="C56" s="50" t="str">
        <f>F!C59</f>
        <v>50-75%</v>
      </c>
      <c r="D56" s="271">
        <f>F!D59</f>
        <v>0</v>
      </c>
      <c r="E56" s="397">
        <v>3</v>
      </c>
      <c r="F56" s="399">
        <f>D56*E56</f>
        <v>0</v>
      </c>
      <c r="G56" s="515"/>
      <c r="H56" s="1837"/>
    </row>
    <row r="57" spans="1:9" ht="15.6" customHeight="1" thickBot="1" x14ac:dyDescent="0.25">
      <c r="A57" s="1833"/>
      <c r="B57" s="1838"/>
      <c r="C57" s="462" t="str">
        <f>F!C60</f>
        <v>&gt;75%</v>
      </c>
      <c r="D57" s="272">
        <f>F!D60</f>
        <v>0</v>
      </c>
      <c r="E57" s="638">
        <v>4</v>
      </c>
      <c r="F57" s="638">
        <f>D57*E57</f>
        <v>0</v>
      </c>
      <c r="G57" s="504"/>
      <c r="H57" s="1838"/>
    </row>
    <row r="58" spans="1:9" ht="51" customHeight="1" thickBot="1" x14ac:dyDescent="0.25">
      <c r="A58" s="1841" t="str">
        <f>F!A61</f>
        <v>F13</v>
      </c>
      <c r="B58" s="1858" t="str">
        <f>F!B61</f>
        <v>Width of AA's Vegetated Zone</v>
      </c>
      <c r="C58" s="615" t="str">
        <f>F!C61</f>
        <v>At the driest time of year (or lowest water level), the width of vegetated area in the AA that separates adjoining uplands from most of the open water within or adjoining the AA is:</v>
      </c>
      <c r="D58" s="635"/>
      <c r="E58" s="645"/>
      <c r="F58" s="395"/>
      <c r="G58" s="512" t="str">
        <f>IF((AllSat+AllSat1&gt;0),"",IF((OpenW=0),"",(MAX(F59:F63)/MAX(E59:E63))))</f>
        <v/>
      </c>
      <c r="H58" s="1688" t="s">
        <v>5395</v>
      </c>
      <c r="I58" s="3" t="s">
        <v>711</v>
      </c>
    </row>
    <row r="59" spans="1:9" ht="15" customHeight="1" x14ac:dyDescent="0.2">
      <c r="A59" s="1916"/>
      <c r="B59" s="1918"/>
      <c r="C59" s="144" t="str">
        <f>F!C62</f>
        <v xml:space="preserve">1-5 ft </v>
      </c>
      <c r="D59" s="286">
        <f>F!D62</f>
        <v>0</v>
      </c>
      <c r="E59" s="397">
        <v>0</v>
      </c>
      <c r="F59" s="397">
        <f>D59*E59</f>
        <v>0</v>
      </c>
      <c r="G59" s="521"/>
      <c r="H59" s="1837"/>
    </row>
    <row r="60" spans="1:9" ht="15" customHeight="1" x14ac:dyDescent="0.2">
      <c r="A60" s="1916"/>
      <c r="B60" s="1918"/>
      <c r="C60" s="50" t="str">
        <f>F!C63</f>
        <v>5-25 ft</v>
      </c>
      <c r="D60" s="271">
        <f>F!D63</f>
        <v>0</v>
      </c>
      <c r="E60" s="397">
        <v>2</v>
      </c>
      <c r="F60" s="397">
        <f>D60*E60</f>
        <v>0</v>
      </c>
      <c r="G60" s="515"/>
      <c r="H60" s="1837"/>
    </row>
    <row r="61" spans="1:9" ht="15" customHeight="1" x14ac:dyDescent="0.2">
      <c r="A61" s="1916"/>
      <c r="B61" s="1918"/>
      <c r="C61" s="50" t="str">
        <f>F!C64</f>
        <v>25-100 ft</v>
      </c>
      <c r="D61" s="271">
        <f>F!D64</f>
        <v>0</v>
      </c>
      <c r="E61" s="397">
        <v>3</v>
      </c>
      <c r="F61" s="397">
        <f>D61*E61</f>
        <v>0</v>
      </c>
      <c r="G61" s="515"/>
      <c r="H61" s="1837"/>
    </row>
    <row r="62" spans="1:9" ht="15" customHeight="1" x14ac:dyDescent="0.2">
      <c r="A62" s="1916"/>
      <c r="B62" s="1918"/>
      <c r="C62" s="50" t="str">
        <f>F!C65</f>
        <v>100-300 ft</v>
      </c>
      <c r="D62" s="271">
        <f>F!D65</f>
        <v>0</v>
      </c>
      <c r="E62" s="397">
        <v>4</v>
      </c>
      <c r="F62" s="397">
        <f>D62*E62</f>
        <v>0</v>
      </c>
      <c r="G62" s="515"/>
      <c r="H62" s="1837"/>
    </row>
    <row r="63" spans="1:9" ht="17.25" customHeight="1" thickBot="1" x14ac:dyDescent="0.25">
      <c r="A63" s="1917"/>
      <c r="B63" s="1919"/>
      <c r="C63" s="204" t="str">
        <f>F!C66</f>
        <v>&gt;300 ft</v>
      </c>
      <c r="D63" s="288">
        <f>F!D66</f>
        <v>0</v>
      </c>
      <c r="E63" s="399">
        <v>5</v>
      </c>
      <c r="F63" s="399">
        <f>D63*E63</f>
        <v>0</v>
      </c>
      <c r="G63" s="500"/>
      <c r="H63" s="1837"/>
    </row>
    <row r="64" spans="1:9" ht="45" customHeight="1" thickBot="1" x14ac:dyDescent="0.25">
      <c r="A64" s="1859" t="str">
        <f>F!A71</f>
        <v>F15</v>
      </c>
      <c r="B64" s="1855" t="str">
        <f>F!B71</f>
        <v>All Ponded Water - Extent</v>
      </c>
      <c r="C64" s="454" t="str">
        <f>F!C71</f>
        <v>During most of the growing season, the percentage of the AA that has ponded surface water (stagnant, or flows so slowly that fine sediment is not held in suspension) which is either open or shaded by emergent vegetation is:</v>
      </c>
      <c r="D64" s="635"/>
      <c r="E64" s="644"/>
      <c r="F64" s="639"/>
      <c r="G64" s="496">
        <f>IF((AllSat+AllSat1&gt;0),"",MAX(F65:F71)/MAX(E65:E71))</f>
        <v>0</v>
      </c>
      <c r="H64" s="1709" t="s">
        <v>5290</v>
      </c>
      <c r="I64" s="3" t="s">
        <v>708</v>
      </c>
    </row>
    <row r="65" spans="1:9" ht="15" customHeight="1" x14ac:dyDescent="0.2">
      <c r="A65" s="1832"/>
      <c r="B65" s="1837"/>
      <c r="C65" s="144" t="str">
        <f>F!C72</f>
        <v>&lt;1% or none, or occupies &lt;100 sq. ft cumulatively.  Enter "1" and SKIP to F19.</v>
      </c>
      <c r="D65" s="286">
        <f>F!D72</f>
        <v>0</v>
      </c>
      <c r="E65" s="397">
        <v>0</v>
      </c>
      <c r="F65" s="397">
        <f t="shared" ref="F65:F71" si="1">D65*E65</f>
        <v>0</v>
      </c>
      <c r="G65" s="515"/>
      <c r="H65" s="1834"/>
    </row>
    <row r="66" spans="1:9" ht="15" customHeight="1" x14ac:dyDescent="0.2">
      <c r="A66" s="1832"/>
      <c r="B66" s="1837"/>
      <c r="C66" s="50" t="str">
        <f>F!C73</f>
        <v>1-25% of the AA, and mainly in small fishless pools. Enter "1" and SKIP to F19.</v>
      </c>
      <c r="D66" s="271">
        <f>F!D73</f>
        <v>0</v>
      </c>
      <c r="E66" s="397">
        <v>2</v>
      </c>
      <c r="F66" s="397">
        <f t="shared" si="1"/>
        <v>0</v>
      </c>
      <c r="G66" s="515"/>
      <c r="H66" s="1834"/>
    </row>
    <row r="67" spans="1:9" ht="15" customHeight="1" x14ac:dyDescent="0.2">
      <c r="A67" s="1832"/>
      <c r="B67" s="1837"/>
      <c r="C67" s="50" t="str">
        <f>F!C74</f>
        <v>1-25% of the AA, and mainly in a single large pool or pond, with or without fish access.</v>
      </c>
      <c r="D67" s="271">
        <f>F!D74</f>
        <v>0</v>
      </c>
      <c r="E67" s="397">
        <v>2</v>
      </c>
      <c r="F67" s="397">
        <f t="shared" si="1"/>
        <v>0</v>
      </c>
      <c r="G67" s="515"/>
      <c r="H67" s="1834"/>
    </row>
    <row r="68" spans="1:9" ht="15" customHeight="1" x14ac:dyDescent="0.2">
      <c r="A68" s="1832"/>
      <c r="B68" s="1837"/>
      <c r="C68" s="50" t="str">
        <f>F!C75</f>
        <v>5-30% of the AA.</v>
      </c>
      <c r="D68" s="271">
        <f>F!D75</f>
        <v>0</v>
      </c>
      <c r="E68" s="397">
        <v>3</v>
      </c>
      <c r="F68" s="397">
        <f t="shared" si="1"/>
        <v>0</v>
      </c>
      <c r="G68" s="515"/>
      <c r="H68" s="1834"/>
    </row>
    <row r="69" spans="1:9" ht="15" customHeight="1" x14ac:dyDescent="0.2">
      <c r="A69" s="1832"/>
      <c r="B69" s="1837"/>
      <c r="C69" s="50" t="str">
        <f>F!C76</f>
        <v>30-70% of the AA.</v>
      </c>
      <c r="D69" s="271">
        <f>F!D76</f>
        <v>0</v>
      </c>
      <c r="E69" s="397">
        <v>4</v>
      </c>
      <c r="F69" s="397">
        <f t="shared" si="1"/>
        <v>0</v>
      </c>
      <c r="G69" s="500"/>
      <c r="H69" s="1834"/>
    </row>
    <row r="70" spans="1:9" ht="15" customHeight="1" x14ac:dyDescent="0.2">
      <c r="A70" s="1832"/>
      <c r="B70" s="1837"/>
      <c r="C70" s="50" t="str">
        <f>F!C77</f>
        <v>70-95% of the AA.</v>
      </c>
      <c r="D70" s="271">
        <f>F!D77</f>
        <v>0</v>
      </c>
      <c r="E70" s="397">
        <v>5</v>
      </c>
      <c r="F70" s="397">
        <f t="shared" si="1"/>
        <v>0</v>
      </c>
      <c r="G70" s="500"/>
      <c r="H70" s="1834"/>
    </row>
    <row r="71" spans="1:9" ht="15.6" customHeight="1" thickBot="1" x14ac:dyDescent="0.25">
      <c r="A71" s="1833"/>
      <c r="B71" s="1838"/>
      <c r="C71" s="462" t="str">
        <f>F!C78</f>
        <v>&gt;95% of the AA.</v>
      </c>
      <c r="D71" s="272">
        <f>F!D78</f>
        <v>0</v>
      </c>
      <c r="E71" s="638">
        <v>6</v>
      </c>
      <c r="F71" s="638">
        <f t="shared" si="1"/>
        <v>0</v>
      </c>
      <c r="G71" s="504"/>
      <c r="H71" s="1835"/>
    </row>
    <row r="72" spans="1:9" ht="30" customHeight="1" thickBot="1" x14ac:dyDescent="0.25">
      <c r="A72" s="1924" t="str">
        <f>F!A79</f>
        <v>F16</v>
      </c>
      <c r="B72" s="1836" t="str">
        <f>F!B79</f>
        <v>Open Ponded Water - Extent</v>
      </c>
      <c r="C72" s="204" t="str">
        <f>F!C79</f>
        <v>The percentage of the ponded water that is open (lacking emergent vegetation during most of the growing season, and unhidden by a forest or shrub canopy) is:</v>
      </c>
      <c r="D72" s="635"/>
      <c r="E72" s="645"/>
      <c r="F72" s="395"/>
      <c r="G72" s="512">
        <f>IF((AllSat+AllSat1&gt;0),"", IF((OR(puddles=1,NoPonded=1)),"", MAX(F73:F78)/MAX(E73:E78)))</f>
        <v>0</v>
      </c>
      <c r="H72" s="1688" t="s">
        <v>5291</v>
      </c>
      <c r="I72" s="3" t="s">
        <v>706</v>
      </c>
    </row>
    <row r="73" spans="1:9" ht="15" customHeight="1" x14ac:dyDescent="0.2">
      <c r="A73" s="1925"/>
      <c r="B73" s="1837"/>
      <c r="C73" s="50" t="str">
        <f>F!C80</f>
        <v>&lt;1% or none, or largest pool occupies &lt;100 sq. ft.  Enter "1" and SKIP to F19.</v>
      </c>
      <c r="D73" s="271">
        <f>F!D80</f>
        <v>0</v>
      </c>
      <c r="E73" s="397">
        <v>5</v>
      </c>
      <c r="F73" s="397">
        <f t="shared" ref="F73:F82" si="2">D73*E73</f>
        <v>0</v>
      </c>
      <c r="G73" s="521"/>
      <c r="H73" s="1688"/>
    </row>
    <row r="74" spans="1:9" ht="15" customHeight="1" x14ac:dyDescent="0.2">
      <c r="A74" s="1925"/>
      <c r="B74" s="1837"/>
      <c r="C74" s="50" t="str">
        <f>F!C81</f>
        <v>1-5% of the ponded water.  Enter "1" and SKIP to F19.</v>
      </c>
      <c r="D74" s="271">
        <f>F!D81</f>
        <v>0</v>
      </c>
      <c r="E74" s="397">
        <v>4</v>
      </c>
      <c r="F74" s="397">
        <f t="shared" si="2"/>
        <v>0</v>
      </c>
      <c r="G74" s="515"/>
      <c r="H74" s="1688"/>
    </row>
    <row r="75" spans="1:9" ht="15" customHeight="1" x14ac:dyDescent="0.2">
      <c r="A75" s="1925"/>
      <c r="B75" s="1837"/>
      <c r="C75" s="50" t="str">
        <f>F!C82</f>
        <v>5-30% of the ponded water.</v>
      </c>
      <c r="D75" s="271">
        <f>F!D82</f>
        <v>0</v>
      </c>
      <c r="E75" s="397">
        <v>3</v>
      </c>
      <c r="F75" s="397">
        <f t="shared" si="2"/>
        <v>0</v>
      </c>
      <c r="G75" s="515"/>
      <c r="H75" s="1688"/>
    </row>
    <row r="76" spans="1:9" ht="15" customHeight="1" x14ac:dyDescent="0.2">
      <c r="A76" s="1925"/>
      <c r="B76" s="1837"/>
      <c r="C76" s="50" t="str">
        <f>F!C83</f>
        <v>30-70% of the ponded water.</v>
      </c>
      <c r="D76" s="271">
        <f>F!D83</f>
        <v>0</v>
      </c>
      <c r="E76" s="397">
        <v>2</v>
      </c>
      <c r="F76" s="397">
        <f t="shared" si="2"/>
        <v>0</v>
      </c>
      <c r="G76" s="515"/>
      <c r="H76" s="1688"/>
    </row>
    <row r="77" spans="1:9" ht="15" customHeight="1" x14ac:dyDescent="0.2">
      <c r="A77" s="1925"/>
      <c r="B77" s="1837"/>
      <c r="C77" s="50" t="str">
        <f>F!C84</f>
        <v>70-99% of the ponded water.</v>
      </c>
      <c r="D77" s="271">
        <f>F!D84</f>
        <v>0</v>
      </c>
      <c r="E77" s="397">
        <v>1</v>
      </c>
      <c r="F77" s="397">
        <f t="shared" si="2"/>
        <v>0</v>
      </c>
      <c r="G77" s="515"/>
      <c r="H77" s="1688"/>
    </row>
    <row r="78" spans="1:9" ht="15.6" customHeight="1" thickBot="1" x14ac:dyDescent="0.25">
      <c r="A78" s="1926"/>
      <c r="B78" s="1838"/>
      <c r="C78" s="50" t="str">
        <f>F!C85</f>
        <v>100% of the ponded water. SKIP to F18.</v>
      </c>
      <c r="D78" s="271">
        <f>F!D85</f>
        <v>0</v>
      </c>
      <c r="E78" s="399">
        <v>0</v>
      </c>
      <c r="F78" s="399">
        <f t="shared" si="2"/>
        <v>0</v>
      </c>
      <c r="G78" s="500"/>
      <c r="H78" s="1688"/>
    </row>
    <row r="79" spans="1:9" ht="30" customHeight="1" thickBot="1" x14ac:dyDescent="0.25">
      <c r="A79" s="1859" t="str">
        <f>F!A86</f>
        <v>F17</v>
      </c>
      <c r="B79" s="1855" t="str">
        <f>F!B86</f>
        <v>Emergent Vegetation - Distribution</v>
      </c>
      <c r="C79" s="620" t="str">
        <f>F!C86</f>
        <v>During most of the growing season, the spatial pattern of herbaceous vegetation that has surface water beneath it (emergent vegetation -- NOT floating-leaved plants) is mostly:</v>
      </c>
      <c r="D79" s="635"/>
      <c r="E79" s="644"/>
      <c r="F79" s="639"/>
      <c r="G79" s="630">
        <f>IF((AllSat+AllSat1&gt;0),"",IF((OR(puddles=1,NoPonded=1)),"",IF((NoOpenPonded+NoOpenPonded1&gt;0),"",IF((AllOpenPond=1),"",MAX(F80:F82)/MAX(E80:E82)))))</f>
        <v>0</v>
      </c>
      <c r="H79" s="1687" t="s">
        <v>5292</v>
      </c>
      <c r="I79" s="3" t="s">
        <v>1952</v>
      </c>
    </row>
    <row r="80" spans="1:9" ht="15" customHeight="1" x14ac:dyDescent="0.2">
      <c r="A80" s="1860"/>
      <c r="B80" s="1856"/>
      <c r="C80" s="617" t="str">
        <f>F!C87</f>
        <v>scattered in small clumps, islands, or patches throughout the surface water area.</v>
      </c>
      <c r="D80" s="289">
        <f>F!D87</f>
        <v>0</v>
      </c>
      <c r="E80" s="397">
        <v>2</v>
      </c>
      <c r="F80" s="397">
        <f t="shared" si="2"/>
        <v>0</v>
      </c>
      <c r="G80" s="515"/>
      <c r="H80" s="1688"/>
    </row>
    <row r="81" spans="1:9" ht="15" customHeight="1" x14ac:dyDescent="0.2">
      <c r="A81" s="1860"/>
      <c r="B81" s="1856"/>
      <c r="C81" s="618" t="str">
        <f>F!C88</f>
        <v>intermediate</v>
      </c>
      <c r="D81" s="290">
        <f>F!D88</f>
        <v>0</v>
      </c>
      <c r="E81" s="397">
        <v>1</v>
      </c>
      <c r="F81" s="397">
        <f t="shared" si="2"/>
        <v>0</v>
      </c>
      <c r="G81" s="515"/>
      <c r="H81" s="1688"/>
    </row>
    <row r="82" spans="1:9" ht="27.6" customHeight="1" thickBot="1" x14ac:dyDescent="0.25">
      <c r="A82" s="1861"/>
      <c r="B82" s="1857"/>
      <c r="C82" s="619" t="str">
        <f>F!C89</f>
        <v>clumped along the margin of the surface water area, or mostly surrounds a channel or central area of open water, or such vegetation covers &lt;100 sq ft and &lt;1% of the AA.</v>
      </c>
      <c r="D82" s="291">
        <f>F!D89</f>
        <v>0</v>
      </c>
      <c r="E82" s="638">
        <v>0</v>
      </c>
      <c r="F82" s="638">
        <f t="shared" si="2"/>
        <v>0</v>
      </c>
      <c r="G82" s="504"/>
      <c r="H82" s="1689"/>
    </row>
    <row r="83" spans="1:9" ht="30.6" customHeight="1" thickBot="1" x14ac:dyDescent="0.25">
      <c r="A83" s="452" t="str">
        <f>F!A91</f>
        <v>F19</v>
      </c>
      <c r="B83" s="124" t="str">
        <f>F!B91</f>
        <v>Ice Cover</v>
      </c>
      <c r="C83" s="463" t="str">
        <f>F!C91</f>
        <v>Ice (not just snow) covers nearly all of the AA's water surface for more than 4 continuous weeks during most years, potentially altering the air-water exchange.  If true, enter "1" in next column.  If untrue, enter "0".</v>
      </c>
      <c r="D83" s="292">
        <f>F!D91</f>
        <v>0</v>
      </c>
      <c r="E83" s="647"/>
      <c r="F83" s="648"/>
      <c r="G83" s="630">
        <f>IF((AllSat+AllSat1&gt;0),"",1-D83)</f>
        <v>1</v>
      </c>
      <c r="H83" s="5" t="s">
        <v>1767</v>
      </c>
      <c r="I83" s="3" t="s">
        <v>707</v>
      </c>
    </row>
    <row r="84" spans="1:9" ht="26.25" customHeight="1" thickBot="1" x14ac:dyDescent="0.25">
      <c r="A84" s="1839" t="str">
        <f>F!A114</f>
        <v>F27</v>
      </c>
      <c r="B84" s="1834" t="str">
        <f>F!B114</f>
        <v>Throughflow Complexity</v>
      </c>
      <c r="C84" s="615" t="str">
        <f>F!C114</f>
        <v xml:space="preserve">During its travel through the AA at the time of peak annual flow, most of the flowing water [select ONE]: </v>
      </c>
      <c r="D84" s="635"/>
      <c r="E84" s="645"/>
      <c r="F84" s="395"/>
      <c r="G84" s="512" t="str">
        <f>IF((AllSat+AllSat1&gt;0),"",IF((Inflows=0),"",(MAX(F85:F89)/MAX(E85:E89))))</f>
        <v/>
      </c>
      <c r="H84" s="1710" t="s">
        <v>5293</v>
      </c>
      <c r="I84" s="3" t="s">
        <v>714</v>
      </c>
    </row>
    <row r="85" spans="1:9" ht="42" customHeight="1" x14ac:dyDescent="0.2">
      <c r="A85" s="1839"/>
      <c r="B85" s="1834"/>
      <c r="C85" s="144" t="str">
        <f>F!C115</f>
        <v>Does not bump into plant stems.  Nearly all the water travels in unvegetated (often incised) channels that have little contact with wetland vegetation, or through a zone of open water such as an instream pond or lake.</v>
      </c>
      <c r="D85" s="286">
        <f>F!D115</f>
        <v>0</v>
      </c>
      <c r="E85" s="397">
        <v>0</v>
      </c>
      <c r="F85" s="397">
        <f>D85*E85</f>
        <v>0</v>
      </c>
      <c r="G85" s="521"/>
      <c r="H85" s="1834"/>
    </row>
    <row r="86" spans="1:9" ht="27" customHeight="1" x14ac:dyDescent="0.2">
      <c r="A86" s="1839"/>
      <c r="B86" s="1834"/>
      <c r="C86" s="50" t="str">
        <f>F!C116</f>
        <v>bumps into herbaceous vegetation and follows a fairly straight path from entrance to exit (branched channels few or none, meandering slight or none).</v>
      </c>
      <c r="D86" s="271">
        <f>F!D116</f>
        <v>0</v>
      </c>
      <c r="E86" s="397">
        <v>3</v>
      </c>
      <c r="F86" s="397">
        <f>D86*E86</f>
        <v>0</v>
      </c>
      <c r="G86" s="515"/>
      <c r="H86" s="1834"/>
    </row>
    <row r="87" spans="1:9" ht="27" customHeight="1" x14ac:dyDescent="0.2">
      <c r="A87" s="1839"/>
      <c r="B87" s="1834"/>
      <c r="C87" s="50" t="str">
        <f>F!C117</f>
        <v>bumps into herbaceous vegetation and follows a fairly indirect path from entrance to exit (meandering, multi-branched, or braided).</v>
      </c>
      <c r="D87" s="271">
        <f>F!D117</f>
        <v>0</v>
      </c>
      <c r="E87" s="397">
        <v>6</v>
      </c>
      <c r="F87" s="397">
        <f>D87*E87</f>
        <v>0</v>
      </c>
      <c r="G87" s="515"/>
      <c r="H87" s="1834"/>
    </row>
    <row r="88" spans="1:9" ht="27" customHeight="1" x14ac:dyDescent="0.2">
      <c r="A88" s="1839"/>
      <c r="B88" s="1834"/>
      <c r="C88" s="50" t="str">
        <f>F!C118</f>
        <v>bumps into tree trunks and/or shrub stems and follows a fairly straight path from entrance to exit (branched channels few or none, meandering slight or none).</v>
      </c>
      <c r="D88" s="271">
        <f>F!D118</f>
        <v>0</v>
      </c>
      <c r="E88" s="397">
        <v>4</v>
      </c>
      <c r="F88" s="397">
        <f>D88*E88</f>
        <v>0</v>
      </c>
      <c r="G88" s="515"/>
      <c r="H88" s="1834"/>
    </row>
    <row r="89" spans="1:9" ht="30" customHeight="1" thickBot="1" x14ac:dyDescent="0.25">
      <c r="A89" s="1839"/>
      <c r="B89" s="1834"/>
      <c r="C89" s="204" t="str">
        <f>F!C119</f>
        <v>bumps into tree trunks and/or shrub stems and follows a fairly indirect path from entrance to exit (meandering, multi-branched, or braided).</v>
      </c>
      <c r="D89" s="288">
        <f>F!D119</f>
        <v>0</v>
      </c>
      <c r="E89" s="399">
        <v>8</v>
      </c>
      <c r="F89" s="399">
        <f>D89*E89</f>
        <v>0</v>
      </c>
      <c r="G89" s="500"/>
      <c r="H89" s="1834"/>
    </row>
    <row r="90" spans="1:9" ht="30" customHeight="1" thickBot="1" x14ac:dyDescent="0.25">
      <c r="A90" s="1831" t="str">
        <f>F!A120</f>
        <v>F28</v>
      </c>
      <c r="B90" s="1852" t="str">
        <f>F!B120</f>
        <v>Outflow Duration</v>
      </c>
      <c r="C90" s="454" t="str">
        <f>F!C120</f>
        <v>The most persistent surface water connection (outlet channel or pipe, ditch, or overbank water exchange) between the AA and the closest off-site downslope water body is:</v>
      </c>
      <c r="D90" s="635"/>
      <c r="E90" s="644"/>
      <c r="F90" s="639"/>
      <c r="G90" s="496">
        <f>MAX(F91:F95)/MAX(E91:E95)</f>
        <v>0</v>
      </c>
      <c r="H90" s="1687" t="s">
        <v>5295</v>
      </c>
      <c r="I90" s="3" t="s">
        <v>712</v>
      </c>
    </row>
    <row r="91" spans="1:9" ht="27" customHeight="1" x14ac:dyDescent="0.2">
      <c r="A91" s="1832"/>
      <c r="B91" s="1834"/>
      <c r="C91" s="144" t="str">
        <f>F!C121</f>
        <v>persistent (&gt;9 months/year); almost always shown on stream maps, or determine from your dry-season observation.</v>
      </c>
      <c r="D91" s="286">
        <f>F!D121</f>
        <v>0</v>
      </c>
      <c r="E91" s="397">
        <v>1</v>
      </c>
      <c r="F91" s="397">
        <f>D91*E91</f>
        <v>0</v>
      </c>
      <c r="G91" s="521"/>
      <c r="H91" s="1837"/>
    </row>
    <row r="92" spans="1:9" ht="15" customHeight="1" x14ac:dyDescent="0.2">
      <c r="A92" s="1832"/>
      <c r="B92" s="1834"/>
      <c r="C92" s="50" t="str">
        <f>F!C122</f>
        <v>seasonal (14 days to 9 months/year, not necessarily consecutive); sometimes shown on stream maps.</v>
      </c>
      <c r="D92" s="271">
        <f>F!D122</f>
        <v>0</v>
      </c>
      <c r="E92" s="397">
        <v>2</v>
      </c>
      <c r="F92" s="397">
        <f>D92*E92</f>
        <v>0</v>
      </c>
      <c r="G92" s="515"/>
      <c r="H92" s="1837"/>
    </row>
    <row r="93" spans="1:9" ht="15" customHeight="1" x14ac:dyDescent="0.2">
      <c r="A93" s="1832"/>
      <c r="B93" s="1834"/>
      <c r="C93" s="50" t="str">
        <f>F!C123</f>
        <v>temporary (&lt;14 days, not necessarily consecutive); seldom shown on stream maps.</v>
      </c>
      <c r="D93" s="271">
        <f>F!D123</f>
        <v>0</v>
      </c>
      <c r="E93" s="397">
        <v>4</v>
      </c>
      <c r="F93" s="397">
        <f>D93*E93</f>
        <v>0</v>
      </c>
      <c r="G93" s="515"/>
      <c r="H93" s="1837"/>
    </row>
    <row r="94" spans="1:9" ht="27" customHeight="1" x14ac:dyDescent="0.2">
      <c r="A94" s="1832"/>
      <c r="B94" s="1834"/>
      <c r="C94" s="50" t="str">
        <f>F!C124</f>
        <v xml:space="preserve">none -- but maps show a stream or other water body that is downslope from the AA and within a distance that is less than the AA's path length (see definition, OF35).  If so, mark "1" here and SKIP TO F30. </v>
      </c>
      <c r="D94" s="271">
        <f>F!D124</f>
        <v>0</v>
      </c>
      <c r="E94" s="649">
        <v>8</v>
      </c>
      <c r="F94" s="397">
        <f>D94*E94</f>
        <v>0</v>
      </c>
      <c r="G94" s="500"/>
      <c r="H94" s="1837"/>
    </row>
    <row r="95" spans="1:9" ht="42" customHeight="1" thickBot="1" x14ac:dyDescent="0.25">
      <c r="A95" s="1833"/>
      <c r="B95" s="1835"/>
      <c r="C95" s="465" t="str">
        <f>F!C125</f>
        <v xml:space="preserve">no surface water flows out of the wetland except possibly during extreme events (less than once per 10 years). Or, water flows only into a wetland, ditch, or lake that lacks an outlet.  If so, mark "1" here and SKIP TO F30. </v>
      </c>
      <c r="D95" s="293">
        <f>F!D125</f>
        <v>0</v>
      </c>
      <c r="E95" s="638">
        <v>8</v>
      </c>
      <c r="F95" s="638">
        <f>D95*E95</f>
        <v>0</v>
      </c>
      <c r="G95" s="504"/>
      <c r="H95" s="1838"/>
    </row>
    <row r="96" spans="1:9" ht="30" customHeight="1" thickBot="1" x14ac:dyDescent="0.25">
      <c r="A96" s="1831" t="str">
        <f>F!A126</f>
        <v>F29</v>
      </c>
      <c r="B96" s="1836" t="str">
        <f>F!B126</f>
        <v>Outflow Confinement</v>
      </c>
      <c r="C96" s="454" t="str">
        <f>F!C126</f>
        <v>During major runoff events, in the places where surface water in a channel exits the AA or connected waters nearby, it:</v>
      </c>
      <c r="D96" s="635"/>
      <c r="E96" s="644"/>
      <c r="F96" s="639"/>
      <c r="G96" s="496">
        <f>IF((OutNone+OutNone1&gt;0),"",MAX(F97:F99)/MAX(E97:E99))</f>
        <v>0</v>
      </c>
      <c r="H96" s="1709" t="s">
        <v>5296</v>
      </c>
      <c r="I96" s="3" t="s">
        <v>713</v>
      </c>
    </row>
    <row r="97" spans="1:9" ht="42" customHeight="1" x14ac:dyDescent="0.2">
      <c r="A97" s="1832"/>
      <c r="B97" s="1837"/>
      <c r="C97" s="144" t="str">
        <f>F!C127</f>
        <v>mostly passes through a pipe, culvert, narrowly breached dike, berm, beaver dam, or other partial obstruction (other than natural topography) that does not appear to drain the wetland artificially during most of the growing season.</v>
      </c>
      <c r="D97" s="286">
        <f>F!D127</f>
        <v>0</v>
      </c>
      <c r="E97" s="397">
        <v>2</v>
      </c>
      <c r="F97" s="397">
        <f>D97*E97</f>
        <v>0</v>
      </c>
      <c r="G97" s="521"/>
      <c r="H97" s="1834"/>
    </row>
    <row r="98" spans="1:9" ht="15" customHeight="1" x14ac:dyDescent="0.2">
      <c r="A98" s="1832"/>
      <c r="B98" s="1837"/>
      <c r="C98" s="50" t="str">
        <f>F!C128</f>
        <v>leaves through natural exits, not mainly through artificial or temporary features.</v>
      </c>
      <c r="D98" s="271">
        <f>F!D128</f>
        <v>0</v>
      </c>
      <c r="E98" s="397">
        <v>1</v>
      </c>
      <c r="F98" s="397">
        <f>D98*E98</f>
        <v>0</v>
      </c>
      <c r="G98" s="499"/>
      <c r="H98" s="1834"/>
    </row>
    <row r="99" spans="1:9" ht="27.6" customHeight="1" thickBot="1" x14ac:dyDescent="0.25">
      <c r="A99" s="1833"/>
      <c r="B99" s="1838"/>
      <c r="C99" s="462" t="str">
        <f>F!C129</f>
        <v>exported more quickly than usual due to ditches or pipes within the AA (or connected to its outlet or within 10 m of the AA's edge) which drain the wetland artificially, or water is pumped out of the AA.</v>
      </c>
      <c r="D99" s="272">
        <f>F!D129</f>
        <v>0</v>
      </c>
      <c r="E99" s="638">
        <v>0</v>
      </c>
      <c r="F99" s="638">
        <f>D99*E99</f>
        <v>0</v>
      </c>
      <c r="G99" s="504"/>
      <c r="H99" s="1835"/>
    </row>
    <row r="100" spans="1:9" ht="57" customHeight="1" thickBot="1" x14ac:dyDescent="0.25">
      <c r="A100" s="1912" t="str">
        <f>F!A200</f>
        <v>F43</v>
      </c>
      <c r="B100" s="1834" t="str">
        <f>F!B200</f>
        <v>Bare Ground &amp; Accumulated Plant Litter</v>
      </c>
      <c r="C100" s="615" t="str">
        <f>F!C200</f>
        <v>As viewed from above at mid-summer, the extent of bare ground (unvegetated mineral or organic soil or rock) within the AA, excluding parts not visible because under water, snow, or dense thatch) is:</v>
      </c>
      <c r="D100" s="394"/>
      <c r="E100" s="645"/>
      <c r="F100" s="395"/>
      <c r="G100" s="512">
        <f>MAX(F101:F104)/MAX(E101:E104)</f>
        <v>0</v>
      </c>
      <c r="H100" s="1688" t="s">
        <v>62</v>
      </c>
      <c r="I100" s="3" t="s">
        <v>715</v>
      </c>
    </row>
    <row r="101" spans="1:9" ht="42" customHeight="1" x14ac:dyDescent="0.2">
      <c r="A101" s="1912"/>
      <c r="B101" s="1834"/>
      <c r="C101" s="144" t="str">
        <f>F!C201</f>
        <v xml:space="preserve">little or no (&lt;5%) bare ground is visible between erect stems or under canopy and ground surface is extensively blanketed by moss, lichens, graminoids with great stem densities, or plants with ground-hugging foliage.  </v>
      </c>
      <c r="D101" s="286">
        <f>F!D201</f>
        <v>0</v>
      </c>
      <c r="E101" s="388">
        <v>5</v>
      </c>
      <c r="F101" s="397">
        <f>D101*E101</f>
        <v>0</v>
      </c>
      <c r="G101" s="521"/>
      <c r="H101" s="1837"/>
    </row>
    <row r="102" spans="1:9" ht="27" customHeight="1" x14ac:dyDescent="0.2">
      <c r="A102" s="1912"/>
      <c r="B102" s="1834"/>
      <c r="C102" s="50" t="str">
        <f>F!C202</f>
        <v>Slightly bare ground (5-20% bare between plants) is visible in places, but those areas comprise less than 5% of the unflooded parts of the AA.</v>
      </c>
      <c r="D102" s="271">
        <f>F!D202</f>
        <v>0</v>
      </c>
      <c r="E102" s="388">
        <v>4</v>
      </c>
      <c r="F102" s="397">
        <f>D102*E102</f>
        <v>0</v>
      </c>
      <c r="G102" s="515"/>
      <c r="H102" s="1837"/>
    </row>
    <row r="103" spans="1:9" ht="27" customHeight="1" x14ac:dyDescent="0.2">
      <c r="A103" s="1912"/>
      <c r="B103" s="1834"/>
      <c r="C103" s="50" t="str">
        <f>F!C203</f>
        <v>Much bare ground (20-50% bare between plants) is visible in places, and those areas comprise more than 5% of the unflooded parts of the AA. </v>
      </c>
      <c r="D103" s="271">
        <f>F!D203</f>
        <v>0</v>
      </c>
      <c r="E103" s="388">
        <v>2</v>
      </c>
      <c r="F103" s="397">
        <f>D103*E103</f>
        <v>0</v>
      </c>
      <c r="G103" s="515"/>
      <c r="H103" s="1837"/>
    </row>
    <row r="104" spans="1:9" ht="15.6" customHeight="1" thickBot="1" x14ac:dyDescent="0.25">
      <c r="A104" s="1912"/>
      <c r="B104" s="1834"/>
      <c r="C104" s="204" t="str">
        <f>F!C204</f>
        <v>mostly (&gt;50%) bare ground or ground covered only with thatch.</v>
      </c>
      <c r="D104" s="288">
        <f>F!D204</f>
        <v>0</v>
      </c>
      <c r="E104" s="391">
        <v>0</v>
      </c>
      <c r="F104" s="399">
        <f>D104*E104</f>
        <v>0</v>
      </c>
      <c r="G104" s="500"/>
      <c r="H104" s="1837"/>
    </row>
    <row r="105" spans="1:9" ht="45" customHeight="1" thickBot="1" x14ac:dyDescent="0.25">
      <c r="A105" s="1831" t="str">
        <f>F!A206</f>
        <v>F44</v>
      </c>
      <c r="B105" s="1836" t="str">
        <f>F!B206</f>
        <v>Ground Irregularity</v>
      </c>
      <c r="C105" s="454"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05" s="635"/>
      <c r="E105" s="644"/>
      <c r="F105" s="639"/>
      <c r="G105" s="496">
        <f>MAX(F106:F108)/MAX(E106:E108)</f>
        <v>0</v>
      </c>
      <c r="H105" s="1852" t="s">
        <v>63</v>
      </c>
      <c r="I105" s="3" t="s">
        <v>716</v>
      </c>
    </row>
    <row r="106" spans="1:9" ht="15" customHeight="1" x14ac:dyDescent="0.2">
      <c r="A106" s="1832"/>
      <c r="B106" s="1837"/>
      <c r="C106" s="144" t="str">
        <f>F!C207</f>
        <v xml:space="preserve">Few or none (minimal microtopography; &lt;1% of that area) </v>
      </c>
      <c r="D106" s="286">
        <f>F!D207</f>
        <v>0</v>
      </c>
      <c r="E106" s="397">
        <v>0</v>
      </c>
      <c r="F106" s="397">
        <f>D106*E106</f>
        <v>0</v>
      </c>
      <c r="G106" s="521"/>
      <c r="H106" s="1834"/>
    </row>
    <row r="107" spans="1:9" ht="15" customHeight="1" x14ac:dyDescent="0.2">
      <c r="A107" s="1832"/>
      <c r="B107" s="1837"/>
      <c r="C107" s="50" t="str">
        <f>F!C208</f>
        <v>Intermediate</v>
      </c>
      <c r="D107" s="271">
        <f>F!D208</f>
        <v>0</v>
      </c>
      <c r="E107" s="397">
        <v>1</v>
      </c>
      <c r="F107" s="397">
        <f>D107*E107</f>
        <v>0</v>
      </c>
      <c r="G107" s="515"/>
      <c r="H107" s="1834"/>
    </row>
    <row r="108" spans="1:9" ht="15.6" customHeight="1" thickBot="1" x14ac:dyDescent="0.25">
      <c r="A108" s="1833"/>
      <c r="B108" s="1838"/>
      <c r="C108" s="462" t="str">
        <f>F!C209</f>
        <v>Several (extensive micro-topography)</v>
      </c>
      <c r="D108" s="272">
        <f>F!D209</f>
        <v>0</v>
      </c>
      <c r="E108" s="638">
        <v>2</v>
      </c>
      <c r="F108" s="638">
        <f>D108*E108</f>
        <v>0</v>
      </c>
      <c r="G108" s="504"/>
      <c r="H108" s="1835"/>
    </row>
    <row r="109" spans="1:9" ht="30" customHeight="1" thickBot="1" x14ac:dyDescent="0.25">
      <c r="A109" s="483" t="s">
        <v>290</v>
      </c>
      <c r="B109" s="488" t="s">
        <v>2613</v>
      </c>
      <c r="C109" s="475" t="s">
        <v>2606</v>
      </c>
      <c r="D109" s="474" t="s">
        <v>117</v>
      </c>
      <c r="E109" s="626" t="s">
        <v>5438</v>
      </c>
      <c r="F109" s="627" t="s">
        <v>5439</v>
      </c>
      <c r="G109" s="628" t="s">
        <v>5825</v>
      </c>
      <c r="H109" s="488" t="s">
        <v>919</v>
      </c>
    </row>
    <row r="110" spans="1:9" ht="27" customHeight="1" thickBot="1" x14ac:dyDescent="0.25">
      <c r="A110" s="1839" t="str">
        <f>OF!A93</f>
        <v>OF16</v>
      </c>
      <c r="B110" s="1837" t="str">
        <f>OF!B93</f>
        <v>Glacier Fed</v>
      </c>
      <c r="C110" s="615" t="str">
        <f>OF!C93</f>
        <v>Refer to the Glaciers map in the online WESPAK-SE Wetlands Module.  Select the first applicable choice:</v>
      </c>
      <c r="D110" s="635"/>
      <c r="E110" s="645"/>
      <c r="F110" s="645"/>
      <c r="G110" s="530">
        <f>IF((AllSat=1),"",MAX(F111:F113)/MAX(E111:E113))</f>
        <v>0</v>
      </c>
      <c r="H110" s="1688" t="s">
        <v>5306</v>
      </c>
      <c r="I110" s="3" t="s">
        <v>725</v>
      </c>
    </row>
    <row r="111" spans="1:9" ht="15" customHeight="1" x14ac:dyDescent="0.2">
      <c r="A111" s="1839"/>
      <c r="B111" s="1837"/>
      <c r="C111" s="144" t="str">
        <f>OF!C94</f>
        <v>No upstream glacier feeds surface water to the AA, not even seasonally.</v>
      </c>
      <c r="D111" s="286">
        <f>OF!D94</f>
        <v>0</v>
      </c>
      <c r="E111" s="397">
        <v>0</v>
      </c>
      <c r="F111" s="397">
        <f>D111*E111</f>
        <v>0</v>
      </c>
      <c r="G111" s="515"/>
      <c r="H111" s="1837"/>
    </row>
    <row r="112" spans="1:9" ht="42" customHeight="1" x14ac:dyDescent="0.2">
      <c r="A112" s="1839"/>
      <c r="B112" s="1837"/>
      <c r="C112" s="50"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2" s="271">
        <f>OF!D95</f>
        <v>0</v>
      </c>
      <c r="E112" s="397">
        <v>3</v>
      </c>
      <c r="F112" s="397">
        <f>D112*E112</f>
        <v>0</v>
      </c>
      <c r="G112" s="515"/>
      <c r="H112" s="1837"/>
    </row>
    <row r="113" spans="1:9" ht="27.6" customHeight="1" thickBot="1" x14ac:dyDescent="0.25">
      <c r="A113" s="1839"/>
      <c r="B113" s="1837"/>
      <c r="C113" s="204" t="str">
        <f>OF!C96</f>
        <v>A glacier feeds streamflow or other surface water to the AA, but there is little or no resultant reduction in water clarity.</v>
      </c>
      <c r="D113" s="288">
        <f>OF!D96</f>
        <v>0</v>
      </c>
      <c r="E113" s="399">
        <v>2</v>
      </c>
      <c r="F113" s="399">
        <f>D113*E113</f>
        <v>0</v>
      </c>
      <c r="G113" s="500"/>
      <c r="H113" s="1837"/>
    </row>
    <row r="114" spans="1:9" ht="54" customHeight="1" thickBot="1" x14ac:dyDescent="0.25">
      <c r="A114" s="1831" t="str">
        <f>OF!A122</f>
        <v>OF24</v>
      </c>
      <c r="B114" s="1852" t="str">
        <f>OF!B122</f>
        <v>Upslope Soil Erodibility &amp; Debris Flow Potential</v>
      </c>
      <c r="C114" s="454" t="str">
        <f>OF!C122</f>
        <v>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v>
      </c>
      <c r="D114" s="635"/>
      <c r="E114" s="644"/>
      <c r="F114" s="639"/>
      <c r="G114" s="631">
        <f>IF((D118=1),"", IF((NoCA=1),"", MAX(F115:F117)/MAX(E115:E117)))</f>
        <v>0</v>
      </c>
      <c r="H114" s="1709" t="s">
        <v>1197</v>
      </c>
      <c r="I114" s="3" t="s">
        <v>726</v>
      </c>
    </row>
    <row r="115" spans="1:9" ht="15" customHeight="1" x14ac:dyDescent="0.2">
      <c r="A115" s="1832"/>
      <c r="B115" s="1834"/>
      <c r="C115" s="144" t="str">
        <f>OF!C123</f>
        <v>yes, and such conditions or classifications intersect the AA.</v>
      </c>
      <c r="D115" s="286">
        <f>OF!D123</f>
        <v>0</v>
      </c>
      <c r="E115" s="397">
        <v>3</v>
      </c>
      <c r="F115" s="397">
        <f>D115*E115</f>
        <v>0</v>
      </c>
      <c r="G115" s="521"/>
      <c r="H115" s="1834"/>
    </row>
    <row r="116" spans="1:9" ht="15" customHeight="1" x14ac:dyDescent="0.2">
      <c r="A116" s="1832"/>
      <c r="B116" s="1834"/>
      <c r="C116" s="50" t="str">
        <f>OF!C124</f>
        <v>yes, but the conditions or classifications do not reach or intersect the AA.</v>
      </c>
      <c r="D116" s="271">
        <f>OF!D124</f>
        <v>0</v>
      </c>
      <c r="E116" s="397">
        <v>2</v>
      </c>
      <c r="F116" s="397">
        <f>D116*E116</f>
        <v>0</v>
      </c>
      <c r="G116" s="515"/>
      <c r="H116" s="1834"/>
    </row>
    <row r="117" spans="1:9" ht="15" customHeight="1" x14ac:dyDescent="0.2">
      <c r="A117" s="1832"/>
      <c r="B117" s="1834"/>
      <c r="C117" s="50" t="str">
        <f>OF!C125</f>
        <v>no, or no information but very unlikely that AA is intersected by highly erodible lands or landslides</v>
      </c>
      <c r="D117" s="271">
        <f>OF!D125</f>
        <v>0</v>
      </c>
      <c r="E117" s="397">
        <v>0</v>
      </c>
      <c r="F117" s="397">
        <f>D117*E117</f>
        <v>0</v>
      </c>
      <c r="G117" s="515"/>
      <c r="H117" s="1834"/>
    </row>
    <row r="118" spans="1:9" ht="15.6" customHeight="1" thickBot="1" x14ac:dyDescent="0.25">
      <c r="A118" s="1833"/>
      <c r="B118" s="1835"/>
      <c r="C118" s="462" t="str">
        <f>OF!C126</f>
        <v>no information</v>
      </c>
      <c r="D118" s="272">
        <f>OF!D126</f>
        <v>0</v>
      </c>
      <c r="E118" s="638"/>
      <c r="F118" s="638"/>
      <c r="G118" s="504"/>
      <c r="H118" s="1835"/>
    </row>
    <row r="119" spans="1:9" ht="72" customHeight="1" thickBot="1" x14ac:dyDescent="0.25">
      <c r="A119" s="1831" t="str">
        <f>OF!A127</f>
        <v>OF25</v>
      </c>
      <c r="B119" s="1836" t="str">
        <f>OF!B127</f>
        <v xml:space="preserve">Toxicity Documented Upstream </v>
      </c>
      <c r="C119" s="456"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119" s="635"/>
      <c r="E119" s="644"/>
      <c r="F119" s="639"/>
      <c r="G119" s="631">
        <f>IF((D123=1),"", IF((D122=1),0, IF((D121=1),0.2, 1)))</f>
        <v>1</v>
      </c>
      <c r="H119" s="1687" t="s">
        <v>1199</v>
      </c>
      <c r="I119" s="3" t="s">
        <v>2265</v>
      </c>
    </row>
    <row r="120" spans="1:9" ht="15" customHeight="1" x14ac:dyDescent="0.2">
      <c r="A120" s="1832"/>
      <c r="B120" s="1837"/>
      <c r="C120" s="457" t="str">
        <f>OF!C128</f>
        <v>within the AA</v>
      </c>
      <c r="D120" s="286">
        <f>OF!D128</f>
        <v>0</v>
      </c>
      <c r="E120" s="397"/>
      <c r="F120" s="651"/>
      <c r="G120" s="515"/>
      <c r="H120" s="1837"/>
    </row>
    <row r="121" spans="1:9" ht="15" customHeight="1" x14ac:dyDescent="0.2">
      <c r="A121" s="1832"/>
      <c r="B121" s="1837"/>
      <c r="C121" s="458" t="str">
        <f>OF!C129</f>
        <v>in waters within 1 mile that flow into the AA.</v>
      </c>
      <c r="D121" s="271">
        <f>OF!D129</f>
        <v>0</v>
      </c>
      <c r="E121" s="397"/>
      <c r="F121" s="651"/>
      <c r="G121" s="515"/>
      <c r="H121" s="1837"/>
    </row>
    <row r="122" spans="1:9" ht="15" customHeight="1" x14ac:dyDescent="0.2">
      <c r="A122" s="1832"/>
      <c r="B122" s="1837"/>
      <c r="C122" s="458" t="str">
        <f>OF!C130</f>
        <v>Sampling (not just absence of map symbols) indicates no problems.</v>
      </c>
      <c r="D122" s="271">
        <f>OF!D130</f>
        <v>0</v>
      </c>
      <c r="E122" s="397"/>
      <c r="F122" s="651"/>
      <c r="G122" s="515"/>
      <c r="H122" s="1837"/>
    </row>
    <row r="123" spans="1:9" ht="15.6" customHeight="1" thickBot="1" x14ac:dyDescent="0.25">
      <c r="A123" s="1833"/>
      <c r="B123" s="1838"/>
      <c r="C123" s="459" t="str">
        <f>OF!C131</f>
        <v>insufficient data (no map symbols &amp; no sampling, or &gt;1 mile upstream).</v>
      </c>
      <c r="D123" s="272">
        <f>OF!D131</f>
        <v>0</v>
      </c>
      <c r="E123" s="638"/>
      <c r="F123" s="652"/>
      <c r="G123" s="504"/>
      <c r="H123" s="1838"/>
    </row>
    <row r="124" spans="1:9" ht="45" customHeight="1" thickBot="1" x14ac:dyDescent="0.25">
      <c r="A124" s="1839" t="str">
        <f>OF!A132</f>
        <v>OF26</v>
      </c>
      <c r="B124" s="1837" t="str">
        <f>OF!B132</f>
        <v xml:space="preserve">Toxicity Documented Downstream </v>
      </c>
      <c r="C124" s="615" t="str">
        <f>OF!C132</f>
        <v>The Impaired Waters (DEC) and Contaminated Sites (Active) maps show such a problem within the AA or in waters downslope from the AA. Or, other sampling has identified such a problem downslope. Select the first true statement. These conditions are present:</v>
      </c>
      <c r="D124" s="635"/>
      <c r="E124" s="645"/>
      <c r="F124" s="395"/>
      <c r="G124" s="530">
        <f>IF((D128=1),"", IF((D127=1),0, IF((D126=1),0.2, 1)))</f>
        <v>1</v>
      </c>
      <c r="H124" s="1688" t="s">
        <v>287</v>
      </c>
      <c r="I124" s="3" t="s">
        <v>801</v>
      </c>
    </row>
    <row r="125" spans="1:9" ht="15" customHeight="1" x14ac:dyDescent="0.2">
      <c r="A125" s="1839"/>
      <c r="B125" s="1837"/>
      <c r="C125" s="144" t="str">
        <f>OF!C133</f>
        <v>within 1 mile downslope, and connected to the AA by a channel</v>
      </c>
      <c r="D125" s="286">
        <f>OF!D133</f>
        <v>0</v>
      </c>
      <c r="E125" s="397"/>
      <c r="F125" s="397"/>
      <c r="G125" s="521"/>
      <c r="H125" s="1837"/>
    </row>
    <row r="126" spans="1:9" ht="15" customHeight="1" x14ac:dyDescent="0.2">
      <c r="A126" s="1839"/>
      <c r="B126" s="1837"/>
      <c r="C126" s="144" t="str">
        <f>OF!C134</f>
        <v>within 1 mile downslope, but not connected to the AA by a channel</v>
      </c>
      <c r="D126" s="286">
        <f>OF!D134</f>
        <v>0</v>
      </c>
      <c r="E126" s="397"/>
      <c r="F126" s="397"/>
      <c r="G126" s="515"/>
      <c r="H126" s="1837"/>
    </row>
    <row r="127" spans="1:9" ht="15" customHeight="1" x14ac:dyDescent="0.2">
      <c r="A127" s="1839"/>
      <c r="B127" s="1837"/>
      <c r="C127" s="144" t="str">
        <f>OF!C135</f>
        <v>sampling (not just absence of map symbols) indicates no problems</v>
      </c>
      <c r="D127" s="286">
        <f>OF!D135</f>
        <v>0</v>
      </c>
      <c r="E127" s="397"/>
      <c r="F127" s="397"/>
      <c r="G127" s="515"/>
      <c r="H127" s="1837"/>
    </row>
    <row r="128" spans="1:9" ht="15.6" customHeight="1" thickBot="1" x14ac:dyDescent="0.25">
      <c r="A128" s="1839"/>
      <c r="B128" s="1837"/>
      <c r="C128" s="460" t="str">
        <f>OF!C136</f>
        <v>insufficient data (no map symbols &amp; no sampling, or &gt;1 mile downslope)</v>
      </c>
      <c r="D128" s="287">
        <f>OF!D136</f>
        <v>0</v>
      </c>
      <c r="E128" s="399"/>
      <c r="F128" s="399"/>
      <c r="G128" s="500"/>
      <c r="H128" s="1837"/>
    </row>
    <row r="129" spans="1:9" ht="81" customHeight="1" thickBot="1" x14ac:dyDescent="0.25">
      <c r="A129" s="1831" t="str">
        <f>OF!A147</f>
        <v>OF28</v>
      </c>
      <c r="B129" s="1852" t="str">
        <f>OF!B147</f>
        <v>Elevation in Multi-scale Watersheds</v>
      </c>
      <c r="C129" s="45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29" s="635"/>
      <c r="E129" s="644"/>
      <c r="F129" s="639"/>
      <c r="G129" s="631" t="str">
        <f>IF((D130=0),"",1-((D130*3 + D131*2 + D132)/18))</f>
        <v/>
      </c>
      <c r="H129" s="1709" t="s">
        <v>5279</v>
      </c>
      <c r="I129" s="3" t="s">
        <v>720</v>
      </c>
    </row>
    <row r="130" spans="1:9" ht="27" customHeight="1" x14ac:dyDescent="0.2">
      <c r="A130" s="1832"/>
      <c r="B130" s="1834"/>
      <c r="C130" s="144" t="str">
        <f>OF!C148</f>
        <v>In its HUC8 (the watershed with a 12-digit code), the AA's elevation puts it in (enter one of the following): 3= upper one-third, 2= middle one-third, 1= lower one-third, 0= no data.</v>
      </c>
      <c r="D130" s="286">
        <f>OF!D148</f>
        <v>0</v>
      </c>
      <c r="E130" s="653">
        <f>4-D140</f>
        <v>4</v>
      </c>
      <c r="F130" s="397"/>
      <c r="G130" s="521"/>
      <c r="H130" s="1834"/>
    </row>
    <row r="131" spans="1:9" ht="42" customHeight="1" x14ac:dyDescent="0.2">
      <c r="A131" s="1832"/>
      <c r="B131" s="1834"/>
      <c r="C131" s="50" t="str">
        <f>OF!C149</f>
        <v>In its HUC7 (the 10-digit* watershed), the AA's elevation puts it in (enter one of the following): 3= upper one-third, 2= middle one-third, 1= lower one-third, 0= no data.  [The 10-digit HUC is obtained by deleting the last 2 digits of the 12-digit HUC code]</v>
      </c>
      <c r="D131" s="271">
        <f>OF!D149</f>
        <v>0</v>
      </c>
      <c r="E131" s="653">
        <f>4-D141</f>
        <v>4</v>
      </c>
      <c r="F131" s="397"/>
      <c r="G131" s="515"/>
      <c r="H131" s="1834"/>
    </row>
    <row r="132" spans="1:9" ht="42" customHeight="1" thickBot="1" x14ac:dyDescent="0.25">
      <c r="A132" s="1833"/>
      <c r="B132" s="1835"/>
      <c r="C132" s="462" t="str">
        <f>OF!C150</f>
        <v>In its HUC6 (the 8-digit* watershed) the AA's elevation puts it in (enter one of the following): 3= upper one-third, 2= middle one-third, 1= lower one-third, 0= no data.  [The 8-digit HUC is obtained by deleting the last 4 digits of the 12-digit HUC code]</v>
      </c>
      <c r="D132" s="272">
        <f>OF!D150</f>
        <v>0</v>
      </c>
      <c r="E132" s="654">
        <f>4-D142</f>
        <v>4</v>
      </c>
      <c r="F132" s="638"/>
      <c r="G132" s="504"/>
      <c r="H132" s="1835"/>
    </row>
    <row r="133" spans="1:9" ht="30" customHeight="1" thickBot="1" x14ac:dyDescent="0.25">
      <c r="A133" s="1839" t="str">
        <f>OF!A152</f>
        <v>OF30</v>
      </c>
      <c r="B133" s="1834" t="str">
        <f>OF!B152</f>
        <v>Contributing Area (CA) Percent</v>
      </c>
      <c r="C133" s="615" t="str">
        <f>OF!C152</f>
        <v>On a topographic map, draw the approximate bounds of this AA's contributing area  (see Manual).  Relative to the extent of this contributing area (CA), the AA comprises:</v>
      </c>
      <c r="D133" s="635"/>
      <c r="E133" s="645"/>
      <c r="F133" s="395"/>
      <c r="G133" s="530">
        <f>MAX(F134:F137)/MAX(E134:E137)</f>
        <v>0</v>
      </c>
      <c r="H133" s="1710" t="s">
        <v>1198</v>
      </c>
      <c r="I133" s="3" t="s">
        <v>728</v>
      </c>
    </row>
    <row r="134" spans="1:9" ht="27" customHeight="1" x14ac:dyDescent="0.2">
      <c r="A134" s="1839"/>
      <c r="B134" s="1834"/>
      <c r="C134" s="144" t="str">
        <f>OF!C153</f>
        <v>&lt;1% of its CA  (including but not limited to most wetlands flooded annually by a major river, many in karst landscapes, and most that have multiple tributaries).</v>
      </c>
      <c r="D134" s="286">
        <f>OF!D153</f>
        <v>0</v>
      </c>
      <c r="E134" s="397">
        <v>3</v>
      </c>
      <c r="F134" s="397">
        <f>D134*E134</f>
        <v>0</v>
      </c>
      <c r="G134" s="521"/>
      <c r="H134" s="1834"/>
    </row>
    <row r="135" spans="1:9" ht="15" customHeight="1" x14ac:dyDescent="0.2">
      <c r="A135" s="1839"/>
      <c r="B135" s="1834"/>
      <c r="C135" s="50" t="str">
        <f>OF!C154</f>
        <v>1 to 10% of its CA</v>
      </c>
      <c r="D135" s="271">
        <f>OF!D154</f>
        <v>0</v>
      </c>
      <c r="E135" s="397">
        <v>2</v>
      </c>
      <c r="F135" s="397">
        <f>D135*E135</f>
        <v>0</v>
      </c>
      <c r="G135" s="515"/>
      <c r="H135" s="1834"/>
    </row>
    <row r="136" spans="1:9" ht="15" customHeight="1" x14ac:dyDescent="0.2">
      <c r="A136" s="1839"/>
      <c r="B136" s="1834"/>
      <c r="C136" s="50" t="str">
        <f>OF!C155</f>
        <v>10 to 100%  of its CA</v>
      </c>
      <c r="D136" s="271">
        <f>OF!D155</f>
        <v>0</v>
      </c>
      <c r="E136" s="397">
        <v>1</v>
      </c>
      <c r="F136" s="397">
        <f>D136*E136</f>
        <v>0</v>
      </c>
      <c r="G136" s="515"/>
      <c r="H136" s="1834"/>
    </row>
    <row r="137" spans="1:9" ht="27.6" customHeight="1" thickBot="1" x14ac:dyDescent="0.25">
      <c r="A137" s="1839"/>
      <c r="B137" s="1834"/>
      <c r="C137" s="204" t="str">
        <f>OF!C156</f>
        <v>Wetland has essentially no CA, e.g., isolated by dikes with no input channels, or is in terrain so flat that a CA can't be delineated. SKIP TO OF34.</v>
      </c>
      <c r="D137" s="288">
        <f>OF!D156</f>
        <v>0</v>
      </c>
      <c r="E137" s="399">
        <v>0</v>
      </c>
      <c r="F137" s="399">
        <f>D137*E137</f>
        <v>0</v>
      </c>
      <c r="G137" s="500"/>
      <c r="H137" s="1834"/>
    </row>
    <row r="138" spans="1:9" ht="45" customHeight="1" thickBot="1" x14ac:dyDescent="0.25">
      <c r="A138" s="1831" t="str">
        <f>OF!A157</f>
        <v>OF31</v>
      </c>
      <c r="B138" s="1852" t="str">
        <f>OF!B157</f>
        <v>Unvegetated Surface in the Contributing Area</v>
      </c>
      <c r="C138" s="454" t="str">
        <f>OF!C157</f>
        <v>The proportion of the AA's contributing area (measured to no more than 1000 ft upslope) that is comprised of buildings, roads, parking lots, other pavement, exposed bedrock, debris flows, and other mostly-bare (but unfrozen) surface is about :</v>
      </c>
      <c r="D138" s="635"/>
      <c r="E138" s="644"/>
      <c r="F138" s="639"/>
      <c r="G138" s="631">
        <f>IF((NoCA=1),"", MAX(F139:F141)/MAX(E139:E141))</f>
        <v>0</v>
      </c>
      <c r="H138" s="1709" t="s">
        <v>5314</v>
      </c>
      <c r="I138" s="39" t="s">
        <v>729</v>
      </c>
    </row>
    <row r="139" spans="1:9" ht="15" customHeight="1" x14ac:dyDescent="0.2">
      <c r="A139" s="1832"/>
      <c r="B139" s="1834"/>
      <c r="C139" s="144" t="str">
        <f>OF!C158</f>
        <v>&lt;10%</v>
      </c>
      <c r="D139" s="286">
        <f>OF!D158</f>
        <v>0</v>
      </c>
      <c r="E139" s="397">
        <v>0</v>
      </c>
      <c r="F139" s="397">
        <f>D139*E139</f>
        <v>0</v>
      </c>
      <c r="G139" s="521"/>
      <c r="H139" s="1834"/>
    </row>
    <row r="140" spans="1:9" ht="15" customHeight="1" x14ac:dyDescent="0.2">
      <c r="A140" s="1832"/>
      <c r="B140" s="1834"/>
      <c r="C140" s="50" t="str">
        <f>OF!C159</f>
        <v>10 to 25%</v>
      </c>
      <c r="D140" s="271">
        <f>OF!D159</f>
        <v>0</v>
      </c>
      <c r="E140" s="397">
        <v>1</v>
      </c>
      <c r="F140" s="397">
        <f>D140*E140</f>
        <v>0</v>
      </c>
      <c r="G140" s="515"/>
      <c r="H140" s="1834"/>
    </row>
    <row r="141" spans="1:9" ht="15.6" customHeight="1" thickBot="1" x14ac:dyDescent="0.25">
      <c r="A141" s="1833"/>
      <c r="B141" s="1835"/>
      <c r="C141" s="462" t="str">
        <f>OF!C160</f>
        <v>&gt;25%</v>
      </c>
      <c r="D141" s="272">
        <f>OF!D160</f>
        <v>0</v>
      </c>
      <c r="E141" s="638">
        <v>2</v>
      </c>
      <c r="F141" s="638">
        <f>D141*E141</f>
        <v>0</v>
      </c>
      <c r="G141" s="504"/>
      <c r="H141" s="1835"/>
    </row>
    <row r="142" spans="1:9" ht="126" customHeight="1" thickBot="1" x14ac:dyDescent="0.25">
      <c r="A142" s="1839" t="str">
        <f>OF!A161</f>
        <v>OF32</v>
      </c>
      <c r="B142" s="1834" t="str">
        <f>OF!B161</f>
        <v>Transport From Upslope</v>
      </c>
      <c r="C142" s="615" t="str">
        <f>OF!C161</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This statement is:</v>
      </c>
      <c r="D142" s="635"/>
      <c r="E142" s="645"/>
      <c r="F142" s="395"/>
      <c r="G142" s="530">
        <f>IF((NoCA=1),"", MAX(F143:F145)/MAX(E143:E145))</f>
        <v>0</v>
      </c>
      <c r="H142" s="1710" t="s">
        <v>5316</v>
      </c>
      <c r="I142" s="39" t="s">
        <v>730</v>
      </c>
    </row>
    <row r="143" spans="1:9" ht="15" customHeight="1" x14ac:dyDescent="0.2">
      <c r="A143" s="1839"/>
      <c r="B143" s="1834"/>
      <c r="C143" s="144" t="str">
        <f>OF!C162</f>
        <v>Mostly true</v>
      </c>
      <c r="D143" s="286">
        <f>OF!D162</f>
        <v>0</v>
      </c>
      <c r="E143" s="397">
        <v>2</v>
      </c>
      <c r="F143" s="397">
        <f>D143*E143</f>
        <v>0</v>
      </c>
      <c r="G143" s="521"/>
      <c r="H143" s="1834"/>
    </row>
    <row r="144" spans="1:9" ht="15" customHeight="1" x14ac:dyDescent="0.2">
      <c r="A144" s="1839"/>
      <c r="B144" s="1834"/>
      <c r="C144" s="50" t="str">
        <f>OF!C163</f>
        <v>Somewhat true</v>
      </c>
      <c r="D144" s="271">
        <f>OF!D163</f>
        <v>0</v>
      </c>
      <c r="E144" s="397">
        <v>1</v>
      </c>
      <c r="F144" s="397">
        <f>D144*E144</f>
        <v>0</v>
      </c>
      <c r="G144" s="515"/>
      <c r="H144" s="1834"/>
    </row>
    <row r="145" spans="1:9" ht="15.6" customHeight="1" thickBot="1" x14ac:dyDescent="0.25">
      <c r="A145" s="1839"/>
      <c r="B145" s="1834"/>
      <c r="C145" s="204" t="str">
        <f>OF!C164</f>
        <v>Mostly untrue</v>
      </c>
      <c r="D145" s="288">
        <f>OF!D164</f>
        <v>0</v>
      </c>
      <c r="E145" s="399">
        <v>0</v>
      </c>
      <c r="F145" s="399">
        <f>D145*E145</f>
        <v>0</v>
      </c>
      <c r="G145" s="500"/>
      <c r="H145" s="1834"/>
    </row>
    <row r="146" spans="1:9" ht="30" customHeight="1" thickBot="1" x14ac:dyDescent="0.25">
      <c r="A146" s="1831" t="str">
        <f>F!A11</f>
        <v>F2</v>
      </c>
      <c r="B146" s="1836" t="str">
        <f>F!B11</f>
        <v>% Saturated Only</v>
      </c>
      <c r="C146" s="456" t="str">
        <f>F!C11</f>
        <v>The percentage of the AA that lacks surface water during an average year (that is, except perhaps for a few hours after snowmelt or rainstorms), but which is still a wetland, is:</v>
      </c>
      <c r="D146" s="635"/>
      <c r="E146" s="644"/>
      <c r="F146" s="644"/>
      <c r="G146" s="631">
        <f>MAX(F147:F152)/MAX(E147:E152)</f>
        <v>0</v>
      </c>
      <c r="H146" s="1687" t="s">
        <v>1916</v>
      </c>
      <c r="I146" s="3" t="s">
        <v>1917</v>
      </c>
    </row>
    <row r="147" spans="1:9" ht="27" customHeight="1" x14ac:dyDescent="0.2">
      <c r="A147" s="1832"/>
      <c r="B147" s="1837"/>
      <c r="C147" s="457" t="str">
        <f>F!C12</f>
        <v>less than 1%, or &lt;0.01 acre (about 20 ft on a side) never has surface water.  In other words, all or nearly all of the AA is inundated permanently or at least seasonally.</v>
      </c>
      <c r="D147" s="286">
        <f>F!D12</f>
        <v>0</v>
      </c>
      <c r="E147" s="397">
        <v>4</v>
      </c>
      <c r="F147" s="397">
        <f t="shared" ref="F147:F152" si="3">D147*E147</f>
        <v>0</v>
      </c>
      <c r="G147" s="515"/>
      <c r="H147" s="1837"/>
    </row>
    <row r="148" spans="1:9" ht="15" customHeight="1" x14ac:dyDescent="0.2">
      <c r="A148" s="1832"/>
      <c r="B148" s="1837"/>
      <c r="C148" s="458" t="str">
        <f>F!C13</f>
        <v xml:space="preserve">1-25% of the AA never contains surface water.  </v>
      </c>
      <c r="D148" s="271">
        <f>F!D13</f>
        <v>0</v>
      </c>
      <c r="E148" s="397">
        <v>3</v>
      </c>
      <c r="F148" s="397">
        <f t="shared" si="3"/>
        <v>0</v>
      </c>
      <c r="G148" s="515"/>
      <c r="H148" s="1837"/>
    </row>
    <row r="149" spans="1:9" ht="15" customHeight="1" x14ac:dyDescent="0.2">
      <c r="A149" s="1832"/>
      <c r="B149" s="1837"/>
      <c r="C149" s="458" t="str">
        <f>F!C14</f>
        <v>25-50% of the AA never contains surface water.</v>
      </c>
      <c r="D149" s="271">
        <f>F!D14</f>
        <v>0</v>
      </c>
      <c r="E149" s="397">
        <v>2</v>
      </c>
      <c r="F149" s="397">
        <f t="shared" si="3"/>
        <v>0</v>
      </c>
      <c r="G149" s="515"/>
      <c r="H149" s="1837"/>
    </row>
    <row r="150" spans="1:9" ht="15" customHeight="1" x14ac:dyDescent="0.2">
      <c r="A150" s="1832"/>
      <c r="B150" s="1837"/>
      <c r="C150" s="458" t="str">
        <f>F!C15</f>
        <v>50-99% of the AA never contains surface water.</v>
      </c>
      <c r="D150" s="271">
        <f>F!D15</f>
        <v>0</v>
      </c>
      <c r="E150" s="397">
        <v>1</v>
      </c>
      <c r="F150" s="397">
        <f t="shared" si="3"/>
        <v>0</v>
      </c>
      <c r="G150" s="515"/>
      <c r="H150" s="1837"/>
    </row>
    <row r="151" spans="1:9" ht="28.5" customHeight="1" x14ac:dyDescent="0.2">
      <c r="A151" s="1832"/>
      <c r="B151" s="1837"/>
      <c r="C151" s="458" t="str">
        <f>F!C16</f>
        <v>&gt;99% of the AA never contains surface water, except for water flowing in channels and/or in pools that occupy &lt;1% of the AA. SKIP to F30.</v>
      </c>
      <c r="D151" s="271">
        <f>F!D16</f>
        <v>0</v>
      </c>
      <c r="E151" s="399">
        <v>0</v>
      </c>
      <c r="F151" s="399">
        <f t="shared" si="3"/>
        <v>0</v>
      </c>
      <c r="G151" s="500"/>
      <c r="H151" s="1837"/>
    </row>
    <row r="152" spans="1:9" ht="27.6" customHeight="1" thickBot="1" x14ac:dyDescent="0.25">
      <c r="A152" s="1833"/>
      <c r="B152" s="1837"/>
      <c r="C152" s="623" t="str">
        <f>F!C17</f>
        <v>&gt;99% of the AA never contains surface water, and AA is not intersected by channels that have flow, not even for a few days per year. SKIP to F28.</v>
      </c>
      <c r="D152" s="288">
        <f>F!D17</f>
        <v>0</v>
      </c>
      <c r="E152" s="399">
        <v>0</v>
      </c>
      <c r="F152" s="399">
        <f t="shared" si="3"/>
        <v>0</v>
      </c>
      <c r="G152" s="500"/>
      <c r="H152" s="1838"/>
    </row>
    <row r="153" spans="1:9" ht="21" customHeight="1" thickBot="1" x14ac:dyDescent="0.25">
      <c r="A153" s="1839" t="str">
        <f>F!A39</f>
        <v>F8</v>
      </c>
      <c r="B153" s="1852" t="str">
        <f>F!B39</f>
        <v>Annual Water Fluctuation Range</v>
      </c>
      <c r="C153" s="454" t="str">
        <f>F!C39</f>
        <v>The maximum annual fluctuation in surface water within the AA is:</v>
      </c>
      <c r="D153" s="635"/>
      <c r="E153" s="644"/>
      <c r="F153" s="639"/>
      <c r="G153" s="538">
        <f>IF((AllSat+AllSat1&gt;0),"",IF((NoSeasonal=1),"",MAX(F154:F157)/MAX(E154:E157)))</f>
        <v>0</v>
      </c>
      <c r="H153" s="1837" t="s">
        <v>561</v>
      </c>
      <c r="I153" s="3" t="s">
        <v>721</v>
      </c>
    </row>
    <row r="154" spans="1:9" ht="15" customHeight="1" x14ac:dyDescent="0.2">
      <c r="A154" s="1839"/>
      <c r="B154" s="1834"/>
      <c r="C154" s="144" t="str">
        <f>F!C40</f>
        <v xml:space="preserve">&lt;0.5 ft </v>
      </c>
      <c r="D154" s="286">
        <f>F!D40</f>
        <v>0</v>
      </c>
      <c r="E154" s="397">
        <v>0</v>
      </c>
      <c r="F154" s="397">
        <f>D154*E154</f>
        <v>0</v>
      </c>
      <c r="G154" s="523"/>
      <c r="H154" s="1837"/>
    </row>
    <row r="155" spans="1:9" ht="15" customHeight="1" x14ac:dyDescent="0.2">
      <c r="A155" s="1839"/>
      <c r="B155" s="1834"/>
      <c r="C155" s="50" t="str">
        <f>F!C41</f>
        <v>0.5 - 1 ft</v>
      </c>
      <c r="D155" s="271">
        <f>F!D41</f>
        <v>0</v>
      </c>
      <c r="E155" s="397">
        <v>2</v>
      </c>
      <c r="F155" s="397">
        <f>D155*E155</f>
        <v>0</v>
      </c>
      <c r="G155" s="507"/>
      <c r="H155" s="1837"/>
    </row>
    <row r="156" spans="1:9" ht="15" customHeight="1" x14ac:dyDescent="0.2">
      <c r="A156" s="1839"/>
      <c r="B156" s="1834"/>
      <c r="C156" s="50" t="str">
        <f>F!C42</f>
        <v>1-3 ft</v>
      </c>
      <c r="D156" s="271">
        <f>F!D42</f>
        <v>0</v>
      </c>
      <c r="E156" s="397">
        <v>3</v>
      </c>
      <c r="F156" s="397">
        <f>D156*E156</f>
        <v>0</v>
      </c>
      <c r="G156" s="507"/>
      <c r="H156" s="1837"/>
    </row>
    <row r="157" spans="1:9" ht="15.6" customHeight="1" thickBot="1" x14ac:dyDescent="0.25">
      <c r="A157" s="1839"/>
      <c r="B157" s="1835"/>
      <c r="C157" s="462" t="str">
        <f>F!C43</f>
        <v xml:space="preserve">&gt; 3 ft </v>
      </c>
      <c r="D157" s="272">
        <f>F!D43</f>
        <v>0</v>
      </c>
      <c r="E157" s="638">
        <v>4</v>
      </c>
      <c r="F157" s="638">
        <f>D157*E157</f>
        <v>0</v>
      </c>
      <c r="G157" s="509"/>
      <c r="H157" s="1837"/>
    </row>
    <row r="158" spans="1:9" ht="53.25" customHeight="1" thickBot="1" x14ac:dyDescent="0.25">
      <c r="A158" s="613" t="str">
        <f>F!A107</f>
        <v>F24</v>
      </c>
      <c r="B158" s="126" t="str">
        <f>F!B107</f>
        <v>Inflow</v>
      </c>
      <c r="C158" s="621" t="str">
        <f>F!C107</f>
        <v>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SKIP to F28.</v>
      </c>
      <c r="D158" s="294">
        <f>F!D107</f>
        <v>0</v>
      </c>
      <c r="E158" s="647"/>
      <c r="F158" s="655"/>
      <c r="G158" s="631">
        <f>IF((AllSat+AllSat1&gt;0),"",D158)</f>
        <v>0</v>
      </c>
      <c r="H158" s="5" t="s">
        <v>200</v>
      </c>
      <c r="I158" s="3" t="s">
        <v>722</v>
      </c>
    </row>
    <row r="159" spans="1:9" ht="30" customHeight="1" thickBot="1" x14ac:dyDescent="0.25">
      <c r="A159" s="1839" t="str">
        <f>F!A109</f>
        <v>F26</v>
      </c>
      <c r="B159" s="1837" t="str">
        <f>F!B109</f>
        <v>Input Stream Gradient</v>
      </c>
      <c r="C159" s="622" t="str">
        <f>F!C109</f>
        <v>The gradient of the tributary with the largest inflow, averaged up to 300 ft from the AA (excluding any portion of the distance where water travels through a pipe) is:</v>
      </c>
      <c r="D159" s="635"/>
      <c r="E159" s="645"/>
      <c r="F159" s="395"/>
      <c r="G159" s="530" t="str">
        <f>IF((AllSat+AllSat1&gt;0),"",IF((Inflows=0),"",MAX(F160:F163)/MAX(E160:E163)))</f>
        <v/>
      </c>
      <c r="H159" s="1688" t="s">
        <v>1195</v>
      </c>
      <c r="I159" s="3" t="s">
        <v>723</v>
      </c>
    </row>
    <row r="160" spans="1:9" ht="15" customHeight="1" x14ac:dyDescent="0.2">
      <c r="A160" s="1839"/>
      <c r="B160" s="1837"/>
      <c r="C160" s="457" t="str">
        <f>F!C110</f>
        <v>&lt;1%</v>
      </c>
      <c r="D160" s="286">
        <f>F!D110</f>
        <v>0</v>
      </c>
      <c r="E160" s="397">
        <v>0</v>
      </c>
      <c r="F160" s="651">
        <f>D160*E160</f>
        <v>0</v>
      </c>
      <c r="G160" s="521"/>
      <c r="H160" s="1837"/>
    </row>
    <row r="161" spans="1:9" ht="15" customHeight="1" x14ac:dyDescent="0.2">
      <c r="A161" s="1839"/>
      <c r="B161" s="1837"/>
      <c r="C161" s="458" t="str">
        <f>F!C111</f>
        <v>1-5%</v>
      </c>
      <c r="D161" s="271">
        <f>F!D111</f>
        <v>0</v>
      </c>
      <c r="E161" s="397">
        <v>1</v>
      </c>
      <c r="F161" s="651">
        <f>D161*E161</f>
        <v>0</v>
      </c>
      <c r="G161" s="515"/>
      <c r="H161" s="1837"/>
    </row>
    <row r="162" spans="1:9" ht="15" customHeight="1" x14ac:dyDescent="0.2">
      <c r="A162" s="1839"/>
      <c r="B162" s="1837"/>
      <c r="C162" s="458" t="str">
        <f>F!C112</f>
        <v>5-30%</v>
      </c>
      <c r="D162" s="271">
        <f>F!D112</f>
        <v>0</v>
      </c>
      <c r="E162" s="397">
        <v>3</v>
      </c>
      <c r="F162" s="651">
        <f>D162*E162</f>
        <v>0</v>
      </c>
      <c r="G162" s="515"/>
      <c r="H162" s="1837"/>
    </row>
    <row r="163" spans="1:9" ht="15.6" customHeight="1" thickBot="1" x14ac:dyDescent="0.25">
      <c r="A163" s="1839"/>
      <c r="B163" s="1837"/>
      <c r="C163" s="623" t="str">
        <f>F!C113</f>
        <v>&gt;30%</v>
      </c>
      <c r="D163" s="288">
        <f>F!D113</f>
        <v>0</v>
      </c>
      <c r="E163" s="399">
        <v>4</v>
      </c>
      <c r="F163" s="656">
        <f>D163*E163</f>
        <v>0</v>
      </c>
      <c r="G163" s="500"/>
      <c r="H163" s="1837"/>
    </row>
    <row r="164" spans="1:9" ht="30" customHeight="1" thickBot="1" x14ac:dyDescent="0.25">
      <c r="A164" s="1909" t="str">
        <f>F!A264</f>
        <v>F55</v>
      </c>
      <c r="B164" s="1852" t="str">
        <f>F!B264</f>
        <v>Natural Cover in Buffer</v>
      </c>
      <c r="C164" s="454" t="str">
        <f>F!C264</f>
        <v>Along the wetland-upland edge and extending 100 ft upslope, the percentage of the upland that contains natural (not necessarily native -- see column E) land cover taller than 6 inches is:</v>
      </c>
      <c r="D164" s="635"/>
      <c r="E164" s="644"/>
      <c r="F164" s="639"/>
      <c r="G164" s="631">
        <f>MAX(F165:F169)/MAX(E165:E169)</f>
        <v>0</v>
      </c>
      <c r="H164" s="1687" t="s">
        <v>1196</v>
      </c>
      <c r="I164" s="39" t="s">
        <v>724</v>
      </c>
    </row>
    <row r="165" spans="1:9" ht="15" customHeight="1" x14ac:dyDescent="0.2">
      <c r="A165" s="1910"/>
      <c r="B165" s="1834"/>
      <c r="C165" s="144" t="str">
        <f>F!C265</f>
        <v xml:space="preserve">&lt;5% </v>
      </c>
      <c r="D165" s="286">
        <f>F!D265</f>
        <v>0</v>
      </c>
      <c r="E165" s="397">
        <v>4</v>
      </c>
      <c r="F165" s="397">
        <f>D165*E165</f>
        <v>0</v>
      </c>
      <c r="G165" s="521"/>
      <c r="H165" s="1837"/>
    </row>
    <row r="166" spans="1:9" ht="15" customHeight="1" x14ac:dyDescent="0.2">
      <c r="A166" s="1910"/>
      <c r="B166" s="1834"/>
      <c r="C166" s="50" t="str">
        <f>F!C266</f>
        <v>5 to 30%</v>
      </c>
      <c r="D166" s="271">
        <f>F!D266</f>
        <v>0</v>
      </c>
      <c r="E166" s="397">
        <v>3</v>
      </c>
      <c r="F166" s="397">
        <f>D166*E166</f>
        <v>0</v>
      </c>
      <c r="G166" s="515"/>
      <c r="H166" s="1837"/>
    </row>
    <row r="167" spans="1:9" ht="15" customHeight="1" x14ac:dyDescent="0.2">
      <c r="A167" s="1910"/>
      <c r="B167" s="1834"/>
      <c r="C167" s="50" t="str">
        <f>F!C267</f>
        <v>30 to 60%</v>
      </c>
      <c r="D167" s="271">
        <f>F!D267</f>
        <v>0</v>
      </c>
      <c r="E167" s="397">
        <v>2</v>
      </c>
      <c r="F167" s="397">
        <f>D167*E167</f>
        <v>0</v>
      </c>
      <c r="G167" s="515"/>
      <c r="H167" s="1837"/>
    </row>
    <row r="168" spans="1:9" ht="15" customHeight="1" x14ac:dyDescent="0.2">
      <c r="A168" s="1910"/>
      <c r="B168" s="1834"/>
      <c r="C168" s="50" t="str">
        <f>F!C268</f>
        <v>60 to 90%</v>
      </c>
      <c r="D168" s="271">
        <f>F!D268</f>
        <v>0</v>
      </c>
      <c r="E168" s="397">
        <v>1</v>
      </c>
      <c r="F168" s="397">
        <f>D168*E168</f>
        <v>0</v>
      </c>
      <c r="G168" s="515"/>
      <c r="H168" s="1837"/>
    </row>
    <row r="169" spans="1:9" ht="15.6" customHeight="1" thickBot="1" x14ac:dyDescent="0.25">
      <c r="A169" s="1911"/>
      <c r="B169" s="1835"/>
      <c r="C169" s="462" t="str">
        <f>F!C269</f>
        <v>&gt;90%.  SKIP to F58.</v>
      </c>
      <c r="D169" s="272">
        <f>F!D269</f>
        <v>0</v>
      </c>
      <c r="E169" s="638">
        <v>0</v>
      </c>
      <c r="F169" s="638">
        <f>D169*E169</f>
        <v>0</v>
      </c>
      <c r="G169" s="504"/>
      <c r="H169" s="1838"/>
    </row>
    <row r="170" spans="1:9" ht="30" customHeight="1" thickBot="1" x14ac:dyDescent="0.25">
      <c r="A170" s="1831" t="str">
        <f>F!A273</f>
        <v>F57</v>
      </c>
      <c r="B170" s="1836" t="str">
        <f>F!B273</f>
        <v>Slope from Disturbed Lands</v>
      </c>
      <c r="C170" s="454" t="str">
        <f>F!C273</f>
        <v>The average percent slope of the land, measured from the AA's wetland-upland edge and extending uphill to the most extensive and/or closest disturbance feature within 100 ft, is:</v>
      </c>
      <c r="D170" s="635"/>
      <c r="E170" s="644"/>
      <c r="F170" s="639"/>
      <c r="G170" s="538">
        <f>IF((NoCA=1),"", MAX(F171:F174)/MAX(E171:E174))</f>
        <v>0</v>
      </c>
      <c r="H170" s="1688" t="s">
        <v>5318</v>
      </c>
      <c r="I170" s="39" t="s">
        <v>386</v>
      </c>
    </row>
    <row r="171" spans="1:9" ht="15" customHeight="1" x14ac:dyDescent="0.2">
      <c r="A171" s="1832"/>
      <c r="B171" s="1837"/>
      <c r="C171" s="144" t="str">
        <f>F!C274</f>
        <v>&lt;1% (flat -- almost no noticeable slope)</v>
      </c>
      <c r="D171" s="286">
        <f>F!D274</f>
        <v>0</v>
      </c>
      <c r="E171" s="397">
        <v>0</v>
      </c>
      <c r="F171" s="397">
        <f>D171*E171</f>
        <v>0</v>
      </c>
      <c r="G171" s="523"/>
      <c r="H171" s="1837"/>
    </row>
    <row r="172" spans="1:9" ht="15" customHeight="1" x14ac:dyDescent="0.2">
      <c r="A172" s="1832"/>
      <c r="B172" s="1837"/>
      <c r="C172" s="50" t="str">
        <f>F!C275</f>
        <v>2-5%</v>
      </c>
      <c r="D172" s="271">
        <f>F!D275</f>
        <v>0</v>
      </c>
      <c r="E172" s="397">
        <v>1</v>
      </c>
      <c r="F172" s="397">
        <f>D172*E172</f>
        <v>0</v>
      </c>
      <c r="G172" s="507"/>
      <c r="H172" s="1837"/>
    </row>
    <row r="173" spans="1:9" ht="15" customHeight="1" x14ac:dyDescent="0.2">
      <c r="A173" s="1832"/>
      <c r="B173" s="1837"/>
      <c r="C173" s="50" t="str">
        <f>F!C276</f>
        <v>5-30%</v>
      </c>
      <c r="D173" s="271">
        <f>F!D276</f>
        <v>0</v>
      </c>
      <c r="E173" s="397">
        <v>4</v>
      </c>
      <c r="F173" s="397">
        <f>D173*E173</f>
        <v>0</v>
      </c>
      <c r="G173" s="507"/>
      <c r="H173" s="1837"/>
    </row>
    <row r="174" spans="1:9" ht="15.6" customHeight="1" thickBot="1" x14ac:dyDescent="0.25">
      <c r="A174" s="1833"/>
      <c r="B174" s="1838"/>
      <c r="C174" s="462" t="str">
        <f>F!C277</f>
        <v>&gt;30%</v>
      </c>
      <c r="D174" s="272">
        <f>F!D277</f>
        <v>0</v>
      </c>
      <c r="E174" s="638">
        <v>6</v>
      </c>
      <c r="F174" s="638">
        <f>D174*E174</f>
        <v>0</v>
      </c>
      <c r="G174" s="509"/>
      <c r="H174" s="1837"/>
    </row>
    <row r="175" spans="1:9" ht="45" customHeight="1" thickBot="1" x14ac:dyDescent="0.25">
      <c r="A175" s="1920" t="str">
        <f>F!A279</f>
        <v>F59</v>
      </c>
      <c r="B175" s="1908" t="str">
        <f>F!B279</f>
        <v>New Wetland</v>
      </c>
      <c r="C175" s="1591" t="str">
        <f>F!C279</f>
        <v>The AA is (or is within, or contains) a "new" wetland resulting from human actions (e.g., excavation, impoundment) or debris or lava flows, sea level rise, or other factors affecting what once was upland (non-hydric) soil.</v>
      </c>
      <c r="D175" s="394"/>
      <c r="E175" s="645"/>
      <c r="F175" s="645"/>
      <c r="G175" s="530">
        <f>MAX(F176:F179)/MAX(E176:E179)</f>
        <v>0</v>
      </c>
      <c r="H175" s="1687" t="s">
        <v>1159</v>
      </c>
      <c r="I175" s="3" t="s">
        <v>727</v>
      </c>
    </row>
    <row r="176" spans="1:9" ht="15" customHeight="1" x14ac:dyDescent="0.2">
      <c r="A176" s="1839"/>
      <c r="B176" s="1908"/>
      <c r="C176" s="624" t="str">
        <f>F!C280</f>
        <v>No</v>
      </c>
      <c r="D176" s="295">
        <f>F!D280</f>
        <v>0</v>
      </c>
      <c r="E176" s="397">
        <v>0</v>
      </c>
      <c r="F176" s="397">
        <f>D176*E176</f>
        <v>0</v>
      </c>
      <c r="G176" s="515"/>
      <c r="H176" s="1688"/>
    </row>
    <row r="177" spans="1:9" ht="15" customHeight="1" x14ac:dyDescent="0.2">
      <c r="A177" s="1839"/>
      <c r="B177" s="1908"/>
      <c r="C177" s="625" t="str">
        <f>F!C281</f>
        <v xml:space="preserve">yes, and most recently created, deglaciated, or uplifted 20 - 100 years ago </v>
      </c>
      <c r="D177" s="296">
        <f>F!D281</f>
        <v>0</v>
      </c>
      <c r="E177" s="397">
        <v>3</v>
      </c>
      <c r="F177" s="397">
        <f>D177*E177</f>
        <v>0</v>
      </c>
      <c r="G177" s="515"/>
      <c r="H177" s="1688"/>
    </row>
    <row r="178" spans="1:9" ht="15" customHeight="1" x14ac:dyDescent="0.2">
      <c r="A178" s="1839"/>
      <c r="B178" s="1908"/>
      <c r="C178" s="625" t="str">
        <f>F!C282</f>
        <v>yes, and most recently created, deglaciated, or uplifted 3-20 years ago</v>
      </c>
      <c r="D178" s="296">
        <f>F!D282</f>
        <v>0</v>
      </c>
      <c r="E178" s="397">
        <v>4</v>
      </c>
      <c r="F178" s="397">
        <f>D178*E178</f>
        <v>0</v>
      </c>
      <c r="G178" s="515"/>
      <c r="H178" s="1688"/>
    </row>
    <row r="179" spans="1:9" ht="15" customHeight="1" x14ac:dyDescent="0.2">
      <c r="A179" s="1839"/>
      <c r="B179" s="1908"/>
      <c r="C179" s="625" t="str">
        <f>F!C283</f>
        <v>yes, and most recently created, deglaciated, or uplifted within last 3 years</v>
      </c>
      <c r="D179" s="296">
        <f>F!D283</f>
        <v>0</v>
      </c>
      <c r="E179" s="397">
        <v>5</v>
      </c>
      <c r="F179" s="397">
        <f>D179*E179</f>
        <v>0</v>
      </c>
      <c r="G179" s="515"/>
      <c r="H179" s="1688"/>
    </row>
    <row r="180" spans="1:9" ht="15.6" customHeight="1" thickBot="1" x14ac:dyDescent="0.25">
      <c r="A180" s="1839"/>
      <c r="B180" s="1908"/>
      <c r="C180" s="625" t="str">
        <f>F!C284</f>
        <v>yes, but time of origin unknown</v>
      </c>
      <c r="D180" s="296">
        <f>F!D284</f>
        <v>0</v>
      </c>
      <c r="E180" s="399"/>
      <c r="F180" s="399"/>
      <c r="G180" s="500"/>
      <c r="H180" s="1688"/>
    </row>
    <row r="181" spans="1:9" ht="45" customHeight="1" thickBot="1" x14ac:dyDescent="0.25">
      <c r="A181" s="614" t="str">
        <f>S!A106</f>
        <v>S8</v>
      </c>
      <c r="B181" s="124" t="str">
        <f>S!B106</f>
        <v>Excessive Sediment Loading from Contributing Area</v>
      </c>
      <c r="C181" s="463" t="str">
        <f>S!E123</f>
        <v>Final Score=</v>
      </c>
      <c r="D181" s="657">
        <f>S!F123</f>
        <v>0</v>
      </c>
      <c r="E181" s="647"/>
      <c r="F181" s="655"/>
      <c r="G181" s="631">
        <f>IF((NoCA=1),"", D181)</f>
        <v>0</v>
      </c>
      <c r="H181" s="125" t="s">
        <v>560</v>
      </c>
      <c r="I181" s="39" t="s">
        <v>731</v>
      </c>
    </row>
    <row r="182" spans="1:9" ht="21" customHeight="1" thickBot="1" x14ac:dyDescent="0.25">
      <c r="A182" s="1829"/>
      <c r="B182" s="1829"/>
      <c r="C182" s="1829"/>
      <c r="D182" s="1829"/>
      <c r="E182" s="1829"/>
      <c r="F182" s="1829"/>
      <c r="G182" s="1829"/>
      <c r="H182" s="1923"/>
    </row>
    <row r="183" spans="1:9" ht="21" customHeight="1" x14ac:dyDescent="0.2">
      <c r="A183" s="1826"/>
      <c r="B183" s="1826"/>
      <c r="C183" s="1830"/>
      <c r="D183" s="1927" t="s">
        <v>2352</v>
      </c>
      <c r="E183" s="1928"/>
      <c r="F183" s="1929"/>
      <c r="G183" s="632">
        <f>IF((AllSat + AllSat1&gt;0),"", AVERAGE(Fluc2,SeasPct2))</f>
        <v>0</v>
      </c>
      <c r="H183" s="228" t="s">
        <v>1769</v>
      </c>
    </row>
    <row r="184" spans="1:9" ht="21" customHeight="1" x14ac:dyDescent="0.2">
      <c r="A184" s="1826"/>
      <c r="B184" s="1826"/>
      <c r="C184" s="1830"/>
      <c r="D184" s="1930" t="s">
        <v>666</v>
      </c>
      <c r="E184" s="1931"/>
      <c r="F184" s="1932"/>
      <c r="G184" s="633">
        <f>IF((AllSat=1),"",AVERAGE(OutDur2,FlowDist2,Depth2_,IsoWet2s,WatEdgeSlope2))</f>
        <v>0</v>
      </c>
      <c r="H184" s="216" t="s">
        <v>1999</v>
      </c>
    </row>
    <row r="185" spans="1:9" ht="21" customHeight="1" x14ac:dyDescent="0.2">
      <c r="A185" s="1826"/>
      <c r="B185" s="1826"/>
      <c r="C185" s="1830"/>
      <c r="D185" s="1930" t="s">
        <v>2373</v>
      </c>
      <c r="E185" s="1931"/>
      <c r="F185" s="1932"/>
      <c r="G185" s="633">
        <f>AVERAGE(Gradient2,AVERAGE(WetPctCA2,Girreg2, Gcover2))</f>
        <v>0</v>
      </c>
      <c r="H185" s="216" t="s">
        <v>2578</v>
      </c>
    </row>
    <row r="186" spans="1:9" ht="29.25" customHeight="1" x14ac:dyDescent="0.2">
      <c r="A186" s="1826"/>
      <c r="B186" s="1826"/>
      <c r="C186" s="1830"/>
      <c r="D186" s="1930" t="s">
        <v>2374</v>
      </c>
      <c r="E186" s="1931"/>
      <c r="F186" s="1932"/>
      <c r="G186" s="633">
        <f>IF((AllSat+AllSat1+AllSat2&gt;0),"", IF((OR(puddles=1,NoPonded=1)),"", AVERAGE(WidthAbs2,AVERAGE(ThruFlo2,Interspers2,AqPlantCov2))))</f>
        <v>0</v>
      </c>
      <c r="H186" s="216" t="s">
        <v>2496</v>
      </c>
    </row>
    <row r="187" spans="1:9" ht="21" customHeight="1" thickBot="1" x14ac:dyDescent="0.25">
      <c r="A187" s="1826"/>
      <c r="B187" s="1826"/>
      <c r="C187" s="1830"/>
      <c r="D187" s="1913" t="s">
        <v>667</v>
      </c>
      <c r="E187" s="1914"/>
      <c r="F187" s="1915"/>
      <c r="G187" s="634">
        <f>AVERAGE(Freeze2,Elev2,_GDD2,TideProx2)</f>
        <v>0.33333333333333331</v>
      </c>
      <c r="H187" s="229" t="s">
        <v>1904</v>
      </c>
    </row>
    <row r="188" spans="1:9" ht="21" customHeight="1" thickBot="1" x14ac:dyDescent="0.25">
      <c r="A188" s="1826"/>
      <c r="B188" s="1826"/>
      <c r="C188" s="1826"/>
      <c r="D188" s="1826"/>
      <c r="E188" s="1826"/>
      <c r="F188" s="1826"/>
      <c r="G188" s="1826"/>
      <c r="H188" s="1826"/>
    </row>
    <row r="189" spans="1:9" ht="30" customHeight="1" thickBot="1" x14ac:dyDescent="0.25">
      <c r="A189" s="1826"/>
      <c r="B189" s="1830"/>
      <c r="C189" s="1842" t="s">
        <v>256</v>
      </c>
      <c r="D189" s="1843"/>
      <c r="E189" s="1844"/>
      <c r="F189" s="629" t="s">
        <v>141</v>
      </c>
      <c r="G189" s="630">
        <f>10*(IF((AllSat=1), DryIntercept, IF((NoOutlet2=1),1, (2*AVERAGE(Entrain, LiveStore2) + AVERAGE(DryIntercept, WetIntercept, Frozen2))/3)))</f>
        <v>0.37037037037037035</v>
      </c>
      <c r="H189" s="49" t="s">
        <v>1998</v>
      </c>
      <c r="I189" s="84"/>
    </row>
    <row r="190" spans="1:9" ht="30" customHeight="1" thickBot="1" x14ac:dyDescent="0.25">
      <c r="A190" s="1826"/>
      <c r="B190" s="1830"/>
      <c r="C190" s="1842" t="s">
        <v>184</v>
      </c>
      <c r="D190" s="1843"/>
      <c r="E190" s="1844"/>
      <c r="F190" s="629" t="s">
        <v>142</v>
      </c>
      <c r="G190" s="631">
        <f>10*(MAX(ToxData2, ToxUp2, AVERAGE(Inflo2,SatPct2v,FlowIn2,Glacier2,AVERAGE(ImpervPctSS,ErodibleSS,SedIn2,CAnatPct2, BuffSlope2,Elev,CApct2,TransportSS,MaxFluc2,NewWet2a,ToxData2))))</f>
        <v>10</v>
      </c>
      <c r="H190" s="49" t="s">
        <v>2266</v>
      </c>
    </row>
    <row r="191" spans="1:9" ht="21" customHeight="1" thickBot="1" x14ac:dyDescent="0.25">
      <c r="A191" s="1826"/>
      <c r="B191" s="1826"/>
      <c r="C191" s="1826"/>
      <c r="D191" s="1826"/>
      <c r="E191" s="1826"/>
      <c r="F191" s="1826"/>
      <c r="G191" s="1826"/>
      <c r="H191" s="1826"/>
    </row>
    <row r="192" spans="1:9" ht="21" customHeight="1" thickBot="1" x14ac:dyDescent="0.25">
      <c r="A192" s="1826"/>
      <c r="B192" s="1826"/>
      <c r="C192" s="1826"/>
      <c r="D192" s="1826"/>
      <c r="E192" s="1826"/>
      <c r="F192" s="1826"/>
      <c r="G192" s="1830"/>
      <c r="H192" s="203" t="s">
        <v>1345</v>
      </c>
    </row>
    <row r="193" spans="1:8" ht="42" customHeight="1" x14ac:dyDescent="0.2">
      <c r="A193" s="1826"/>
      <c r="B193" s="1826"/>
      <c r="C193" s="1826"/>
      <c r="D193" s="1826"/>
      <c r="E193" s="1826"/>
      <c r="F193" s="1826"/>
      <c r="G193" s="1830"/>
      <c r="H193" s="145" t="s">
        <v>1373</v>
      </c>
    </row>
    <row r="194" spans="1:8" ht="42" customHeight="1" x14ac:dyDescent="0.2">
      <c r="A194" s="1826"/>
      <c r="B194" s="1826"/>
      <c r="C194" s="1826"/>
      <c r="D194" s="1826"/>
      <c r="E194" s="1826"/>
      <c r="F194" s="1826"/>
      <c r="G194" s="1830"/>
      <c r="H194" s="116" t="s">
        <v>1374</v>
      </c>
    </row>
    <row r="195" spans="1:8" ht="42" customHeight="1" x14ac:dyDescent="0.2">
      <c r="A195" s="1826"/>
      <c r="B195" s="1826"/>
      <c r="C195" s="1826"/>
      <c r="D195" s="1826"/>
      <c r="E195" s="1826"/>
      <c r="F195" s="1826"/>
      <c r="G195" s="1830"/>
      <c r="H195" s="116" t="s">
        <v>1375</v>
      </c>
    </row>
    <row r="196" spans="1:8" ht="27" customHeight="1" x14ac:dyDescent="0.2">
      <c r="A196" s="1826"/>
      <c r="B196" s="1826"/>
      <c r="C196" s="1826"/>
      <c r="D196" s="1826"/>
      <c r="E196" s="1826"/>
      <c r="F196" s="1826"/>
      <c r="G196" s="1830"/>
      <c r="H196" s="116" t="s">
        <v>1376</v>
      </c>
    </row>
    <row r="197" spans="1:8" ht="27" customHeight="1" x14ac:dyDescent="0.2">
      <c r="A197" s="1826"/>
      <c r="B197" s="1826"/>
      <c r="C197" s="1826"/>
      <c r="D197" s="1826"/>
      <c r="E197" s="1826"/>
      <c r="F197" s="1826"/>
      <c r="G197" s="1830"/>
      <c r="H197" s="116" t="s">
        <v>1377</v>
      </c>
    </row>
    <row r="198" spans="1:8" ht="27" customHeight="1" x14ac:dyDescent="0.2">
      <c r="A198" s="1826"/>
      <c r="B198" s="1826"/>
      <c r="C198" s="1826"/>
      <c r="D198" s="1826"/>
      <c r="E198" s="1826"/>
      <c r="F198" s="1826"/>
      <c r="G198" s="1830"/>
      <c r="H198" s="116" t="s">
        <v>1378</v>
      </c>
    </row>
    <row r="199" spans="1:8" ht="51" x14ac:dyDescent="0.2">
      <c r="A199" s="1826"/>
      <c r="B199" s="1826"/>
      <c r="C199" s="1826"/>
      <c r="D199" s="1826"/>
      <c r="E199" s="1826"/>
      <c r="F199" s="1826"/>
      <c r="G199" s="1830"/>
      <c r="H199" s="116" t="s">
        <v>1379</v>
      </c>
    </row>
    <row r="200" spans="1:8" ht="27" customHeight="1" x14ac:dyDescent="0.2">
      <c r="A200" s="1826"/>
      <c r="B200" s="1826"/>
      <c r="C200" s="1826"/>
      <c r="D200" s="1826"/>
      <c r="E200" s="1826"/>
      <c r="F200" s="1826"/>
      <c r="G200" s="1830"/>
      <c r="H200" s="116" t="s">
        <v>1380</v>
      </c>
    </row>
    <row r="201" spans="1:8" ht="27" customHeight="1" x14ac:dyDescent="0.2">
      <c r="A201" s="1826"/>
      <c r="B201" s="1826"/>
      <c r="C201" s="1826"/>
      <c r="D201" s="1826"/>
      <c r="E201" s="1826"/>
      <c r="F201" s="1826"/>
      <c r="G201" s="1830"/>
      <c r="H201" s="116" t="s">
        <v>1381</v>
      </c>
    </row>
    <row r="202" spans="1:8" ht="27" customHeight="1" x14ac:dyDescent="0.2">
      <c r="A202" s="1826"/>
      <c r="B202" s="1826"/>
      <c r="C202" s="1826"/>
      <c r="D202" s="1826"/>
      <c r="E202" s="1826"/>
      <c r="F202" s="1826"/>
      <c r="G202" s="1830"/>
      <c r="H202" s="116" t="s">
        <v>1382</v>
      </c>
    </row>
    <row r="203" spans="1:8" ht="27" customHeight="1" x14ac:dyDescent="0.2">
      <c r="A203" s="1826"/>
      <c r="B203" s="1826"/>
      <c r="C203" s="1826"/>
      <c r="D203" s="1826"/>
      <c r="E203" s="1826"/>
      <c r="F203" s="1826"/>
      <c r="G203" s="1830"/>
      <c r="H203" s="116" t="s">
        <v>1383</v>
      </c>
    </row>
    <row r="204" spans="1:8" ht="27" customHeight="1" x14ac:dyDescent="0.2">
      <c r="A204" s="1826"/>
      <c r="B204" s="1826"/>
      <c r="C204" s="1826"/>
      <c r="D204" s="1826"/>
      <c r="E204" s="1826"/>
      <c r="F204" s="1826"/>
      <c r="G204" s="1830"/>
      <c r="H204" s="116" t="s">
        <v>1384</v>
      </c>
    </row>
    <row r="205" spans="1:8" ht="27" customHeight="1" x14ac:dyDescent="0.2">
      <c r="A205" s="1826"/>
      <c r="B205" s="1826"/>
      <c r="C205" s="1826"/>
      <c r="D205" s="1826"/>
      <c r="E205" s="1826"/>
      <c r="F205" s="1826"/>
      <c r="G205" s="1830"/>
      <c r="H205" s="116" t="s">
        <v>1385</v>
      </c>
    </row>
    <row r="206" spans="1:8" ht="42" customHeight="1" x14ac:dyDescent="0.2">
      <c r="A206" s="1826"/>
      <c r="B206" s="1826"/>
      <c r="C206" s="1826"/>
      <c r="D206" s="1826"/>
      <c r="E206" s="1826"/>
      <c r="F206" s="1826"/>
      <c r="G206" s="1830"/>
      <c r="H206" s="116" t="s">
        <v>1386</v>
      </c>
    </row>
    <row r="207" spans="1:8" ht="27" customHeight="1" x14ac:dyDescent="0.2">
      <c r="A207" s="1826"/>
      <c r="B207" s="1826"/>
      <c r="C207" s="1826"/>
      <c r="D207" s="1826"/>
      <c r="E207" s="1826"/>
      <c r="F207" s="1826"/>
      <c r="G207" s="1830"/>
      <c r="H207" s="116" t="s">
        <v>1387</v>
      </c>
    </row>
    <row r="208" spans="1:8" ht="27" customHeight="1" x14ac:dyDescent="0.2">
      <c r="A208" s="1826"/>
      <c r="B208" s="1826"/>
      <c r="C208" s="1826"/>
      <c r="D208" s="1826"/>
      <c r="E208" s="1826"/>
      <c r="F208" s="1826"/>
      <c r="G208" s="1830"/>
      <c r="H208" s="116" t="s">
        <v>1388</v>
      </c>
    </row>
    <row r="209" spans="1:8" ht="27" customHeight="1" x14ac:dyDescent="0.2">
      <c r="A209" s="1826"/>
      <c r="B209" s="1826"/>
      <c r="C209" s="1826"/>
      <c r="D209" s="1826"/>
      <c r="E209" s="1826"/>
      <c r="F209" s="1826"/>
      <c r="G209" s="1830"/>
      <c r="H209" s="116" t="s">
        <v>1389</v>
      </c>
    </row>
    <row r="210" spans="1:8" ht="27" customHeight="1" x14ac:dyDescent="0.2">
      <c r="A210" s="1826"/>
      <c r="B210" s="1826"/>
      <c r="C210" s="1826"/>
      <c r="D210" s="1826"/>
      <c r="E210" s="1826"/>
      <c r="F210" s="1826"/>
      <c r="G210" s="1830"/>
      <c r="H210" s="116" t="s">
        <v>1390</v>
      </c>
    </row>
    <row r="211" spans="1:8" ht="27" customHeight="1" x14ac:dyDescent="0.2">
      <c r="A211" s="1826"/>
      <c r="B211" s="1826"/>
      <c r="C211" s="1826"/>
      <c r="D211" s="1826"/>
      <c r="E211" s="1826"/>
      <c r="F211" s="1826"/>
      <c r="G211" s="1830"/>
      <c r="H211" s="116" t="s">
        <v>1391</v>
      </c>
    </row>
    <row r="212" spans="1:8" ht="42" customHeight="1" x14ac:dyDescent="0.2">
      <c r="A212" s="1826"/>
      <c r="B212" s="1826"/>
      <c r="C212" s="1826"/>
      <c r="D212" s="1826"/>
      <c r="E212" s="1826"/>
      <c r="F212" s="1826"/>
      <c r="G212" s="1830"/>
      <c r="H212" s="116" t="s">
        <v>1392</v>
      </c>
    </row>
    <row r="213" spans="1:8" ht="27" customHeight="1" x14ac:dyDescent="0.2">
      <c r="A213" s="1826"/>
      <c r="B213" s="1826"/>
      <c r="C213" s="1826"/>
      <c r="D213" s="1826"/>
      <c r="E213" s="1826"/>
      <c r="F213" s="1826"/>
      <c r="G213" s="1830"/>
      <c r="H213" s="116" t="s">
        <v>1393</v>
      </c>
    </row>
    <row r="214" spans="1:8" ht="27" customHeight="1" x14ac:dyDescent="0.2">
      <c r="A214" s="1826"/>
      <c r="B214" s="1826"/>
      <c r="C214" s="1826"/>
      <c r="D214" s="1826"/>
      <c r="E214" s="1826"/>
      <c r="F214" s="1826"/>
      <c r="G214" s="1830"/>
      <c r="H214" s="116" t="s">
        <v>1394</v>
      </c>
    </row>
    <row r="215" spans="1:8" ht="27" customHeight="1" x14ac:dyDescent="0.2">
      <c r="A215" s="1826"/>
      <c r="B215" s="1826"/>
      <c r="C215" s="1826"/>
      <c r="D215" s="1826"/>
      <c r="E215" s="1826"/>
      <c r="F215" s="1826"/>
      <c r="G215" s="1830"/>
      <c r="H215" s="116" t="s">
        <v>1511</v>
      </c>
    </row>
    <row r="216" spans="1:8" ht="42" customHeight="1" x14ac:dyDescent="0.2">
      <c r="A216" s="1826"/>
      <c r="B216" s="1826"/>
      <c r="C216" s="1826"/>
      <c r="D216" s="1826"/>
      <c r="E216" s="1826"/>
      <c r="F216" s="1826"/>
      <c r="G216" s="1830"/>
      <c r="H216" s="116" t="s">
        <v>1395</v>
      </c>
    </row>
    <row r="217" spans="1:8" ht="27" customHeight="1" x14ac:dyDescent="0.2">
      <c r="A217" s="1826"/>
      <c r="B217" s="1826"/>
      <c r="C217" s="1826"/>
      <c r="D217" s="1826"/>
      <c r="E217" s="1826"/>
      <c r="F217" s="1826"/>
      <c r="G217" s="1830"/>
      <c r="H217" s="116" t="s">
        <v>1396</v>
      </c>
    </row>
    <row r="218" spans="1:8" ht="39" thickBot="1" x14ac:dyDescent="0.25">
      <c r="A218" s="1826"/>
      <c r="B218" s="1826"/>
      <c r="C218" s="1826"/>
      <c r="D218" s="1826"/>
      <c r="E218" s="1826"/>
      <c r="F218" s="1826"/>
      <c r="G218" s="1830"/>
      <c r="H218" s="119" t="s">
        <v>1397</v>
      </c>
    </row>
  </sheetData>
  <sheetProtection algorithmName="SHA-512" hashValue="ro7zEnfVzvy93yyBB5Fk7yCCd245xgxXlT9gIWzZ5PoS+dgOqG3A7LZQOhfc2zL0PgpvVImtCrkarJb28ac2tQ==" saltValue="DczB6JvSmJHpKUUp8eqCcQ==" spinCount="100000" sheet="1" formatCells="0" formatColumns="0" formatRows="0" insertColumns="0" insertRows="0"/>
  <customSheetViews>
    <customSheetView guid="{B8E02330-2419-4DE6-AD01-7ACC7A5D18DD}" scale="75" topLeftCell="A171">
      <selection activeCell="A2" sqref="A2:H175"/>
      <pageMargins left="0.75" right="0.75" top="1" bottom="1" header="0.5" footer="0.5"/>
      <pageSetup orientation="portrait" r:id="rId1"/>
      <headerFooter alignWithMargins="0"/>
    </customSheetView>
  </customSheetViews>
  <mergeCells count="114">
    <mergeCell ref="A192:G218"/>
    <mergeCell ref="E1:H1"/>
    <mergeCell ref="A182:H182"/>
    <mergeCell ref="A183:C187"/>
    <mergeCell ref="A188:H188"/>
    <mergeCell ref="A189:B190"/>
    <mergeCell ref="A191:H191"/>
    <mergeCell ref="A72:A78"/>
    <mergeCell ref="C190:E190"/>
    <mergeCell ref="A3:A8"/>
    <mergeCell ref="A18:A22"/>
    <mergeCell ref="A35:A40"/>
    <mergeCell ref="B18:B22"/>
    <mergeCell ref="A146:A152"/>
    <mergeCell ref="B146:B152"/>
    <mergeCell ref="B105:B108"/>
    <mergeCell ref="A105:A108"/>
    <mergeCell ref="A84:A89"/>
    <mergeCell ref="C189:E189"/>
    <mergeCell ref="B52:B57"/>
    <mergeCell ref="D183:F183"/>
    <mergeCell ref="D184:F184"/>
    <mergeCell ref="D185:F185"/>
    <mergeCell ref="D186:F186"/>
    <mergeCell ref="H133:H137"/>
    <mergeCell ref="D187:F187"/>
    <mergeCell ref="B84:B89"/>
    <mergeCell ref="A58:A63"/>
    <mergeCell ref="B58:B63"/>
    <mergeCell ref="A90:A95"/>
    <mergeCell ref="A64:A71"/>
    <mergeCell ref="B64:B71"/>
    <mergeCell ref="A124:A128"/>
    <mergeCell ref="A96:A99"/>
    <mergeCell ref="A175:A180"/>
    <mergeCell ref="B164:B169"/>
    <mergeCell ref="H119:H123"/>
    <mergeCell ref="H124:H128"/>
    <mergeCell ref="A159:A163"/>
    <mergeCell ref="B129:B132"/>
    <mergeCell ref="B114:B118"/>
    <mergeCell ref="A114:A118"/>
    <mergeCell ref="B110:B113"/>
    <mergeCell ref="B119:B123"/>
    <mergeCell ref="A119:A123"/>
    <mergeCell ref="B124:B128"/>
    <mergeCell ref="A142:A145"/>
    <mergeCell ref="H110:H113"/>
    <mergeCell ref="H129:H132"/>
    <mergeCell ref="H23:H27"/>
    <mergeCell ref="H96:H99"/>
    <mergeCell ref="A23:A27"/>
    <mergeCell ref="H105:H108"/>
    <mergeCell ref="H100:H104"/>
    <mergeCell ref="A110:A113"/>
    <mergeCell ref="H52:H57"/>
    <mergeCell ref="B35:B40"/>
    <mergeCell ref="H28:H34"/>
    <mergeCell ref="B28:B34"/>
    <mergeCell ref="H46:H51"/>
    <mergeCell ref="B46:B51"/>
    <mergeCell ref="H35:H40"/>
    <mergeCell ref="B96:B99"/>
    <mergeCell ref="B23:B27"/>
    <mergeCell ref="B100:B104"/>
    <mergeCell ref="A100:A104"/>
    <mergeCell ref="H84:H89"/>
    <mergeCell ref="B72:B78"/>
    <mergeCell ref="H114:H118"/>
    <mergeCell ref="A129:A132"/>
    <mergeCell ref="A79:A82"/>
    <mergeCell ref="A46:A51"/>
    <mergeCell ref="H170:H174"/>
    <mergeCell ref="B142:B145"/>
    <mergeCell ref="B175:B180"/>
    <mergeCell ref="B159:B163"/>
    <mergeCell ref="A170:A174"/>
    <mergeCell ref="A138:A141"/>
    <mergeCell ref="A164:A169"/>
    <mergeCell ref="H175:H180"/>
    <mergeCell ref="B153:B157"/>
    <mergeCell ref="B138:B141"/>
    <mergeCell ref="B170:B174"/>
    <mergeCell ref="H153:H157"/>
    <mergeCell ref="H164:H169"/>
    <mergeCell ref="H146:H152"/>
    <mergeCell ref="H159:H163"/>
    <mergeCell ref="H138:H141"/>
    <mergeCell ref="A153:A157"/>
    <mergeCell ref="H142:H145"/>
    <mergeCell ref="A133:A137"/>
    <mergeCell ref="B133:B137"/>
    <mergeCell ref="B3:B8"/>
    <mergeCell ref="A28:A34"/>
    <mergeCell ref="H90:H95"/>
    <mergeCell ref="B90:B95"/>
    <mergeCell ref="A1:B1"/>
    <mergeCell ref="A16:A17"/>
    <mergeCell ref="B9:B15"/>
    <mergeCell ref="A9:A15"/>
    <mergeCell ref="H9:H15"/>
    <mergeCell ref="A52:A57"/>
    <mergeCell ref="A41:A45"/>
    <mergeCell ref="H16:H17"/>
    <mergeCell ref="H79:H82"/>
    <mergeCell ref="B16:B17"/>
    <mergeCell ref="H72:H78"/>
    <mergeCell ref="H41:H45"/>
    <mergeCell ref="H18:H22"/>
    <mergeCell ref="B79:B82"/>
    <mergeCell ref="H64:H71"/>
    <mergeCell ref="H58:H63"/>
    <mergeCell ref="H3:H8"/>
    <mergeCell ref="B41:B45"/>
  </mergeCells>
  <phoneticPr fontId="3" type="noConversion"/>
  <pageMargins left="0.75" right="0.75" top="1" bottom="1"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949</vt:i4>
      </vt:variant>
    </vt:vector>
  </HeadingPairs>
  <TitlesOfParts>
    <vt:vector size="979" baseType="lpstr">
      <vt:lpstr>OF</vt:lpstr>
      <vt:lpstr>F</vt:lpstr>
      <vt:lpstr>S</vt:lpstr>
      <vt:lpstr>Scores</vt:lpstr>
      <vt:lpstr>WS</vt:lpstr>
      <vt:lpstr>SFS</vt:lpstr>
      <vt:lpstr>WC</vt:lpstr>
      <vt:lpstr>WW</vt:lpstr>
      <vt:lpstr>SR</vt:lpstr>
      <vt:lpstr>PR</vt:lpstr>
      <vt:lpstr>NR</vt:lpstr>
      <vt:lpstr>CS</vt:lpstr>
      <vt:lpstr>OE</vt:lpstr>
      <vt:lpstr>FA</vt:lpstr>
      <vt:lpstr>FR</vt:lpstr>
      <vt:lpstr>INV</vt:lpstr>
      <vt:lpstr>AM</vt:lpstr>
      <vt:lpstr>WBF</vt:lpstr>
      <vt:lpstr>WBN</vt:lpstr>
      <vt:lpstr>SBM</vt:lpstr>
      <vt:lpstr>POL</vt:lpstr>
      <vt:lpstr>PH</vt:lpstr>
      <vt:lpstr>PU</vt:lpstr>
      <vt:lpstr>SubSis</vt:lpstr>
      <vt:lpstr>EC</vt:lpstr>
      <vt:lpstr>Sen</vt:lpstr>
      <vt:lpstr>STR</vt:lpstr>
      <vt:lpstr>PlantList</vt:lpstr>
      <vt:lpstr>WildlifeList</vt:lpstr>
      <vt:lpstr>LitCitedAll</vt:lpstr>
      <vt:lpstr>__IBA12</vt:lpstr>
      <vt:lpstr>_ABpct9</vt:lpstr>
      <vt:lpstr>_BMP11</vt:lpstr>
      <vt:lpstr>_BMP12</vt:lpstr>
      <vt:lpstr>_BMP13</vt:lpstr>
      <vt:lpstr>_Bog6</vt:lpstr>
      <vt:lpstr>_GDD1</vt:lpstr>
      <vt:lpstr>_GDD11</vt:lpstr>
      <vt:lpstr>_GDD2</vt:lpstr>
      <vt:lpstr>_GDD3</vt:lpstr>
      <vt:lpstr>_GpA1</vt:lpstr>
      <vt:lpstr>_GpB1</vt:lpstr>
      <vt:lpstr>_GpC1</vt:lpstr>
      <vt:lpstr>_GrW8</vt:lpstr>
      <vt:lpstr>_IBA13</vt:lpstr>
      <vt:lpstr>_IBA14</vt:lpstr>
      <vt:lpstr>_Ice11</vt:lpstr>
      <vt:lpstr>_Ice12</vt:lpstr>
      <vt:lpstr>_Iso2</vt:lpstr>
      <vt:lpstr>_Tox12</vt:lpstr>
      <vt:lpstr>_WBF10</vt:lpstr>
      <vt:lpstr>AbioSens</vt:lpstr>
      <vt:lpstr>ABpct10</vt:lpstr>
      <vt:lpstr>ABpct11</vt:lpstr>
      <vt:lpstr>ABpct12</vt:lpstr>
      <vt:lpstr>ABpct8</vt:lpstr>
      <vt:lpstr>ABpct9</vt:lpstr>
      <vt:lpstr>Access10</vt:lpstr>
      <vt:lpstr>Access12</vt:lpstr>
      <vt:lpstr>Access9</vt:lpstr>
      <vt:lpstr>Acidic13</vt:lpstr>
      <vt:lpstr>AcidicPool10</vt:lpstr>
      <vt:lpstr>AcidPool10</vt:lpstr>
      <vt:lpstr>AcidPool7</vt:lpstr>
      <vt:lpstr>Adsorb3</vt:lpstr>
      <vt:lpstr>AfishShed9</vt:lpstr>
      <vt:lpstr>Algae12</vt:lpstr>
      <vt:lpstr>Algae3</vt:lpstr>
      <vt:lpstr>AllDry11</vt:lpstr>
      <vt:lpstr>AllDry12</vt:lpstr>
      <vt:lpstr>AllDry9</vt:lpstr>
      <vt:lpstr>AllForbCov</vt:lpstr>
      <vt:lpstr>AllOpenPond</vt:lpstr>
      <vt:lpstr>AllSat</vt:lpstr>
      <vt:lpstr>AllSat1</vt:lpstr>
      <vt:lpstr>AllSat2</vt:lpstr>
      <vt:lpstr>AllWet</vt:lpstr>
      <vt:lpstr>AltTime10</vt:lpstr>
      <vt:lpstr>AltTime20</vt:lpstr>
      <vt:lpstr>AltTime8</vt:lpstr>
      <vt:lpstr>AltTime9</vt:lpstr>
      <vt:lpstr>AltTiming</vt:lpstr>
      <vt:lpstr>AltTimingIN</vt:lpstr>
      <vt:lpstr>Amphib</vt:lpstr>
      <vt:lpstr>AmphScore</vt:lpstr>
      <vt:lpstr>AmPres11</vt:lpstr>
      <vt:lpstr>AmpSiteS</vt:lpstr>
      <vt:lpstr>Anad3</vt:lpstr>
      <vt:lpstr>Anad4</vt:lpstr>
      <vt:lpstr>AnadFish</vt:lpstr>
      <vt:lpstr>AnadFish7</vt:lpstr>
      <vt:lpstr>AnadScore2_</vt:lpstr>
      <vt:lpstr>AnoxRisk10</vt:lpstr>
      <vt:lpstr>AqCov8</vt:lpstr>
      <vt:lpstr>AqFertilPD</vt:lpstr>
      <vt:lpstr>AqPlantCov13</vt:lpstr>
      <vt:lpstr>AqPlantCov2</vt:lpstr>
      <vt:lpstr>AqPlantCov3</vt:lpstr>
      <vt:lpstr>AqPlantCov4</vt:lpstr>
      <vt:lpstr>AqPlantCov5</vt:lpstr>
      <vt:lpstr>AqPlantCov6</vt:lpstr>
      <vt:lpstr>AqPlantCov9</vt:lpstr>
      <vt:lpstr>AqStruc11</vt:lpstr>
      <vt:lpstr>Aquifer4</vt:lpstr>
      <vt:lpstr>aspect0</vt:lpstr>
      <vt:lpstr>Aspect1</vt:lpstr>
      <vt:lpstr>Aspect11</vt:lpstr>
      <vt:lpstr>Aspect2_</vt:lpstr>
      <vt:lpstr>Aspect4</vt:lpstr>
      <vt:lpstr>Aspect7</vt:lpstr>
      <vt:lpstr>WW!Aspect7v</vt:lpstr>
      <vt:lpstr>Aspect7v</vt:lpstr>
      <vt:lpstr>Aspect7vw</vt:lpstr>
      <vt:lpstr>AspectPD</vt:lpstr>
      <vt:lpstr>BareGpct</vt:lpstr>
      <vt:lpstr>Beaver_S</vt:lpstr>
      <vt:lpstr>Beaver10</vt:lpstr>
      <vt:lpstr>Beaver12</vt:lpstr>
      <vt:lpstr>Beaver13</vt:lpstr>
      <vt:lpstr>Beaver14</vt:lpstr>
      <vt:lpstr>Beaver14a</vt:lpstr>
      <vt:lpstr>Beaver9</vt:lpstr>
      <vt:lpstr>BeaverPD</vt:lpstr>
      <vt:lpstr>BigPondProx12</vt:lpstr>
      <vt:lpstr>Biological</vt:lpstr>
      <vt:lpstr>BioSens</vt:lpstr>
      <vt:lpstr>BMPsoils20</vt:lpstr>
      <vt:lpstr>BMPsoilsPU</vt:lpstr>
      <vt:lpstr>BMPwildPU</vt:lpstr>
      <vt:lpstr>Bogs6</vt:lpstr>
      <vt:lpstr>Browsed14</vt:lpstr>
      <vt:lpstr>BuffAllNat</vt:lpstr>
      <vt:lpstr>BuffCovTyp4</vt:lpstr>
      <vt:lpstr>BuffDisturbTyp</vt:lpstr>
      <vt:lpstr>BuffLU11</vt:lpstr>
      <vt:lpstr>BuffLU9</vt:lpstr>
      <vt:lpstr>BuffLUpd</vt:lpstr>
      <vt:lpstr>BuffLUtype13</vt:lpstr>
      <vt:lpstr>BuffNatPct13</vt:lpstr>
      <vt:lpstr>BuffPctNat9</vt:lpstr>
      <vt:lpstr>BuffSlope_S</vt:lpstr>
      <vt:lpstr>BuffSlope2</vt:lpstr>
      <vt:lpstr>BuffSlope3</vt:lpstr>
      <vt:lpstr>BuffSlope4</vt:lpstr>
      <vt:lpstr>CAimperv</vt:lpstr>
      <vt:lpstr>CAnatPct2</vt:lpstr>
      <vt:lpstr>CAnatPct4</vt:lpstr>
      <vt:lpstr>CApct1</vt:lpstr>
      <vt:lpstr>CApct2</vt:lpstr>
      <vt:lpstr>CApct3</vt:lpstr>
      <vt:lpstr>CApct4</vt:lpstr>
      <vt:lpstr>CApctB3</vt:lpstr>
      <vt:lpstr>CAunveg1</vt:lpstr>
      <vt:lpstr>Cedar14</vt:lpstr>
      <vt:lpstr>CedarPD</vt:lpstr>
      <vt:lpstr>cliff0</vt:lpstr>
      <vt:lpstr>Cliff14</vt:lpstr>
      <vt:lpstr>Cliffs14</vt:lpstr>
      <vt:lpstr>Climate11</vt:lpstr>
      <vt:lpstr>Climate12</vt:lpstr>
      <vt:lpstr>ClimateLF</vt:lpstr>
      <vt:lpstr>ClimatePD</vt:lpstr>
      <vt:lpstr>ClimateS</vt:lpstr>
      <vt:lpstr>Colonizer</vt:lpstr>
      <vt:lpstr>CompetPD</vt:lpstr>
      <vt:lpstr>Connec3</vt:lpstr>
      <vt:lpstr>Connec4</vt:lpstr>
      <vt:lpstr>Connec8</vt:lpstr>
      <vt:lpstr>ConnectivLF</vt:lpstr>
      <vt:lpstr>ConsInvest</vt:lpstr>
      <vt:lpstr>Constric_S</vt:lpstr>
      <vt:lpstr>Constric1</vt:lpstr>
      <vt:lpstr>Constric2</vt:lpstr>
      <vt:lpstr>Constric3</vt:lpstr>
      <vt:lpstr>Constric4</vt:lpstr>
      <vt:lpstr>Constric5</vt:lpstr>
      <vt:lpstr>Constric6</vt:lpstr>
      <vt:lpstr>Constricted</vt:lpstr>
      <vt:lpstr>ConsumpU</vt:lpstr>
      <vt:lpstr>Conven</vt:lpstr>
      <vt:lpstr>Core1</vt:lpstr>
      <vt:lpstr>Core1_11</vt:lpstr>
      <vt:lpstr>Core1_13</vt:lpstr>
      <vt:lpstr>Core10</vt:lpstr>
      <vt:lpstr>Core12a</vt:lpstr>
      <vt:lpstr>Core12b</vt:lpstr>
      <vt:lpstr>Core13a</vt:lpstr>
      <vt:lpstr>Core14a</vt:lpstr>
      <vt:lpstr>Core14b</vt:lpstr>
      <vt:lpstr>Core1pd</vt:lpstr>
      <vt:lpstr>Core1PU</vt:lpstr>
      <vt:lpstr>Core2</vt:lpstr>
      <vt:lpstr>Core2_11</vt:lpstr>
      <vt:lpstr>Core2_13</vt:lpstr>
      <vt:lpstr>Core2pd</vt:lpstr>
      <vt:lpstr>Core2PU</vt:lpstr>
      <vt:lpstr>Core9</vt:lpstr>
      <vt:lpstr>Cover2miDiv</vt:lpstr>
      <vt:lpstr>CUbuffLUtype8</vt:lpstr>
      <vt:lpstr>CUbuffNatPct14</vt:lpstr>
      <vt:lpstr>CUbuffPctNat8</vt:lpstr>
      <vt:lpstr>CUratio_S</vt:lpstr>
      <vt:lpstr>CUratioSS</vt:lpstr>
      <vt:lpstr>CUtypeLU14</vt:lpstr>
      <vt:lpstr>Decid6</vt:lpstr>
      <vt:lpstr>DecidPct5</vt:lpstr>
      <vt:lpstr>DecidTree14</vt:lpstr>
      <vt:lpstr>DecidTree5</vt:lpstr>
      <vt:lpstr>DecidTree6</vt:lpstr>
      <vt:lpstr>DecidTree8</vt:lpstr>
      <vt:lpstr>DecidTreePD</vt:lpstr>
      <vt:lpstr>DeerHab14</vt:lpstr>
      <vt:lpstr>DeerShed14</vt:lpstr>
      <vt:lpstr>DeerShedPS</vt:lpstr>
      <vt:lpstr>DeerShedPS2</vt:lpstr>
      <vt:lpstr>Depth_S</vt:lpstr>
      <vt:lpstr>Depth10</vt:lpstr>
      <vt:lpstr>Depth12</vt:lpstr>
      <vt:lpstr>Depth13</vt:lpstr>
      <vt:lpstr>Depth15</vt:lpstr>
      <vt:lpstr>Depth2_</vt:lpstr>
      <vt:lpstr>Depth5</vt:lpstr>
      <vt:lpstr>Depth6</vt:lpstr>
      <vt:lpstr>WW!Depth7</vt:lpstr>
      <vt:lpstr>Depth7</vt:lpstr>
      <vt:lpstr>Depth7w</vt:lpstr>
      <vt:lpstr>Depth8</vt:lpstr>
      <vt:lpstr>Depth9</vt:lpstr>
      <vt:lpstr>DepthC2</vt:lpstr>
      <vt:lpstr>DepthDiv8</vt:lpstr>
      <vt:lpstr>DepthDom5</vt:lpstr>
      <vt:lpstr>DepthEven10</vt:lpstr>
      <vt:lpstr>DepthEven12</vt:lpstr>
      <vt:lpstr>DepthEven13</vt:lpstr>
      <vt:lpstr>Desorb3</vt:lpstr>
      <vt:lpstr>DisRd14</vt:lpstr>
      <vt:lpstr>Dist2RareCov0</vt:lpstr>
      <vt:lpstr>DistAnad</vt:lpstr>
      <vt:lpstr>DistRareTyp11</vt:lpstr>
      <vt:lpstr>DistRareTyp14</vt:lpstr>
      <vt:lpstr>DistRareTyp8</vt:lpstr>
      <vt:lpstr>DistRareTypPD</vt:lpstr>
      <vt:lpstr>DistRareTypS</vt:lpstr>
      <vt:lpstr>DistRd</vt:lpstr>
      <vt:lpstr>DistRd10</vt:lpstr>
      <vt:lpstr>DistRd15</vt:lpstr>
      <vt:lpstr>DistRd9</vt:lpstr>
      <vt:lpstr>DistRdPD</vt:lpstr>
      <vt:lpstr>DistRdPU</vt:lpstr>
      <vt:lpstr>DistToRareCov0</vt:lpstr>
      <vt:lpstr>DisturbStress</vt:lpstr>
      <vt:lpstr>DomDepth3</vt:lpstr>
      <vt:lpstr>downwood0</vt:lpstr>
      <vt:lpstr>Drier</vt:lpstr>
      <vt:lpstr>DrierEx</vt:lpstr>
      <vt:lpstr>Drink4</vt:lpstr>
      <vt:lpstr>DryIntercept</vt:lpstr>
      <vt:lpstr>DuckHunt</vt:lpstr>
      <vt:lpstr>Elev</vt:lpstr>
      <vt:lpstr>Elev1</vt:lpstr>
      <vt:lpstr>Elev10</vt:lpstr>
      <vt:lpstr>Elev11</vt:lpstr>
      <vt:lpstr>Elev12</vt:lpstr>
      <vt:lpstr>Elev14</vt:lpstr>
      <vt:lpstr>Elev2</vt:lpstr>
      <vt:lpstr>Elev2a</vt:lpstr>
      <vt:lpstr>Elev3</vt:lpstr>
      <vt:lpstr>Elev4</vt:lpstr>
      <vt:lpstr>Elev5</vt:lpstr>
      <vt:lpstr>Elev6</vt:lpstr>
      <vt:lpstr>WW!Elev7</vt:lpstr>
      <vt:lpstr>Elev7</vt:lpstr>
      <vt:lpstr>Elev7w</vt:lpstr>
      <vt:lpstr>Elev9</vt:lpstr>
      <vt:lpstr>Elevatn2</vt:lpstr>
      <vt:lpstr>ElevPD</vt:lpstr>
      <vt:lpstr>ElevPU</vt:lpstr>
      <vt:lpstr>ElevS</vt:lpstr>
      <vt:lpstr>EmPct12</vt:lpstr>
      <vt:lpstr>EmPct13</vt:lpstr>
      <vt:lpstr>EmSens1_C</vt:lpstr>
      <vt:lpstr>EmSens1_S</vt:lpstr>
      <vt:lpstr>Enrich</vt:lpstr>
      <vt:lpstr>Entrain</vt:lpstr>
      <vt:lpstr>Erodib_S</vt:lpstr>
      <vt:lpstr>Erodible2</vt:lpstr>
      <vt:lpstr>ErodibleSS</vt:lpstr>
      <vt:lpstr>ErodScore3</vt:lpstr>
      <vt:lpstr>ExportPot6</vt:lpstr>
      <vt:lpstr>Fen2_</vt:lpstr>
      <vt:lpstr>FenMarsh</vt:lpstr>
      <vt:lpstr>Fertility</vt:lpstr>
      <vt:lpstr>Fish12a</vt:lpstr>
      <vt:lpstr>fISH13A</vt:lpstr>
      <vt:lpstr>Fish8</vt:lpstr>
      <vt:lpstr>FishAcc11</vt:lpstr>
      <vt:lpstr>FishAccessS</vt:lpstr>
      <vt:lpstr>Fishing</vt:lpstr>
      <vt:lpstr>Fishing9</vt:lpstr>
      <vt:lpstr>Fishless</vt:lpstr>
      <vt:lpstr>FloDist1</vt:lpstr>
      <vt:lpstr>FloDist4</vt:lpstr>
      <vt:lpstr>FloDist6</vt:lpstr>
      <vt:lpstr>FloodBdg1</vt:lpstr>
      <vt:lpstr>FlowDist2</vt:lpstr>
      <vt:lpstr>FlowDist3</vt:lpstr>
      <vt:lpstr>FlowIn2</vt:lpstr>
      <vt:lpstr>Fluc2</vt:lpstr>
      <vt:lpstr>FlucPD</vt:lpstr>
      <vt:lpstr>Fluctu11</vt:lpstr>
      <vt:lpstr>Fluctu13</vt:lpstr>
      <vt:lpstr>Fluctu3</vt:lpstr>
      <vt:lpstr>Fluctu4</vt:lpstr>
      <vt:lpstr>Fluctu5</vt:lpstr>
      <vt:lpstr>Fluctu6</vt:lpstr>
      <vt:lpstr>Fluctu8</vt:lpstr>
      <vt:lpstr>Fluctua1</vt:lpstr>
      <vt:lpstr>Food8</vt:lpstr>
      <vt:lpstr>ForestedPeat</vt:lpstr>
      <vt:lpstr>FragStress</vt:lpstr>
      <vt:lpstr>Freeze_S</vt:lpstr>
      <vt:lpstr>Freeze1</vt:lpstr>
      <vt:lpstr>Freeze10</vt:lpstr>
      <vt:lpstr>Freeze2</vt:lpstr>
      <vt:lpstr>Freeze3</vt:lpstr>
      <vt:lpstr>Freeze4</vt:lpstr>
      <vt:lpstr>Freeze5</vt:lpstr>
      <vt:lpstr>Freeze6</vt:lpstr>
      <vt:lpstr>FreezeDura3</vt:lpstr>
      <vt:lpstr>Freezing</vt:lpstr>
      <vt:lpstr>Friction</vt:lpstr>
      <vt:lpstr>Fringe</vt:lpstr>
      <vt:lpstr>Fringe12</vt:lpstr>
      <vt:lpstr>Fringe12a</vt:lpstr>
      <vt:lpstr>Fringe13</vt:lpstr>
      <vt:lpstr>WW!Fringe7a</vt:lpstr>
      <vt:lpstr>Fringe7a</vt:lpstr>
      <vt:lpstr>Fringe7b</vt:lpstr>
      <vt:lpstr>FrozDur4</vt:lpstr>
      <vt:lpstr>FrozDur6</vt:lpstr>
      <vt:lpstr>Frozen2</vt:lpstr>
      <vt:lpstr>FscoreSRM</vt:lpstr>
      <vt:lpstr>FscoreWBF</vt:lpstr>
      <vt:lpstr>FscoreWBN</vt:lpstr>
      <vt:lpstr>Gcover_S</vt:lpstr>
      <vt:lpstr>gcover0</vt:lpstr>
      <vt:lpstr>Gcover11</vt:lpstr>
      <vt:lpstr>Gcover14</vt:lpstr>
      <vt:lpstr>Gcover2</vt:lpstr>
      <vt:lpstr>Gcover3</vt:lpstr>
      <vt:lpstr>Gcover4</vt:lpstr>
      <vt:lpstr>Gcover6</vt:lpstr>
      <vt:lpstr>Gcover8</vt:lpstr>
      <vt:lpstr>GDD_S</vt:lpstr>
      <vt:lpstr>GDD2_</vt:lpstr>
      <vt:lpstr>GDDpd</vt:lpstr>
      <vt:lpstr>Geog11</vt:lpstr>
      <vt:lpstr>Geograph14</vt:lpstr>
      <vt:lpstr>Geography12</vt:lpstr>
      <vt:lpstr>Geography14</vt:lpstr>
      <vt:lpstr>GeogS</vt:lpstr>
      <vt:lpstr>girreg0</vt:lpstr>
      <vt:lpstr>Girreg1</vt:lpstr>
      <vt:lpstr>Girreg11</vt:lpstr>
      <vt:lpstr>Girreg14</vt:lpstr>
      <vt:lpstr>Girreg2</vt:lpstr>
      <vt:lpstr>Girreg3</vt:lpstr>
      <vt:lpstr>Girreg4</vt:lpstr>
      <vt:lpstr>Girreg8</vt:lpstr>
      <vt:lpstr>GirregCQ</vt:lpstr>
      <vt:lpstr>GirregPD</vt:lpstr>
      <vt:lpstr>Glacier1</vt:lpstr>
      <vt:lpstr>Glacier10</vt:lpstr>
      <vt:lpstr>Glacier11</vt:lpstr>
      <vt:lpstr>Glacier2</vt:lpstr>
      <vt:lpstr>glacier2_</vt:lpstr>
      <vt:lpstr>Glacier3</vt:lpstr>
      <vt:lpstr>Glacier6</vt:lpstr>
      <vt:lpstr>WW!Glacier7</vt:lpstr>
      <vt:lpstr>Glacier7</vt:lpstr>
      <vt:lpstr>Glacier7w</vt:lpstr>
      <vt:lpstr>Glacier8</vt:lpstr>
      <vt:lpstr>Glacier9</vt:lpstr>
      <vt:lpstr>Glean20</vt:lpstr>
      <vt:lpstr>GpA_2</vt:lpstr>
      <vt:lpstr>GpB_2</vt:lpstr>
      <vt:lpstr>GpC_2</vt:lpstr>
      <vt:lpstr>Gradient1</vt:lpstr>
      <vt:lpstr>Gradient11</vt:lpstr>
      <vt:lpstr>Gradient12</vt:lpstr>
      <vt:lpstr>Gradient13</vt:lpstr>
      <vt:lpstr>Gradient2</vt:lpstr>
      <vt:lpstr>Gradient3</vt:lpstr>
      <vt:lpstr>Gradient4</vt:lpstr>
      <vt:lpstr>Gradient5</vt:lpstr>
      <vt:lpstr>Gradient6</vt:lpstr>
      <vt:lpstr>gramin0</vt:lpstr>
      <vt:lpstr>Granite10</vt:lpstr>
      <vt:lpstr>Granite6</vt:lpstr>
      <vt:lpstr>Granite7</vt:lpstr>
      <vt:lpstr>GranitePD</vt:lpstr>
      <vt:lpstr>GraniteSoilPD</vt:lpstr>
      <vt:lpstr>Groundw1</vt:lpstr>
      <vt:lpstr>Groundw10</vt:lpstr>
      <vt:lpstr>GroundW11</vt:lpstr>
      <vt:lpstr>Groundw2_</vt:lpstr>
      <vt:lpstr>Groundw3</vt:lpstr>
      <vt:lpstr>Groundw4</vt:lpstr>
      <vt:lpstr>GroundW5</vt:lpstr>
      <vt:lpstr>Groundw6</vt:lpstr>
      <vt:lpstr>Groundw8</vt:lpstr>
      <vt:lpstr>GroundW9</vt:lpstr>
      <vt:lpstr>GroundwDisch</vt:lpstr>
      <vt:lpstr>GroundwLF</vt:lpstr>
      <vt:lpstr>GrowthRate</vt:lpstr>
      <vt:lpstr>WW!Gwater7</vt:lpstr>
      <vt:lpstr>Gwater7</vt:lpstr>
      <vt:lpstr>Gwater7w</vt:lpstr>
      <vt:lpstr>GWpd</vt:lpstr>
      <vt:lpstr>Hardwd14</vt:lpstr>
      <vt:lpstr>HardwdPD</vt:lpstr>
      <vt:lpstr>Hardwood8</vt:lpstr>
      <vt:lpstr>herb1pd</vt:lpstr>
      <vt:lpstr>herbdiv0</vt:lpstr>
      <vt:lpstr>HerbDiv8</vt:lpstr>
      <vt:lpstr>HerbDom1</vt:lpstr>
      <vt:lpstr>herbdom15</vt:lpstr>
      <vt:lpstr>HerbDom2</vt:lpstr>
      <vt:lpstr>herblt50</vt:lpstr>
      <vt:lpstr>herbpct0</vt:lpstr>
      <vt:lpstr>herbsens0</vt:lpstr>
      <vt:lpstr>HistAccum5</vt:lpstr>
      <vt:lpstr>HistAccum6</vt:lpstr>
      <vt:lpstr>Hydro10</vt:lpstr>
      <vt:lpstr>Hydro11</vt:lpstr>
      <vt:lpstr>Hydro12</vt:lpstr>
      <vt:lpstr>Hydro13</vt:lpstr>
      <vt:lpstr>Hydropd8</vt:lpstr>
      <vt:lpstr>Hydropd9</vt:lpstr>
      <vt:lpstr>HydroStress</vt:lpstr>
      <vt:lpstr>IBA</vt:lpstr>
      <vt:lpstr>IBA12a</vt:lpstr>
      <vt:lpstr>IBird12v</vt:lpstr>
      <vt:lpstr>Ice2_</vt:lpstr>
      <vt:lpstr>IceDur2</vt:lpstr>
      <vt:lpstr>IceDura10</vt:lpstr>
      <vt:lpstr>imperv2_</vt:lpstr>
      <vt:lpstr>Imperv4</vt:lpstr>
      <vt:lpstr>WW!Imperv7</vt:lpstr>
      <vt:lpstr>Imperv7</vt:lpstr>
      <vt:lpstr>Imperv7w</vt:lpstr>
      <vt:lpstr>ImpervCA</vt:lpstr>
      <vt:lpstr>ImpervCA3</vt:lpstr>
      <vt:lpstr>ImpervCA9</vt:lpstr>
      <vt:lpstr>ImpervPctSS</vt:lpstr>
      <vt:lpstr>Inclus11</vt:lpstr>
      <vt:lpstr>Inclus11a</vt:lpstr>
      <vt:lpstr>Inclus14</vt:lpstr>
      <vt:lpstr>Inclus4</vt:lpstr>
      <vt:lpstr>Inflo2</vt:lpstr>
      <vt:lpstr>Inflo3</vt:lpstr>
      <vt:lpstr>Inflo4</vt:lpstr>
      <vt:lpstr>InfloPD</vt:lpstr>
      <vt:lpstr>Inflows</vt:lpstr>
      <vt:lpstr>InTemp7</vt:lpstr>
      <vt:lpstr>Intercep4</vt:lpstr>
      <vt:lpstr>IntercepDry3</vt:lpstr>
      <vt:lpstr>IntercepWet3</vt:lpstr>
      <vt:lpstr>Interspers10</vt:lpstr>
      <vt:lpstr>Interspers11</vt:lpstr>
      <vt:lpstr>Interspers12</vt:lpstr>
      <vt:lpstr>Interspers13</vt:lpstr>
      <vt:lpstr>Interspers14</vt:lpstr>
      <vt:lpstr>Interspers2</vt:lpstr>
      <vt:lpstr>Interspers3</vt:lpstr>
      <vt:lpstr>Interspers4</vt:lpstr>
      <vt:lpstr>Interspers6</vt:lpstr>
      <vt:lpstr>Interspers8</vt:lpstr>
      <vt:lpstr>Interspers9</vt:lpstr>
      <vt:lpstr>InterspersPD</vt:lpstr>
      <vt:lpstr>Invest</vt:lpstr>
      <vt:lpstr>InvScore2_</vt:lpstr>
      <vt:lpstr>Island13</vt:lpstr>
      <vt:lpstr>IsoDry_S</vt:lpstr>
      <vt:lpstr>IsoDry1</vt:lpstr>
      <vt:lpstr>ISOdry10</vt:lpstr>
      <vt:lpstr>ISOdry13</vt:lpstr>
      <vt:lpstr>WW!ISOdry7</vt:lpstr>
      <vt:lpstr>ISOdry7</vt:lpstr>
      <vt:lpstr>ISOdry7w</vt:lpstr>
      <vt:lpstr>ISOwet11</vt:lpstr>
      <vt:lpstr>ISOwet12</vt:lpstr>
      <vt:lpstr>IsoWet2</vt:lpstr>
      <vt:lpstr>IsoWet2a</vt:lpstr>
      <vt:lpstr>IsoWet2s</vt:lpstr>
      <vt:lpstr>ISOwet5</vt:lpstr>
      <vt:lpstr>IsoWet8</vt:lpstr>
      <vt:lpstr>ISOwet9</vt:lpstr>
      <vt:lpstr>Karst10</vt:lpstr>
      <vt:lpstr>Karst10a</vt:lpstr>
      <vt:lpstr>Karst11</vt:lpstr>
      <vt:lpstr>Karst16</vt:lpstr>
      <vt:lpstr>Karst16a</vt:lpstr>
      <vt:lpstr>Karst6</vt:lpstr>
      <vt:lpstr>Karst6a</vt:lpstr>
      <vt:lpstr>Karst7a</vt:lpstr>
      <vt:lpstr>Karst8</vt:lpstr>
      <vt:lpstr>Karst9</vt:lpstr>
      <vt:lpstr>Karst9a</vt:lpstr>
      <vt:lpstr>Lacus13a</vt:lpstr>
      <vt:lpstr>WW!Lacus7</vt:lpstr>
      <vt:lpstr>Lacus7</vt:lpstr>
      <vt:lpstr>Lacus9</vt:lpstr>
      <vt:lpstr>Lacust13</vt:lpstr>
      <vt:lpstr>Lake10</vt:lpstr>
      <vt:lpstr>Lake10a</vt:lpstr>
      <vt:lpstr>Lake12</vt:lpstr>
      <vt:lpstr>Lake3</vt:lpstr>
      <vt:lpstr>Lake3a</vt:lpstr>
      <vt:lpstr>Lake9</vt:lpstr>
      <vt:lpstr>LakeNear13</vt:lpstr>
      <vt:lpstr>LakeProx_S</vt:lpstr>
      <vt:lpstr>LakeProx13</vt:lpstr>
      <vt:lpstr>LakePU</vt:lpstr>
      <vt:lpstr>LiveStore</vt:lpstr>
      <vt:lpstr>LiveStore2</vt:lpstr>
      <vt:lpstr>Lscape</vt:lpstr>
      <vt:lpstr>Lscape11</vt:lpstr>
      <vt:lpstr>Lscape12</vt:lpstr>
      <vt:lpstr>Lscape13</vt:lpstr>
      <vt:lpstr>Lscape14</vt:lpstr>
      <vt:lpstr>Lscape8</vt:lpstr>
      <vt:lpstr>Lscape9</vt:lpstr>
      <vt:lpstr>LscapePD</vt:lpstr>
      <vt:lpstr>Mainland14</vt:lpstr>
      <vt:lpstr>MaxFluc2</vt:lpstr>
      <vt:lpstr>MethLimit5</vt:lpstr>
      <vt:lpstr>MitigaSite</vt:lpstr>
      <vt:lpstr>MossCov5</vt:lpstr>
      <vt:lpstr>MossPD</vt:lpstr>
      <vt:lpstr>Mudflat12</vt:lpstr>
      <vt:lpstr>NatCApct3</vt:lpstr>
      <vt:lpstr>NatCov2mi11</vt:lpstr>
      <vt:lpstr>NatVegCA</vt:lpstr>
      <vt:lpstr>NatVegCApd</vt:lpstr>
      <vt:lpstr>NatVegCUpct_S</vt:lpstr>
      <vt:lpstr>NatVegCUpct10</vt:lpstr>
      <vt:lpstr>NatVegCUpct9</vt:lpstr>
      <vt:lpstr>NatVegPct11</vt:lpstr>
      <vt:lpstr>NatVegPctCU8</vt:lpstr>
      <vt:lpstr>NatVegPctScape14</vt:lpstr>
      <vt:lpstr>NatVegProx_S</vt:lpstr>
      <vt:lpstr>NatVegProx11</vt:lpstr>
      <vt:lpstr>NatVegProx14</vt:lpstr>
      <vt:lpstr>NatVegSize_S</vt:lpstr>
      <vt:lpstr>NatVegSize11</vt:lpstr>
      <vt:lpstr>NatVegSize14</vt:lpstr>
      <vt:lpstr>NatVegTractSize</vt:lpstr>
      <vt:lpstr>NestSites</vt:lpstr>
      <vt:lpstr>NewWet</vt:lpstr>
      <vt:lpstr>NewWet_S</vt:lpstr>
      <vt:lpstr>NewWet2a</vt:lpstr>
      <vt:lpstr>NewWet3</vt:lpstr>
      <vt:lpstr>NewWet5</vt:lpstr>
      <vt:lpstr>NewWet6</vt:lpstr>
      <vt:lpstr>NewWetNot6</vt:lpstr>
      <vt:lpstr>NewWetPD</vt:lpstr>
      <vt:lpstr>Nfix10</vt:lpstr>
      <vt:lpstr>Nfix14</vt:lpstr>
      <vt:lpstr>Nfix4</vt:lpstr>
      <vt:lpstr>Nfix9</vt:lpstr>
      <vt:lpstr>Nfixer6</vt:lpstr>
      <vt:lpstr>Nfixers8</vt:lpstr>
      <vt:lpstr>NfixPD</vt:lpstr>
      <vt:lpstr>NfixS</vt:lpstr>
      <vt:lpstr>NoCA</vt:lpstr>
      <vt:lpstr>NoDeer</vt:lpstr>
      <vt:lpstr>NoFreezeFR</vt:lpstr>
      <vt:lpstr>NoHerbCov</vt:lpstr>
      <vt:lpstr>NonHydric6</vt:lpstr>
      <vt:lpstr>NoOpenPonded</vt:lpstr>
      <vt:lpstr>NoOpenPonded1</vt:lpstr>
      <vt:lpstr>NoOut_S</vt:lpstr>
      <vt:lpstr>NoOutlet1</vt:lpstr>
      <vt:lpstr>NoOutlet10</vt:lpstr>
      <vt:lpstr>NoOutlet2</vt:lpstr>
      <vt:lpstr>NoOutlet3</vt:lpstr>
      <vt:lpstr>NoOutlet4</vt:lpstr>
      <vt:lpstr>NoOutlet5</vt:lpstr>
      <vt:lpstr>NoOutlet6</vt:lpstr>
      <vt:lpstr>NoPermW10</vt:lpstr>
      <vt:lpstr>NoPersis</vt:lpstr>
      <vt:lpstr>NoPonded</vt:lpstr>
      <vt:lpstr>NoSeasonal</vt:lpstr>
      <vt:lpstr>NoShrub</vt:lpstr>
      <vt:lpstr>NotFen5</vt:lpstr>
      <vt:lpstr>NotNewWet</vt:lpstr>
      <vt:lpstr>NoTrees</vt:lpstr>
      <vt:lpstr>NoWater3</vt:lpstr>
      <vt:lpstr>NoWater4a</vt:lpstr>
      <vt:lpstr>NoWoodyVeg</vt:lpstr>
      <vt:lpstr>Nsource4</vt:lpstr>
      <vt:lpstr>NutrAvail6</vt:lpstr>
      <vt:lpstr>NutrIn9</vt:lpstr>
      <vt:lpstr>OpenPonded7</vt:lpstr>
      <vt:lpstr>OpenPonded7a</vt:lpstr>
      <vt:lpstr>OpenW</vt:lpstr>
      <vt:lpstr>Organic4</vt:lpstr>
      <vt:lpstr>OutDur2</vt:lpstr>
      <vt:lpstr>OutDur2_</vt:lpstr>
      <vt:lpstr>WW!OutDur7</vt:lpstr>
      <vt:lpstr>OutDur7</vt:lpstr>
      <vt:lpstr>OutDura_S</vt:lpstr>
      <vt:lpstr>OutDura1</vt:lpstr>
      <vt:lpstr>OutDura10</vt:lpstr>
      <vt:lpstr>OutDura3</vt:lpstr>
      <vt:lpstr>OutDura4</vt:lpstr>
      <vt:lpstr>OutDura5</vt:lpstr>
      <vt:lpstr>OutDura6</vt:lpstr>
      <vt:lpstr>OutDura9</vt:lpstr>
      <vt:lpstr>OutNone</vt:lpstr>
      <vt:lpstr>OutNone1</vt:lpstr>
      <vt:lpstr>Ownership</vt:lpstr>
      <vt:lpstr>OwnerSS</vt:lpstr>
      <vt:lpstr>OWpct14</vt:lpstr>
      <vt:lpstr>PermPctAll12</vt:lpstr>
      <vt:lpstr>PermWaterAll14</vt:lpstr>
      <vt:lpstr>PermWpct10</vt:lpstr>
      <vt:lpstr>PermWpct11</vt:lpstr>
      <vt:lpstr>PermWpct12</vt:lpstr>
      <vt:lpstr>PermWpct13</vt:lpstr>
      <vt:lpstr>PermWpct14</vt:lpstr>
      <vt:lpstr>PermWpct4</vt:lpstr>
      <vt:lpstr>PermWpct5</vt:lpstr>
      <vt:lpstr>PermWpct8</vt:lpstr>
      <vt:lpstr>PermWpct9</vt:lpstr>
      <vt:lpstr>Persis3</vt:lpstr>
      <vt:lpstr>persist0</vt:lpstr>
      <vt:lpstr>PhysAccum5</vt:lpstr>
      <vt:lpstr>PlantCov6</vt:lpstr>
      <vt:lpstr>PlantSiteS</vt:lpstr>
      <vt:lpstr>Pload3</vt:lpstr>
      <vt:lpstr>PollenOn</vt:lpstr>
      <vt:lpstr>PondedPct6</vt:lpstr>
      <vt:lpstr>PondNum11v</vt:lpstr>
      <vt:lpstr>PondNum12v</vt:lpstr>
      <vt:lpstr>PondNum13v</vt:lpstr>
      <vt:lpstr>PondNum14v</vt:lpstr>
      <vt:lpstr>PondPct4</vt:lpstr>
      <vt:lpstr>PondPctScape11</vt:lpstr>
      <vt:lpstr>PondPctScape12</vt:lpstr>
      <vt:lpstr>PondPctScape14</vt:lpstr>
      <vt:lpstr>PondProx_S</vt:lpstr>
      <vt:lpstr>PondProx11</vt:lpstr>
      <vt:lpstr>PondProx12</vt:lpstr>
      <vt:lpstr>PondProx13</vt:lpstr>
      <vt:lpstr>PondProx14</vt:lpstr>
      <vt:lpstr>PondProx15</vt:lpstr>
      <vt:lpstr>PondScape_S</vt:lpstr>
      <vt:lpstr>PondScape15</vt:lpstr>
      <vt:lpstr>PondScapePct13</vt:lpstr>
      <vt:lpstr>PopCtr12</vt:lpstr>
      <vt:lpstr>PopCtr14</vt:lpstr>
      <vt:lpstr>PopCtr15</vt:lpstr>
      <vt:lpstr>PopCtr9</vt:lpstr>
      <vt:lpstr>PopCtrDisPU</vt:lpstr>
      <vt:lpstr>PopCtrDisS</vt:lpstr>
      <vt:lpstr>PopCtrDist</vt:lpstr>
      <vt:lpstr>PopDist10</vt:lpstr>
      <vt:lpstr>PopDist4</vt:lpstr>
      <vt:lpstr>PosShed3</vt:lpstr>
      <vt:lpstr>Precip6</vt:lpstr>
      <vt:lpstr>F!Print_Area</vt:lpstr>
      <vt:lpstr>OF!Print_Area</vt:lpstr>
      <vt:lpstr>S!Print_Area</vt:lpstr>
      <vt:lpstr>Scores!Print_Area</vt:lpstr>
      <vt:lpstr>Produc</vt:lpstr>
      <vt:lpstr>Produc10</vt:lpstr>
      <vt:lpstr>Produc11</vt:lpstr>
      <vt:lpstr>Produc12</vt:lpstr>
      <vt:lpstr>Produc13</vt:lpstr>
      <vt:lpstr>Produc14</vt:lpstr>
      <vt:lpstr>Produc9</vt:lpstr>
      <vt:lpstr>Productiv</vt:lpstr>
      <vt:lpstr>Productiv6</vt:lpstr>
      <vt:lpstr>puddles</vt:lpstr>
      <vt:lpstr>Rare12</vt:lpstr>
      <vt:lpstr>Rare13</vt:lpstr>
      <vt:lpstr>Rare14</vt:lpstr>
      <vt:lpstr>RareAll</vt:lpstr>
      <vt:lpstr>rareherb</vt:lpstr>
      <vt:lpstr>RarePspp</vt:lpstr>
      <vt:lpstr>RareSpPD</vt:lpstr>
      <vt:lpstr>RareWclass_S</vt:lpstr>
      <vt:lpstr>RareWclass0</vt:lpstr>
      <vt:lpstr>RareWclass11</vt:lpstr>
      <vt:lpstr>RareWclass12</vt:lpstr>
      <vt:lpstr>RareWclass13</vt:lpstr>
      <vt:lpstr>RareWclass14</vt:lpstr>
      <vt:lpstr>RareWclassPD</vt:lpstr>
      <vt:lpstr>RdBox</vt:lpstr>
      <vt:lpstr>RdBox14</vt:lpstr>
      <vt:lpstr>RdDis11</vt:lpstr>
      <vt:lpstr>RdDis13</vt:lpstr>
      <vt:lpstr>RecPot</vt:lpstr>
      <vt:lpstr>RecreaPoten</vt:lpstr>
      <vt:lpstr>RecUse</vt:lpstr>
      <vt:lpstr>Redox4</vt:lpstr>
      <vt:lpstr>ResFish</vt:lpstr>
      <vt:lpstr>ResFishScore2_</vt:lpstr>
      <vt:lpstr>RoadCirc11</vt:lpstr>
      <vt:lpstr>SalmonShedPS</vt:lpstr>
      <vt:lpstr>SalmonShedPS2</vt:lpstr>
      <vt:lpstr>SalmoShed9</vt:lpstr>
      <vt:lpstr>Salmoshed9v</vt:lpstr>
      <vt:lpstr>SatPct_S</vt:lpstr>
      <vt:lpstr>SatPct10</vt:lpstr>
      <vt:lpstr>SatPct11</vt:lpstr>
      <vt:lpstr>SatPct12</vt:lpstr>
      <vt:lpstr>SatPct13</vt:lpstr>
      <vt:lpstr>SatPct14</vt:lpstr>
      <vt:lpstr>SatPct2v</vt:lpstr>
      <vt:lpstr>SatPct3</vt:lpstr>
      <vt:lpstr>SatPct4</vt:lpstr>
      <vt:lpstr>SatPct7</vt:lpstr>
      <vt:lpstr>SatPct8</vt:lpstr>
      <vt:lpstr>SatPct9</vt:lpstr>
      <vt:lpstr>SatPctPD</vt:lpstr>
      <vt:lpstr>Satur10</vt:lpstr>
      <vt:lpstr>SBMscore10</vt:lpstr>
      <vt:lpstr>SBMsiteS</vt:lpstr>
      <vt:lpstr>ScapeLU11</vt:lpstr>
      <vt:lpstr>ScapeLU14</vt:lpstr>
      <vt:lpstr>SciUse</vt:lpstr>
      <vt:lpstr>ScorePLDf</vt:lpstr>
      <vt:lpstr>ScorePOLf</vt:lpstr>
      <vt:lpstr>ScoreSBM</vt:lpstr>
      <vt:lpstr>ScoreSubsis</vt:lpstr>
      <vt:lpstr>SeasPct1</vt:lpstr>
      <vt:lpstr>SeasPct2</vt:lpstr>
      <vt:lpstr>SeasPct8</vt:lpstr>
      <vt:lpstr>SeasWpct12</vt:lpstr>
      <vt:lpstr>SeasWpct13</vt:lpstr>
      <vt:lpstr>SeasWpct4</vt:lpstr>
      <vt:lpstr>SeasWpct5</vt:lpstr>
      <vt:lpstr>SeasWpct6</vt:lpstr>
      <vt:lpstr>SeasWpct9</vt:lpstr>
      <vt:lpstr>SeasWpctPD</vt:lpstr>
      <vt:lpstr>SedCA8</vt:lpstr>
      <vt:lpstr>SedDisturb20</vt:lpstr>
      <vt:lpstr>Sedge5</vt:lpstr>
      <vt:lpstr>SedIn2</vt:lpstr>
      <vt:lpstr>SedIn9</vt:lpstr>
      <vt:lpstr>SedLoad</vt:lpstr>
      <vt:lpstr>WW!Shade7</vt:lpstr>
      <vt:lpstr>Shade7</vt:lpstr>
      <vt:lpstr>Shade7w</vt:lpstr>
      <vt:lpstr>Shade9</vt:lpstr>
      <vt:lpstr>ShadeIn7</vt:lpstr>
      <vt:lpstr>ShedPos_S</vt:lpstr>
      <vt:lpstr>ShedPos1</vt:lpstr>
      <vt:lpstr>ShedPos4</vt:lpstr>
      <vt:lpstr>ShedWet2</vt:lpstr>
      <vt:lpstr>ShoreSlope13</vt:lpstr>
      <vt:lpstr>ShrubCanop14</vt:lpstr>
      <vt:lpstr>ShrubDiv14</vt:lpstr>
      <vt:lpstr>ShrubDom1</vt:lpstr>
      <vt:lpstr>ShrubPattS</vt:lpstr>
      <vt:lpstr>ShrubSun</vt:lpstr>
      <vt:lpstr>ShrubSun11</vt:lpstr>
      <vt:lpstr>ShurbHtDiv14</vt:lpstr>
      <vt:lpstr>Size_S</vt:lpstr>
      <vt:lpstr>Size12</vt:lpstr>
      <vt:lpstr>Size13</vt:lpstr>
      <vt:lpstr>Size14</vt:lpstr>
      <vt:lpstr>SizePD</vt:lpstr>
      <vt:lpstr>SlidePD</vt:lpstr>
      <vt:lpstr>SnagB13</vt:lpstr>
      <vt:lpstr>SnagD14</vt:lpstr>
      <vt:lpstr>Snags0</vt:lpstr>
      <vt:lpstr>Snags13</vt:lpstr>
      <vt:lpstr>Soil2_</vt:lpstr>
      <vt:lpstr>SoilDisturb</vt:lpstr>
      <vt:lpstr>SoilDisturb15</vt:lpstr>
      <vt:lpstr>SoilDisturb4</vt:lpstr>
      <vt:lpstr>SoilDisturb5</vt:lpstr>
      <vt:lpstr>SoilDisturb8</vt:lpstr>
      <vt:lpstr>SoilTex_S</vt:lpstr>
      <vt:lpstr>SoilTex1</vt:lpstr>
      <vt:lpstr>SoilTex3</vt:lpstr>
      <vt:lpstr>SoilTex4</vt:lpstr>
      <vt:lpstr>SoilTex5</vt:lpstr>
      <vt:lpstr>SoilTex6</vt:lpstr>
      <vt:lpstr>SoilTexPD</vt:lpstr>
      <vt:lpstr>SongbMam</vt:lpstr>
      <vt:lpstr>SppArea</vt:lpstr>
      <vt:lpstr>Stain3</vt:lpstr>
      <vt:lpstr>Stained6</vt:lpstr>
      <vt:lpstr>Steep1</vt:lpstr>
      <vt:lpstr>Steep13</vt:lpstr>
      <vt:lpstr>Steep1ws</vt:lpstr>
      <vt:lpstr>Steep2ws</vt:lpstr>
      <vt:lpstr>Stess11</vt:lpstr>
      <vt:lpstr>StreamInGrad3</vt:lpstr>
      <vt:lpstr>Stress10</vt:lpstr>
      <vt:lpstr>Stress11</vt:lpstr>
      <vt:lpstr>Stress12</vt:lpstr>
      <vt:lpstr>Stress14</vt:lpstr>
      <vt:lpstr>Stress9</vt:lpstr>
      <vt:lpstr>Stressors13</vt:lpstr>
      <vt:lpstr>Stressors8</vt:lpstr>
      <vt:lpstr>StressPD</vt:lpstr>
      <vt:lpstr>Struc10</vt:lpstr>
      <vt:lpstr>Struc11</vt:lpstr>
      <vt:lpstr>Struc12</vt:lpstr>
      <vt:lpstr>Struc13</vt:lpstr>
      <vt:lpstr>Struc9</vt:lpstr>
      <vt:lpstr>StrucA</vt:lpstr>
      <vt:lpstr>StrucB</vt:lpstr>
      <vt:lpstr>Structure8</vt:lpstr>
      <vt:lpstr>Subsist</vt:lpstr>
      <vt:lpstr>Subsist10</vt:lpstr>
      <vt:lpstr>Subsist9</vt:lpstr>
      <vt:lpstr>Subsurf</vt:lpstr>
      <vt:lpstr>Swater</vt:lpstr>
      <vt:lpstr>SWOpd</vt:lpstr>
      <vt:lpstr>Temp7w</vt:lpstr>
      <vt:lpstr>TerrFertilPD</vt:lpstr>
      <vt:lpstr>TerrStruc11</vt:lpstr>
      <vt:lpstr>ThruFlo1</vt:lpstr>
      <vt:lpstr>ThruFlo10</vt:lpstr>
      <vt:lpstr>ThruFlo2</vt:lpstr>
      <vt:lpstr>ThruFlo3</vt:lpstr>
      <vt:lpstr>ThruFlo4</vt:lpstr>
      <vt:lpstr>ThruFlo6</vt:lpstr>
      <vt:lpstr>ThruFlo8</vt:lpstr>
      <vt:lpstr>ThruFlo9</vt:lpstr>
      <vt:lpstr>TidalPD</vt:lpstr>
      <vt:lpstr>TidalProx_S</vt:lpstr>
      <vt:lpstr>TidalProx1</vt:lpstr>
      <vt:lpstr>TidalProx10</vt:lpstr>
      <vt:lpstr>TidalProx11</vt:lpstr>
      <vt:lpstr>TidalProx12</vt:lpstr>
      <vt:lpstr>TidalProx13</vt:lpstr>
      <vt:lpstr>TidalProx14</vt:lpstr>
      <vt:lpstr>TidalProx3</vt:lpstr>
      <vt:lpstr>TidalProx4</vt:lpstr>
      <vt:lpstr>TidalProx6</vt:lpstr>
      <vt:lpstr>TidalProx8</vt:lpstr>
      <vt:lpstr>TidalProx9</vt:lpstr>
      <vt:lpstr>TidalProxPD</vt:lpstr>
      <vt:lpstr>TidalProxPU</vt:lpstr>
      <vt:lpstr>TidalProxS</vt:lpstr>
      <vt:lpstr>TideProx2</vt:lpstr>
      <vt:lpstr>TideProx7</vt:lpstr>
      <vt:lpstr>TooSteep</vt:lpstr>
      <vt:lpstr>TooSteep12</vt:lpstr>
      <vt:lpstr>TooSteep13</vt:lpstr>
      <vt:lpstr>ToxData10</vt:lpstr>
      <vt:lpstr>ToxData2</vt:lpstr>
      <vt:lpstr>ToxData9</vt:lpstr>
      <vt:lpstr>Toxic</vt:lpstr>
      <vt:lpstr>Toxic11</vt:lpstr>
      <vt:lpstr>ToxicData</vt:lpstr>
      <vt:lpstr>toxics13</vt:lpstr>
      <vt:lpstr>ToxOnsite</vt:lpstr>
      <vt:lpstr>ToxUp2</vt:lpstr>
      <vt:lpstr>Transport1</vt:lpstr>
      <vt:lpstr>Transport3</vt:lpstr>
      <vt:lpstr>Transport4</vt:lpstr>
      <vt:lpstr>TransportSS</vt:lpstr>
      <vt:lpstr>TreeCanop4</vt:lpstr>
      <vt:lpstr>TreeCovPD</vt:lpstr>
      <vt:lpstr>TreeCovS</vt:lpstr>
      <vt:lpstr>TreeDBHs</vt:lpstr>
      <vt:lpstr>TreeForm13</vt:lpstr>
      <vt:lpstr>TreeForm5</vt:lpstr>
      <vt:lpstr>Trees13</vt:lpstr>
      <vt:lpstr>TreeTyp13</vt:lpstr>
      <vt:lpstr>TreeTypes14</vt:lpstr>
      <vt:lpstr>TreeVar11</vt:lpstr>
      <vt:lpstr>Unbrow</vt:lpstr>
      <vt:lpstr>Unbrowsed</vt:lpstr>
      <vt:lpstr>Unif14</vt:lpstr>
      <vt:lpstr>UniPatch8</vt:lpstr>
      <vt:lpstr>UniqPatch11</vt:lpstr>
      <vt:lpstr>UniqPatch14</vt:lpstr>
      <vt:lpstr>UniqPatchPD</vt:lpstr>
      <vt:lpstr>UniqVegF</vt:lpstr>
      <vt:lpstr>UpEdge_S</vt:lpstr>
      <vt:lpstr>UpEdge14</vt:lpstr>
      <vt:lpstr>UpEdgeShape4</vt:lpstr>
      <vt:lpstr>VegWabs3</vt:lpstr>
      <vt:lpstr>Visib12</vt:lpstr>
      <vt:lpstr>Visibility</vt:lpstr>
      <vt:lpstr>VisibWet</vt:lpstr>
      <vt:lpstr>VscoreSRM</vt:lpstr>
      <vt:lpstr>VscoreWBF</vt:lpstr>
      <vt:lpstr>VscoreWBN</vt:lpstr>
      <vt:lpstr>Vwidth11</vt:lpstr>
      <vt:lpstr>Vwidth14</vt:lpstr>
      <vt:lpstr>VwidthAbs_S</vt:lpstr>
      <vt:lpstr>VwidthAbs13</vt:lpstr>
      <vt:lpstr>VwidthAbs4</vt:lpstr>
      <vt:lpstr>VwidthAbs5</vt:lpstr>
      <vt:lpstr>VwidthAbs6</vt:lpstr>
      <vt:lpstr>WarmInflo7</vt:lpstr>
      <vt:lpstr>Warmth1</vt:lpstr>
      <vt:lpstr>warmth10</vt:lpstr>
      <vt:lpstr>warmth12</vt:lpstr>
      <vt:lpstr>Warmth2</vt:lpstr>
      <vt:lpstr>Warmth3</vt:lpstr>
      <vt:lpstr>Warmth4</vt:lpstr>
      <vt:lpstr>Warmth5</vt:lpstr>
      <vt:lpstr>Warmth6</vt:lpstr>
      <vt:lpstr>Warmth7</vt:lpstr>
      <vt:lpstr>warmth8</vt:lpstr>
      <vt:lpstr>WatEdgeSlope2</vt:lpstr>
      <vt:lpstr>Water10</vt:lpstr>
      <vt:lpstr>Water11</vt:lpstr>
      <vt:lpstr>Water12</vt:lpstr>
      <vt:lpstr>Water13</vt:lpstr>
      <vt:lpstr>Water14</vt:lpstr>
      <vt:lpstr>Water15</vt:lpstr>
      <vt:lpstr>Water3</vt:lpstr>
      <vt:lpstr>Water4</vt:lpstr>
      <vt:lpstr>Water7</vt:lpstr>
      <vt:lpstr>Water7w</vt:lpstr>
      <vt:lpstr>Water8</vt:lpstr>
      <vt:lpstr>Water9</vt:lpstr>
      <vt:lpstr>Waterscape11</vt:lpstr>
      <vt:lpstr>WBFscore10</vt:lpstr>
      <vt:lpstr>WBFscores</vt:lpstr>
      <vt:lpstr>WBFsiteS</vt:lpstr>
      <vt:lpstr>WbirdF</vt:lpstr>
      <vt:lpstr>WbirdFeed</vt:lpstr>
      <vt:lpstr>WbirdNest</vt:lpstr>
      <vt:lpstr>WBNsiteS</vt:lpstr>
      <vt:lpstr>WeedSource</vt:lpstr>
      <vt:lpstr>WeedSourcePD</vt:lpstr>
      <vt:lpstr>WetIntercept</vt:lpstr>
      <vt:lpstr>WetPctCA2</vt:lpstr>
      <vt:lpstr>WetPctCA4</vt:lpstr>
      <vt:lpstr>Wetter</vt:lpstr>
      <vt:lpstr>Wetter5</vt:lpstr>
      <vt:lpstr>WetterEx</vt:lpstr>
      <vt:lpstr>Wettype10</vt:lpstr>
      <vt:lpstr>Wettype11</vt:lpstr>
      <vt:lpstr>Wettype12</vt:lpstr>
      <vt:lpstr>Wettype13</vt:lpstr>
      <vt:lpstr>Wettype2</vt:lpstr>
      <vt:lpstr>Wettype4</vt:lpstr>
      <vt:lpstr>Wettype5</vt:lpstr>
      <vt:lpstr>Wettype6</vt:lpstr>
      <vt:lpstr>Wettype8</vt:lpstr>
      <vt:lpstr>Wettype9</vt:lpstr>
      <vt:lpstr>WettypePD</vt:lpstr>
      <vt:lpstr>WettypeS</vt:lpstr>
      <vt:lpstr>wetuniq</vt:lpstr>
      <vt:lpstr>WidthAbs2</vt:lpstr>
      <vt:lpstr>WidthPD</vt:lpstr>
      <vt:lpstr>wood2pd</vt:lpstr>
      <vt:lpstr>WoodAbove10</vt:lpstr>
      <vt:lpstr>WoodAbove11</vt:lpstr>
      <vt:lpstr>WoodAbove9</vt:lpstr>
      <vt:lpstr>WoodDown11</vt:lpstr>
      <vt:lpstr>WoodDown14</vt:lpstr>
      <vt:lpstr>WoodDown8</vt:lpstr>
      <vt:lpstr>WoodPatt14</vt:lpstr>
      <vt:lpstr>Woody12</vt:lpstr>
      <vt:lpstr>Woody13</vt:lpstr>
      <vt:lpstr>Woody14</vt:lpstr>
      <vt:lpstr>woodydbh0</vt:lpstr>
      <vt:lpstr>WoodyPct14</vt:lpstr>
      <vt:lpstr>WoodySens2_C</vt:lpstr>
      <vt:lpstr>WoodySens2_S</vt:lpstr>
      <vt:lpstr>WQstress</vt:lpstr>
      <vt:lpstr>Wscape</vt:lpstr>
      <vt:lpstr>Wscape14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Adamus</dc:creator>
  <cp:lastModifiedBy>paul adamus</cp:lastModifiedBy>
  <cp:lastPrinted>2011-10-06T03:58:50Z</cp:lastPrinted>
  <dcterms:created xsi:type="dcterms:W3CDTF">2007-07-23T17:47:56Z</dcterms:created>
  <dcterms:modified xsi:type="dcterms:W3CDTF">2019-11-25T00:43:06Z</dcterms:modified>
</cp:coreProperties>
</file>